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EA099B76A575200269153553BD2DA656F70D3589" xr6:coauthVersionLast="47" xr6:coauthVersionMax="47" xr10:uidLastSave="{A0837F57-597D-4DA1-8717-5AED938CB46D}"/>
  <bookViews>
    <workbookView xWindow="-120" yWindow="-120" windowWidth="29040" windowHeight="17520" firstSheet="1" activeTab="1" xr2:uid="{00000000-000D-0000-FFFF-FFFF00000000}"/>
  </bookViews>
  <sheets>
    <sheet name="Options" sheetId="5" state="hidden" r:id="rId1"/>
    <sheet name="1" sheetId="6" r:id="rId2"/>
    <sheet name="2" sheetId="714" r:id="rId3"/>
    <sheet name="3" sheetId="715" r:id="rId4"/>
    <sheet name="Sheet1" sheetId="710" state="veryHidden" r:id="rId5"/>
    <sheet name="Sheet2" sheetId="711" state="veryHidden" r:id="rId6"/>
    <sheet name="Sheet3" sheetId="712" state="veryHidden" r:id="rId7"/>
    <sheet name="Sheet4" sheetId="713" state="veryHidden" r:id="rId8"/>
    <sheet name="Sheet7" sheetId="716" state="veryHidden" r:id="rId9"/>
    <sheet name="Sheet8" sheetId="717" state="veryHidden" r:id="rId10"/>
    <sheet name="Sheet9" sheetId="718" state="veryHidden" r:id="rId11"/>
    <sheet name="Sheet10" sheetId="719" state="veryHidden" r:id="rId12"/>
  </sheets>
  <definedNames>
    <definedName name="CustNo">Options!$C$17</definedName>
    <definedName name="Pages">Options!$C$12</definedName>
    <definedName name="StartDate">Options!$C$4</definedName>
    <definedName name="TodaysDate">Options!$C$6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D4" i="5"/>
  <c r="D5" i="5"/>
  <c r="C6" i="5"/>
  <c r="C7" i="5"/>
  <c r="C12" i="5"/>
  <c r="C17" i="5"/>
  <c r="B4" i="715"/>
  <c r="C4" i="715"/>
  <c r="D4" i="715"/>
  <c r="E4" i="715"/>
  <c r="G4" i="715"/>
  <c r="I4" i="715"/>
  <c r="E5" i="715"/>
  <c r="G5" i="715"/>
  <c r="I5" i="715"/>
  <c r="E6" i="715"/>
  <c r="G6" i="715"/>
  <c r="I6" i="715"/>
  <c r="E7" i="715"/>
  <c r="G7" i="715"/>
  <c r="I7" i="715"/>
  <c r="B10" i="715"/>
  <c r="C10" i="715"/>
  <c r="D10" i="715"/>
  <c r="E10" i="715"/>
  <c r="G10" i="715"/>
  <c r="I10" i="715"/>
  <c r="E11" i="715"/>
  <c r="G11" i="715"/>
  <c r="I11" i="715"/>
  <c r="E12" i="715"/>
  <c r="G12" i="715"/>
  <c r="I12" i="715"/>
  <c r="E13" i="715"/>
  <c r="G13" i="715"/>
  <c r="I13" i="715"/>
  <c r="B16" i="715"/>
  <c r="C16" i="715"/>
  <c r="D16" i="715"/>
  <c r="E16" i="715"/>
  <c r="G16" i="715"/>
  <c r="I16" i="715"/>
  <c r="E17" i="715"/>
  <c r="G17" i="715"/>
  <c r="I17" i="715"/>
  <c r="E18" i="715"/>
  <c r="G18" i="715"/>
  <c r="I18" i="715"/>
  <c r="E19" i="715"/>
  <c r="G19" i="715"/>
  <c r="I19" i="715"/>
  <c r="B22" i="715"/>
  <c r="C22" i="715"/>
  <c r="D22" i="715"/>
  <c r="E22" i="715"/>
  <c r="G22" i="715"/>
  <c r="I22" i="715"/>
  <c r="E23" i="715"/>
  <c r="G23" i="715"/>
  <c r="I23" i="715"/>
  <c r="E24" i="715"/>
  <c r="G24" i="715"/>
  <c r="I24" i="715"/>
  <c r="E25" i="715"/>
  <c r="G25" i="715"/>
  <c r="I25" i="715"/>
  <c r="B28" i="715"/>
  <c r="C28" i="715"/>
  <c r="D28" i="715"/>
  <c r="E28" i="715"/>
  <c r="G28" i="715"/>
  <c r="I28" i="715"/>
  <c r="E29" i="715"/>
  <c r="G29" i="715"/>
  <c r="I29" i="715"/>
  <c r="E30" i="715"/>
  <c r="G30" i="715"/>
  <c r="I30" i="715"/>
  <c r="E31" i="715"/>
  <c r="G31" i="715"/>
  <c r="I31" i="715"/>
  <c r="B34" i="715"/>
  <c r="C34" i="715"/>
  <c r="D34" i="715"/>
  <c r="E34" i="715"/>
  <c r="G34" i="715"/>
  <c r="I34" i="715"/>
  <c r="E35" i="715"/>
  <c r="G35" i="715"/>
  <c r="I35" i="715"/>
  <c r="E36" i="715"/>
  <c r="G36" i="715"/>
  <c r="I36" i="715"/>
  <c r="E37" i="715"/>
  <c r="G37" i="715"/>
  <c r="I37" i="715"/>
  <c r="B40" i="715"/>
  <c r="C40" i="715"/>
  <c r="D40" i="715"/>
  <c r="E40" i="715"/>
  <c r="G40" i="715"/>
  <c r="I40" i="715"/>
  <c r="E41" i="715"/>
  <c r="G41" i="715"/>
  <c r="I41" i="715"/>
  <c r="E42" i="715"/>
  <c r="G42" i="715"/>
  <c r="I42" i="715"/>
  <c r="E43" i="715"/>
  <c r="G43" i="715"/>
  <c r="I43" i="715"/>
  <c r="B46" i="715"/>
  <c r="C46" i="715"/>
  <c r="D46" i="715"/>
  <c r="E46" i="715"/>
  <c r="G46" i="715"/>
  <c r="I46" i="715"/>
  <c r="E47" i="715"/>
  <c r="G47" i="715"/>
  <c r="I47" i="715"/>
  <c r="E48" i="715"/>
  <c r="G48" i="715"/>
  <c r="I48" i="715"/>
  <c r="E49" i="715"/>
  <c r="G49" i="715"/>
  <c r="I49" i="715"/>
  <c r="B52" i="715"/>
  <c r="C52" i="715"/>
  <c r="D52" i="715"/>
  <c r="E52" i="715"/>
  <c r="G52" i="715"/>
  <c r="I52" i="715"/>
  <c r="E53" i="715"/>
  <c r="G53" i="715"/>
  <c r="I53" i="715"/>
  <c r="E54" i="715"/>
  <c r="G54" i="715"/>
  <c r="I54" i="715"/>
  <c r="E55" i="715"/>
  <c r="G55" i="715"/>
  <c r="I55" i="715"/>
  <c r="B58" i="715"/>
  <c r="C58" i="715"/>
  <c r="D58" i="715"/>
  <c r="E58" i="715"/>
  <c r="G58" i="715"/>
  <c r="I58" i="715"/>
  <c r="E59" i="715"/>
  <c r="G59" i="715"/>
  <c r="I59" i="715"/>
  <c r="E60" i="715"/>
  <c r="G60" i="715"/>
  <c r="I60" i="715"/>
  <c r="E61" i="715"/>
  <c r="G61" i="715"/>
  <c r="I61" i="715"/>
  <c r="I2" i="6"/>
  <c r="B3" i="6"/>
  <c r="C3" i="6" s="1"/>
  <c r="D3" i="6" s="1"/>
  <c r="B9" i="6" s="1"/>
  <c r="C9" i="6" s="1"/>
  <c r="D9" i="6" s="1"/>
  <c r="B15" i="6" s="1"/>
  <c r="C15" i="6" s="1"/>
  <c r="D15" i="6" s="1"/>
  <c r="B21" i="6" s="1"/>
  <c r="C21" i="6" s="1"/>
  <c r="D21" i="6" s="1"/>
  <c r="B27" i="6" s="1"/>
  <c r="C27" i="6" s="1"/>
  <c r="D27" i="6" s="1"/>
  <c r="B33" i="6" s="1"/>
  <c r="C33" i="6" s="1"/>
  <c r="D33" i="6" s="1"/>
  <c r="B39" i="6" s="1"/>
  <c r="C39" i="6" s="1"/>
  <c r="D39" i="6" s="1"/>
  <c r="B45" i="6" s="1"/>
  <c r="C45" i="6" s="1"/>
  <c r="D45" i="6" s="1"/>
  <c r="B51" i="6" s="1"/>
  <c r="C51" i="6" s="1"/>
  <c r="D51" i="6" s="1"/>
  <c r="B57" i="6" s="1"/>
  <c r="C57" i="6" s="1"/>
  <c r="D57" i="6" s="1"/>
  <c r="B4" i="6"/>
  <c r="C4" i="6"/>
  <c r="D4" i="6"/>
  <c r="E4" i="6"/>
  <c r="G4" i="6"/>
  <c r="I4" i="6"/>
  <c r="E5" i="6"/>
  <c r="G5" i="6"/>
  <c r="I5" i="6"/>
  <c r="E6" i="6"/>
  <c r="G6" i="6"/>
  <c r="I6" i="6"/>
  <c r="E7" i="6"/>
  <c r="G7" i="6"/>
  <c r="I7" i="6"/>
  <c r="B10" i="6"/>
  <c r="C10" i="6"/>
  <c r="D10" i="6"/>
  <c r="E10" i="6"/>
  <c r="G10" i="6"/>
  <c r="I10" i="6"/>
  <c r="E11" i="6"/>
  <c r="G11" i="6"/>
  <c r="I11" i="6"/>
  <c r="E12" i="6"/>
  <c r="G12" i="6"/>
  <c r="I12" i="6"/>
  <c r="E13" i="6"/>
  <c r="G13" i="6"/>
  <c r="I13" i="6"/>
  <c r="B16" i="6"/>
  <c r="C16" i="6"/>
  <c r="D16" i="6"/>
  <c r="E16" i="6"/>
  <c r="G16" i="6"/>
  <c r="I16" i="6"/>
  <c r="E17" i="6"/>
  <c r="G17" i="6"/>
  <c r="I17" i="6"/>
  <c r="E18" i="6"/>
  <c r="G18" i="6"/>
  <c r="I18" i="6"/>
  <c r="E19" i="6"/>
  <c r="G19" i="6"/>
  <c r="I19" i="6"/>
  <c r="B22" i="6"/>
  <c r="C22" i="6"/>
  <c r="D22" i="6"/>
  <c r="E22" i="6"/>
  <c r="G22" i="6"/>
  <c r="I22" i="6"/>
  <c r="E23" i="6"/>
  <c r="G23" i="6"/>
  <c r="I23" i="6"/>
  <c r="E24" i="6"/>
  <c r="G24" i="6"/>
  <c r="I24" i="6"/>
  <c r="E25" i="6"/>
  <c r="G25" i="6"/>
  <c r="I25" i="6"/>
  <c r="B28" i="6"/>
  <c r="C28" i="6"/>
  <c r="D28" i="6"/>
  <c r="E28" i="6"/>
  <c r="G28" i="6"/>
  <c r="I28" i="6"/>
  <c r="E29" i="6"/>
  <c r="G29" i="6"/>
  <c r="I29" i="6"/>
  <c r="E30" i="6"/>
  <c r="G30" i="6"/>
  <c r="I30" i="6"/>
  <c r="E31" i="6"/>
  <c r="G31" i="6"/>
  <c r="I31" i="6"/>
  <c r="B34" i="6"/>
  <c r="C34" i="6"/>
  <c r="D34" i="6"/>
  <c r="E34" i="6"/>
  <c r="G34" i="6"/>
  <c r="I34" i="6"/>
  <c r="E35" i="6"/>
  <c r="G35" i="6"/>
  <c r="I35" i="6"/>
  <c r="E36" i="6"/>
  <c r="G36" i="6"/>
  <c r="I36" i="6"/>
  <c r="E37" i="6"/>
  <c r="G37" i="6"/>
  <c r="I37" i="6"/>
  <c r="B40" i="6"/>
  <c r="C40" i="6"/>
  <c r="D40" i="6"/>
  <c r="E40" i="6"/>
  <c r="G40" i="6"/>
  <c r="I40" i="6"/>
  <c r="E41" i="6"/>
  <c r="G41" i="6"/>
  <c r="I41" i="6"/>
  <c r="E42" i="6"/>
  <c r="G42" i="6"/>
  <c r="I42" i="6"/>
  <c r="E43" i="6"/>
  <c r="G43" i="6"/>
  <c r="I43" i="6"/>
  <c r="B46" i="6"/>
  <c r="C46" i="6"/>
  <c r="D46" i="6"/>
  <c r="E46" i="6"/>
  <c r="G46" i="6"/>
  <c r="I46" i="6"/>
  <c r="E47" i="6"/>
  <c r="G47" i="6"/>
  <c r="I47" i="6"/>
  <c r="E48" i="6"/>
  <c r="G48" i="6"/>
  <c r="I48" i="6"/>
  <c r="E49" i="6"/>
  <c r="G49" i="6"/>
  <c r="I49" i="6"/>
  <c r="B52" i="6"/>
  <c r="C52" i="6"/>
  <c r="D52" i="6"/>
  <c r="E52" i="6"/>
  <c r="G52" i="6"/>
  <c r="I52" i="6"/>
  <c r="E53" i="6"/>
  <c r="G53" i="6"/>
  <c r="I53" i="6"/>
  <c r="E54" i="6"/>
  <c r="G54" i="6"/>
  <c r="I54" i="6"/>
  <c r="E55" i="6"/>
  <c r="G55" i="6"/>
  <c r="I55" i="6"/>
  <c r="B58" i="6"/>
  <c r="C58" i="6"/>
  <c r="D58" i="6"/>
  <c r="E58" i="6"/>
  <c r="G58" i="6"/>
  <c r="I58" i="6"/>
  <c r="E59" i="6"/>
  <c r="G59" i="6"/>
  <c r="I59" i="6"/>
  <c r="E60" i="6"/>
  <c r="G60" i="6"/>
  <c r="I60" i="6"/>
  <c r="E61" i="6"/>
  <c r="G61" i="6"/>
  <c r="I61" i="6"/>
  <c r="B4" i="714"/>
  <c r="C4" i="714"/>
  <c r="D4" i="714"/>
  <c r="E4" i="714"/>
  <c r="G4" i="714"/>
  <c r="I4" i="714"/>
  <c r="E5" i="714"/>
  <c r="G5" i="714"/>
  <c r="I5" i="714"/>
  <c r="E6" i="714"/>
  <c r="G6" i="714"/>
  <c r="I6" i="714"/>
  <c r="E7" i="714"/>
  <c r="G7" i="714"/>
  <c r="I7" i="714"/>
  <c r="B10" i="714"/>
  <c r="C10" i="714"/>
  <c r="D10" i="714"/>
  <c r="E10" i="714"/>
  <c r="G10" i="714"/>
  <c r="I10" i="714"/>
  <c r="E11" i="714"/>
  <c r="G11" i="714"/>
  <c r="I11" i="714"/>
  <c r="E12" i="714"/>
  <c r="G12" i="714"/>
  <c r="I12" i="714"/>
  <c r="E13" i="714"/>
  <c r="G13" i="714"/>
  <c r="I13" i="714"/>
  <c r="B16" i="714"/>
  <c r="C16" i="714"/>
  <c r="D16" i="714"/>
  <c r="E16" i="714"/>
  <c r="G16" i="714"/>
  <c r="I16" i="714"/>
  <c r="E17" i="714"/>
  <c r="G17" i="714"/>
  <c r="I17" i="714"/>
  <c r="E18" i="714"/>
  <c r="G18" i="714"/>
  <c r="I18" i="714"/>
  <c r="E19" i="714"/>
  <c r="G19" i="714"/>
  <c r="I19" i="714"/>
  <c r="B22" i="714"/>
  <c r="C22" i="714"/>
  <c r="D22" i="714"/>
  <c r="E22" i="714"/>
  <c r="G22" i="714"/>
  <c r="I22" i="714"/>
  <c r="E23" i="714"/>
  <c r="G23" i="714"/>
  <c r="I23" i="714"/>
  <c r="E24" i="714"/>
  <c r="G24" i="714"/>
  <c r="I24" i="714"/>
  <c r="E25" i="714"/>
  <c r="G25" i="714"/>
  <c r="I25" i="714"/>
  <c r="B28" i="714"/>
  <c r="C28" i="714"/>
  <c r="D28" i="714"/>
  <c r="E28" i="714"/>
  <c r="G28" i="714"/>
  <c r="I28" i="714"/>
  <c r="E29" i="714"/>
  <c r="G29" i="714"/>
  <c r="I29" i="714"/>
  <c r="E30" i="714"/>
  <c r="G30" i="714"/>
  <c r="I30" i="714"/>
  <c r="E31" i="714"/>
  <c r="G31" i="714"/>
  <c r="I31" i="714"/>
  <c r="B34" i="714"/>
  <c r="C34" i="714"/>
  <c r="D34" i="714"/>
  <c r="E34" i="714"/>
  <c r="G34" i="714"/>
  <c r="I34" i="714"/>
  <c r="E35" i="714"/>
  <c r="G35" i="714"/>
  <c r="I35" i="714"/>
  <c r="E36" i="714"/>
  <c r="G36" i="714"/>
  <c r="I36" i="714"/>
  <c r="E37" i="714"/>
  <c r="G37" i="714"/>
  <c r="I37" i="714"/>
  <c r="B40" i="714"/>
  <c r="C40" i="714"/>
  <c r="D40" i="714"/>
  <c r="E40" i="714"/>
  <c r="G40" i="714"/>
  <c r="I40" i="714"/>
  <c r="E41" i="714"/>
  <c r="G41" i="714"/>
  <c r="I41" i="714"/>
  <c r="E42" i="714"/>
  <c r="G42" i="714"/>
  <c r="I42" i="714"/>
  <c r="E43" i="714"/>
  <c r="G43" i="714"/>
  <c r="I43" i="714"/>
  <c r="B46" i="714"/>
  <c r="C46" i="714"/>
  <c r="D46" i="714"/>
  <c r="E46" i="714"/>
  <c r="G46" i="714"/>
  <c r="I46" i="714"/>
  <c r="E47" i="714"/>
  <c r="G47" i="714"/>
  <c r="I47" i="714"/>
  <c r="E48" i="714"/>
  <c r="G48" i="714"/>
  <c r="I48" i="714"/>
  <c r="E49" i="714"/>
  <c r="G49" i="714"/>
  <c r="I49" i="714"/>
  <c r="B52" i="714"/>
  <c r="C52" i="714"/>
  <c r="D52" i="714"/>
  <c r="E52" i="714"/>
  <c r="G52" i="714"/>
  <c r="I52" i="714"/>
  <c r="E53" i="714"/>
  <c r="G53" i="714"/>
  <c r="I53" i="714"/>
  <c r="E54" i="714"/>
  <c r="G54" i="714"/>
  <c r="I54" i="714"/>
  <c r="E55" i="714"/>
  <c r="G55" i="714"/>
  <c r="I55" i="714"/>
  <c r="B58" i="714"/>
  <c r="C58" i="714"/>
  <c r="D58" i="714"/>
  <c r="E58" i="714"/>
  <c r="G58" i="714"/>
  <c r="I58" i="714"/>
  <c r="E59" i="714"/>
  <c r="G59" i="714"/>
  <c r="I59" i="714"/>
  <c r="E60" i="714"/>
  <c r="G60" i="714"/>
  <c r="I60" i="714"/>
  <c r="E61" i="714"/>
  <c r="G61" i="714"/>
  <c r="I61" i="714"/>
  <c r="I2" i="715"/>
  <c r="B3" i="715"/>
  <c r="C3" i="715" s="1"/>
  <c r="D3" i="715" s="1"/>
  <c r="B9" i="715" s="1"/>
  <c r="C9" i="715" s="1"/>
  <c r="D9" i="715" s="1"/>
  <c r="B15" i="715" s="1"/>
  <c r="C15" i="715" s="1"/>
  <c r="D15" i="715" s="1"/>
  <c r="B21" i="715" s="1"/>
  <c r="C21" i="715" s="1"/>
  <c r="D21" i="715" s="1"/>
  <c r="B27" i="715" s="1"/>
  <c r="C27" i="715" s="1"/>
  <c r="D27" i="715" s="1"/>
  <c r="B33" i="715" s="1"/>
  <c r="C33" i="715" s="1"/>
  <c r="D33" i="715" s="1"/>
  <c r="B39" i="715" s="1"/>
  <c r="C39" i="715" s="1"/>
  <c r="D39" i="715" s="1"/>
  <c r="B45" i="715" s="1"/>
  <c r="C45" i="715" s="1"/>
  <c r="D45" i="715" s="1"/>
  <c r="B51" i="715" s="1"/>
  <c r="C51" i="715" s="1"/>
  <c r="D51" i="715" s="1"/>
  <c r="B57" i="715" s="1"/>
  <c r="C57" i="715" s="1"/>
  <c r="D57" i="715" s="1"/>
  <c r="I2" i="714" l="1"/>
  <c r="B3" i="714" s="1"/>
  <c r="C3" i="714" l="1"/>
  <c r="D3" i="714" l="1"/>
  <c r="B9" i="714" s="1"/>
  <c r="C9" i="714" s="1"/>
  <c r="D9" i="714" s="1"/>
  <c r="B15" i="714" s="1"/>
  <c r="C15" i="714" s="1"/>
  <c r="D15" i="714" s="1"/>
  <c r="B21" i="714" s="1"/>
  <c r="C21" i="714" s="1"/>
  <c r="D21" i="714" s="1"/>
  <c r="B27" i="714" s="1"/>
  <c r="C27" i="714" s="1"/>
  <c r="D27" i="714" s="1"/>
  <c r="B33" i="714" s="1"/>
  <c r="C33" i="714" s="1"/>
  <c r="D33" i="714" s="1"/>
  <c r="B39" i="714" s="1"/>
  <c r="C39" i="714" s="1"/>
  <c r="D39" i="714" s="1"/>
  <c r="B45" i="714" s="1"/>
  <c r="C45" i="714" s="1"/>
  <c r="D45" i="714" s="1"/>
  <c r="B51" i="714" s="1"/>
  <c r="C51" i="714" s="1"/>
  <c r="D51" i="714" s="1"/>
  <c r="B57" i="714" s="1"/>
  <c r="C57" i="714" s="1"/>
  <c r="D57" i="714" s="1"/>
</calcChain>
</file>

<file path=xl/sharedStrings.xml><?xml version="1.0" encoding="utf-8"?>
<sst xmlns="http://schemas.openxmlformats.org/spreadsheetml/2006/main" count="1738" uniqueCount="220">
  <si>
    <t>hide</t>
  </si>
  <si>
    <t>Title</t>
  </si>
  <si>
    <t>Value</t>
  </si>
  <si>
    <t>Lookup</t>
  </si>
  <si>
    <t>Option</t>
  </si>
  <si>
    <t>Count</t>
  </si>
  <si>
    <t>Pages</t>
  </si>
  <si>
    <t>Page</t>
  </si>
  <si>
    <t>=NL("Sheets","Integer","Number","Number",NP("Integers",1,Pages))</t>
  </si>
  <si>
    <t>=C9+1</t>
  </si>
  <si>
    <t>=D9+1</t>
  </si>
  <si>
    <t>=C39+1</t>
  </si>
  <si>
    <t>=D39+1</t>
  </si>
  <si>
    <t>2</t>
  </si>
  <si>
    <t>=C3+1</t>
  </si>
  <si>
    <t>=D3+1</t>
  </si>
  <si>
    <t>=C15+1</t>
  </si>
  <si>
    <t>=D15+1</t>
  </si>
  <si>
    <t>=C21+1</t>
  </si>
  <si>
    <t>=D21+1</t>
  </si>
  <si>
    <t>=C27+1</t>
  </si>
  <si>
    <t>=D27+1</t>
  </si>
  <si>
    <t>=C33+1</t>
  </si>
  <si>
    <t>=D33+1</t>
  </si>
  <si>
    <t>=C45+1</t>
  </si>
  <si>
    <t>=D45+1</t>
  </si>
  <si>
    <t>=C51+1</t>
  </si>
  <si>
    <t>=D51+1</t>
  </si>
  <si>
    <t>=C57+1</t>
  </si>
  <si>
    <t>=B3+1</t>
  </si>
  <si>
    <t>=B9+1</t>
  </si>
  <si>
    <t>=B15+1</t>
  </si>
  <si>
    <t>=B21+1</t>
  </si>
  <si>
    <t>=B27+1</t>
  </si>
  <si>
    <t>=B33+1</t>
  </si>
  <si>
    <t>=B39+1</t>
  </si>
  <si>
    <t>=B45+1</t>
  </si>
  <si>
    <t>=B51+1</t>
  </si>
  <si>
    <t>=B57+1</t>
  </si>
  <si>
    <t xml:space="preserve"> </t>
  </si>
  <si>
    <t>=I2</t>
  </si>
  <si>
    <t>Filters</t>
  </si>
  <si>
    <t>Country/Region Code</t>
  </si>
  <si>
    <t>Sales (LCY)</t>
  </si>
  <si>
    <t>Date Filter</t>
  </si>
  <si>
    <t>*</t>
  </si>
  <si>
    <t>Customer No. filter</t>
  </si>
  <si>
    <t>=NL("Lookup","18 Customer","35 Country/Region Code")</t>
  </si>
  <si>
    <t>=NL(B3,"18 Customer",{"5 Address","6 Address 2","7 City","8 Contact","92 County","35 Country/Region Code","91 Post Code","4 Name 2","2 Name"},"No.",CustNo)</t>
  </si>
  <si>
    <t>=NL(C3,"18 Customer",{"5 Address","6 Address 2","7 City","8 Contact","92 County","35 Country/Region Code","91 Post Code","4 Name 2","2 Name"},"No.",CustNo)</t>
  </si>
  <si>
    <t>=NF(B4,"8 Contact")</t>
  </si>
  <si>
    <t>=NF(B4,"5 address")&amp;" "&amp;NF(B4,"6 address 2")</t>
  </si>
  <si>
    <t>=NF(B10,"8 Contact")</t>
  </si>
  <si>
    <t>=NF(B10,"5 address")&amp;" "&amp;NF(B10,"6 address 2")</t>
  </si>
  <si>
    <t>=NF(B16,"8 Contact")</t>
  </si>
  <si>
    <t>=NF(B16,"5 address")&amp;" "&amp;NF(B16,"6 address 2")</t>
  </si>
  <si>
    <t>=NF(B22,"8 Contact")</t>
  </si>
  <si>
    <t>=NF(B22,"5 address")&amp;" "&amp;NF(B22,"6 address 2")</t>
  </si>
  <si>
    <t>=NF(B28,"8 Contact")</t>
  </si>
  <si>
    <t>=NF(B28,"5 address")&amp;" "&amp;NF(B28,"6 address 2")</t>
  </si>
  <si>
    <t>=NL(D3,"18 Customer",{"5 Address","6 Address 2","7 City","8 Contact","92 County","35 Country/Region Code","91 Post Code","4 Name 2","2 Name"},"No.",CustNo)</t>
  </si>
  <si>
    <t>=NF(C4,"8 Contact")</t>
  </si>
  <si>
    <t>=NF(D4,"8 Contact")</t>
  </si>
  <si>
    <t>=NF(C4,"5 address")&amp;" "&amp;NF(C4,"6 address 2")</t>
  </si>
  <si>
    <t>=NF(D4,"5 address")&amp;" "&amp;NF(D4,"6 address 2")</t>
  </si>
  <si>
    <t>=NL(B9,"18 Customer",{"5 Address","6 Address 2","7 City","8 Contact","92 County","35 Country/Region Code","91 Post Code","4 Name 2","2 Name"},"No.",CustNo)</t>
  </si>
  <si>
    <t>=NL(C9,"18 Customer",{"5 Address","6 Address 2","7 City","8 Contact","92 County","35 Country/Region Code","91 Post Code","4 Name 2","2 Name"},"No.",CustNo)</t>
  </si>
  <si>
    <t>=NL(D9,"18 Customer",{"5 Address","6 Address 2","7 City","8 Contact","92 County","35 Country/Region Code","91 Post Code","4 Name 2","2 Name"},"No.",CustNo)</t>
  </si>
  <si>
    <t>=NF(C10,"8 Contact")</t>
  </si>
  <si>
    <t>=NF(D10,"8 Contact")</t>
  </si>
  <si>
    <t>=NF(C10,"5 address")&amp;" "&amp;NF(C10,"6 address 2")</t>
  </si>
  <si>
    <t>=NF(D10,"5 address")&amp;" "&amp;NF(D10,"6 address 2")</t>
  </si>
  <si>
    <t>=NL(B15,"18 Customer",{"5 Address","6 Address 2","7 City","8 Contact","92 County","35 Country/Region Code","91 Post Code","4 Name 2","2 Name"},"No.",CustNo)</t>
  </si>
  <si>
    <t>=NL(C15,"18 Customer",{"5 Address","6 Address 2","7 City","8 Contact","92 County","35 Country/Region Code","91 Post Code","4 Name 2","2 Name"},"No.",CustNo)</t>
  </si>
  <si>
    <t>=NL(D15,"18 Customer",{"5 Address","6 Address 2","7 City","8 Contact","92 County","35 Country/Region Code","91 Post Code","4 Name 2","2 Name"},"No.",CustNo)</t>
  </si>
  <si>
    <t>=NF(C16,"8 Contact")</t>
  </si>
  <si>
    <t>=NF(D16,"8 Contact")</t>
  </si>
  <si>
    <t>=NF(C16,"5 address")&amp;" "&amp;NF(C16,"6 address 2")</t>
  </si>
  <si>
    <t>=NF(D16,"5 address")&amp;" "&amp;NF(D16,"6 address 2")</t>
  </si>
  <si>
    <t>=NL(B21,"18 Customer",{"5 Address","6 Address 2","7 City","8 Contact","92 County","35 Country/Region Code","91 Post Code","4 Name 2","2 Name"},"No.",CustNo)</t>
  </si>
  <si>
    <t>=NL(C21,"18 Customer",{"5 Address","6 Address 2","7 City","8 Contact","92 County","35 Country/Region Code","91 Post Code","4 Name 2","2 Name"},"No.",CustNo)</t>
  </si>
  <si>
    <t>=NL(D21,"18 Customer",{"5 Address","6 Address 2","7 City","8 Contact","92 County","35 Country/Region Code","91 Post Code","4 Name 2","2 Name"},"No.",CustNo)</t>
  </si>
  <si>
    <t>=NF(C22,"8 Contact")</t>
  </si>
  <si>
    <t>=NF(D22,"8 Contact")</t>
  </si>
  <si>
    <t>=NF(C22,"5 address")&amp;" "&amp;NF(C22,"6 address 2")</t>
  </si>
  <si>
    <t>=NF(D22,"5 address")&amp;" "&amp;NF(D22,"6 address 2")</t>
  </si>
  <si>
    <t>=NL(B27,"18 Customer",{"5 Address","6 Address 2","7 City","8 Contact","92 County","35 Country/Region Code","91 Post Code","4 Name 2","2 Name"},"No.",CustNo)</t>
  </si>
  <si>
    <t>=NL(C27,"18 Customer",{"5 Address","6 Address 2","7 City","8 Contact","92 County","35 Country/Region Code","91 Post Code","4 Name 2","2 Name"},"No.",CustNo)</t>
  </si>
  <si>
    <t>=NL(D27,"18 Customer",{"5 Address","6 Address 2","7 City","8 Contact","92 County","35 Country/Region Code","91 Post Code","4 Name 2","2 Name"},"No.",CustNo)</t>
  </si>
  <si>
    <t>=NF(C28,"8 Contact")</t>
  </si>
  <si>
    <t>=NF(D28,"8 Contact")</t>
  </si>
  <si>
    <t>=NF(C28,"5 address")&amp;" "&amp;NF(C28,"6 address 2")</t>
  </si>
  <si>
    <t>=NF(D28,"5 address")&amp;" "&amp;NF(D28,"6 address 2")</t>
  </si>
  <si>
    <t>=NL(B33,"18 Customer",{"5 Address","6 Address 2","7 City","8 Contact","92 County","35 Country/Region Code","91 Post Code","4 Name 2","2 Name"},"No.",CustNo)</t>
  </si>
  <si>
    <t>=NL(C33,"18 Customer",{"5 Address","6 Address 2","7 City","8 Contact","92 County","35 Country/Region Code","91 Post Code","4 Name 2","2 Name"},"No.",CustNo)</t>
  </si>
  <si>
    <t>=NL(D33,"18 Customer",{"5 Address","6 Address 2","7 City","8 Contact","92 County","35 Country/Region Code","91 Post Code","4 Name 2","2 Name"},"No.",CustNo)</t>
  </si>
  <si>
    <t>=NF(B34,"8 Contact")</t>
  </si>
  <si>
    <t>=NF(C34,"8 Contact")</t>
  </si>
  <si>
    <t>=NF(D34,"8 Contact")</t>
  </si>
  <si>
    <t>=NF(B34,"5 address")&amp;" "&amp;NF(B34,"6 address 2")</t>
  </si>
  <si>
    <t>=NF(C34,"5 address")&amp;" "&amp;NF(C34,"6 address 2")</t>
  </si>
  <si>
    <t>=NF(D34,"5 address")&amp;" "&amp;NF(D34,"6 address 2")</t>
  </si>
  <si>
    <t>=NL(B39,"18 Customer",{"5 Address","6 Address 2","7 City","8 Contact","92 County","35 Country/Region Code","91 Post Code","4 Name 2","2 Name"},"No.",CustNo)</t>
  </si>
  <si>
    <t>=NL(C39,"18 Customer",{"5 Address","6 Address 2","7 City","8 Contact","92 County","35 Country/Region Code","91 Post Code","4 Name 2","2 Name"},"No.",CustNo)</t>
  </si>
  <si>
    <t>=NL(D39,"18 Customer",{"5 Address","6 Address 2","7 City","8 Contact","92 County","35 Country/Region Code","91 Post Code","4 Name 2","2 Name"},"No.",CustNo)</t>
  </si>
  <si>
    <t>=NF(B40,"8 Contact")</t>
  </si>
  <si>
    <t>=NF(C40,"8 Contact")</t>
  </si>
  <si>
    <t>=NF(D40,"8 Contact")</t>
  </si>
  <si>
    <t>=NF(B40,"5 address")&amp;" "&amp;NF(B40,"6 address 2")</t>
  </si>
  <si>
    <t>=NF(C40,"5 address")&amp;" "&amp;NF(C40,"6 address 2")</t>
  </si>
  <si>
    <t>=NF(D40,"5 address")&amp;" "&amp;NF(D40,"6 address 2")</t>
  </si>
  <si>
    <t>=NL(B45,"18 Customer",{"5 Address","6 Address 2","7 City","8 Contact","92 County","35 Country/Region Code","91 Post Code","4 Name 2","2 Name"},"No.",CustNo)</t>
  </si>
  <si>
    <t>=NL(C45,"18 Customer",{"5 Address","6 Address 2","7 City","8 Contact","92 County","35 Country/Region Code","91 Post Code","4 Name 2","2 Name"},"No.",CustNo)</t>
  </si>
  <si>
    <t>=NL(D45,"18 Customer",{"5 Address","6 Address 2","7 City","8 Contact","92 County","35 Country/Region Code","91 Post Code","4 Name 2","2 Name"},"No.",CustNo)</t>
  </si>
  <si>
    <t>=NF(B46,"8 Contact")</t>
  </si>
  <si>
    <t>=NF(C46,"8 Contact")</t>
  </si>
  <si>
    <t>=NF(D46,"8 Contact")</t>
  </si>
  <si>
    <t>=NF(B46,"5 address")&amp;" "&amp;NF(B46,"6 address 2")</t>
  </si>
  <si>
    <t>=NF(C46,"5 address")&amp;" "&amp;NF(C46,"6 address 2")</t>
  </si>
  <si>
    <t>=NF(D46,"5 address")&amp;" "&amp;NF(D46,"6 address 2")</t>
  </si>
  <si>
    <t>=NL(B51,"18 Customer",{"5 Address","6 Address 2","7 City","8 Contact","92 County","35 Country/Region Code","91 Post Code","4 Name 2","2 Name"},"No.",CustNo)</t>
  </si>
  <si>
    <t>=NL(C51,"18 Customer",{"5 Address","6 Address 2","7 City","8 Contact","92 County","35 Country/Region Code","91 Post Code","4 Name 2","2 Name"},"No.",CustNo)</t>
  </si>
  <si>
    <t>=NL(D51,"18 Customer",{"5 Address","6 Address 2","7 City","8 Contact","92 County","35 Country/Region Code","91 Post Code","4 Name 2","2 Name"},"No.",CustNo)</t>
  </si>
  <si>
    <t>=NF(B52,"8 Contact")</t>
  </si>
  <si>
    <t>=NF(C52,"8 Contact")</t>
  </si>
  <si>
    <t>=NF(D52,"8 Contact")</t>
  </si>
  <si>
    <t>=NF(B52,"5 address")&amp;" "&amp;NF(B52,"6 address 2")</t>
  </si>
  <si>
    <t>=NF(C52,"5 address")&amp;" "&amp;NF(C52,"6 address 2")</t>
  </si>
  <si>
    <t>=NF(D52,"5 address")&amp;" "&amp;NF(D52,"6 address 2")</t>
  </si>
  <si>
    <t>=NL(B57,"18 Customer",{"5 Address","6 Address 2","7 City","8 Contact","92 County","35 Country/Region Code","91 Post Code","4 Name 2","2 Name"},"No.",CustNo)</t>
  </si>
  <si>
    <t>=NL(C57,"18 Customer",{"5 Address","6 Address 2","7 City","8 Contact","92 County","35 Country/Region Code","91 Post Code","4 Name 2","2 Name"},"No.",CustNo)</t>
  </si>
  <si>
    <t>=NL(D57,"18 Customer",{"5 Address","6 Address 2","7 City","8 Contact","92 County","35 Country/Region Code","91 Post Code","4 Name 2","2 Name"},"No.",CustNo)</t>
  </si>
  <si>
    <t>=NF(B58,"8 Contact")</t>
  </si>
  <si>
    <t>=NF(C58,"8 Contact")</t>
  </si>
  <si>
    <t>=NF(D58,"8 Contact")</t>
  </si>
  <si>
    <t>=NF(B58,"5 address")&amp;" "&amp;NF(B58,"6 address 2")</t>
  </si>
  <si>
    <t>=NF(C58,"5 address")&amp;" "&amp;NF(C58,"6 address 2")</t>
  </si>
  <si>
    <t>=NF(D58,"5 address")&amp;" "&amp;NF(D58,"6 address 2")</t>
  </si>
  <si>
    <t>=NF(B4,"2 Name")</t>
  </si>
  <si>
    <t>=NF(C4,"2 Name")</t>
  </si>
  <si>
    <t>=NF(D4,"2 Name")</t>
  </si>
  <si>
    <t>=NF(B10,"2 Name")</t>
  </si>
  <si>
    <t>=NF(C10,"2 Name")</t>
  </si>
  <si>
    <t>=NF(D10,"2 Name")</t>
  </si>
  <si>
    <t>=NF(B16,"2 Name")</t>
  </si>
  <si>
    <t>=NF(C16,"2 Name")</t>
  </si>
  <si>
    <t>=NF(D16,"2 Name")</t>
  </si>
  <si>
    <t>=NF(B22,"2 Name")</t>
  </si>
  <si>
    <t>=NF(C22,"2 Name")</t>
  </si>
  <si>
    <t>=NF(D22,"2 Name")</t>
  </si>
  <si>
    <t>=NF(B28,"2 Name")</t>
  </si>
  <si>
    <t>=NF(C28,"2 Name")</t>
  </si>
  <si>
    <t>=NF(D28,"2 Name")</t>
  </si>
  <si>
    <t>=NF(B34,"2 Name")</t>
  </si>
  <si>
    <t>=NF(C34,"2 Name")</t>
  </si>
  <si>
    <t>=NF(D34,"2 Name")</t>
  </si>
  <si>
    <t>=NF(B40,"2 Name")</t>
  </si>
  <si>
    <t>=NF(C40,"2 Name")</t>
  </si>
  <si>
    <t>=NF(D40,"2 Name")</t>
  </si>
  <si>
    <t>=NF(B46,"2 Name")</t>
  </si>
  <si>
    <t>=NF(C46,"2 Name")</t>
  </si>
  <si>
    <t>=NF(D46,"2 Name")</t>
  </si>
  <si>
    <t>=NF(B52,"2 Name")</t>
  </si>
  <si>
    <t>=NF(C52,"2 Name")</t>
  </si>
  <si>
    <t>=NF(D52,"2 Name")</t>
  </si>
  <si>
    <t>="US"</t>
  </si>
  <si>
    <t>=NF(B58,"2 Name")</t>
  </si>
  <si>
    <t>=NF(C58,"2 Name")</t>
  </si>
  <si>
    <t>=NF(D58,"2 Name")</t>
  </si>
  <si>
    <t>=NF(B4,"7 City")&amp;", "&amp;NF(B4,"92 County")&amp;" "&amp;NF(B4,"91 Post code")</t>
  </si>
  <si>
    <t>=NF(C4,"7 City")&amp;", "&amp;NF(C4,"92 County")&amp;" "&amp;NF(C4,"91 Post code")</t>
  </si>
  <si>
    <t>=NF(D4,"7 City")&amp;", "&amp;NF(D4,"92 County")&amp;" "&amp;NF(D4,"91 Post code")</t>
  </si>
  <si>
    <t>=NF(B10,"7 City")&amp;", "&amp;NF(B10,"92 County")&amp;" "&amp;NF(B10,"91 Post code")</t>
  </si>
  <si>
    <t>=NF(C10,"7 City")&amp;", "&amp;NF(C10,"92 County")&amp;" "&amp;NF(C10,"91 Post code")</t>
  </si>
  <si>
    <t>=NF(D10,"7 City")&amp;", "&amp;NF(D10,"92 County")&amp;" "&amp;NF(D10,"91 Post code")</t>
  </si>
  <si>
    <t>=NF(B16,"7 City")&amp;", "&amp;NF(B16,"92 County")&amp;" "&amp;NF(B16,"91 Post code")</t>
  </si>
  <si>
    <t>=NF(C16,"7 City")&amp;", "&amp;NF(C16,"92 County")&amp;" "&amp;NF(C16,"91 Post code")</t>
  </si>
  <si>
    <t>=NF(D16,"7 City")&amp;", "&amp;NF(D16,"92 County")&amp;" "&amp;NF(D16,"91 Post code")</t>
  </si>
  <si>
    <t>=NF(B22,"7 City")&amp;", "&amp;NF(B22,"92 County")&amp;" "&amp;NF(B22,"91 Post code")</t>
  </si>
  <si>
    <t>=NF(C22,"7 City")&amp;", "&amp;NF(C22,"92 County")&amp;" "&amp;NF(C22,"91 Post code")</t>
  </si>
  <si>
    <t>=NF(D22,"7 City")&amp;", "&amp;NF(D22,"92 County")&amp;" "&amp;NF(D22,"91 Post code")</t>
  </si>
  <si>
    <t>=NF(B28,"7 City")&amp;", "&amp;NF(B28,"92 County")&amp;" "&amp;NF(B28,"91 Post code")</t>
  </si>
  <si>
    <t>=NF(C28,"7 City")&amp;", "&amp;NF(C28,"92 County")&amp;" "&amp;NF(C28,"91 Post code")</t>
  </si>
  <si>
    <t>=NF(D28,"7 City")&amp;", "&amp;NF(D28,"92 County")&amp;" "&amp;NF(D28,"91 Post code")</t>
  </si>
  <si>
    <t>=NF(B34,"7 City")&amp;", "&amp;NF(B34,"92 County")&amp;" "&amp;NF(B34,"91 Post code")</t>
  </si>
  <si>
    <t>=NF(C34,"7 City")&amp;", "&amp;NF(C34,"92 County")&amp;" "&amp;NF(C34,"91 Post code")</t>
  </si>
  <si>
    <t>=NF(D34,"7 City")&amp;", "&amp;NF(D34,"92 County")&amp;" "&amp;NF(D34,"91 Post code")</t>
  </si>
  <si>
    <t>=NF(B40,"7 City")&amp;", "&amp;NF(B40,"92 County")&amp;" "&amp;NF(B40,"91 Post code")</t>
  </si>
  <si>
    <t>=NF(C40,"7 City")&amp;", "&amp;NF(C40,"92 County")&amp;" "&amp;NF(C40,"91 Post code")</t>
  </si>
  <si>
    <t>=NF(D40,"7 City")&amp;", "&amp;NF(D40,"92 County")&amp;" "&amp;NF(D40,"91 Post code")</t>
  </si>
  <si>
    <t>=NF(B46,"7 City")&amp;", "&amp;NF(B46,"92 County")&amp;" "&amp;NF(B46,"91 Post code")</t>
  </si>
  <si>
    <t>=NF(C46,"7 City")&amp;", "&amp;NF(C46,"92 County")&amp;" "&amp;NF(C46,"91 Post code")</t>
  </si>
  <si>
    <t>=NF(D46,"7 City")&amp;", "&amp;NF(D46,"92 County")&amp;" "&amp;NF(D46,"91 Post code")</t>
  </si>
  <si>
    <t>=NF(B52,"7 City")&amp;", "&amp;NF(B52,"92 County")&amp;" "&amp;NF(B52,"91 Post code")</t>
  </si>
  <si>
    <t>=NF(C52,"7 City")&amp;", "&amp;NF(C52,"92 County")&amp;" "&amp;NF(C52,"91 Post code")</t>
  </si>
  <si>
    <t>=NF(D52,"7 City")&amp;", "&amp;NF(D52,"92 County")&amp;" "&amp;NF(D52,"91 Post code")</t>
  </si>
  <si>
    <t>=NF(B58,"7 City")&amp;", "&amp;NF(B58,"92 County")&amp;" "&amp;NF(B58,"91 Post code")</t>
  </si>
  <si>
    <t>=NF(C58,"7 City")&amp;", "&amp;NF(C58,"92 County")&amp;" "&amp;NF(C58,"91 Post code")</t>
  </si>
  <si>
    <t>=NF(D58,"7 City")&amp;", "&amp;NF(D58,"92 County")&amp;" "&amp;NF(D58,"91 Post code")</t>
  </si>
  <si>
    <t>=NL("Lookup","13 Salesperson/Purchaser",{"1 Code","2 Name"})</t>
  </si>
  <si>
    <t>=NL("Count","customer",,"Filters=",$B$4:$C$7)</t>
  </si>
  <si>
    <t>=ROUNDUP(C11/30,0)</t>
  </si>
  <si>
    <t>=NL("Filter","18 Customer","1 No.","Filters=",$B$4:$C$7)</t>
  </si>
  <si>
    <t>Salesperson Code</t>
  </si>
  <si>
    <t>="&gt;100"</t>
  </si>
  <si>
    <t>=(G2*30)-29</t>
  </si>
  <si>
    <t>Tooltip</t>
  </si>
  <si>
    <t>Enter a date range using the date format used in your NAV instance</t>
  </si>
  <si>
    <t>="1/1/2015.."</t>
  </si>
  <si>
    <t>3</t>
  </si>
  <si>
    <t>Auto+Hide+Hidesheet+Formulas=Sheet1,Sheet2+FormulasOnly</t>
  </si>
  <si>
    <t>Auto+Hide+Values+Formulas=Sheet3,Sheet4+FormulasOnly</t>
  </si>
  <si>
    <t>Auto+Hide+Hidesheet+Formulas=Sheet7,Sheet1,Sheet2</t>
  </si>
  <si>
    <t>Auto+Hide+Hidesheet+Formulas=Sheet7,Sheet1,Sheet2+FormulasOnly</t>
  </si>
  <si>
    <t>Auto+Hide+Values+Formulas=Sheet8,Sheet3,Sheet4</t>
  </si>
  <si>
    <t>Auto+Hide+Values+Formulas=Sheet8,Sheet3,Sheet4+FormulasOnly</t>
  </si>
  <si>
    <t>Auto+Hide+Values+Formulas=Sheet9,Sheet3,Sheet4+AutoSheet</t>
  </si>
  <si>
    <t>Auto+Hide+Values+Formulas=Sheet9,Sheet3,Sheet4+AutoSheet+FormulasOnly</t>
  </si>
  <si>
    <t>Auto+Hide+Values+Formulas=Sheet10,Sheet3,Sheet4+AutoSheet</t>
  </si>
  <si>
    <t>Auto+Hide+Values+Formulas=Sheet10,Sheet3,Sheet4+AutoSheet+FormulasOnly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</si>
</sst>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A6A6A6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76933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3" borderId="0" xfId="0" applyFont="1" applyFill="1"/>
    <xf numFmtId="0" fontId="0" fillId="0" borderId="0" xfId="0" applyAlignment="1">
      <alignment horizontal="right"/>
    </xf>
    <xf numFmtId="0" fontId="4" fillId="4" borderId="0" xfId="0" applyFont="1" applyFill="1"/>
    <xf numFmtId="14" fontId="4" fillId="4" borderId="0" xfId="0" applyNumberFormat="1" applyFont="1" applyFill="1" applyAlignment="1">
      <alignment horizontal="right"/>
    </xf>
    <xf numFmtId="0" fontId="0" fillId="4" borderId="0" xfId="0" applyFill="1"/>
    <xf numFmtId="0" fontId="6" fillId="0" borderId="0" xfId="0" applyFont="1"/>
    <xf numFmtId="0" fontId="9" fillId="0" borderId="0" xfId="4"/>
  </cellXfs>
  <cellStyles count="6">
    <cellStyle name="Hyperlink 2" xfId="3" xr:uid="{00000000-0005-0000-0000-000000000000}"/>
    <cellStyle name="Hyperlink 3" xfId="5" xr:uid="{00000000-0005-0000-0000-000001000000}"/>
    <cellStyle name="Normal" xfId="0" builtinId="0"/>
    <cellStyle name="Normal 2" xfId="1" xr:uid="{00000000-0005-0000-0000-000003000000}"/>
    <cellStyle name="Normal 2 4" xfId="2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7"/>
  <sheetViews>
    <sheetView topLeftCell="B2" workbookViewId="0"/>
  </sheetViews>
  <sheetFormatPr defaultRowHeight="15" x14ac:dyDescent="0.25"/>
  <cols>
    <col min="1" max="1" width="9.140625" hidden="1" customWidth="1"/>
    <col min="2" max="2" width="20.28515625" bestFit="1" customWidth="1"/>
    <col min="3" max="3" width="10.7109375" bestFit="1" customWidth="1"/>
    <col min="4" max="4" width="48.85546875" customWidth="1"/>
  </cols>
  <sheetData>
    <row r="1" spans="1:5" hidden="1" x14ac:dyDescent="0.25">
      <c r="A1" s="2" t="s">
        <v>212</v>
      </c>
      <c r="B1" s="2" t="s">
        <v>1</v>
      </c>
      <c r="C1" s="3" t="s">
        <v>2</v>
      </c>
      <c r="D1" s="3" t="s">
        <v>3</v>
      </c>
      <c r="E1" s="2" t="s">
        <v>206</v>
      </c>
    </row>
    <row r="2" spans="1:5" x14ac:dyDescent="0.25">
      <c r="A2" s="2"/>
      <c r="B2" s="2"/>
      <c r="C2" s="3"/>
      <c r="D2" s="3"/>
      <c r="E2" s="2"/>
    </row>
    <row r="3" spans="1:5" x14ac:dyDescent="0.25">
      <c r="A3" s="2"/>
      <c r="B3" s="4"/>
      <c r="C3" s="5" t="s">
        <v>41</v>
      </c>
      <c r="D3" s="6"/>
    </row>
    <row r="4" spans="1:5" x14ac:dyDescent="0.25">
      <c r="A4" s="2" t="s">
        <v>4</v>
      </c>
      <c r="B4" s="11" t="s">
        <v>42</v>
      </c>
      <c r="C4" s="12" t="str">
        <f>"US"</f>
        <v>US</v>
      </c>
      <c r="D4" s="7" t="str">
        <f>"Lookup"</f>
        <v>Lookup</v>
      </c>
    </row>
    <row r="5" spans="1:5" x14ac:dyDescent="0.25">
      <c r="A5" s="14" t="s">
        <v>4</v>
      </c>
      <c r="B5" s="11" t="s">
        <v>203</v>
      </c>
      <c r="C5" s="12" t="s">
        <v>45</v>
      </c>
      <c r="D5" s="7" t="str">
        <f>"Lookup"</f>
        <v>Lookup</v>
      </c>
    </row>
    <row r="6" spans="1:5" x14ac:dyDescent="0.25">
      <c r="A6" s="2" t="s">
        <v>4</v>
      </c>
      <c r="B6" s="11" t="s">
        <v>43</v>
      </c>
      <c r="C6" s="12" t="str">
        <f>"&gt;100"</f>
        <v>&gt;100</v>
      </c>
      <c r="D6" s="7"/>
    </row>
    <row r="7" spans="1:5" x14ac:dyDescent="0.25">
      <c r="A7" s="2" t="s">
        <v>4</v>
      </c>
      <c r="B7" s="13" t="s">
        <v>44</v>
      </c>
      <c r="C7" s="13" t="str">
        <f>"1/1/2015.."</f>
        <v>1/1/2015..</v>
      </c>
      <c r="E7" s="15" t="s">
        <v>207</v>
      </c>
    </row>
    <row r="10" spans="1:5" x14ac:dyDescent="0.25">
      <c r="C10" s="1"/>
    </row>
    <row r="11" spans="1:5" x14ac:dyDescent="0.25">
      <c r="B11" t="s">
        <v>5</v>
      </c>
      <c r="C11" s="1">
        <v>79</v>
      </c>
    </row>
    <row r="12" spans="1:5" x14ac:dyDescent="0.25">
      <c r="B12" t="s">
        <v>6</v>
      </c>
      <c r="C12">
        <f>ROUNDUP(C11/30,0)</f>
        <v>3</v>
      </c>
    </row>
    <row r="17" spans="2:3" x14ac:dyDescent="0.25">
      <c r="B17" s="10" t="s">
        <v>46</v>
      </c>
      <c r="C17" s="1" t="str">
        <f>"||""Filter"",""18 Customer"",""1 No."",""Country/Region Code"",""US"",""Salesperson Code"",""*"",""Sales (LCY)"",""&gt;100"",""Date Filter"",""1/1/2015.."","""","""","""","""","""","""","""","""","""","""","""","""","""","""","""","""","""","""""</f>
        <v>||"Filter","18 Customer","1 No.","Country/Region Code","US","Salesperson Code","*","Sales (LCY)","&gt;100","Date Filter","1/1/2015..","","","","","","","","","","","","","","","","","",""</v>
      </c>
    </row>
  </sheetData>
  <printOptions horizontalCentered="1" verticalCentered="1"/>
  <pageMargins left="0" right="0" top="0.5" bottom="0.75" header="0.3" footer="0.3"/>
  <pageSetup scale="7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2"/>
  <sheetViews>
    <sheetView workbookViewId="0"/>
  </sheetViews>
  <sheetFormatPr defaultRowHeight="15" x14ac:dyDescent="0.25"/>
  <sheetData>
    <row r="1" spans="1:9" x14ac:dyDescent="0.25">
      <c r="A1" s="1" t="s">
        <v>215</v>
      </c>
      <c r="B1" s="1" t="s">
        <v>0</v>
      </c>
      <c r="C1" s="1" t="s">
        <v>0</v>
      </c>
      <c r="D1" s="1" t="s">
        <v>0</v>
      </c>
      <c r="F1" s="1" t="s">
        <v>39</v>
      </c>
      <c r="H1" s="1" t="s">
        <v>39</v>
      </c>
    </row>
    <row r="2" spans="1:9" x14ac:dyDescent="0.25">
      <c r="A2" s="1" t="s">
        <v>0</v>
      </c>
      <c r="E2" s="1" t="s">
        <v>7</v>
      </c>
      <c r="F2" s="1" t="s">
        <v>39</v>
      </c>
      <c r="G2" s="1" t="s">
        <v>8</v>
      </c>
      <c r="H2" s="1" t="s">
        <v>39</v>
      </c>
      <c r="I2" s="1" t="s">
        <v>205</v>
      </c>
    </row>
    <row r="3" spans="1:9" x14ac:dyDescent="0.25">
      <c r="A3" s="1" t="s">
        <v>0</v>
      </c>
      <c r="B3" s="1" t="s">
        <v>40</v>
      </c>
      <c r="C3" s="1" t="s">
        <v>29</v>
      </c>
      <c r="D3" s="1" t="s">
        <v>14</v>
      </c>
      <c r="F3" s="1" t="s">
        <v>39</v>
      </c>
      <c r="H3" s="1" t="s">
        <v>39</v>
      </c>
    </row>
    <row r="4" spans="1:9" x14ac:dyDescent="0.25">
      <c r="B4" s="1" t="s">
        <v>48</v>
      </c>
      <c r="C4" s="1" t="s">
        <v>49</v>
      </c>
      <c r="D4" s="1" t="s">
        <v>60</v>
      </c>
      <c r="E4" s="1" t="s">
        <v>50</v>
      </c>
      <c r="G4" s="1" t="s">
        <v>61</v>
      </c>
      <c r="H4" s="1" t="s">
        <v>39</v>
      </c>
      <c r="I4" s="1" t="s">
        <v>62</v>
      </c>
    </row>
    <row r="5" spans="1:9" x14ac:dyDescent="0.25">
      <c r="E5" s="1" t="s">
        <v>138</v>
      </c>
      <c r="G5" s="1" t="s">
        <v>139</v>
      </c>
      <c r="H5" s="1" t="s">
        <v>39</v>
      </c>
      <c r="I5" s="1" t="s">
        <v>140</v>
      </c>
    </row>
    <row r="6" spans="1:9" x14ac:dyDescent="0.25">
      <c r="E6" s="1" t="s">
        <v>51</v>
      </c>
      <c r="G6" s="1" t="s">
        <v>63</v>
      </c>
      <c r="H6" s="1" t="s">
        <v>39</v>
      </c>
      <c r="I6" s="1" t="s">
        <v>64</v>
      </c>
    </row>
    <row r="7" spans="1:9" x14ac:dyDescent="0.25">
      <c r="E7" s="1" t="s">
        <v>169</v>
      </c>
      <c r="G7" s="1" t="s">
        <v>170</v>
      </c>
      <c r="H7" s="1" t="s">
        <v>39</v>
      </c>
      <c r="I7" s="1" t="s">
        <v>171</v>
      </c>
    </row>
    <row r="8" spans="1:9" x14ac:dyDescent="0.25">
      <c r="F8" s="1" t="s">
        <v>39</v>
      </c>
      <c r="H8" s="1" t="s">
        <v>39</v>
      </c>
    </row>
    <row r="9" spans="1:9" x14ac:dyDescent="0.25">
      <c r="B9" s="1" t="s">
        <v>15</v>
      </c>
      <c r="C9" s="1" t="s">
        <v>30</v>
      </c>
      <c r="D9" s="1" t="s">
        <v>9</v>
      </c>
      <c r="F9" s="1" t="s">
        <v>39</v>
      </c>
      <c r="H9" s="1" t="s">
        <v>39</v>
      </c>
    </row>
    <row r="10" spans="1:9" x14ac:dyDescent="0.25">
      <c r="B10" s="1" t="s">
        <v>65</v>
      </c>
      <c r="C10" s="1" t="s">
        <v>66</v>
      </c>
      <c r="D10" s="1" t="s">
        <v>67</v>
      </c>
      <c r="E10" s="1" t="s">
        <v>52</v>
      </c>
      <c r="G10" s="1" t="s">
        <v>68</v>
      </c>
      <c r="H10" s="1" t="s">
        <v>39</v>
      </c>
      <c r="I10" s="1" t="s">
        <v>69</v>
      </c>
    </row>
    <row r="11" spans="1:9" x14ac:dyDescent="0.25">
      <c r="E11" s="1" t="s">
        <v>141</v>
      </c>
      <c r="G11" s="1" t="s">
        <v>142</v>
      </c>
      <c r="H11" s="1" t="s">
        <v>39</v>
      </c>
      <c r="I11" s="1" t="s">
        <v>143</v>
      </c>
    </row>
    <row r="12" spans="1:9" x14ac:dyDescent="0.25">
      <c r="E12" s="1" t="s">
        <v>53</v>
      </c>
      <c r="G12" s="1" t="s">
        <v>70</v>
      </c>
      <c r="H12" s="1" t="s">
        <v>39</v>
      </c>
      <c r="I12" s="1" t="s">
        <v>71</v>
      </c>
    </row>
    <row r="13" spans="1:9" x14ac:dyDescent="0.25">
      <c r="E13" s="1" t="s">
        <v>172</v>
      </c>
      <c r="G13" s="1" t="s">
        <v>173</v>
      </c>
      <c r="H13" s="1" t="s">
        <v>39</v>
      </c>
      <c r="I13" s="1" t="s">
        <v>174</v>
      </c>
    </row>
    <row r="14" spans="1:9" x14ac:dyDescent="0.25">
      <c r="F14" s="1" t="s">
        <v>39</v>
      </c>
      <c r="H14" s="1" t="s">
        <v>39</v>
      </c>
    </row>
    <row r="15" spans="1:9" x14ac:dyDescent="0.25">
      <c r="B15" s="1" t="s">
        <v>10</v>
      </c>
      <c r="C15" s="1" t="s">
        <v>31</v>
      </c>
      <c r="D15" s="1" t="s">
        <v>16</v>
      </c>
      <c r="F15" s="1" t="s">
        <v>39</v>
      </c>
      <c r="H15" s="1" t="s">
        <v>39</v>
      </c>
    </row>
    <row r="16" spans="1:9" x14ac:dyDescent="0.25">
      <c r="B16" s="1" t="s">
        <v>72</v>
      </c>
      <c r="C16" s="1" t="s">
        <v>73</v>
      </c>
      <c r="D16" s="1" t="s">
        <v>74</v>
      </c>
      <c r="E16" s="1" t="s">
        <v>54</v>
      </c>
      <c r="G16" s="1" t="s">
        <v>75</v>
      </c>
      <c r="H16" s="1" t="s">
        <v>39</v>
      </c>
      <c r="I16" s="1" t="s">
        <v>76</v>
      </c>
    </row>
    <row r="17" spans="2:9" x14ac:dyDescent="0.25">
      <c r="E17" s="1" t="s">
        <v>144</v>
      </c>
      <c r="G17" s="1" t="s">
        <v>145</v>
      </c>
      <c r="H17" s="1" t="s">
        <v>39</v>
      </c>
      <c r="I17" s="1" t="s">
        <v>146</v>
      </c>
    </row>
    <row r="18" spans="2:9" x14ac:dyDescent="0.25">
      <c r="E18" s="1" t="s">
        <v>55</v>
      </c>
      <c r="G18" s="1" t="s">
        <v>77</v>
      </c>
      <c r="H18" s="1" t="s">
        <v>39</v>
      </c>
      <c r="I18" s="1" t="s">
        <v>78</v>
      </c>
    </row>
    <row r="19" spans="2:9" x14ac:dyDescent="0.25">
      <c r="E19" s="1" t="s">
        <v>175</v>
      </c>
      <c r="G19" s="1" t="s">
        <v>176</v>
      </c>
      <c r="H19" s="1" t="s">
        <v>39</v>
      </c>
      <c r="I19" s="1" t="s">
        <v>177</v>
      </c>
    </row>
    <row r="20" spans="2:9" x14ac:dyDescent="0.25">
      <c r="F20" s="1" t="s">
        <v>39</v>
      </c>
      <c r="H20" s="1" t="s">
        <v>39</v>
      </c>
    </row>
    <row r="21" spans="2:9" x14ac:dyDescent="0.25">
      <c r="B21" s="1" t="s">
        <v>17</v>
      </c>
      <c r="C21" s="1" t="s">
        <v>32</v>
      </c>
      <c r="D21" s="1" t="s">
        <v>18</v>
      </c>
      <c r="F21" s="1" t="s">
        <v>39</v>
      </c>
      <c r="H21" s="1" t="s">
        <v>39</v>
      </c>
    </row>
    <row r="22" spans="2:9" x14ac:dyDescent="0.25">
      <c r="B22" s="1" t="s">
        <v>79</v>
      </c>
      <c r="C22" s="1" t="s">
        <v>80</v>
      </c>
      <c r="D22" s="1" t="s">
        <v>81</v>
      </c>
      <c r="E22" s="1" t="s">
        <v>56</v>
      </c>
      <c r="G22" s="1" t="s">
        <v>82</v>
      </c>
      <c r="H22" s="1" t="s">
        <v>39</v>
      </c>
      <c r="I22" s="1" t="s">
        <v>83</v>
      </c>
    </row>
    <row r="23" spans="2:9" x14ac:dyDescent="0.25">
      <c r="E23" s="1" t="s">
        <v>147</v>
      </c>
      <c r="G23" s="1" t="s">
        <v>148</v>
      </c>
      <c r="H23" s="1" t="s">
        <v>39</v>
      </c>
      <c r="I23" s="1" t="s">
        <v>149</v>
      </c>
    </row>
    <row r="24" spans="2:9" x14ac:dyDescent="0.25">
      <c r="E24" s="1" t="s">
        <v>57</v>
      </c>
      <c r="G24" s="1" t="s">
        <v>84</v>
      </c>
      <c r="H24" s="1" t="s">
        <v>39</v>
      </c>
      <c r="I24" s="1" t="s">
        <v>85</v>
      </c>
    </row>
    <row r="25" spans="2:9" x14ac:dyDescent="0.25">
      <c r="E25" s="1" t="s">
        <v>178</v>
      </c>
      <c r="G25" s="1" t="s">
        <v>179</v>
      </c>
      <c r="H25" s="1" t="s">
        <v>39</v>
      </c>
      <c r="I25" s="1" t="s">
        <v>180</v>
      </c>
    </row>
    <row r="26" spans="2:9" x14ac:dyDescent="0.25">
      <c r="F26" s="1" t="s">
        <v>39</v>
      </c>
      <c r="H26" s="1" t="s">
        <v>39</v>
      </c>
    </row>
    <row r="27" spans="2:9" x14ac:dyDescent="0.25">
      <c r="B27" s="1" t="s">
        <v>19</v>
      </c>
      <c r="C27" s="1" t="s">
        <v>33</v>
      </c>
      <c r="D27" s="1" t="s">
        <v>20</v>
      </c>
      <c r="F27" s="1" t="s">
        <v>39</v>
      </c>
      <c r="H27" s="1" t="s">
        <v>39</v>
      </c>
    </row>
    <row r="28" spans="2:9" x14ac:dyDescent="0.25">
      <c r="B28" s="1" t="s">
        <v>86</v>
      </c>
      <c r="C28" s="1" t="s">
        <v>87</v>
      </c>
      <c r="D28" s="1" t="s">
        <v>88</v>
      </c>
      <c r="E28" s="1" t="s">
        <v>58</v>
      </c>
      <c r="G28" s="1" t="s">
        <v>89</v>
      </c>
      <c r="H28" s="1" t="s">
        <v>39</v>
      </c>
      <c r="I28" s="1" t="s">
        <v>90</v>
      </c>
    </row>
    <row r="29" spans="2:9" x14ac:dyDescent="0.25">
      <c r="E29" s="1" t="s">
        <v>150</v>
      </c>
      <c r="G29" s="1" t="s">
        <v>151</v>
      </c>
      <c r="H29" s="1" t="s">
        <v>39</v>
      </c>
      <c r="I29" s="1" t="s">
        <v>152</v>
      </c>
    </row>
    <row r="30" spans="2:9" x14ac:dyDescent="0.25">
      <c r="E30" s="1" t="s">
        <v>59</v>
      </c>
      <c r="G30" s="1" t="s">
        <v>91</v>
      </c>
      <c r="H30" s="1" t="s">
        <v>39</v>
      </c>
      <c r="I30" s="1" t="s">
        <v>92</v>
      </c>
    </row>
    <row r="31" spans="2:9" x14ac:dyDescent="0.25">
      <c r="E31" s="1" t="s">
        <v>181</v>
      </c>
      <c r="G31" s="1" t="s">
        <v>182</v>
      </c>
      <c r="H31" s="1" t="s">
        <v>39</v>
      </c>
      <c r="I31" s="1" t="s">
        <v>183</v>
      </c>
    </row>
    <row r="32" spans="2:9" x14ac:dyDescent="0.25">
      <c r="F32" s="1" t="s">
        <v>39</v>
      </c>
      <c r="H32" s="1" t="s">
        <v>39</v>
      </c>
    </row>
    <row r="33" spans="2:9" x14ac:dyDescent="0.25">
      <c r="B33" s="1" t="s">
        <v>21</v>
      </c>
      <c r="C33" s="1" t="s">
        <v>34</v>
      </c>
      <c r="D33" s="1" t="s">
        <v>22</v>
      </c>
      <c r="F33" s="1" t="s">
        <v>39</v>
      </c>
      <c r="H33" s="1" t="s">
        <v>39</v>
      </c>
    </row>
    <row r="34" spans="2:9" x14ac:dyDescent="0.25">
      <c r="B34" s="1" t="s">
        <v>93</v>
      </c>
      <c r="C34" s="1" t="s">
        <v>94</v>
      </c>
      <c r="D34" s="1" t="s">
        <v>95</v>
      </c>
      <c r="E34" s="1" t="s">
        <v>96</v>
      </c>
      <c r="G34" s="1" t="s">
        <v>97</v>
      </c>
      <c r="H34" s="1" t="s">
        <v>39</v>
      </c>
      <c r="I34" s="1" t="s">
        <v>98</v>
      </c>
    </row>
    <row r="35" spans="2:9" x14ac:dyDescent="0.25">
      <c r="E35" s="1" t="s">
        <v>153</v>
      </c>
      <c r="G35" s="1" t="s">
        <v>154</v>
      </c>
      <c r="H35" s="1" t="s">
        <v>39</v>
      </c>
      <c r="I35" s="1" t="s">
        <v>155</v>
      </c>
    </row>
    <row r="36" spans="2:9" x14ac:dyDescent="0.25">
      <c r="E36" s="1" t="s">
        <v>99</v>
      </c>
      <c r="G36" s="1" t="s">
        <v>100</v>
      </c>
      <c r="H36" s="1" t="s">
        <v>39</v>
      </c>
      <c r="I36" s="1" t="s">
        <v>101</v>
      </c>
    </row>
    <row r="37" spans="2:9" x14ac:dyDescent="0.25">
      <c r="E37" s="1" t="s">
        <v>184</v>
      </c>
      <c r="G37" s="1" t="s">
        <v>185</v>
      </c>
      <c r="H37" s="1" t="s">
        <v>39</v>
      </c>
      <c r="I37" s="1" t="s">
        <v>186</v>
      </c>
    </row>
    <row r="38" spans="2:9" x14ac:dyDescent="0.25">
      <c r="F38" s="1" t="s">
        <v>39</v>
      </c>
      <c r="H38" s="1" t="s">
        <v>39</v>
      </c>
    </row>
    <row r="39" spans="2:9" x14ac:dyDescent="0.25">
      <c r="B39" s="1" t="s">
        <v>23</v>
      </c>
      <c r="C39" s="1" t="s">
        <v>35</v>
      </c>
      <c r="D39" s="1" t="s">
        <v>11</v>
      </c>
      <c r="F39" s="1" t="s">
        <v>39</v>
      </c>
      <c r="H39" s="1" t="s">
        <v>39</v>
      </c>
    </row>
    <row r="40" spans="2:9" x14ac:dyDescent="0.25">
      <c r="B40" s="1" t="s">
        <v>102</v>
      </c>
      <c r="C40" s="1" t="s">
        <v>103</v>
      </c>
      <c r="D40" s="1" t="s">
        <v>104</v>
      </c>
      <c r="E40" s="1" t="s">
        <v>105</v>
      </c>
      <c r="G40" s="1" t="s">
        <v>106</v>
      </c>
      <c r="H40" s="1" t="s">
        <v>39</v>
      </c>
      <c r="I40" s="1" t="s">
        <v>107</v>
      </c>
    </row>
    <row r="41" spans="2:9" x14ac:dyDescent="0.25">
      <c r="E41" s="1" t="s">
        <v>156</v>
      </c>
      <c r="G41" s="1" t="s">
        <v>157</v>
      </c>
      <c r="H41" s="1" t="s">
        <v>39</v>
      </c>
      <c r="I41" s="1" t="s">
        <v>158</v>
      </c>
    </row>
    <row r="42" spans="2:9" x14ac:dyDescent="0.25">
      <c r="E42" s="1" t="s">
        <v>108</v>
      </c>
      <c r="G42" s="1" t="s">
        <v>109</v>
      </c>
      <c r="H42" s="1" t="s">
        <v>39</v>
      </c>
      <c r="I42" s="1" t="s">
        <v>110</v>
      </c>
    </row>
    <row r="43" spans="2:9" x14ac:dyDescent="0.25">
      <c r="E43" s="1" t="s">
        <v>187</v>
      </c>
      <c r="G43" s="1" t="s">
        <v>188</v>
      </c>
      <c r="H43" s="1" t="s">
        <v>39</v>
      </c>
      <c r="I43" s="1" t="s">
        <v>189</v>
      </c>
    </row>
    <row r="44" spans="2:9" x14ac:dyDescent="0.25">
      <c r="F44" s="1" t="s">
        <v>39</v>
      </c>
      <c r="H44" s="1" t="s">
        <v>39</v>
      </c>
    </row>
    <row r="45" spans="2:9" x14ac:dyDescent="0.25">
      <c r="B45" s="1" t="s">
        <v>12</v>
      </c>
      <c r="C45" s="1" t="s">
        <v>36</v>
      </c>
      <c r="D45" s="1" t="s">
        <v>24</v>
      </c>
      <c r="F45" s="1" t="s">
        <v>39</v>
      </c>
      <c r="H45" s="1" t="s">
        <v>39</v>
      </c>
    </row>
    <row r="46" spans="2:9" x14ac:dyDescent="0.25">
      <c r="B46" s="1" t="s">
        <v>111</v>
      </c>
      <c r="C46" s="1" t="s">
        <v>112</v>
      </c>
      <c r="D46" s="1" t="s">
        <v>113</v>
      </c>
      <c r="E46" s="1" t="s">
        <v>114</v>
      </c>
      <c r="G46" s="1" t="s">
        <v>115</v>
      </c>
      <c r="H46" s="1" t="s">
        <v>39</v>
      </c>
      <c r="I46" s="1" t="s">
        <v>116</v>
      </c>
    </row>
    <row r="47" spans="2:9" x14ac:dyDescent="0.25">
      <c r="E47" s="1" t="s">
        <v>159</v>
      </c>
      <c r="G47" s="1" t="s">
        <v>160</v>
      </c>
      <c r="H47" s="1" t="s">
        <v>39</v>
      </c>
      <c r="I47" s="1" t="s">
        <v>161</v>
      </c>
    </row>
    <row r="48" spans="2:9" x14ac:dyDescent="0.25">
      <c r="E48" s="1" t="s">
        <v>117</v>
      </c>
      <c r="G48" s="1" t="s">
        <v>118</v>
      </c>
      <c r="H48" s="1" t="s">
        <v>39</v>
      </c>
      <c r="I48" s="1" t="s">
        <v>119</v>
      </c>
    </row>
    <row r="49" spans="2:9" x14ac:dyDescent="0.25">
      <c r="E49" s="1" t="s">
        <v>190</v>
      </c>
      <c r="G49" s="1" t="s">
        <v>191</v>
      </c>
      <c r="H49" s="1" t="s">
        <v>39</v>
      </c>
      <c r="I49" s="1" t="s">
        <v>192</v>
      </c>
    </row>
    <row r="50" spans="2:9" x14ac:dyDescent="0.25">
      <c r="F50" s="1" t="s">
        <v>39</v>
      </c>
      <c r="H50" s="1" t="s">
        <v>39</v>
      </c>
    </row>
    <row r="51" spans="2:9" x14ac:dyDescent="0.25">
      <c r="B51" s="1" t="s">
        <v>25</v>
      </c>
      <c r="C51" s="1" t="s">
        <v>37</v>
      </c>
      <c r="D51" s="1" t="s">
        <v>26</v>
      </c>
      <c r="F51" s="1" t="s">
        <v>39</v>
      </c>
      <c r="H51" s="1" t="s">
        <v>39</v>
      </c>
    </row>
    <row r="52" spans="2:9" x14ac:dyDescent="0.25">
      <c r="B52" s="1" t="s">
        <v>120</v>
      </c>
      <c r="C52" s="1" t="s">
        <v>121</v>
      </c>
      <c r="D52" s="1" t="s">
        <v>122</v>
      </c>
      <c r="E52" s="1" t="s">
        <v>123</v>
      </c>
      <c r="G52" s="1" t="s">
        <v>124</v>
      </c>
      <c r="H52" s="1" t="s">
        <v>39</v>
      </c>
      <c r="I52" s="1" t="s">
        <v>125</v>
      </c>
    </row>
    <row r="53" spans="2:9" x14ac:dyDescent="0.25">
      <c r="E53" s="1" t="s">
        <v>162</v>
      </c>
      <c r="G53" s="1" t="s">
        <v>163</v>
      </c>
      <c r="H53" s="1" t="s">
        <v>39</v>
      </c>
      <c r="I53" s="1" t="s">
        <v>164</v>
      </c>
    </row>
    <row r="54" spans="2:9" x14ac:dyDescent="0.25">
      <c r="E54" s="1" t="s">
        <v>126</v>
      </c>
      <c r="G54" s="1" t="s">
        <v>127</v>
      </c>
      <c r="H54" s="1" t="s">
        <v>39</v>
      </c>
      <c r="I54" s="1" t="s">
        <v>128</v>
      </c>
    </row>
    <row r="55" spans="2:9" x14ac:dyDescent="0.25">
      <c r="E55" s="1" t="s">
        <v>193</v>
      </c>
      <c r="G55" s="1" t="s">
        <v>194</v>
      </c>
      <c r="H55" s="1" t="s">
        <v>39</v>
      </c>
      <c r="I55" s="1" t="s">
        <v>195</v>
      </c>
    </row>
    <row r="56" spans="2:9" x14ac:dyDescent="0.25">
      <c r="F56" s="1" t="s">
        <v>39</v>
      </c>
      <c r="H56" s="1" t="s">
        <v>39</v>
      </c>
    </row>
    <row r="57" spans="2:9" x14ac:dyDescent="0.25">
      <c r="B57" s="1" t="s">
        <v>27</v>
      </c>
      <c r="C57" s="1" t="s">
        <v>38</v>
      </c>
      <c r="D57" s="1" t="s">
        <v>28</v>
      </c>
      <c r="F57" s="1" t="s">
        <v>39</v>
      </c>
      <c r="H57" s="1" t="s">
        <v>39</v>
      </c>
    </row>
    <row r="58" spans="2:9" x14ac:dyDescent="0.25">
      <c r="B58" s="1" t="s">
        <v>129</v>
      </c>
      <c r="C58" s="1" t="s">
        <v>130</v>
      </c>
      <c r="D58" s="1" t="s">
        <v>131</v>
      </c>
      <c r="E58" s="1" t="s">
        <v>132</v>
      </c>
      <c r="G58" s="1" t="s">
        <v>133</v>
      </c>
      <c r="H58" s="1" t="s">
        <v>39</v>
      </c>
      <c r="I58" s="1" t="s">
        <v>134</v>
      </c>
    </row>
    <row r="59" spans="2:9" x14ac:dyDescent="0.25">
      <c r="E59" s="1" t="s">
        <v>166</v>
      </c>
      <c r="G59" s="1" t="s">
        <v>167</v>
      </c>
      <c r="H59" s="1" t="s">
        <v>39</v>
      </c>
      <c r="I59" s="1" t="s">
        <v>168</v>
      </c>
    </row>
    <row r="60" spans="2:9" x14ac:dyDescent="0.25">
      <c r="E60" s="1" t="s">
        <v>135</v>
      </c>
      <c r="G60" s="1" t="s">
        <v>136</v>
      </c>
      <c r="H60" s="1" t="s">
        <v>39</v>
      </c>
      <c r="I60" s="1" t="s">
        <v>137</v>
      </c>
    </row>
    <row r="61" spans="2:9" x14ac:dyDescent="0.25">
      <c r="E61" s="1" t="s">
        <v>196</v>
      </c>
      <c r="G61" s="1" t="s">
        <v>197</v>
      </c>
      <c r="H61" s="1" t="s">
        <v>39</v>
      </c>
      <c r="I61" s="1" t="s">
        <v>198</v>
      </c>
    </row>
    <row r="62" spans="2:9" x14ac:dyDescent="0.25">
      <c r="F62" s="1" t="s">
        <v>39</v>
      </c>
      <c r="H62" s="1" t="s">
        <v>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62"/>
  <sheetViews>
    <sheetView workbookViewId="0"/>
  </sheetViews>
  <sheetFormatPr defaultRowHeight="15" x14ac:dyDescent="0.25"/>
  <sheetData>
    <row r="1" spans="1:9" x14ac:dyDescent="0.25">
      <c r="A1" s="1" t="s">
        <v>217</v>
      </c>
      <c r="B1" s="1" t="s">
        <v>0</v>
      </c>
      <c r="C1" s="1" t="s">
        <v>0</v>
      </c>
      <c r="D1" s="1" t="s">
        <v>0</v>
      </c>
      <c r="F1" s="1" t="s">
        <v>39</v>
      </c>
      <c r="H1" s="1" t="s">
        <v>39</v>
      </c>
    </row>
    <row r="2" spans="1:9" x14ac:dyDescent="0.25">
      <c r="A2" s="1" t="s">
        <v>0</v>
      </c>
      <c r="E2" s="1" t="s">
        <v>7</v>
      </c>
      <c r="F2" s="1" t="s">
        <v>39</v>
      </c>
      <c r="G2" s="1" t="s">
        <v>13</v>
      </c>
      <c r="H2" s="1" t="s">
        <v>39</v>
      </c>
      <c r="I2" s="1" t="s">
        <v>205</v>
      </c>
    </row>
    <row r="3" spans="1:9" x14ac:dyDescent="0.25">
      <c r="A3" s="1" t="s">
        <v>0</v>
      </c>
      <c r="B3" s="1" t="s">
        <v>40</v>
      </c>
      <c r="C3" s="1" t="s">
        <v>29</v>
      </c>
      <c r="D3" s="1" t="s">
        <v>14</v>
      </c>
      <c r="F3" s="1" t="s">
        <v>39</v>
      </c>
      <c r="H3" s="1" t="s">
        <v>39</v>
      </c>
    </row>
    <row r="4" spans="1:9" x14ac:dyDescent="0.25">
      <c r="B4" s="1" t="s">
        <v>48</v>
      </c>
      <c r="C4" s="1" t="s">
        <v>49</v>
      </c>
      <c r="D4" s="1" t="s">
        <v>60</v>
      </c>
      <c r="E4" s="1" t="s">
        <v>50</v>
      </c>
      <c r="G4" s="1" t="s">
        <v>61</v>
      </c>
      <c r="H4" s="1" t="s">
        <v>39</v>
      </c>
      <c r="I4" s="1" t="s">
        <v>62</v>
      </c>
    </row>
    <row r="5" spans="1:9" x14ac:dyDescent="0.25">
      <c r="E5" s="1" t="s">
        <v>138</v>
      </c>
      <c r="G5" s="1" t="s">
        <v>139</v>
      </c>
      <c r="H5" s="1" t="s">
        <v>39</v>
      </c>
      <c r="I5" s="1" t="s">
        <v>140</v>
      </c>
    </row>
    <row r="6" spans="1:9" x14ac:dyDescent="0.25">
      <c r="E6" s="1" t="s">
        <v>51</v>
      </c>
      <c r="G6" s="1" t="s">
        <v>63</v>
      </c>
      <c r="H6" s="1" t="s">
        <v>39</v>
      </c>
      <c r="I6" s="1" t="s">
        <v>64</v>
      </c>
    </row>
    <row r="7" spans="1:9" x14ac:dyDescent="0.25">
      <c r="E7" s="1" t="s">
        <v>169</v>
      </c>
      <c r="G7" s="1" t="s">
        <v>170</v>
      </c>
      <c r="H7" s="1" t="s">
        <v>39</v>
      </c>
      <c r="I7" s="1" t="s">
        <v>171</v>
      </c>
    </row>
    <row r="8" spans="1:9" x14ac:dyDescent="0.25">
      <c r="F8" s="1" t="s">
        <v>39</v>
      </c>
      <c r="H8" s="1" t="s">
        <v>39</v>
      </c>
    </row>
    <row r="9" spans="1:9" x14ac:dyDescent="0.25">
      <c r="B9" s="1" t="s">
        <v>15</v>
      </c>
      <c r="C9" s="1" t="s">
        <v>30</v>
      </c>
      <c r="D9" s="1" t="s">
        <v>9</v>
      </c>
      <c r="F9" s="1" t="s">
        <v>39</v>
      </c>
      <c r="H9" s="1" t="s">
        <v>39</v>
      </c>
    </row>
    <row r="10" spans="1:9" x14ac:dyDescent="0.25">
      <c r="B10" s="1" t="s">
        <v>65</v>
      </c>
      <c r="C10" s="1" t="s">
        <v>66</v>
      </c>
      <c r="D10" s="1" t="s">
        <v>67</v>
      </c>
      <c r="E10" s="1" t="s">
        <v>52</v>
      </c>
      <c r="G10" s="1" t="s">
        <v>68</v>
      </c>
      <c r="H10" s="1" t="s">
        <v>39</v>
      </c>
      <c r="I10" s="1" t="s">
        <v>69</v>
      </c>
    </row>
    <row r="11" spans="1:9" x14ac:dyDescent="0.25">
      <c r="E11" s="1" t="s">
        <v>141</v>
      </c>
      <c r="G11" s="1" t="s">
        <v>142</v>
      </c>
      <c r="H11" s="1" t="s">
        <v>39</v>
      </c>
      <c r="I11" s="1" t="s">
        <v>143</v>
      </c>
    </row>
    <row r="12" spans="1:9" x14ac:dyDescent="0.25">
      <c r="E12" s="1" t="s">
        <v>53</v>
      </c>
      <c r="G12" s="1" t="s">
        <v>70</v>
      </c>
      <c r="H12" s="1" t="s">
        <v>39</v>
      </c>
      <c r="I12" s="1" t="s">
        <v>71</v>
      </c>
    </row>
    <row r="13" spans="1:9" x14ac:dyDescent="0.25">
      <c r="E13" s="1" t="s">
        <v>172</v>
      </c>
      <c r="G13" s="1" t="s">
        <v>173</v>
      </c>
      <c r="H13" s="1" t="s">
        <v>39</v>
      </c>
      <c r="I13" s="1" t="s">
        <v>174</v>
      </c>
    </row>
    <row r="14" spans="1:9" x14ac:dyDescent="0.25">
      <c r="F14" s="1" t="s">
        <v>39</v>
      </c>
      <c r="H14" s="1" t="s">
        <v>39</v>
      </c>
    </row>
    <row r="15" spans="1:9" x14ac:dyDescent="0.25">
      <c r="B15" s="1" t="s">
        <v>10</v>
      </c>
      <c r="C15" s="1" t="s">
        <v>31</v>
      </c>
      <c r="D15" s="1" t="s">
        <v>16</v>
      </c>
      <c r="F15" s="1" t="s">
        <v>39</v>
      </c>
      <c r="H15" s="1" t="s">
        <v>39</v>
      </c>
    </row>
    <row r="16" spans="1:9" x14ac:dyDescent="0.25">
      <c r="B16" s="1" t="s">
        <v>72</v>
      </c>
      <c r="C16" s="1" t="s">
        <v>73</v>
      </c>
      <c r="D16" s="1" t="s">
        <v>74</v>
      </c>
      <c r="E16" s="1" t="s">
        <v>54</v>
      </c>
      <c r="G16" s="1" t="s">
        <v>75</v>
      </c>
      <c r="H16" s="1" t="s">
        <v>39</v>
      </c>
      <c r="I16" s="1" t="s">
        <v>76</v>
      </c>
    </row>
    <row r="17" spans="2:9" x14ac:dyDescent="0.25">
      <c r="E17" s="1" t="s">
        <v>144</v>
      </c>
      <c r="G17" s="1" t="s">
        <v>145</v>
      </c>
      <c r="H17" s="1" t="s">
        <v>39</v>
      </c>
      <c r="I17" s="1" t="s">
        <v>146</v>
      </c>
    </row>
    <row r="18" spans="2:9" x14ac:dyDescent="0.25">
      <c r="E18" s="1" t="s">
        <v>55</v>
      </c>
      <c r="G18" s="1" t="s">
        <v>77</v>
      </c>
      <c r="H18" s="1" t="s">
        <v>39</v>
      </c>
      <c r="I18" s="1" t="s">
        <v>78</v>
      </c>
    </row>
    <row r="19" spans="2:9" x14ac:dyDescent="0.25">
      <c r="E19" s="1" t="s">
        <v>175</v>
      </c>
      <c r="G19" s="1" t="s">
        <v>176</v>
      </c>
      <c r="H19" s="1" t="s">
        <v>39</v>
      </c>
      <c r="I19" s="1" t="s">
        <v>177</v>
      </c>
    </row>
    <row r="20" spans="2:9" x14ac:dyDescent="0.25">
      <c r="F20" s="1" t="s">
        <v>39</v>
      </c>
      <c r="H20" s="1" t="s">
        <v>39</v>
      </c>
    </row>
    <row r="21" spans="2:9" x14ac:dyDescent="0.25">
      <c r="B21" s="1" t="s">
        <v>17</v>
      </c>
      <c r="C21" s="1" t="s">
        <v>32</v>
      </c>
      <c r="D21" s="1" t="s">
        <v>18</v>
      </c>
      <c r="F21" s="1" t="s">
        <v>39</v>
      </c>
      <c r="H21" s="1" t="s">
        <v>39</v>
      </c>
    </row>
    <row r="22" spans="2:9" x14ac:dyDescent="0.25">
      <c r="B22" s="1" t="s">
        <v>79</v>
      </c>
      <c r="C22" s="1" t="s">
        <v>80</v>
      </c>
      <c r="D22" s="1" t="s">
        <v>81</v>
      </c>
      <c r="E22" s="1" t="s">
        <v>56</v>
      </c>
      <c r="G22" s="1" t="s">
        <v>82</v>
      </c>
      <c r="H22" s="1" t="s">
        <v>39</v>
      </c>
      <c r="I22" s="1" t="s">
        <v>83</v>
      </c>
    </row>
    <row r="23" spans="2:9" x14ac:dyDescent="0.25">
      <c r="E23" s="1" t="s">
        <v>147</v>
      </c>
      <c r="G23" s="1" t="s">
        <v>148</v>
      </c>
      <c r="H23" s="1" t="s">
        <v>39</v>
      </c>
      <c r="I23" s="1" t="s">
        <v>149</v>
      </c>
    </row>
    <row r="24" spans="2:9" x14ac:dyDescent="0.25">
      <c r="E24" s="1" t="s">
        <v>57</v>
      </c>
      <c r="G24" s="1" t="s">
        <v>84</v>
      </c>
      <c r="H24" s="1" t="s">
        <v>39</v>
      </c>
      <c r="I24" s="1" t="s">
        <v>85</v>
      </c>
    </row>
    <row r="25" spans="2:9" x14ac:dyDescent="0.25">
      <c r="E25" s="1" t="s">
        <v>178</v>
      </c>
      <c r="G25" s="1" t="s">
        <v>179</v>
      </c>
      <c r="H25" s="1" t="s">
        <v>39</v>
      </c>
      <c r="I25" s="1" t="s">
        <v>180</v>
      </c>
    </row>
    <row r="26" spans="2:9" x14ac:dyDescent="0.25">
      <c r="F26" s="1" t="s">
        <v>39</v>
      </c>
      <c r="H26" s="1" t="s">
        <v>39</v>
      </c>
    </row>
    <row r="27" spans="2:9" x14ac:dyDescent="0.25">
      <c r="B27" s="1" t="s">
        <v>19</v>
      </c>
      <c r="C27" s="1" t="s">
        <v>33</v>
      </c>
      <c r="D27" s="1" t="s">
        <v>20</v>
      </c>
      <c r="F27" s="1" t="s">
        <v>39</v>
      </c>
      <c r="H27" s="1" t="s">
        <v>39</v>
      </c>
    </row>
    <row r="28" spans="2:9" x14ac:dyDescent="0.25">
      <c r="B28" s="1" t="s">
        <v>86</v>
      </c>
      <c r="C28" s="1" t="s">
        <v>87</v>
      </c>
      <c r="D28" s="1" t="s">
        <v>88</v>
      </c>
      <c r="E28" s="1" t="s">
        <v>58</v>
      </c>
      <c r="G28" s="1" t="s">
        <v>89</v>
      </c>
      <c r="H28" s="1" t="s">
        <v>39</v>
      </c>
      <c r="I28" s="1" t="s">
        <v>90</v>
      </c>
    </row>
    <row r="29" spans="2:9" x14ac:dyDescent="0.25">
      <c r="E29" s="1" t="s">
        <v>150</v>
      </c>
      <c r="G29" s="1" t="s">
        <v>151</v>
      </c>
      <c r="H29" s="1" t="s">
        <v>39</v>
      </c>
      <c r="I29" s="1" t="s">
        <v>152</v>
      </c>
    </row>
    <row r="30" spans="2:9" x14ac:dyDescent="0.25">
      <c r="E30" s="1" t="s">
        <v>59</v>
      </c>
      <c r="G30" s="1" t="s">
        <v>91</v>
      </c>
      <c r="H30" s="1" t="s">
        <v>39</v>
      </c>
      <c r="I30" s="1" t="s">
        <v>92</v>
      </c>
    </row>
    <row r="31" spans="2:9" x14ac:dyDescent="0.25">
      <c r="E31" s="1" t="s">
        <v>181</v>
      </c>
      <c r="G31" s="1" t="s">
        <v>182</v>
      </c>
      <c r="H31" s="1" t="s">
        <v>39</v>
      </c>
      <c r="I31" s="1" t="s">
        <v>183</v>
      </c>
    </row>
    <row r="32" spans="2:9" x14ac:dyDescent="0.25">
      <c r="F32" s="1" t="s">
        <v>39</v>
      </c>
      <c r="H32" s="1" t="s">
        <v>39</v>
      </c>
    </row>
    <row r="33" spans="2:9" x14ac:dyDescent="0.25">
      <c r="B33" s="1" t="s">
        <v>21</v>
      </c>
      <c r="C33" s="1" t="s">
        <v>34</v>
      </c>
      <c r="D33" s="1" t="s">
        <v>22</v>
      </c>
      <c r="F33" s="1" t="s">
        <v>39</v>
      </c>
      <c r="H33" s="1" t="s">
        <v>39</v>
      </c>
    </row>
    <row r="34" spans="2:9" x14ac:dyDescent="0.25">
      <c r="B34" s="1" t="s">
        <v>93</v>
      </c>
      <c r="C34" s="1" t="s">
        <v>94</v>
      </c>
      <c r="D34" s="1" t="s">
        <v>95</v>
      </c>
      <c r="E34" s="1" t="s">
        <v>96</v>
      </c>
      <c r="G34" s="1" t="s">
        <v>97</v>
      </c>
      <c r="H34" s="1" t="s">
        <v>39</v>
      </c>
      <c r="I34" s="1" t="s">
        <v>98</v>
      </c>
    </row>
    <row r="35" spans="2:9" x14ac:dyDescent="0.25">
      <c r="E35" s="1" t="s">
        <v>153</v>
      </c>
      <c r="G35" s="1" t="s">
        <v>154</v>
      </c>
      <c r="H35" s="1" t="s">
        <v>39</v>
      </c>
      <c r="I35" s="1" t="s">
        <v>155</v>
      </c>
    </row>
    <row r="36" spans="2:9" x14ac:dyDescent="0.25">
      <c r="E36" s="1" t="s">
        <v>99</v>
      </c>
      <c r="G36" s="1" t="s">
        <v>100</v>
      </c>
      <c r="H36" s="1" t="s">
        <v>39</v>
      </c>
      <c r="I36" s="1" t="s">
        <v>101</v>
      </c>
    </row>
    <row r="37" spans="2:9" x14ac:dyDescent="0.25">
      <c r="E37" s="1" t="s">
        <v>184</v>
      </c>
      <c r="G37" s="1" t="s">
        <v>185</v>
      </c>
      <c r="H37" s="1" t="s">
        <v>39</v>
      </c>
      <c r="I37" s="1" t="s">
        <v>186</v>
      </c>
    </row>
    <row r="38" spans="2:9" x14ac:dyDescent="0.25">
      <c r="F38" s="1" t="s">
        <v>39</v>
      </c>
      <c r="H38" s="1" t="s">
        <v>39</v>
      </c>
    </row>
    <row r="39" spans="2:9" x14ac:dyDescent="0.25">
      <c r="B39" s="1" t="s">
        <v>23</v>
      </c>
      <c r="C39" s="1" t="s">
        <v>35</v>
      </c>
      <c r="D39" s="1" t="s">
        <v>11</v>
      </c>
      <c r="F39" s="1" t="s">
        <v>39</v>
      </c>
      <c r="H39" s="1" t="s">
        <v>39</v>
      </c>
    </row>
    <row r="40" spans="2:9" x14ac:dyDescent="0.25">
      <c r="B40" s="1" t="s">
        <v>102</v>
      </c>
      <c r="C40" s="1" t="s">
        <v>103</v>
      </c>
      <c r="D40" s="1" t="s">
        <v>104</v>
      </c>
      <c r="E40" s="1" t="s">
        <v>105</v>
      </c>
      <c r="G40" s="1" t="s">
        <v>106</v>
      </c>
      <c r="H40" s="1" t="s">
        <v>39</v>
      </c>
      <c r="I40" s="1" t="s">
        <v>107</v>
      </c>
    </row>
    <row r="41" spans="2:9" x14ac:dyDescent="0.25">
      <c r="E41" s="1" t="s">
        <v>156</v>
      </c>
      <c r="G41" s="1" t="s">
        <v>157</v>
      </c>
      <c r="H41" s="1" t="s">
        <v>39</v>
      </c>
      <c r="I41" s="1" t="s">
        <v>158</v>
      </c>
    </row>
    <row r="42" spans="2:9" x14ac:dyDescent="0.25">
      <c r="E42" s="1" t="s">
        <v>108</v>
      </c>
      <c r="G42" s="1" t="s">
        <v>109</v>
      </c>
      <c r="H42" s="1" t="s">
        <v>39</v>
      </c>
      <c r="I42" s="1" t="s">
        <v>110</v>
      </c>
    </row>
    <row r="43" spans="2:9" x14ac:dyDescent="0.25">
      <c r="E43" s="1" t="s">
        <v>187</v>
      </c>
      <c r="G43" s="1" t="s">
        <v>188</v>
      </c>
      <c r="H43" s="1" t="s">
        <v>39</v>
      </c>
      <c r="I43" s="1" t="s">
        <v>189</v>
      </c>
    </row>
    <row r="44" spans="2:9" x14ac:dyDescent="0.25">
      <c r="F44" s="1" t="s">
        <v>39</v>
      </c>
      <c r="H44" s="1" t="s">
        <v>39</v>
      </c>
    </row>
    <row r="45" spans="2:9" x14ac:dyDescent="0.25">
      <c r="B45" s="1" t="s">
        <v>12</v>
      </c>
      <c r="C45" s="1" t="s">
        <v>36</v>
      </c>
      <c r="D45" s="1" t="s">
        <v>24</v>
      </c>
      <c r="F45" s="1" t="s">
        <v>39</v>
      </c>
      <c r="H45" s="1" t="s">
        <v>39</v>
      </c>
    </row>
    <row r="46" spans="2:9" x14ac:dyDescent="0.25">
      <c r="B46" s="1" t="s">
        <v>111</v>
      </c>
      <c r="C46" s="1" t="s">
        <v>112</v>
      </c>
      <c r="D46" s="1" t="s">
        <v>113</v>
      </c>
      <c r="E46" s="1" t="s">
        <v>114</v>
      </c>
      <c r="G46" s="1" t="s">
        <v>115</v>
      </c>
      <c r="H46" s="1" t="s">
        <v>39</v>
      </c>
      <c r="I46" s="1" t="s">
        <v>116</v>
      </c>
    </row>
    <row r="47" spans="2:9" x14ac:dyDescent="0.25">
      <c r="E47" s="1" t="s">
        <v>159</v>
      </c>
      <c r="G47" s="1" t="s">
        <v>160</v>
      </c>
      <c r="H47" s="1" t="s">
        <v>39</v>
      </c>
      <c r="I47" s="1" t="s">
        <v>161</v>
      </c>
    </row>
    <row r="48" spans="2:9" x14ac:dyDescent="0.25">
      <c r="E48" s="1" t="s">
        <v>117</v>
      </c>
      <c r="G48" s="1" t="s">
        <v>118</v>
      </c>
      <c r="H48" s="1" t="s">
        <v>39</v>
      </c>
      <c r="I48" s="1" t="s">
        <v>119</v>
      </c>
    </row>
    <row r="49" spans="2:9" x14ac:dyDescent="0.25">
      <c r="E49" s="1" t="s">
        <v>190</v>
      </c>
      <c r="G49" s="1" t="s">
        <v>191</v>
      </c>
      <c r="H49" s="1" t="s">
        <v>39</v>
      </c>
      <c r="I49" s="1" t="s">
        <v>192</v>
      </c>
    </row>
    <row r="50" spans="2:9" x14ac:dyDescent="0.25">
      <c r="F50" s="1" t="s">
        <v>39</v>
      </c>
      <c r="H50" s="1" t="s">
        <v>39</v>
      </c>
    </row>
    <row r="51" spans="2:9" x14ac:dyDescent="0.25">
      <c r="B51" s="1" t="s">
        <v>25</v>
      </c>
      <c r="C51" s="1" t="s">
        <v>37</v>
      </c>
      <c r="D51" s="1" t="s">
        <v>26</v>
      </c>
      <c r="F51" s="1" t="s">
        <v>39</v>
      </c>
      <c r="H51" s="1" t="s">
        <v>39</v>
      </c>
    </row>
    <row r="52" spans="2:9" x14ac:dyDescent="0.25">
      <c r="B52" s="1" t="s">
        <v>120</v>
      </c>
      <c r="C52" s="1" t="s">
        <v>121</v>
      </c>
      <c r="D52" s="1" t="s">
        <v>122</v>
      </c>
      <c r="E52" s="1" t="s">
        <v>123</v>
      </c>
      <c r="G52" s="1" t="s">
        <v>124</v>
      </c>
      <c r="H52" s="1" t="s">
        <v>39</v>
      </c>
      <c r="I52" s="1" t="s">
        <v>125</v>
      </c>
    </row>
    <row r="53" spans="2:9" x14ac:dyDescent="0.25">
      <c r="E53" s="1" t="s">
        <v>162</v>
      </c>
      <c r="G53" s="1" t="s">
        <v>163</v>
      </c>
      <c r="H53" s="1" t="s">
        <v>39</v>
      </c>
      <c r="I53" s="1" t="s">
        <v>164</v>
      </c>
    </row>
    <row r="54" spans="2:9" x14ac:dyDescent="0.25">
      <c r="E54" s="1" t="s">
        <v>126</v>
      </c>
      <c r="G54" s="1" t="s">
        <v>127</v>
      </c>
      <c r="H54" s="1" t="s">
        <v>39</v>
      </c>
      <c r="I54" s="1" t="s">
        <v>128</v>
      </c>
    </row>
    <row r="55" spans="2:9" x14ac:dyDescent="0.25">
      <c r="E55" s="1" t="s">
        <v>193</v>
      </c>
      <c r="G55" s="1" t="s">
        <v>194</v>
      </c>
      <c r="H55" s="1" t="s">
        <v>39</v>
      </c>
      <c r="I55" s="1" t="s">
        <v>195</v>
      </c>
    </row>
    <row r="56" spans="2:9" x14ac:dyDescent="0.25">
      <c r="F56" s="1" t="s">
        <v>39</v>
      </c>
      <c r="H56" s="1" t="s">
        <v>39</v>
      </c>
    </row>
    <row r="57" spans="2:9" x14ac:dyDescent="0.25">
      <c r="B57" s="1" t="s">
        <v>27</v>
      </c>
      <c r="C57" s="1" t="s">
        <v>38</v>
      </c>
      <c r="D57" s="1" t="s">
        <v>28</v>
      </c>
      <c r="F57" s="1" t="s">
        <v>39</v>
      </c>
      <c r="H57" s="1" t="s">
        <v>39</v>
      </c>
    </row>
    <row r="58" spans="2:9" x14ac:dyDescent="0.25">
      <c r="B58" s="1" t="s">
        <v>129</v>
      </c>
      <c r="C58" s="1" t="s">
        <v>130</v>
      </c>
      <c r="D58" s="1" t="s">
        <v>131</v>
      </c>
      <c r="E58" s="1" t="s">
        <v>132</v>
      </c>
      <c r="G58" s="1" t="s">
        <v>133</v>
      </c>
      <c r="H58" s="1" t="s">
        <v>39</v>
      </c>
      <c r="I58" s="1" t="s">
        <v>134</v>
      </c>
    </row>
    <row r="59" spans="2:9" x14ac:dyDescent="0.25">
      <c r="E59" s="1" t="s">
        <v>166</v>
      </c>
      <c r="G59" s="1" t="s">
        <v>167</v>
      </c>
      <c r="H59" s="1" t="s">
        <v>39</v>
      </c>
      <c r="I59" s="1" t="s">
        <v>168</v>
      </c>
    </row>
    <row r="60" spans="2:9" x14ac:dyDescent="0.25">
      <c r="E60" s="1" t="s">
        <v>135</v>
      </c>
      <c r="G60" s="1" t="s">
        <v>136</v>
      </c>
      <c r="H60" s="1" t="s">
        <v>39</v>
      </c>
      <c r="I60" s="1" t="s">
        <v>137</v>
      </c>
    </row>
    <row r="61" spans="2:9" x14ac:dyDescent="0.25">
      <c r="E61" s="1" t="s">
        <v>196</v>
      </c>
      <c r="G61" s="1" t="s">
        <v>197</v>
      </c>
      <c r="H61" s="1" t="s">
        <v>39</v>
      </c>
      <c r="I61" s="1" t="s">
        <v>198</v>
      </c>
    </row>
    <row r="62" spans="2:9" x14ac:dyDescent="0.25">
      <c r="F62" s="1" t="s">
        <v>39</v>
      </c>
      <c r="H62" s="1" t="s">
        <v>39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62"/>
  <sheetViews>
    <sheetView workbookViewId="0"/>
  </sheetViews>
  <sheetFormatPr defaultRowHeight="15" x14ac:dyDescent="0.25"/>
  <sheetData>
    <row r="1" spans="1:9" x14ac:dyDescent="0.25">
      <c r="A1" s="1" t="s">
        <v>219</v>
      </c>
      <c r="B1" s="1" t="s">
        <v>0</v>
      </c>
      <c r="C1" s="1" t="s">
        <v>0</v>
      </c>
      <c r="D1" s="1" t="s">
        <v>0</v>
      </c>
      <c r="F1" s="1" t="s">
        <v>39</v>
      </c>
      <c r="H1" s="1" t="s">
        <v>39</v>
      </c>
    </row>
    <row r="2" spans="1:9" x14ac:dyDescent="0.25">
      <c r="A2" s="1" t="s">
        <v>0</v>
      </c>
      <c r="E2" s="1" t="s">
        <v>7</v>
      </c>
      <c r="F2" s="1" t="s">
        <v>39</v>
      </c>
      <c r="G2" s="1" t="s">
        <v>209</v>
      </c>
      <c r="H2" s="1" t="s">
        <v>39</v>
      </c>
      <c r="I2" s="1" t="s">
        <v>205</v>
      </c>
    </row>
    <row r="3" spans="1:9" x14ac:dyDescent="0.25">
      <c r="A3" s="1" t="s">
        <v>0</v>
      </c>
      <c r="B3" s="1" t="s">
        <v>40</v>
      </c>
      <c r="C3" s="1" t="s">
        <v>29</v>
      </c>
      <c r="D3" s="1" t="s">
        <v>14</v>
      </c>
      <c r="F3" s="1" t="s">
        <v>39</v>
      </c>
      <c r="H3" s="1" t="s">
        <v>39</v>
      </c>
    </row>
    <row r="4" spans="1:9" x14ac:dyDescent="0.25">
      <c r="B4" s="1" t="s">
        <v>48</v>
      </c>
      <c r="C4" s="1" t="s">
        <v>49</v>
      </c>
      <c r="D4" s="1" t="s">
        <v>60</v>
      </c>
      <c r="E4" s="1" t="s">
        <v>50</v>
      </c>
      <c r="G4" s="1" t="s">
        <v>61</v>
      </c>
      <c r="H4" s="1" t="s">
        <v>39</v>
      </c>
      <c r="I4" s="1" t="s">
        <v>62</v>
      </c>
    </row>
    <row r="5" spans="1:9" x14ac:dyDescent="0.25">
      <c r="E5" s="1" t="s">
        <v>138</v>
      </c>
      <c r="G5" s="1" t="s">
        <v>139</v>
      </c>
      <c r="H5" s="1" t="s">
        <v>39</v>
      </c>
      <c r="I5" s="1" t="s">
        <v>140</v>
      </c>
    </row>
    <row r="6" spans="1:9" x14ac:dyDescent="0.25">
      <c r="E6" s="1" t="s">
        <v>51</v>
      </c>
      <c r="G6" s="1" t="s">
        <v>63</v>
      </c>
      <c r="H6" s="1" t="s">
        <v>39</v>
      </c>
      <c r="I6" s="1" t="s">
        <v>64</v>
      </c>
    </row>
    <row r="7" spans="1:9" x14ac:dyDescent="0.25">
      <c r="E7" s="1" t="s">
        <v>169</v>
      </c>
      <c r="G7" s="1" t="s">
        <v>170</v>
      </c>
      <c r="H7" s="1" t="s">
        <v>39</v>
      </c>
      <c r="I7" s="1" t="s">
        <v>171</v>
      </c>
    </row>
    <row r="8" spans="1:9" x14ac:dyDescent="0.25">
      <c r="F8" s="1" t="s">
        <v>39</v>
      </c>
      <c r="H8" s="1" t="s">
        <v>39</v>
      </c>
    </row>
    <row r="9" spans="1:9" x14ac:dyDescent="0.25">
      <c r="B9" s="1" t="s">
        <v>15</v>
      </c>
      <c r="C9" s="1" t="s">
        <v>30</v>
      </c>
      <c r="D9" s="1" t="s">
        <v>9</v>
      </c>
      <c r="F9" s="1" t="s">
        <v>39</v>
      </c>
      <c r="H9" s="1" t="s">
        <v>39</v>
      </c>
    </row>
    <row r="10" spans="1:9" x14ac:dyDescent="0.25">
      <c r="B10" s="1" t="s">
        <v>65</v>
      </c>
      <c r="C10" s="1" t="s">
        <v>66</v>
      </c>
      <c r="D10" s="1" t="s">
        <v>67</v>
      </c>
      <c r="E10" s="1" t="s">
        <v>52</v>
      </c>
      <c r="G10" s="1" t="s">
        <v>68</v>
      </c>
      <c r="H10" s="1" t="s">
        <v>39</v>
      </c>
      <c r="I10" s="1" t="s">
        <v>69</v>
      </c>
    </row>
    <row r="11" spans="1:9" x14ac:dyDescent="0.25">
      <c r="E11" s="1" t="s">
        <v>141</v>
      </c>
      <c r="G11" s="1" t="s">
        <v>142</v>
      </c>
      <c r="H11" s="1" t="s">
        <v>39</v>
      </c>
      <c r="I11" s="1" t="s">
        <v>143</v>
      </c>
    </row>
    <row r="12" spans="1:9" x14ac:dyDescent="0.25">
      <c r="E12" s="1" t="s">
        <v>53</v>
      </c>
      <c r="G12" s="1" t="s">
        <v>70</v>
      </c>
      <c r="H12" s="1" t="s">
        <v>39</v>
      </c>
      <c r="I12" s="1" t="s">
        <v>71</v>
      </c>
    </row>
    <row r="13" spans="1:9" x14ac:dyDescent="0.25">
      <c r="E13" s="1" t="s">
        <v>172</v>
      </c>
      <c r="G13" s="1" t="s">
        <v>173</v>
      </c>
      <c r="H13" s="1" t="s">
        <v>39</v>
      </c>
      <c r="I13" s="1" t="s">
        <v>174</v>
      </c>
    </row>
    <row r="14" spans="1:9" x14ac:dyDescent="0.25">
      <c r="F14" s="1" t="s">
        <v>39</v>
      </c>
      <c r="H14" s="1" t="s">
        <v>39</v>
      </c>
    </row>
    <row r="15" spans="1:9" x14ac:dyDescent="0.25">
      <c r="B15" s="1" t="s">
        <v>10</v>
      </c>
      <c r="C15" s="1" t="s">
        <v>31</v>
      </c>
      <c r="D15" s="1" t="s">
        <v>16</v>
      </c>
      <c r="F15" s="1" t="s">
        <v>39</v>
      </c>
      <c r="H15" s="1" t="s">
        <v>39</v>
      </c>
    </row>
    <row r="16" spans="1:9" x14ac:dyDescent="0.25">
      <c r="B16" s="1" t="s">
        <v>72</v>
      </c>
      <c r="C16" s="1" t="s">
        <v>73</v>
      </c>
      <c r="D16" s="1" t="s">
        <v>74</v>
      </c>
      <c r="E16" s="1" t="s">
        <v>54</v>
      </c>
      <c r="G16" s="1" t="s">
        <v>75</v>
      </c>
      <c r="H16" s="1" t="s">
        <v>39</v>
      </c>
      <c r="I16" s="1" t="s">
        <v>76</v>
      </c>
    </row>
    <row r="17" spans="2:9" x14ac:dyDescent="0.25">
      <c r="E17" s="1" t="s">
        <v>144</v>
      </c>
      <c r="G17" s="1" t="s">
        <v>145</v>
      </c>
      <c r="H17" s="1" t="s">
        <v>39</v>
      </c>
      <c r="I17" s="1" t="s">
        <v>146</v>
      </c>
    </row>
    <row r="18" spans="2:9" x14ac:dyDescent="0.25">
      <c r="E18" s="1" t="s">
        <v>55</v>
      </c>
      <c r="G18" s="1" t="s">
        <v>77</v>
      </c>
      <c r="H18" s="1" t="s">
        <v>39</v>
      </c>
      <c r="I18" s="1" t="s">
        <v>78</v>
      </c>
    </row>
    <row r="19" spans="2:9" x14ac:dyDescent="0.25">
      <c r="E19" s="1" t="s">
        <v>175</v>
      </c>
      <c r="G19" s="1" t="s">
        <v>176</v>
      </c>
      <c r="H19" s="1" t="s">
        <v>39</v>
      </c>
      <c r="I19" s="1" t="s">
        <v>177</v>
      </c>
    </row>
    <row r="20" spans="2:9" x14ac:dyDescent="0.25">
      <c r="F20" s="1" t="s">
        <v>39</v>
      </c>
      <c r="H20" s="1" t="s">
        <v>39</v>
      </c>
    </row>
    <row r="21" spans="2:9" x14ac:dyDescent="0.25">
      <c r="B21" s="1" t="s">
        <v>17</v>
      </c>
      <c r="C21" s="1" t="s">
        <v>32</v>
      </c>
      <c r="D21" s="1" t="s">
        <v>18</v>
      </c>
      <c r="F21" s="1" t="s">
        <v>39</v>
      </c>
      <c r="H21" s="1" t="s">
        <v>39</v>
      </c>
    </row>
    <row r="22" spans="2:9" x14ac:dyDescent="0.25">
      <c r="B22" s="1" t="s">
        <v>79</v>
      </c>
      <c r="C22" s="1" t="s">
        <v>80</v>
      </c>
      <c r="D22" s="1" t="s">
        <v>81</v>
      </c>
      <c r="E22" s="1" t="s">
        <v>56</v>
      </c>
      <c r="G22" s="1" t="s">
        <v>82</v>
      </c>
      <c r="H22" s="1" t="s">
        <v>39</v>
      </c>
      <c r="I22" s="1" t="s">
        <v>83</v>
      </c>
    </row>
    <row r="23" spans="2:9" x14ac:dyDescent="0.25">
      <c r="E23" s="1" t="s">
        <v>147</v>
      </c>
      <c r="G23" s="1" t="s">
        <v>148</v>
      </c>
      <c r="H23" s="1" t="s">
        <v>39</v>
      </c>
      <c r="I23" s="1" t="s">
        <v>149</v>
      </c>
    </row>
    <row r="24" spans="2:9" x14ac:dyDescent="0.25">
      <c r="E24" s="1" t="s">
        <v>57</v>
      </c>
      <c r="G24" s="1" t="s">
        <v>84</v>
      </c>
      <c r="H24" s="1" t="s">
        <v>39</v>
      </c>
      <c r="I24" s="1" t="s">
        <v>85</v>
      </c>
    </row>
    <row r="25" spans="2:9" x14ac:dyDescent="0.25">
      <c r="E25" s="1" t="s">
        <v>178</v>
      </c>
      <c r="G25" s="1" t="s">
        <v>179</v>
      </c>
      <c r="H25" s="1" t="s">
        <v>39</v>
      </c>
      <c r="I25" s="1" t="s">
        <v>180</v>
      </c>
    </row>
    <row r="26" spans="2:9" x14ac:dyDescent="0.25">
      <c r="F26" s="1" t="s">
        <v>39</v>
      </c>
      <c r="H26" s="1" t="s">
        <v>39</v>
      </c>
    </row>
    <row r="27" spans="2:9" x14ac:dyDescent="0.25">
      <c r="B27" s="1" t="s">
        <v>19</v>
      </c>
      <c r="C27" s="1" t="s">
        <v>33</v>
      </c>
      <c r="D27" s="1" t="s">
        <v>20</v>
      </c>
      <c r="F27" s="1" t="s">
        <v>39</v>
      </c>
      <c r="H27" s="1" t="s">
        <v>39</v>
      </c>
    </row>
    <row r="28" spans="2:9" x14ac:dyDescent="0.25">
      <c r="B28" s="1" t="s">
        <v>86</v>
      </c>
      <c r="C28" s="1" t="s">
        <v>87</v>
      </c>
      <c r="D28" s="1" t="s">
        <v>88</v>
      </c>
      <c r="E28" s="1" t="s">
        <v>58</v>
      </c>
      <c r="G28" s="1" t="s">
        <v>89</v>
      </c>
      <c r="H28" s="1" t="s">
        <v>39</v>
      </c>
      <c r="I28" s="1" t="s">
        <v>90</v>
      </c>
    </row>
    <row r="29" spans="2:9" x14ac:dyDescent="0.25">
      <c r="E29" s="1" t="s">
        <v>150</v>
      </c>
      <c r="G29" s="1" t="s">
        <v>151</v>
      </c>
      <c r="H29" s="1" t="s">
        <v>39</v>
      </c>
      <c r="I29" s="1" t="s">
        <v>152</v>
      </c>
    </row>
    <row r="30" spans="2:9" x14ac:dyDescent="0.25">
      <c r="E30" s="1" t="s">
        <v>59</v>
      </c>
      <c r="G30" s="1" t="s">
        <v>91</v>
      </c>
      <c r="H30" s="1" t="s">
        <v>39</v>
      </c>
      <c r="I30" s="1" t="s">
        <v>92</v>
      </c>
    </row>
    <row r="31" spans="2:9" x14ac:dyDescent="0.25">
      <c r="E31" s="1" t="s">
        <v>181</v>
      </c>
      <c r="G31" s="1" t="s">
        <v>182</v>
      </c>
      <c r="H31" s="1" t="s">
        <v>39</v>
      </c>
      <c r="I31" s="1" t="s">
        <v>183</v>
      </c>
    </row>
    <row r="32" spans="2:9" x14ac:dyDescent="0.25">
      <c r="F32" s="1" t="s">
        <v>39</v>
      </c>
      <c r="H32" s="1" t="s">
        <v>39</v>
      </c>
    </row>
    <row r="33" spans="2:9" x14ac:dyDescent="0.25">
      <c r="B33" s="1" t="s">
        <v>21</v>
      </c>
      <c r="C33" s="1" t="s">
        <v>34</v>
      </c>
      <c r="D33" s="1" t="s">
        <v>22</v>
      </c>
      <c r="F33" s="1" t="s">
        <v>39</v>
      </c>
      <c r="H33" s="1" t="s">
        <v>39</v>
      </c>
    </row>
    <row r="34" spans="2:9" x14ac:dyDescent="0.25">
      <c r="B34" s="1" t="s">
        <v>93</v>
      </c>
      <c r="C34" s="1" t="s">
        <v>94</v>
      </c>
      <c r="D34" s="1" t="s">
        <v>95</v>
      </c>
      <c r="E34" s="1" t="s">
        <v>96</v>
      </c>
      <c r="G34" s="1" t="s">
        <v>97</v>
      </c>
      <c r="H34" s="1" t="s">
        <v>39</v>
      </c>
      <c r="I34" s="1" t="s">
        <v>98</v>
      </c>
    </row>
    <row r="35" spans="2:9" x14ac:dyDescent="0.25">
      <c r="E35" s="1" t="s">
        <v>153</v>
      </c>
      <c r="G35" s="1" t="s">
        <v>154</v>
      </c>
      <c r="H35" s="1" t="s">
        <v>39</v>
      </c>
      <c r="I35" s="1" t="s">
        <v>155</v>
      </c>
    </row>
    <row r="36" spans="2:9" x14ac:dyDescent="0.25">
      <c r="E36" s="1" t="s">
        <v>99</v>
      </c>
      <c r="G36" s="1" t="s">
        <v>100</v>
      </c>
      <c r="H36" s="1" t="s">
        <v>39</v>
      </c>
      <c r="I36" s="1" t="s">
        <v>101</v>
      </c>
    </row>
    <row r="37" spans="2:9" x14ac:dyDescent="0.25">
      <c r="E37" s="1" t="s">
        <v>184</v>
      </c>
      <c r="G37" s="1" t="s">
        <v>185</v>
      </c>
      <c r="H37" s="1" t="s">
        <v>39</v>
      </c>
      <c r="I37" s="1" t="s">
        <v>186</v>
      </c>
    </row>
    <row r="38" spans="2:9" x14ac:dyDescent="0.25">
      <c r="F38" s="1" t="s">
        <v>39</v>
      </c>
      <c r="H38" s="1" t="s">
        <v>39</v>
      </c>
    </row>
    <row r="39" spans="2:9" x14ac:dyDescent="0.25">
      <c r="B39" s="1" t="s">
        <v>23</v>
      </c>
      <c r="C39" s="1" t="s">
        <v>35</v>
      </c>
      <c r="D39" s="1" t="s">
        <v>11</v>
      </c>
      <c r="F39" s="1" t="s">
        <v>39</v>
      </c>
      <c r="H39" s="1" t="s">
        <v>39</v>
      </c>
    </row>
    <row r="40" spans="2:9" x14ac:dyDescent="0.25">
      <c r="B40" s="1" t="s">
        <v>102</v>
      </c>
      <c r="C40" s="1" t="s">
        <v>103</v>
      </c>
      <c r="D40" s="1" t="s">
        <v>104</v>
      </c>
      <c r="E40" s="1" t="s">
        <v>105</v>
      </c>
      <c r="G40" s="1" t="s">
        <v>106</v>
      </c>
      <c r="H40" s="1" t="s">
        <v>39</v>
      </c>
      <c r="I40" s="1" t="s">
        <v>107</v>
      </c>
    </row>
    <row r="41" spans="2:9" x14ac:dyDescent="0.25">
      <c r="E41" s="1" t="s">
        <v>156</v>
      </c>
      <c r="G41" s="1" t="s">
        <v>157</v>
      </c>
      <c r="H41" s="1" t="s">
        <v>39</v>
      </c>
      <c r="I41" s="1" t="s">
        <v>158</v>
      </c>
    </row>
    <row r="42" spans="2:9" x14ac:dyDescent="0.25">
      <c r="E42" s="1" t="s">
        <v>108</v>
      </c>
      <c r="G42" s="1" t="s">
        <v>109</v>
      </c>
      <c r="H42" s="1" t="s">
        <v>39</v>
      </c>
      <c r="I42" s="1" t="s">
        <v>110</v>
      </c>
    </row>
    <row r="43" spans="2:9" x14ac:dyDescent="0.25">
      <c r="E43" s="1" t="s">
        <v>187</v>
      </c>
      <c r="G43" s="1" t="s">
        <v>188</v>
      </c>
      <c r="H43" s="1" t="s">
        <v>39</v>
      </c>
      <c r="I43" s="1" t="s">
        <v>189</v>
      </c>
    </row>
    <row r="44" spans="2:9" x14ac:dyDescent="0.25">
      <c r="F44" s="1" t="s">
        <v>39</v>
      </c>
      <c r="H44" s="1" t="s">
        <v>39</v>
      </c>
    </row>
    <row r="45" spans="2:9" x14ac:dyDescent="0.25">
      <c r="B45" s="1" t="s">
        <v>12</v>
      </c>
      <c r="C45" s="1" t="s">
        <v>36</v>
      </c>
      <c r="D45" s="1" t="s">
        <v>24</v>
      </c>
      <c r="F45" s="1" t="s">
        <v>39</v>
      </c>
      <c r="H45" s="1" t="s">
        <v>39</v>
      </c>
    </row>
    <row r="46" spans="2:9" x14ac:dyDescent="0.25">
      <c r="B46" s="1" t="s">
        <v>111</v>
      </c>
      <c r="C46" s="1" t="s">
        <v>112</v>
      </c>
      <c r="D46" s="1" t="s">
        <v>113</v>
      </c>
      <c r="E46" s="1" t="s">
        <v>114</v>
      </c>
      <c r="G46" s="1" t="s">
        <v>115</v>
      </c>
      <c r="H46" s="1" t="s">
        <v>39</v>
      </c>
      <c r="I46" s="1" t="s">
        <v>116</v>
      </c>
    </row>
    <row r="47" spans="2:9" x14ac:dyDescent="0.25">
      <c r="E47" s="1" t="s">
        <v>159</v>
      </c>
      <c r="G47" s="1" t="s">
        <v>160</v>
      </c>
      <c r="H47" s="1" t="s">
        <v>39</v>
      </c>
      <c r="I47" s="1" t="s">
        <v>161</v>
      </c>
    </row>
    <row r="48" spans="2:9" x14ac:dyDescent="0.25">
      <c r="E48" s="1" t="s">
        <v>117</v>
      </c>
      <c r="G48" s="1" t="s">
        <v>118</v>
      </c>
      <c r="H48" s="1" t="s">
        <v>39</v>
      </c>
      <c r="I48" s="1" t="s">
        <v>119</v>
      </c>
    </row>
    <row r="49" spans="2:9" x14ac:dyDescent="0.25">
      <c r="E49" s="1" t="s">
        <v>190</v>
      </c>
      <c r="G49" s="1" t="s">
        <v>191</v>
      </c>
      <c r="H49" s="1" t="s">
        <v>39</v>
      </c>
      <c r="I49" s="1" t="s">
        <v>192</v>
      </c>
    </row>
    <row r="50" spans="2:9" x14ac:dyDescent="0.25">
      <c r="F50" s="1" t="s">
        <v>39</v>
      </c>
      <c r="H50" s="1" t="s">
        <v>39</v>
      </c>
    </row>
    <row r="51" spans="2:9" x14ac:dyDescent="0.25">
      <c r="B51" s="1" t="s">
        <v>25</v>
      </c>
      <c r="C51" s="1" t="s">
        <v>37</v>
      </c>
      <c r="D51" s="1" t="s">
        <v>26</v>
      </c>
      <c r="F51" s="1" t="s">
        <v>39</v>
      </c>
      <c r="H51" s="1" t="s">
        <v>39</v>
      </c>
    </row>
    <row r="52" spans="2:9" x14ac:dyDescent="0.25">
      <c r="B52" s="1" t="s">
        <v>120</v>
      </c>
      <c r="C52" s="1" t="s">
        <v>121</v>
      </c>
      <c r="D52" s="1" t="s">
        <v>122</v>
      </c>
      <c r="E52" s="1" t="s">
        <v>123</v>
      </c>
      <c r="G52" s="1" t="s">
        <v>124</v>
      </c>
      <c r="H52" s="1" t="s">
        <v>39</v>
      </c>
      <c r="I52" s="1" t="s">
        <v>125</v>
      </c>
    </row>
    <row r="53" spans="2:9" x14ac:dyDescent="0.25">
      <c r="E53" s="1" t="s">
        <v>162</v>
      </c>
      <c r="G53" s="1" t="s">
        <v>163</v>
      </c>
      <c r="H53" s="1" t="s">
        <v>39</v>
      </c>
      <c r="I53" s="1" t="s">
        <v>164</v>
      </c>
    </row>
    <row r="54" spans="2:9" x14ac:dyDescent="0.25">
      <c r="E54" s="1" t="s">
        <v>126</v>
      </c>
      <c r="G54" s="1" t="s">
        <v>127</v>
      </c>
      <c r="H54" s="1" t="s">
        <v>39</v>
      </c>
      <c r="I54" s="1" t="s">
        <v>128</v>
      </c>
    </row>
    <row r="55" spans="2:9" x14ac:dyDescent="0.25">
      <c r="E55" s="1" t="s">
        <v>193</v>
      </c>
      <c r="G55" s="1" t="s">
        <v>194</v>
      </c>
      <c r="H55" s="1" t="s">
        <v>39</v>
      </c>
      <c r="I55" s="1" t="s">
        <v>195</v>
      </c>
    </row>
    <row r="56" spans="2:9" x14ac:dyDescent="0.25">
      <c r="F56" s="1" t="s">
        <v>39</v>
      </c>
      <c r="H56" s="1" t="s">
        <v>39</v>
      </c>
    </row>
    <row r="57" spans="2:9" x14ac:dyDescent="0.25">
      <c r="B57" s="1" t="s">
        <v>27</v>
      </c>
      <c r="C57" s="1" t="s">
        <v>38</v>
      </c>
      <c r="D57" s="1" t="s">
        <v>28</v>
      </c>
      <c r="F57" s="1" t="s">
        <v>39</v>
      </c>
      <c r="H57" s="1" t="s">
        <v>39</v>
      </c>
    </row>
    <row r="58" spans="2:9" x14ac:dyDescent="0.25">
      <c r="B58" s="1" t="s">
        <v>129</v>
      </c>
      <c r="C58" s="1" t="s">
        <v>130</v>
      </c>
      <c r="D58" s="1" t="s">
        <v>131</v>
      </c>
      <c r="E58" s="1" t="s">
        <v>132</v>
      </c>
      <c r="G58" s="1" t="s">
        <v>133</v>
      </c>
      <c r="H58" s="1" t="s">
        <v>39</v>
      </c>
      <c r="I58" s="1" t="s">
        <v>134</v>
      </c>
    </row>
    <row r="59" spans="2:9" x14ac:dyDescent="0.25">
      <c r="E59" s="1" t="s">
        <v>166</v>
      </c>
      <c r="G59" s="1" t="s">
        <v>167</v>
      </c>
      <c r="H59" s="1" t="s">
        <v>39</v>
      </c>
      <c r="I59" s="1" t="s">
        <v>168</v>
      </c>
    </row>
    <row r="60" spans="2:9" x14ac:dyDescent="0.25">
      <c r="E60" s="1" t="s">
        <v>135</v>
      </c>
      <c r="G60" s="1" t="s">
        <v>136</v>
      </c>
      <c r="H60" s="1" t="s">
        <v>39</v>
      </c>
      <c r="I60" s="1" t="s">
        <v>137</v>
      </c>
    </row>
    <row r="61" spans="2:9" x14ac:dyDescent="0.25">
      <c r="E61" s="1" t="s">
        <v>196</v>
      </c>
      <c r="G61" s="1" t="s">
        <v>197</v>
      </c>
      <c r="H61" s="1" t="s">
        <v>39</v>
      </c>
      <c r="I61" s="1" t="s">
        <v>198</v>
      </c>
    </row>
    <row r="62" spans="2:9" x14ac:dyDescent="0.25">
      <c r="F62" s="1" t="s">
        <v>39</v>
      </c>
      <c r="H62" s="1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showGridLines="0" tabSelected="1" topLeftCell="E4" zoomScale="160" zoomScaleNormal="160" workbookViewId="0"/>
  </sheetViews>
  <sheetFormatPr defaultColWidth="9.140625" defaultRowHeight="12" x14ac:dyDescent="0.2"/>
  <cols>
    <col min="1" max="1" width="2.85546875" style="8" hidden="1" customWidth="1"/>
    <col min="2" max="4" width="3.28515625" style="8" hidden="1" customWidth="1"/>
    <col min="5" max="5" width="32.7109375" style="8" customWidth="1"/>
    <col min="6" max="6" width="2.28515625" style="8" customWidth="1"/>
    <col min="7" max="7" width="32.7109375" style="8" customWidth="1"/>
    <col min="8" max="8" width="3.28515625" style="8" customWidth="1"/>
    <col min="9" max="9" width="32.7109375" style="8" customWidth="1"/>
    <col min="10" max="16384" width="9.140625" style="8"/>
  </cols>
  <sheetData>
    <row r="1" spans="1:9" hidden="1" x14ac:dyDescent="0.2">
      <c r="A1" s="9" t="s">
        <v>214</v>
      </c>
      <c r="B1" s="9" t="s">
        <v>0</v>
      </c>
      <c r="C1" s="9" t="s">
        <v>0</v>
      </c>
      <c r="D1" s="9" t="s">
        <v>0</v>
      </c>
      <c r="E1" s="9"/>
      <c r="F1" s="9" t="s">
        <v>39</v>
      </c>
      <c r="G1" s="9"/>
      <c r="H1" s="9" t="s">
        <v>39</v>
      </c>
      <c r="I1" s="9"/>
    </row>
    <row r="2" spans="1:9" hidden="1" x14ac:dyDescent="0.2">
      <c r="A2" s="9" t="s">
        <v>0</v>
      </c>
      <c r="B2" s="9"/>
      <c r="C2" s="9"/>
      <c r="D2" s="9"/>
      <c r="E2" s="9" t="s">
        <v>7</v>
      </c>
      <c r="F2" s="9" t="s">
        <v>39</v>
      </c>
      <c r="G2" s="9">
        <v>1</v>
      </c>
      <c r="H2" s="9" t="s">
        <v>39</v>
      </c>
      <c r="I2" s="9">
        <f>(G2*30)-29</f>
        <v>1</v>
      </c>
    </row>
    <row r="3" spans="1:9" hidden="1" x14ac:dyDescent="0.2">
      <c r="A3" s="9" t="s">
        <v>0</v>
      </c>
      <c r="B3" s="9">
        <f>I2</f>
        <v>1</v>
      </c>
      <c r="C3" s="9">
        <f>B3+1</f>
        <v>2</v>
      </c>
      <c r="D3" s="9">
        <f>C3+1</f>
        <v>3</v>
      </c>
      <c r="E3" s="9"/>
      <c r="F3" s="9" t="s">
        <v>39</v>
      </c>
      <c r="G3" s="9"/>
      <c r="H3" s="9" t="s">
        <v>39</v>
      </c>
      <c r="I3" s="9"/>
    </row>
    <row r="4" spans="1:9" x14ac:dyDescent="0.2">
      <c r="A4" s="9"/>
      <c r="B4" s="9" t="str">
        <f>"""NAV Direct"",""CRONUS JetCorp USA"",""18"",""5"",""8006 North Theodore Ave"",""6"","""",""7"",""Pueblo"",""8"",""Marta Freeley"",""92"",""CA"",""35"",""US"",""91"",""54584"",""4"","""",""2"",""City Of Chicago"""</f>
        <v>"NAV Direct","CRONUS JetCorp USA","18","5","8006 North Theodore Ave","6","","7","Pueblo","8","Marta Freeley","92","CA","35","US","91","54584","4","","2","City Of Chicago"</v>
      </c>
      <c r="C4" s="9" t="str">
        <f>"""NAV Direct"",""CRONUS JetCorp USA"",""18"",""5"",""10 Deerfield Road"",""6"","""",""7"",""Atlanta"",""8"",""Mr. Kevin Wright"",""92"",""GA"",""35"",""US"",""91"",""31772"",""4"","""",""2"",""Deerfield Graphics Company"""</f>
        <v>"NAV Direct","CRONUS JetCorp USA","18","5","10 Deerfield Road","6","","7","Atlanta","8","Mr. Kevin Wright","92","GA","35","US","91","31772","4","","2","Deerfield Graphics Company"</v>
      </c>
      <c r="D4" s="9" t="str">
        <f>"""NAV Direct"",""CRONUS JetCorp USA"",""18"",""5"",""22303 Sunset Ln"",""6"","""",""7"",""Atlanta"",""8"",""Cecil B Demil"",""92"",""GA"",""35"",""US"",""91"",""31772"",""4"","""",""2"",""Derringers Resturants"""</f>
        <v>"NAV Direct","CRONUS JetCorp USA","18","5","22303 Sunset Ln","6","","7","Atlanta","8","Cecil B Demil","92","GA","35","US","91","31772","4","","2","Derringers Resturants"</v>
      </c>
      <c r="E4" s="8" t="str">
        <f>"Marta Freeley"</f>
        <v>Marta Freeley</v>
      </c>
      <c r="G4" s="8" t="str">
        <f>"Mr. Kevin Wright"</f>
        <v>Mr. Kevin Wright</v>
      </c>
      <c r="H4" s="8" t="s">
        <v>39</v>
      </c>
      <c r="I4" s="8" t="str">
        <f>"Cecil B Demil"</f>
        <v>Cecil B Demil</v>
      </c>
    </row>
    <row r="5" spans="1:9" x14ac:dyDescent="0.2">
      <c r="A5" s="9"/>
      <c r="B5" s="9"/>
      <c r="C5" s="9"/>
      <c r="D5" s="9"/>
      <c r="E5" s="8" t="str">
        <f>"City Of Chicago"</f>
        <v>City Of Chicago</v>
      </c>
      <c r="G5" s="8" t="str">
        <f>"Deerfield Graphics Company"</f>
        <v>Deerfield Graphics Company</v>
      </c>
      <c r="H5" s="8" t="s">
        <v>39</v>
      </c>
      <c r="I5" s="8" t="str">
        <f>"Derringers Resturants"</f>
        <v>Derringers Resturants</v>
      </c>
    </row>
    <row r="6" spans="1:9" x14ac:dyDescent="0.2">
      <c r="A6" s="9"/>
      <c r="B6" s="9"/>
      <c r="C6" s="9"/>
      <c r="D6" s="9"/>
      <c r="E6" s="8" t="str">
        <f>"8006 North Theodore Ave "</f>
        <v xml:space="preserve">8006 North Theodore Ave </v>
      </c>
      <c r="G6" s="8" t="str">
        <f>"10 Deerfield Road "</f>
        <v xml:space="preserve">10 Deerfield Road </v>
      </c>
      <c r="H6" s="8" t="s">
        <v>39</v>
      </c>
      <c r="I6" s="8" t="str">
        <f>"22303 Sunset Ln "</f>
        <v xml:space="preserve">22303 Sunset Ln </v>
      </c>
    </row>
    <row r="7" spans="1:9" ht="12.95" customHeight="1" x14ac:dyDescent="0.2">
      <c r="A7" s="9"/>
      <c r="B7" s="9"/>
      <c r="C7" s="9"/>
      <c r="D7" s="9"/>
      <c r="E7" s="8" t="str">
        <f>"Pueblo, CA 54584"</f>
        <v>Pueblo, CA 54584</v>
      </c>
      <c r="G7" s="8" t="str">
        <f>"Atlanta, GA 31772"</f>
        <v>Atlanta, GA 31772</v>
      </c>
      <c r="H7" s="8" t="s">
        <v>39</v>
      </c>
      <c r="I7" s="8" t="str">
        <f>"Atlanta, GA 31772"</f>
        <v>Atlanta, GA 31772</v>
      </c>
    </row>
    <row r="8" spans="1:9" ht="14.1" customHeight="1" x14ac:dyDescent="0.2">
      <c r="A8" s="9"/>
      <c r="B8" s="9"/>
      <c r="C8" s="9"/>
      <c r="D8" s="9"/>
      <c r="F8" s="8" t="s">
        <v>39</v>
      </c>
      <c r="H8" s="8" t="s">
        <v>39</v>
      </c>
    </row>
    <row r="9" spans="1:9" x14ac:dyDescent="0.2">
      <c r="A9" s="9"/>
      <c r="B9" s="9">
        <f>D3+1</f>
        <v>4</v>
      </c>
      <c r="C9" s="9">
        <f>B9+1</f>
        <v>5</v>
      </c>
      <c r="D9" s="9">
        <f>C9+1</f>
        <v>6</v>
      </c>
      <c r="F9" s="8" t="s">
        <v>39</v>
      </c>
      <c r="H9" s="8" t="s">
        <v>39</v>
      </c>
    </row>
    <row r="10" spans="1:9" x14ac:dyDescent="0.2">
      <c r="A10" s="9"/>
      <c r="B10" s="9" t="str">
        <f>"""NAV Direct"",""CRONUS JetCorp USA"",""18"",""5"",""159 Fairway"",""6"","""",""7"",""New York"",""8"",""Stephanie Brooks"",""92"",""NY"",""35"",""US"",""91"",""11010"",""4"","""",""2"",""Fairway Sound"""</f>
        <v>"NAV Direct","CRONUS JetCorp USA","18","5","159 Fairway","6","","7","New York","8","Stephanie Brooks","92","NY","35","US","91","11010","4","","2","Fairway Sound"</v>
      </c>
      <c r="C10" s="9" t="str">
        <f>"""NAV Direct"",""CRONUS JetCorp USA"",""18"",""5"",""705 West Peachtree Street"",""6"","""",""7"",""Atlanta"",""8"",""Ms. Tammy L. McDonald"",""92"",""GA"",""35"",""US"",""91"",""31772"",""4"","""",""2"",""First Touch Marketing"""</f>
        <v>"NAV Direct","CRONUS JetCorp USA","18","5","705 West Peachtree Street","6","","7","Atlanta","8","Ms. Tammy L. McDonald","92","GA","35","US","91","31772","4","","2","First Touch Marketing"</v>
      </c>
      <c r="D10" s="9" t="str">
        <f>"""NAV Direct"",""CRONUS JetCorp USA"",""18"",""5"",""6634 North Wall Avenue"",""6"","""",""7"",""Newark"",""8"",""Bill Watles"",""92"",""NJ"",""35"",""US"",""91"",""44226"",""4"","""",""2"",""Tempsons Tropies"""</f>
        <v>"NAV Direct","CRONUS JetCorp USA","18","5","6634 North Wall Avenue","6","","7","Newark","8","Bill Watles","92","NJ","35","US","91","44226","4","","2","Tempsons Tropies"</v>
      </c>
      <c r="E10" s="8" t="str">
        <f>"Stephanie Brooks"</f>
        <v>Stephanie Brooks</v>
      </c>
      <c r="G10" s="8" t="str">
        <f>"Ms. Tammy L. McDonald"</f>
        <v>Ms. Tammy L. McDonald</v>
      </c>
      <c r="H10" s="8" t="s">
        <v>39</v>
      </c>
      <c r="I10" s="8" t="str">
        <f>"Bill Watles"</f>
        <v>Bill Watles</v>
      </c>
    </row>
    <row r="11" spans="1:9" x14ac:dyDescent="0.2">
      <c r="A11" s="9"/>
      <c r="B11" s="9"/>
      <c r="C11" s="9"/>
      <c r="D11" s="9"/>
      <c r="E11" s="8" t="str">
        <f>"Fairway Sound"</f>
        <v>Fairway Sound</v>
      </c>
      <c r="G11" s="8" t="str">
        <f>"First Touch Marketing"</f>
        <v>First Touch Marketing</v>
      </c>
      <c r="H11" s="8" t="s">
        <v>39</v>
      </c>
      <c r="I11" s="8" t="str">
        <f>"Tempsons Tropies"</f>
        <v>Tempsons Tropies</v>
      </c>
    </row>
    <row r="12" spans="1:9" x14ac:dyDescent="0.2">
      <c r="A12" s="9"/>
      <c r="B12" s="9"/>
      <c r="C12" s="9"/>
      <c r="D12" s="9"/>
      <c r="E12" s="8" t="str">
        <f>"159 Fairway "</f>
        <v xml:space="preserve">159 Fairway </v>
      </c>
      <c r="G12" s="8" t="str">
        <f>"705 West Peachtree Street "</f>
        <v xml:space="preserve">705 West Peachtree Street </v>
      </c>
      <c r="H12" s="8" t="s">
        <v>39</v>
      </c>
      <c r="I12" s="8" t="str">
        <f>"6634 North Wall Avenue "</f>
        <v xml:space="preserve">6634 North Wall Avenue </v>
      </c>
    </row>
    <row r="13" spans="1:9" x14ac:dyDescent="0.2">
      <c r="A13" s="9"/>
      <c r="B13" s="9"/>
      <c r="C13" s="9"/>
      <c r="D13" s="9"/>
      <c r="E13" s="8" t="str">
        <f>"New York, NY 11010"</f>
        <v>New York, NY 11010</v>
      </c>
      <c r="G13" s="8" t="str">
        <f>"Atlanta, GA 31772"</f>
        <v>Atlanta, GA 31772</v>
      </c>
      <c r="H13" s="8" t="s">
        <v>39</v>
      </c>
      <c r="I13" s="8" t="str">
        <f>"Newark, NJ 44226"</f>
        <v>Newark, NJ 44226</v>
      </c>
    </row>
    <row r="14" spans="1:9" ht="14.1" customHeight="1" x14ac:dyDescent="0.2">
      <c r="A14" s="9"/>
      <c r="B14" s="9"/>
      <c r="C14" s="9"/>
      <c r="D14" s="9"/>
      <c r="F14" s="8" t="s">
        <v>39</v>
      </c>
      <c r="H14" s="8" t="s">
        <v>39</v>
      </c>
    </row>
    <row r="15" spans="1:9" x14ac:dyDescent="0.2">
      <c r="A15" s="9"/>
      <c r="B15" s="9">
        <f>D9+1</f>
        <v>7</v>
      </c>
      <c r="C15" s="9">
        <f>B15+1</f>
        <v>8</v>
      </c>
      <c r="D15" s="9">
        <f>C15+1</f>
        <v>9</v>
      </c>
      <c r="F15" s="8" t="s">
        <v>39</v>
      </c>
      <c r="H15" s="8" t="s">
        <v>39</v>
      </c>
    </row>
    <row r="16" spans="1:9" x14ac:dyDescent="0.2">
      <c r="A16" s="9"/>
      <c r="B16" s="9" t="str">
        <f>"""NAV Direct"",""CRONUS JetCorp USA"",""18"",""5"",""7884 North Fifth"",""6"","""",""7"",""Elk Grove"",""8"",""James Madison"",""92"",""AR"",""35"",""US"",""91"",""89020"",""4"","""",""2"",""Gary's Sports"""</f>
        <v>"NAV Direct","CRONUS JetCorp USA","18","5","7884 North Fifth","6","","7","Elk Grove","8","James Madison","92","AR","35","US","91","89020","4","","2","Gary's Sports"</v>
      </c>
      <c r="C16" s="9" t="str">
        <f>"""NAV Direct"",""CRONUS JetCorp USA"",""18"",""5"",""25 Water Way"",""6"","""",""7"",""Atlanta"",""8"",""Mr. Jim Stewart"",""92"",""GA"",""35"",""US"",""91"",""31772"",""4"","""",""2"",""Guildford Water Department"""</f>
        <v>"NAV Direct","CRONUS JetCorp USA","18","5","25 Water Way","6","","7","Atlanta","8","Mr. Jim Stewart","92","GA","35","US","91","31772","4","","2","Guildford Water Department"</v>
      </c>
      <c r="D16" s="9" t="str">
        <f>"""NAV Direct"",""CRONUS JetCorp USA"",""18"",""5"",""10 High Tower Green"",""6"","""",""7"",""Miami"",""8"",""Miss Patricia Doyle"",""92"",""FL"",""35"",""US"",""91"",""37125"",""4"","""",""2"",""John Haddock Insurance Co."""</f>
        <v>"NAV Direct","CRONUS JetCorp USA","18","5","10 High Tower Green","6","","7","Miami","8","Miss Patricia Doyle","92","FL","35","US","91","37125","4","","2","John Haddock Insurance Co."</v>
      </c>
      <c r="E16" s="8" t="str">
        <f>"James Madison"</f>
        <v>James Madison</v>
      </c>
      <c r="G16" s="8" t="str">
        <f>"Mr. Jim Stewart"</f>
        <v>Mr. Jim Stewart</v>
      </c>
      <c r="H16" s="8" t="s">
        <v>39</v>
      </c>
      <c r="I16" s="8" t="str">
        <f>"Miss Patricia Doyle"</f>
        <v>Miss Patricia Doyle</v>
      </c>
    </row>
    <row r="17" spans="1:9" x14ac:dyDescent="0.2">
      <c r="A17" s="9"/>
      <c r="B17" s="9"/>
      <c r="C17" s="9"/>
      <c r="D17" s="9"/>
      <c r="E17" s="8" t="str">
        <f>"Gary's Sports"</f>
        <v>Gary's Sports</v>
      </c>
      <c r="G17" s="8" t="str">
        <f>"Guildford Water Department"</f>
        <v>Guildford Water Department</v>
      </c>
      <c r="H17" s="8" t="s">
        <v>39</v>
      </c>
      <c r="I17" s="8" t="str">
        <f>"John Haddock Insurance Co."</f>
        <v>John Haddock Insurance Co.</v>
      </c>
    </row>
    <row r="18" spans="1:9" x14ac:dyDescent="0.2">
      <c r="A18" s="9"/>
      <c r="B18" s="9"/>
      <c r="C18" s="9"/>
      <c r="D18" s="9"/>
      <c r="E18" s="8" t="str">
        <f>"7884 North Fifth "</f>
        <v xml:space="preserve">7884 North Fifth </v>
      </c>
      <c r="G18" s="8" t="str">
        <f>"25 Water Way "</f>
        <v xml:space="preserve">25 Water Way </v>
      </c>
      <c r="H18" s="8" t="s">
        <v>39</v>
      </c>
      <c r="I18" s="8" t="str">
        <f>"10 High Tower Green "</f>
        <v xml:space="preserve">10 High Tower Green </v>
      </c>
    </row>
    <row r="19" spans="1:9" x14ac:dyDescent="0.2">
      <c r="A19" s="9"/>
      <c r="B19" s="9"/>
      <c r="C19" s="9"/>
      <c r="D19" s="9"/>
      <c r="E19" s="8" t="str">
        <f>"Elk Grove, AR 89020"</f>
        <v>Elk Grove, AR 89020</v>
      </c>
      <c r="G19" s="8" t="str">
        <f>"Atlanta, GA 31772"</f>
        <v>Atlanta, GA 31772</v>
      </c>
      <c r="H19" s="8" t="s">
        <v>39</v>
      </c>
      <c r="I19" s="8" t="str">
        <f>"Miami, FL 37125"</f>
        <v>Miami, FL 37125</v>
      </c>
    </row>
    <row r="20" spans="1:9" ht="14.1" customHeight="1" x14ac:dyDescent="0.2">
      <c r="A20" s="9"/>
      <c r="B20" s="9"/>
      <c r="C20" s="9"/>
      <c r="D20" s="9"/>
      <c r="F20" s="8" t="s">
        <v>39</v>
      </c>
      <c r="H20" s="8" t="s">
        <v>39</v>
      </c>
    </row>
    <row r="21" spans="1:9" x14ac:dyDescent="0.2">
      <c r="A21" s="9"/>
      <c r="B21" s="9">
        <f>D15+1</f>
        <v>10</v>
      </c>
      <c r="C21" s="9">
        <f>B21+1</f>
        <v>11</v>
      </c>
      <c r="D21" s="9">
        <f>C21+1</f>
        <v>12</v>
      </c>
      <c r="F21" s="8" t="s">
        <v>39</v>
      </c>
      <c r="H21" s="8" t="s">
        <v>39</v>
      </c>
    </row>
    <row r="22" spans="1:9" x14ac:dyDescent="0.2">
      <c r="A22" s="9"/>
      <c r="B22" s="9" t="str">
        <f>"""NAV Direct"",""CRONUS JetCorp USA"",""18"",""5"",""3444 North Second"",""6"","""",""7"",""Wichita Falls"",""8"",""Susan Sureano"",""92"",""TX"",""35"",""US"",""91"",""67715"",""4"","""",""2"",""Office Solutions"""</f>
        <v>"NAV Direct","CRONUS JetCorp USA","18","5","3444 North Second","6","","7","Wichita Falls","8","Susan Sureano","92","TX","35","US","91","67715","4","","2","Office Solutions"</v>
      </c>
      <c r="C22" s="9" t="str">
        <f>"""NAV Direct"",""CRONUS JetCorp USA"",""18"",""5"",""3000 Roosevelt Blvd."",""6"","""",""7"",""Chicago"",""8"",""Mr. Scott Mitchell"",""92"",""IL"",""35"",""US"",""91"",""61236"",""4"","""",""2"",""Danger Unlimited"""</f>
        <v>"NAV Direct","CRONUS JetCorp USA","18","5","3000 Roosevelt Blvd.","6","","7","Chicago","8","Mr. Scott Mitchell","92","IL","35","US","91","61236","4","","2","Danger Unlimited"</v>
      </c>
      <c r="D22" s="9" t="str">
        <f>"""NAV Direct"",""CRONUS JetCorp USA"",""18"",""5"",""153 Thomas Drive"",""6"","""",""7"",""Chicago"",""8"",""Mr. Mark McArthur"",""92"",""IL"",""35"",""US"",""91"",""61236"",""4"","""",""2"",""Selangorian Ltd."""</f>
        <v>"NAV Direct","CRONUS JetCorp USA","18","5","153 Thomas Drive","6","","7","Chicago","8","Mr. Mark McArthur","92","IL","35","US","91","61236","4","","2","Selangorian Ltd."</v>
      </c>
      <c r="E22" s="8" t="str">
        <f>"Susan Sureano"</f>
        <v>Susan Sureano</v>
      </c>
      <c r="G22" s="8" t="str">
        <f>"Mr. Scott Mitchell"</f>
        <v>Mr. Scott Mitchell</v>
      </c>
      <c r="H22" s="8" t="s">
        <v>39</v>
      </c>
      <c r="I22" s="8" t="str">
        <f>"Mr. Mark McArthur"</f>
        <v>Mr. Mark McArthur</v>
      </c>
    </row>
    <row r="23" spans="1:9" x14ac:dyDescent="0.2">
      <c r="A23" s="9"/>
      <c r="B23" s="9"/>
      <c r="C23" s="9"/>
      <c r="D23" s="9"/>
      <c r="E23" s="8" t="str">
        <f>"Office Solutions"</f>
        <v>Office Solutions</v>
      </c>
      <c r="G23" s="8" t="str">
        <f>"Danger Unlimited"</f>
        <v>Danger Unlimited</v>
      </c>
      <c r="H23" s="8" t="s">
        <v>39</v>
      </c>
      <c r="I23" s="8" t="str">
        <f>"Selangorian Ltd."</f>
        <v>Selangorian Ltd.</v>
      </c>
    </row>
    <row r="24" spans="1:9" x14ac:dyDescent="0.2">
      <c r="A24" s="9"/>
      <c r="B24" s="9"/>
      <c r="C24" s="9"/>
      <c r="D24" s="9"/>
      <c r="E24" s="8" t="str">
        <f>"3444 North Second "</f>
        <v xml:space="preserve">3444 North Second </v>
      </c>
      <c r="G24" s="8" t="str">
        <f>"3000 Roosevelt Blvd. "</f>
        <v xml:space="preserve">3000 Roosevelt Blvd. </v>
      </c>
      <c r="H24" s="8" t="s">
        <v>39</v>
      </c>
      <c r="I24" s="8" t="str">
        <f>"153 Thomas Drive "</f>
        <v xml:space="preserve">153 Thomas Drive </v>
      </c>
    </row>
    <row r="25" spans="1:9" x14ac:dyDescent="0.2">
      <c r="A25" s="9"/>
      <c r="B25" s="9"/>
      <c r="C25" s="9"/>
      <c r="D25" s="9"/>
      <c r="E25" s="8" t="str">
        <f>"Wichita Falls, TX 67715"</f>
        <v>Wichita Falls, TX 67715</v>
      </c>
      <c r="G25" s="8" t="str">
        <f>"Chicago, IL 61236"</f>
        <v>Chicago, IL 61236</v>
      </c>
      <c r="H25" s="8" t="s">
        <v>39</v>
      </c>
      <c r="I25" s="8" t="str">
        <f>"Chicago, IL 61236"</f>
        <v>Chicago, IL 61236</v>
      </c>
    </row>
    <row r="26" spans="1:9" ht="14.1" customHeight="1" x14ac:dyDescent="0.2">
      <c r="A26" s="9"/>
      <c r="B26" s="9"/>
      <c r="C26" s="9"/>
      <c r="D26" s="9"/>
      <c r="F26" s="8" t="s">
        <v>39</v>
      </c>
      <c r="H26" s="8" t="s">
        <v>39</v>
      </c>
    </row>
    <row r="27" spans="1:9" x14ac:dyDescent="0.2">
      <c r="A27" s="9"/>
      <c r="B27" s="9">
        <f>D21+1</f>
        <v>13</v>
      </c>
      <c r="C27" s="9">
        <f>B27+1</f>
        <v>14</v>
      </c>
      <c r="D27" s="9">
        <f>C27+1</f>
        <v>15</v>
      </c>
      <c r="F27" s="8" t="s">
        <v>39</v>
      </c>
      <c r="H27" s="8" t="s">
        <v>39</v>
      </c>
    </row>
    <row r="28" spans="1:9" x14ac:dyDescent="0.2">
      <c r="A28" s="9"/>
      <c r="B28" s="9" t="str">
        <f>"""NAV Direct"",""CRONUS JetCorp USA"",""18"",""5"",""3000 Roosevelt Blvd."",""6"","""",""7"",""Chicago"",""8"",""Mr. Scott Mitchell"",""92"",""IL"",""35"",""US"",""91"",""61236"",""4"","""",""2"",""Showmasters"""</f>
        <v>"NAV Direct","CRONUS JetCorp USA","18","5","3000 Roosevelt Blvd.","6","","7","Chicago","8","Mr. Scott Mitchell","92","IL","35","US","91","61236","4","","2","Showmasters"</v>
      </c>
      <c r="C28" s="9" t="str">
        <f>"""NAV Direct"",""CRONUS JetCorp USA"",""18"",""5"",""6996 SE 1st Avenue"",""6"","""",""7"",""Inglewood"",""8"",""Bill Winton"",""92"",""AR"",""35"",""US"",""91"",""9401"",""4"","""",""2"",""Sporting Goods Emporium"""</f>
        <v>"NAV Direct","CRONUS JetCorp USA","18","5","6996 SE 1st Avenue","6","","7","Inglewood","8","Bill Winton","92","AR","35","US","91","9401","4","","2","Sporting Goods Emporium"</v>
      </c>
      <c r="D28" s="9" t="str">
        <f>"""NAV Direct"",""CRONUS JetCorp USA"",""18"",""5"",""5726 North Theodore Ave"",""6"","""",""7"",""Fort Wayne"",""8"",""Chris Watley"",""92"",""IN"",""35"",""US"",""91"",""77758"",""4"","""",""2"",""Stanfords"""</f>
        <v>"NAV Direct","CRONUS JetCorp USA","18","5","5726 North Theodore Ave","6","","7","Fort Wayne","8","Chris Watley","92","IN","35","US","91","77758","4","","2","Stanfords"</v>
      </c>
      <c r="E28" s="8" t="str">
        <f>"Mr. Scott Mitchell"</f>
        <v>Mr. Scott Mitchell</v>
      </c>
      <c r="G28" s="8" t="str">
        <f>"Bill Winton"</f>
        <v>Bill Winton</v>
      </c>
      <c r="H28" s="8" t="s">
        <v>39</v>
      </c>
      <c r="I28" s="8" t="str">
        <f>"Chris Watley"</f>
        <v>Chris Watley</v>
      </c>
    </row>
    <row r="29" spans="1:9" x14ac:dyDescent="0.2">
      <c r="A29" s="9"/>
      <c r="B29" s="9"/>
      <c r="C29" s="9"/>
      <c r="D29" s="9"/>
      <c r="E29" s="8" t="str">
        <f>"Showmasters"</f>
        <v>Showmasters</v>
      </c>
      <c r="G29" s="8" t="str">
        <f>"Sporting Goods Emporium"</f>
        <v>Sporting Goods Emporium</v>
      </c>
      <c r="H29" s="8" t="s">
        <v>39</v>
      </c>
      <c r="I29" s="8" t="str">
        <f>"Stanfords"</f>
        <v>Stanfords</v>
      </c>
    </row>
    <row r="30" spans="1:9" x14ac:dyDescent="0.2">
      <c r="A30" s="9"/>
      <c r="B30" s="9"/>
      <c r="C30" s="9"/>
      <c r="D30" s="9"/>
      <c r="E30" s="8" t="str">
        <f>"3000 Roosevelt Blvd. "</f>
        <v xml:space="preserve">3000 Roosevelt Blvd. </v>
      </c>
      <c r="G30" s="8" t="str">
        <f>"6996 SE 1st Avenue "</f>
        <v xml:space="preserve">6996 SE 1st Avenue </v>
      </c>
      <c r="H30" s="8" t="s">
        <v>39</v>
      </c>
      <c r="I30" s="8" t="str">
        <f>"5726 North Theodore Ave "</f>
        <v xml:space="preserve">5726 North Theodore Ave </v>
      </c>
    </row>
    <row r="31" spans="1:9" x14ac:dyDescent="0.2">
      <c r="A31" s="9"/>
      <c r="B31" s="9"/>
      <c r="C31" s="9"/>
      <c r="D31" s="9"/>
      <c r="E31" s="8" t="str">
        <f>"Chicago, IL 61236"</f>
        <v>Chicago, IL 61236</v>
      </c>
      <c r="G31" s="8" t="str">
        <f>"Inglewood, AR 9401"</f>
        <v>Inglewood, AR 9401</v>
      </c>
      <c r="H31" s="8" t="s">
        <v>39</v>
      </c>
      <c r="I31" s="8" t="str">
        <f>"Fort Wayne, IN 77758"</f>
        <v>Fort Wayne, IN 77758</v>
      </c>
    </row>
    <row r="32" spans="1:9" ht="14.1" customHeight="1" x14ac:dyDescent="0.2">
      <c r="A32" s="9"/>
      <c r="B32" s="9"/>
      <c r="C32" s="9"/>
      <c r="D32" s="9"/>
      <c r="F32" s="8" t="s">
        <v>39</v>
      </c>
      <c r="H32" s="8" t="s">
        <v>39</v>
      </c>
    </row>
    <row r="33" spans="1:9" x14ac:dyDescent="0.2">
      <c r="A33" s="9"/>
      <c r="B33" s="9">
        <f>D27+1</f>
        <v>16</v>
      </c>
      <c r="C33" s="9">
        <f>B33+1</f>
        <v>17</v>
      </c>
      <c r="D33" s="9">
        <f>C33+1</f>
        <v>18</v>
      </c>
      <c r="F33" s="8" t="s">
        <v>39</v>
      </c>
      <c r="H33" s="8" t="s">
        <v>39</v>
      </c>
    </row>
    <row r="34" spans="1:9" x14ac:dyDescent="0.2">
      <c r="A34" s="9"/>
      <c r="B34" s="9" t="str">
        <f>"""NAV Direct"",""CRONUS JetCorp USA"",""18"",""5"",""192 Market Square"",""6"","""",""7"",""Atlanta"",""8"",""Mr. Andy Teal"",""92"",""GA"",""35"",""US"",""91"",""31772"",""4"","""",""2"",""The Cannon Group PLC"""</f>
        <v>"NAV Direct","CRONUS JetCorp USA","18","5","192 Market Square","6","","7","Atlanta","8","Mr. Andy Teal","92","GA","35","US","91","31772","4","","2","The Cannon Group PLC"</v>
      </c>
      <c r="C34" s="9" t="str">
        <f>"""NAV Direct"",""CRONUS JetCorp USA"",""18"",""5"",""99 Main St"",""6"","""",""7"",""Atlanta"",""8"",""Cynthia Lou"",""92"",""GA"",""35"",""US"",""91"",""31772"",""4"","""",""2"",""Top Action Sports"""</f>
        <v>"NAV Direct","CRONUS JetCorp USA","18","5","99 Main St","6","","7","Atlanta","8","Cynthia Lou","92","GA","35","US","91","31772","4","","2","Top Action Sports"</v>
      </c>
      <c r="D34" s="9" t="str">
        <f>"""NAV Direct"",""CRONUS JetCorp USA"",""18"",""5"",""7226 North Second"",""6"","""",""7"",""Sunnyvale"",""8"",""Brandon Lee"",""92"",""AR"",""35"",""US"",""91"",""84507"",""4"","""",""2"",""Triton Industries"""</f>
        <v>"NAV Direct","CRONUS JetCorp USA","18","5","7226 North Second","6","","7","Sunnyvale","8","Brandon Lee","92","AR","35","US","91","84507","4","","2","Triton Industries"</v>
      </c>
      <c r="E34" s="8" t="str">
        <f>"Mr. Andy Teal"</f>
        <v>Mr. Andy Teal</v>
      </c>
      <c r="G34" s="8" t="str">
        <f>"Cynthia Lou"</f>
        <v>Cynthia Lou</v>
      </c>
      <c r="H34" s="8" t="s">
        <v>39</v>
      </c>
      <c r="I34" s="8" t="str">
        <f>"Brandon Lee"</f>
        <v>Brandon Lee</v>
      </c>
    </row>
    <row r="35" spans="1:9" x14ac:dyDescent="0.2">
      <c r="A35" s="9"/>
      <c r="B35" s="9"/>
      <c r="C35" s="9"/>
      <c r="D35" s="9"/>
      <c r="E35" s="8" t="str">
        <f>"The Cannon Group PLC"</f>
        <v>The Cannon Group PLC</v>
      </c>
      <c r="G35" s="8" t="str">
        <f>"Top Action Sports"</f>
        <v>Top Action Sports</v>
      </c>
      <c r="H35" s="8" t="s">
        <v>39</v>
      </c>
      <c r="I35" s="8" t="str">
        <f>"Triton Industries"</f>
        <v>Triton Industries</v>
      </c>
    </row>
    <row r="36" spans="1:9" x14ac:dyDescent="0.2">
      <c r="A36" s="9"/>
      <c r="B36" s="9"/>
      <c r="C36" s="9"/>
      <c r="D36" s="9"/>
      <c r="E36" s="8" t="str">
        <f>"192 Market Square "</f>
        <v xml:space="preserve">192 Market Square </v>
      </c>
      <c r="G36" s="8" t="str">
        <f>"99 Main St "</f>
        <v xml:space="preserve">99 Main St </v>
      </c>
      <c r="H36" s="8" t="s">
        <v>39</v>
      </c>
      <c r="I36" s="8" t="str">
        <f>"7226 North Second "</f>
        <v xml:space="preserve">7226 North Second </v>
      </c>
    </row>
    <row r="37" spans="1:9" x14ac:dyDescent="0.2">
      <c r="A37" s="9"/>
      <c r="B37" s="9"/>
      <c r="C37" s="9"/>
      <c r="D37" s="9"/>
      <c r="E37" s="8" t="str">
        <f>"Atlanta, GA 31772"</f>
        <v>Atlanta, GA 31772</v>
      </c>
      <c r="G37" s="8" t="str">
        <f>"Atlanta, GA 31772"</f>
        <v>Atlanta, GA 31772</v>
      </c>
      <c r="H37" s="8" t="s">
        <v>39</v>
      </c>
      <c r="I37" s="8" t="str">
        <f>"Sunnyvale, AR 84507"</f>
        <v>Sunnyvale, AR 84507</v>
      </c>
    </row>
    <row r="38" spans="1:9" ht="14.1" customHeight="1" x14ac:dyDescent="0.2">
      <c r="A38" s="9"/>
      <c r="B38" s="9"/>
      <c r="C38" s="9"/>
      <c r="D38" s="9"/>
      <c r="F38" s="8" t="s">
        <v>39</v>
      </c>
      <c r="H38" s="8" t="s">
        <v>39</v>
      </c>
    </row>
    <row r="39" spans="1:9" x14ac:dyDescent="0.2">
      <c r="A39" s="9"/>
      <c r="B39" s="9">
        <f>D33+1</f>
        <v>19</v>
      </c>
      <c r="C39" s="9">
        <f>B39+1</f>
        <v>20</v>
      </c>
      <c r="D39" s="9">
        <f>C39+1</f>
        <v>21</v>
      </c>
      <c r="F39" s="8" t="s">
        <v>39</v>
      </c>
      <c r="H39" s="8" t="s">
        <v>39</v>
      </c>
    </row>
    <row r="40" spans="1:9" x14ac:dyDescent="0.2">
      <c r="A40" s="9"/>
      <c r="B40" s="9" t="str">
        <f>"""NAV Direct"",""CRONUS JetCorp USA"",""18"",""5"",""11 High Street"",""6"","""",""7"",""Eugene"",""8"",""Sue Smith"",""92"",""OR"",""35"",""US"",""91"",""97301"",""4"","""",""2"",""University of Oregon"""</f>
        <v>"NAV Direct","CRONUS JetCorp USA","18","5","11 High Street","6","","7","Eugene","8","Sue Smith","92","OR","35","US","91","97301","4","","2","University of Oregon"</v>
      </c>
      <c r="C40" s="9" t="str">
        <f>"""NAV Direct"",""CRONUS JetCorp USA"",""18"",""5"",""330 Beacon Ave"",""6"","""",""7"",""Cambden"",""8"",""Blaine Everson"",""92"",""ID"",""35"",""US"",""91"",""78111"",""4"","""",""2"",""Randotax Outfitters"""</f>
        <v>"NAV Direct","CRONUS JetCorp USA","18","5","330 Beacon Ave","6","","7","Cambden","8","Blaine Everson","92","ID","35","US","91","78111","4","","2","Randotax Outfitters"</v>
      </c>
      <c r="D40" s="9" t="str">
        <f>"""NAV Direct"",""CRONUS JetCorp USA"",""18"",""5"",""2201 Tenesee Ave."",""6"","""",""7"",""Vancouver"",""8"",""Susan Wells"",""92"",""WA"",""35"",""US"",""91"",""97306"",""4"","""",""2"",""D-Com Industries"""</f>
        <v>"NAV Direct","CRONUS JetCorp USA","18","5","2201 Tenesee Ave.","6","","7","Vancouver","8","Susan Wells","92","WA","35","US","91","97306","4","","2","D-Com Industries"</v>
      </c>
      <c r="E40" s="8" t="str">
        <f>"Sue Smith"</f>
        <v>Sue Smith</v>
      </c>
      <c r="G40" s="8" t="str">
        <f>"Blaine Everson"</f>
        <v>Blaine Everson</v>
      </c>
      <c r="H40" s="8" t="s">
        <v>39</v>
      </c>
      <c r="I40" s="8" t="str">
        <f>"Susan Wells"</f>
        <v>Susan Wells</v>
      </c>
    </row>
    <row r="41" spans="1:9" x14ac:dyDescent="0.2">
      <c r="A41" s="9"/>
      <c r="B41" s="9"/>
      <c r="C41" s="9"/>
      <c r="D41" s="9"/>
      <c r="E41" s="8" t="str">
        <f>"University of Oregon"</f>
        <v>University of Oregon</v>
      </c>
      <c r="G41" s="8" t="str">
        <f>"Randotax Outfitters"</f>
        <v>Randotax Outfitters</v>
      </c>
      <c r="H41" s="8" t="s">
        <v>39</v>
      </c>
      <c r="I41" s="8" t="str">
        <f>"D-Com Industries"</f>
        <v>D-Com Industries</v>
      </c>
    </row>
    <row r="42" spans="1:9" x14ac:dyDescent="0.2">
      <c r="A42" s="9"/>
      <c r="B42" s="9"/>
      <c r="C42" s="9"/>
      <c r="D42" s="9"/>
      <c r="E42" s="8" t="str">
        <f>"11 High Street "</f>
        <v xml:space="preserve">11 High Street </v>
      </c>
      <c r="G42" s="8" t="str">
        <f>"330 Beacon Ave "</f>
        <v xml:space="preserve">330 Beacon Ave </v>
      </c>
      <c r="H42" s="8" t="s">
        <v>39</v>
      </c>
      <c r="I42" s="8" t="str">
        <f>"2201 Tenesee Ave. "</f>
        <v xml:space="preserve">2201 Tenesee Ave. </v>
      </c>
    </row>
    <row r="43" spans="1:9" x14ac:dyDescent="0.2">
      <c r="A43" s="9"/>
      <c r="B43" s="9"/>
      <c r="C43" s="9"/>
      <c r="D43" s="9"/>
      <c r="E43" s="8" t="str">
        <f>"Eugene, OR 97301"</f>
        <v>Eugene, OR 97301</v>
      </c>
      <c r="G43" s="8" t="str">
        <f>"Cambden, ID 78111"</f>
        <v>Cambden, ID 78111</v>
      </c>
      <c r="H43" s="8" t="s">
        <v>39</v>
      </c>
      <c r="I43" s="8" t="str">
        <f>"Vancouver, WA 97306"</f>
        <v>Vancouver, WA 97306</v>
      </c>
    </row>
    <row r="44" spans="1:9" ht="14.1" customHeight="1" x14ac:dyDescent="0.2">
      <c r="A44" s="9"/>
      <c r="B44" s="9"/>
      <c r="C44" s="9"/>
      <c r="D44" s="9"/>
      <c r="F44" s="8" t="s">
        <v>39</v>
      </c>
      <c r="H44" s="8" t="s">
        <v>39</v>
      </c>
    </row>
    <row r="45" spans="1:9" x14ac:dyDescent="0.2">
      <c r="A45" s="9"/>
      <c r="B45" s="9">
        <f>D39+1</f>
        <v>22</v>
      </c>
      <c r="C45" s="9">
        <f>B45+1</f>
        <v>23</v>
      </c>
      <c r="D45" s="9">
        <f>C45+1</f>
        <v>24</v>
      </c>
      <c r="F45" s="8" t="s">
        <v>39</v>
      </c>
      <c r="H45" s="8" t="s">
        <v>39</v>
      </c>
    </row>
    <row r="46" spans="1:9" x14ac:dyDescent="0.2">
      <c r="A46" s="9"/>
      <c r="B46" s="9" t="str">
        <f>"""NAV Direct"",""CRONUS JetCorp USA"",""18"",""5"",""9390 Sienna Way"",""6"","""",""7"",""Boise"",""8"",""Bill Johnson"",""92"",""ID"",""35"",""US"",""91"",""78111"",""4"","""",""2"",""Solotech"""</f>
        <v>"NAV Direct","CRONUS JetCorp USA","18","5","9390 Sienna Way","6","","7","Boise","8","Bill Johnson","92","ID","35","US","91","78111","4","","2","Solotech"</v>
      </c>
      <c r="C46" s="9" t="str">
        <f>"""NAV Direct"",""CRONUS JetCorp USA"",""18"",""5"",""33018 Sormy Ave."",""6"","""",""7"",""Dallas"",""8"",""David Everson"",""92"",""TX"",""35"",""US"",""91"",""88228"",""4"","""",""2"",""BlackCane Motor Works"""</f>
        <v>"NAV Direct","CRONUS JetCorp USA","18","5","33018 Sormy Ave.","6","","7","Dallas","8","David Everson","92","TX","35","US","91","88228","4","","2","BlackCane Motor Works"</v>
      </c>
      <c r="D46" s="9" t="str">
        <f>"""NAV Direct"",""CRONUS JetCorp USA"",""18"",""5"",""833013 Seminoe Way"",""6"","""",""7"",""Miami"",""8"",""Katie Perry"",""92"",""FL"",""35"",""US"",""91"",""42330"",""4"","""",""2"",""Voltive Systems"""</f>
        <v>"NAV Direct","CRONUS JetCorp USA","18","5","833013 Seminoe Way","6","","7","Miami","8","Katie Perry","92","FL","35","US","91","42330","4","","2","Voltive Systems"</v>
      </c>
      <c r="E46" s="8" t="str">
        <f>"Bill Johnson"</f>
        <v>Bill Johnson</v>
      </c>
      <c r="G46" s="8" t="str">
        <f>"David Everson"</f>
        <v>David Everson</v>
      </c>
      <c r="H46" s="8" t="s">
        <v>39</v>
      </c>
      <c r="I46" s="8" t="str">
        <f>"Katie Perry"</f>
        <v>Katie Perry</v>
      </c>
    </row>
    <row r="47" spans="1:9" x14ac:dyDescent="0.2">
      <c r="A47" s="9"/>
      <c r="B47" s="9"/>
      <c r="C47" s="9"/>
      <c r="D47" s="9"/>
      <c r="E47" s="8" t="str">
        <f>"Solotech"</f>
        <v>Solotech</v>
      </c>
      <c r="G47" s="8" t="str">
        <f>"BlackCane Motor Works"</f>
        <v>BlackCane Motor Works</v>
      </c>
      <c r="H47" s="8" t="s">
        <v>39</v>
      </c>
      <c r="I47" s="8" t="str">
        <f>"Voltive Systems"</f>
        <v>Voltive Systems</v>
      </c>
    </row>
    <row r="48" spans="1:9" x14ac:dyDescent="0.2">
      <c r="A48" s="9"/>
      <c r="B48" s="9"/>
      <c r="C48" s="9"/>
      <c r="D48" s="9"/>
      <c r="E48" s="8" t="str">
        <f>"9390 Sienna Way "</f>
        <v xml:space="preserve">9390 Sienna Way </v>
      </c>
      <c r="G48" s="8" t="str">
        <f>"33018 Sormy Ave. "</f>
        <v xml:space="preserve">33018 Sormy Ave. </v>
      </c>
      <c r="H48" s="8" t="s">
        <v>39</v>
      </c>
      <c r="I48" s="8" t="str">
        <f>"833013 Seminoe Way "</f>
        <v xml:space="preserve">833013 Seminoe Way </v>
      </c>
    </row>
    <row r="49" spans="1:9" x14ac:dyDescent="0.2">
      <c r="A49" s="9"/>
      <c r="B49" s="9"/>
      <c r="C49" s="9"/>
      <c r="D49" s="9"/>
      <c r="E49" s="8" t="str">
        <f>"Boise, ID 78111"</f>
        <v>Boise, ID 78111</v>
      </c>
      <c r="G49" s="8" t="str">
        <f>"Dallas, TX 88228"</f>
        <v>Dallas, TX 88228</v>
      </c>
      <c r="H49" s="8" t="s">
        <v>39</v>
      </c>
      <c r="I49" s="8" t="str">
        <f>"Miami, FL 42330"</f>
        <v>Miami, FL 42330</v>
      </c>
    </row>
    <row r="50" spans="1:9" ht="14.1" customHeight="1" x14ac:dyDescent="0.2">
      <c r="A50" s="9"/>
      <c r="B50" s="9"/>
      <c r="C50" s="9"/>
      <c r="D50" s="9"/>
      <c r="F50" s="8" t="s">
        <v>39</v>
      </c>
      <c r="H50" s="8" t="s">
        <v>39</v>
      </c>
    </row>
    <row r="51" spans="1:9" x14ac:dyDescent="0.2">
      <c r="A51" s="9"/>
      <c r="B51" s="9">
        <f>D45+1</f>
        <v>25</v>
      </c>
      <c r="C51" s="9">
        <f>B51+1</f>
        <v>26</v>
      </c>
      <c r="D51" s="9">
        <f>C51+1</f>
        <v>27</v>
      </c>
      <c r="F51" s="8" t="s">
        <v>39</v>
      </c>
      <c r="H51" s="8" t="s">
        <v>39</v>
      </c>
    </row>
    <row r="52" spans="1:9" x14ac:dyDescent="0.2">
      <c r="A52" s="9"/>
      <c r="B52" s="9" t="str">
        <f>"""NAV Direct"",""CRONUS JetCorp USA"",""18"",""5"",""33 Katsura Ave"",""6"","""",""7"",""Houston"",""8"",""Steve Austin"",""92"",""TX"",""35"",""US"",""91"",""88922"",""4"","""",""2"",""Keybase, Inc."""</f>
        <v>"NAV Direct","CRONUS JetCorp USA","18","5","33 Katsura Ave","6","","7","Houston","8","Steve Austin","92","TX","35","US","91","88922","4","","2","Keybase, Inc."</v>
      </c>
      <c r="C52" s="9" t="str">
        <f>"""NAV Direct"",""CRONUS JetCorp USA"",""18"",""5"",""0030 B Street"",""6"","""",""7"",""San Diego"",""8"",""Kevin Watson"",""92"",""CA"",""35"",""US"",""91"",""90201"",""4"","""",""2"",""ZoomTrax Systems"""</f>
        <v>"NAV Direct","CRONUS JetCorp USA","18","5","0030 B Street","6","","7","San Diego","8","Kevin Watson","92","CA","35","US","91","90201","4","","2","ZoomTrax Systems"</v>
      </c>
      <c r="D52" s="9" t="str">
        <f>"""NAV Direct"",""CRONUS JetCorp USA"",""18"",""5"",""88 Sicamore Wy"",""6"","""",""7"",""San Diego"",""8"",""Sarah Furguson"",""92"",""CA"",""35"",""US"",""91"",""90201"",""4"","""",""2"",""BEI Outfitters """</f>
        <v>"NAV Direct","CRONUS JetCorp USA","18","5","88 Sicamore Wy","6","","7","San Diego","8","Sarah Furguson","92","CA","35","US","91","90201","4","","2","BEI Outfitters "</v>
      </c>
      <c r="E52" s="8" t="str">
        <f>"Steve Austin"</f>
        <v>Steve Austin</v>
      </c>
      <c r="G52" s="8" t="str">
        <f>"Kevin Watson"</f>
        <v>Kevin Watson</v>
      </c>
      <c r="H52" s="8" t="s">
        <v>39</v>
      </c>
      <c r="I52" s="8" t="str">
        <f>"Sarah Furguson"</f>
        <v>Sarah Furguson</v>
      </c>
    </row>
    <row r="53" spans="1:9" x14ac:dyDescent="0.2">
      <c r="A53" s="9"/>
      <c r="B53" s="9"/>
      <c r="C53" s="9"/>
      <c r="D53" s="9"/>
      <c r="E53" s="8" t="str">
        <f>"Keybase, Inc."</f>
        <v>Keybase, Inc.</v>
      </c>
      <c r="G53" s="8" t="str">
        <f>"ZoomTrax Systems"</f>
        <v>ZoomTrax Systems</v>
      </c>
      <c r="H53" s="8" t="s">
        <v>39</v>
      </c>
      <c r="I53" s="8" t="str">
        <f>"BEI Outfitters "</f>
        <v xml:space="preserve">BEI Outfitters </v>
      </c>
    </row>
    <row r="54" spans="1:9" x14ac:dyDescent="0.2">
      <c r="A54" s="9"/>
      <c r="B54" s="9"/>
      <c r="C54" s="9"/>
      <c r="D54" s="9"/>
      <c r="E54" s="8" t="str">
        <f>"33 Katsura Ave "</f>
        <v xml:space="preserve">33 Katsura Ave </v>
      </c>
      <c r="G54" s="8" t="str">
        <f>"0030 B Street "</f>
        <v xml:space="preserve">0030 B Street </v>
      </c>
      <c r="H54" s="8" t="s">
        <v>39</v>
      </c>
      <c r="I54" s="8" t="str">
        <f>"88 Sicamore Wy "</f>
        <v xml:space="preserve">88 Sicamore Wy </v>
      </c>
    </row>
    <row r="55" spans="1:9" x14ac:dyDescent="0.2">
      <c r="A55" s="9"/>
      <c r="B55" s="9"/>
      <c r="C55" s="9"/>
      <c r="D55" s="9"/>
      <c r="E55" s="8" t="str">
        <f>"Houston, TX 88922"</f>
        <v>Houston, TX 88922</v>
      </c>
      <c r="G55" s="8" t="str">
        <f>"San Diego, CA 90201"</f>
        <v>San Diego, CA 90201</v>
      </c>
      <c r="H55" s="8" t="s">
        <v>39</v>
      </c>
      <c r="I55" s="8" t="str">
        <f>"San Diego, CA 90201"</f>
        <v>San Diego, CA 90201</v>
      </c>
    </row>
    <row r="56" spans="1:9" ht="14.1" customHeight="1" x14ac:dyDescent="0.2">
      <c r="A56" s="9"/>
      <c r="B56" s="9"/>
      <c r="C56" s="9"/>
      <c r="D56" s="9"/>
      <c r="F56" s="8" t="s">
        <v>39</v>
      </c>
      <c r="H56" s="8" t="s">
        <v>39</v>
      </c>
    </row>
    <row r="57" spans="1:9" x14ac:dyDescent="0.2">
      <c r="A57" s="9"/>
      <c r="B57" s="9">
        <f>D51+1</f>
        <v>28</v>
      </c>
      <c r="C57" s="9">
        <f>B57+1</f>
        <v>29</v>
      </c>
      <c r="D57" s="9">
        <f>C57+1</f>
        <v>30</v>
      </c>
      <c r="F57" s="8" t="s">
        <v>39</v>
      </c>
      <c r="H57" s="8" t="s">
        <v>39</v>
      </c>
    </row>
    <row r="58" spans="1:9" x14ac:dyDescent="0.2">
      <c r="A58" s="9"/>
      <c r="B58" s="9" t="str">
        <f>"""NAV Direct"",""CRONUS JetCorp USA"",""18"",""5"",""220 Park Way"",""6"","""",""7"",""San Francisco"",""8"",""Bob Berman"",""92"",""CA"",""35"",""US"",""91"",""91220"",""4"","""",""2"",""AlphaQuote"""</f>
        <v>"NAV Direct","CRONUS JetCorp USA","18","5","220 Park Way","6","","7","San Francisco","8","Bob Berman","92","CA","35","US","91","91220","4","","2","AlphaQuote"</v>
      </c>
      <c r="C58" s="9" t="str">
        <f>"""NAV Direct"",""CRONUS JetCorp USA"",""18"",""5"",""22811 Storm Ave"",""6"","""",""7"",""Medford"",""8"",""Bill Blass"",""92"",""OR"",""35"",""US"",""91"",""97330"",""4"","""",""2"",""DenoTech"""</f>
        <v>"NAV Direct","CRONUS JetCorp USA","18","5","22811 Storm Ave","6","","7","Medford","8","Bill Blass","92","OR","35","US","91","97330","4","","2","DenoTech"</v>
      </c>
      <c r="D58" s="9" t="str">
        <f>"""NAV Direct"",""CRONUS JetCorp USA"",""18"",""5"",""82 Front Ave"",""6"","""",""7"",""Corvallis"",""8"",""Mildred Botiner"",""92"",""OR"",""35"",""US"",""91"",""97450"",""4"","""",""2"",""Esystems"""</f>
        <v>"NAV Direct","CRONUS JetCorp USA","18","5","82 Front Ave","6","","7","Corvallis","8","Mildred Botiner","92","OR","35","US","91","97450","4","","2","Esystems"</v>
      </c>
      <c r="E58" s="8" t="str">
        <f>"Bob Berman"</f>
        <v>Bob Berman</v>
      </c>
      <c r="G58" s="8" t="str">
        <f>"Bill Blass"</f>
        <v>Bill Blass</v>
      </c>
      <c r="H58" s="8" t="s">
        <v>39</v>
      </c>
      <c r="I58" s="8" t="str">
        <f>"Mildred Botiner"</f>
        <v>Mildred Botiner</v>
      </c>
    </row>
    <row r="59" spans="1:9" x14ac:dyDescent="0.2">
      <c r="A59" s="9"/>
      <c r="B59" s="9"/>
      <c r="C59" s="9"/>
      <c r="D59" s="9"/>
      <c r="E59" s="8" t="str">
        <f>"AlphaQuote"</f>
        <v>AlphaQuote</v>
      </c>
      <c r="G59" s="8" t="str">
        <f>"DenoTech"</f>
        <v>DenoTech</v>
      </c>
      <c r="H59" s="8" t="s">
        <v>39</v>
      </c>
      <c r="I59" s="8" t="str">
        <f>"Esystems"</f>
        <v>Esystems</v>
      </c>
    </row>
    <row r="60" spans="1:9" x14ac:dyDescent="0.2">
      <c r="A60" s="9"/>
      <c r="B60" s="9"/>
      <c r="C60" s="9"/>
      <c r="D60" s="9"/>
      <c r="E60" s="8" t="str">
        <f>"220 Park Way "</f>
        <v xml:space="preserve">220 Park Way </v>
      </c>
      <c r="G60" s="8" t="str">
        <f>"22811 Storm Ave "</f>
        <v xml:space="preserve">22811 Storm Ave </v>
      </c>
      <c r="H60" s="8" t="s">
        <v>39</v>
      </c>
      <c r="I60" s="8" t="str">
        <f>"82 Front Ave "</f>
        <v xml:space="preserve">82 Front Ave </v>
      </c>
    </row>
    <row r="61" spans="1:9" x14ac:dyDescent="0.2">
      <c r="A61" s="9"/>
      <c r="B61" s="9"/>
      <c r="C61" s="9"/>
      <c r="D61" s="9"/>
      <c r="E61" s="8" t="str">
        <f>"San Francisco, CA 91220"</f>
        <v>San Francisco, CA 91220</v>
      </c>
      <c r="G61" s="8" t="str">
        <f>"Medford, OR 97330"</f>
        <v>Medford, OR 97330</v>
      </c>
      <c r="H61" s="8" t="s">
        <v>39</v>
      </c>
      <c r="I61" s="8" t="str">
        <f>"Corvallis, OR 97450"</f>
        <v>Corvallis, OR 97450</v>
      </c>
    </row>
    <row r="62" spans="1:9" x14ac:dyDescent="0.2">
      <c r="F62" s="8" t="s">
        <v>39</v>
      </c>
      <c r="H62" s="8" t="s">
        <v>39</v>
      </c>
    </row>
  </sheetData>
  <printOptions horizontalCentered="1" verticalCentered="1"/>
  <pageMargins left="0.2" right="0" top="0.5" bottom="0.25" header="0.3" footer="0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2"/>
  <sheetViews>
    <sheetView showGridLines="0" topLeftCell="E4" zoomScale="160" zoomScaleNormal="160" workbookViewId="0"/>
  </sheetViews>
  <sheetFormatPr defaultColWidth="9.140625" defaultRowHeight="12" x14ac:dyDescent="0.2"/>
  <cols>
    <col min="1" max="1" width="2.85546875" style="8" hidden="1" customWidth="1"/>
    <col min="2" max="4" width="3.28515625" style="8" hidden="1" customWidth="1"/>
    <col min="5" max="5" width="32.7109375" style="8" customWidth="1"/>
    <col min="6" max="6" width="2.28515625" style="8" customWidth="1"/>
    <col min="7" max="7" width="32.7109375" style="8" customWidth="1"/>
    <col min="8" max="8" width="3.28515625" style="8" customWidth="1"/>
    <col min="9" max="9" width="32.7109375" style="8" customWidth="1"/>
    <col min="10" max="16384" width="9.140625" style="8"/>
  </cols>
  <sheetData>
    <row r="1" spans="1:9" hidden="1" x14ac:dyDescent="0.2">
      <c r="A1" s="9" t="s">
        <v>216</v>
      </c>
      <c r="B1" s="9" t="s">
        <v>0</v>
      </c>
      <c r="C1" s="9" t="s">
        <v>0</v>
      </c>
      <c r="D1" s="9" t="s">
        <v>0</v>
      </c>
      <c r="E1" s="9"/>
      <c r="F1" s="9" t="s">
        <v>39</v>
      </c>
      <c r="G1" s="9"/>
      <c r="H1" s="9" t="s">
        <v>39</v>
      </c>
      <c r="I1" s="9"/>
    </row>
    <row r="2" spans="1:9" hidden="1" x14ac:dyDescent="0.2">
      <c r="A2" s="9" t="s">
        <v>0</v>
      </c>
      <c r="B2" s="9"/>
      <c r="C2" s="9"/>
      <c r="D2" s="9"/>
      <c r="E2" s="9" t="s">
        <v>7</v>
      </c>
      <c r="F2" s="9" t="s">
        <v>39</v>
      </c>
      <c r="G2" s="9">
        <v>2</v>
      </c>
      <c r="H2" s="9" t="s">
        <v>39</v>
      </c>
      <c r="I2" s="9">
        <f>(G2*30)-29</f>
        <v>31</v>
      </c>
    </row>
    <row r="3" spans="1:9" hidden="1" x14ac:dyDescent="0.2">
      <c r="A3" s="9" t="s">
        <v>0</v>
      </c>
      <c r="B3" s="9">
        <f>I2</f>
        <v>31</v>
      </c>
      <c r="C3" s="9">
        <f>B3+1</f>
        <v>32</v>
      </c>
      <c r="D3" s="9">
        <f>C3+1</f>
        <v>33</v>
      </c>
      <c r="E3" s="9"/>
      <c r="F3" s="9" t="s">
        <v>39</v>
      </c>
      <c r="G3" s="9"/>
      <c r="H3" s="9" t="s">
        <v>39</v>
      </c>
      <c r="I3" s="9"/>
    </row>
    <row r="4" spans="1:9" x14ac:dyDescent="0.2">
      <c r="A4" s="9"/>
      <c r="B4" s="9" t="str">
        <f>"""NAV Direct"",""CRONUS JetCorp USA"",""18"",""5"",""339 Vitae Springs Ln"",""6"","""",""7"",""Salem"",""8"",""Steve Watson"",""92"",""OR"",""35"",""US"",""91"",""97301"",""4"","""",""2"",""Equinox Sporting Goods"""</f>
        <v>"NAV Direct","CRONUS JetCorp USA","18","5","339 Vitae Springs Ln","6","","7","Salem","8","Steve Watson","92","OR","35","US","91","97301","4","","2","Equinox Sporting Goods"</v>
      </c>
      <c r="C4" s="9" t="str">
        <f>"""NAV Direct"",""CRONUS JetCorp USA"",""18"",""5"",""55 B Street"",""6"","""",""7"",""Salem"",""8"",""Aurora White"",""92"",""OR"",""35"",""US"",""91"",""97301"",""4"","""",""2"",""Kinfix Industries"""</f>
        <v>"NAV Direct","CRONUS JetCorp USA","18","5","55 B Street","6","","7","Salem","8","Aurora White","92","OR","35","US","91","97301","4","","2","Kinfix Industries"</v>
      </c>
      <c r="D4" s="9" t="str">
        <f>"""NAV Direct"",""CRONUS JetCorp USA"",""18"",""5"",""44 East Front Street"",""6"","""",""7"",""New York"",""8"",""Leluna Morrisey"",""92"",""NY"",""35"",""US"",""91"",""11010"",""4"","""",""2"",""Basingers"""</f>
        <v>"NAV Direct","CRONUS JetCorp USA","18","5","44 East Front Street","6","","7","New York","8","Leluna Morrisey","92","NY","35","US","91","11010","4","","2","Basingers"</v>
      </c>
      <c r="E4" s="8" t="str">
        <f>"Steve Watson"</f>
        <v>Steve Watson</v>
      </c>
      <c r="G4" s="8" t="str">
        <f>"Aurora White"</f>
        <v>Aurora White</v>
      </c>
      <c r="H4" s="8" t="s">
        <v>39</v>
      </c>
      <c r="I4" s="8" t="str">
        <f>"Leluna Morrisey"</f>
        <v>Leluna Morrisey</v>
      </c>
    </row>
    <row r="5" spans="1:9" x14ac:dyDescent="0.2">
      <c r="A5" s="9"/>
      <c r="B5" s="9"/>
      <c r="C5" s="9"/>
      <c r="D5" s="9"/>
      <c r="E5" s="8" t="str">
        <f>"Equinox Sporting Goods"</f>
        <v>Equinox Sporting Goods</v>
      </c>
      <c r="G5" s="8" t="str">
        <f>"Kinfix Industries"</f>
        <v>Kinfix Industries</v>
      </c>
      <c r="H5" s="8" t="s">
        <v>39</v>
      </c>
      <c r="I5" s="8" t="str">
        <f>"Basingers"</f>
        <v>Basingers</v>
      </c>
    </row>
    <row r="6" spans="1:9" x14ac:dyDescent="0.2">
      <c r="A6" s="9"/>
      <c r="B6" s="9"/>
      <c r="C6" s="9"/>
      <c r="D6" s="9"/>
      <c r="E6" s="8" t="str">
        <f>"339 Vitae Springs Ln "</f>
        <v xml:space="preserve">339 Vitae Springs Ln </v>
      </c>
      <c r="G6" s="8" t="str">
        <f>"55 B Street "</f>
        <v xml:space="preserve">55 B Street </v>
      </c>
      <c r="H6" s="8" t="s">
        <v>39</v>
      </c>
      <c r="I6" s="8" t="str">
        <f>"44 East Front Street "</f>
        <v xml:space="preserve">44 East Front Street </v>
      </c>
    </row>
    <row r="7" spans="1:9" ht="12.95" customHeight="1" x14ac:dyDescent="0.2">
      <c r="A7" s="9"/>
      <c r="B7" s="9"/>
      <c r="C7" s="9"/>
      <c r="D7" s="9"/>
      <c r="E7" s="8" t="str">
        <f>"Salem, OR 97301"</f>
        <v>Salem, OR 97301</v>
      </c>
      <c r="G7" s="8" t="str">
        <f>"Salem, OR 97301"</f>
        <v>Salem, OR 97301</v>
      </c>
      <c r="H7" s="8" t="s">
        <v>39</v>
      </c>
      <c r="I7" s="8" t="str">
        <f>"New York, NY 11010"</f>
        <v>New York, NY 11010</v>
      </c>
    </row>
    <row r="8" spans="1:9" ht="14.1" customHeight="1" x14ac:dyDescent="0.2">
      <c r="A8" s="9"/>
      <c r="B8" s="9"/>
      <c r="C8" s="9"/>
      <c r="D8" s="9"/>
      <c r="F8" s="8" t="s">
        <v>39</v>
      </c>
      <c r="H8" s="8" t="s">
        <v>39</v>
      </c>
    </row>
    <row r="9" spans="1:9" x14ac:dyDescent="0.2">
      <c r="A9" s="9"/>
      <c r="B9" s="9">
        <f>D3+1</f>
        <v>34</v>
      </c>
      <c r="C9" s="9">
        <f>B9+1</f>
        <v>35</v>
      </c>
      <c r="D9" s="9">
        <f>C9+1</f>
        <v>36</v>
      </c>
      <c r="F9" s="8" t="s">
        <v>39</v>
      </c>
      <c r="H9" s="8" t="s">
        <v>39</v>
      </c>
    </row>
    <row r="10" spans="1:9" x14ac:dyDescent="0.2">
      <c r="A10" s="9"/>
      <c r="B10" s="9" t="str">
        <f>"""NAV Direct"",""CRONUS JetCorp USA"",""18"",""5"",""22 Front Street"",""6"","""",""7"",""New York"",""8"",""Kaldar Asiman"",""92"",""NY"",""35"",""US"",""91"",""11010"",""4"","""",""2"",""Latexon, Inc."""</f>
        <v>"NAV Direct","CRONUS JetCorp USA","18","5","22 Front Street","6","","7","New York","8","Kaldar Asiman","92","NY","35","US","91","11010","4","","2","Latexon, Inc."</v>
      </c>
      <c r="C10" s="9" t="str">
        <f>"""NAV Direct"",""CRONUS JetCorp USA"",""18"",""5"",""88119 Vitae Spring Street"",""6"","""",""7"",""New York"",""8"",""Israfel Ravenblack"",""92"",""NY"",""35"",""US"",""91"",""11010"",""4"","""",""2"",""ISA Tech"""</f>
        <v>"NAV Direct","CRONUS JetCorp USA","18","5","88119 Vitae Spring Street","6","","7","New York","8","Israfel Ravenblack","92","NY","35","US","91","11010","4","","2","ISA Tech"</v>
      </c>
      <c r="D10" s="9" t="str">
        <f>"""NAV Direct"",""CRONUS JetCorp USA"",""18"",""5"",""228 Jackson Ave"",""6"","""",""7"",""New York"",""8"",""Julius Deadwood"",""92"",""NY"",""35"",""US"",""91"",""11010"",""4"","""",""2"",""Inchit, Inc."""</f>
        <v>"NAV Direct","CRONUS JetCorp USA","18","5","228 Jackson Ave","6","","7","New York","8","Julius Deadwood","92","NY","35","US","91","11010","4","","2","Inchit, Inc."</v>
      </c>
      <c r="E10" s="8" t="str">
        <f>"Kaldar Asiman"</f>
        <v>Kaldar Asiman</v>
      </c>
      <c r="G10" s="8" t="str">
        <f>"Israfel Ravenblack"</f>
        <v>Israfel Ravenblack</v>
      </c>
      <c r="H10" s="8" t="s">
        <v>39</v>
      </c>
      <c r="I10" s="8" t="str">
        <f>"Julius Deadwood"</f>
        <v>Julius Deadwood</v>
      </c>
    </row>
    <row r="11" spans="1:9" x14ac:dyDescent="0.2">
      <c r="A11" s="9"/>
      <c r="B11" s="9"/>
      <c r="C11" s="9"/>
      <c r="D11" s="9"/>
      <c r="E11" s="8" t="str">
        <f>"Latexon, Inc."</f>
        <v>Latexon, Inc.</v>
      </c>
      <c r="G11" s="8" t="str">
        <f>"ISA Tech"</f>
        <v>ISA Tech</v>
      </c>
      <c r="H11" s="8" t="s">
        <v>39</v>
      </c>
      <c r="I11" s="8" t="str">
        <f>"Inchit, Inc."</f>
        <v>Inchit, Inc.</v>
      </c>
    </row>
    <row r="12" spans="1:9" x14ac:dyDescent="0.2">
      <c r="A12" s="9"/>
      <c r="B12" s="9"/>
      <c r="C12" s="9"/>
      <c r="D12" s="9"/>
      <c r="E12" s="8" t="str">
        <f>"22 Front Street "</f>
        <v xml:space="preserve">22 Front Street </v>
      </c>
      <c r="G12" s="8" t="str">
        <f>"88119 Vitae Spring Street "</f>
        <v xml:space="preserve">88119 Vitae Spring Street </v>
      </c>
      <c r="H12" s="8" t="s">
        <v>39</v>
      </c>
      <c r="I12" s="8" t="str">
        <f>"228 Jackson Ave "</f>
        <v xml:space="preserve">228 Jackson Ave </v>
      </c>
    </row>
    <row r="13" spans="1:9" x14ac:dyDescent="0.2">
      <c r="A13" s="9"/>
      <c r="B13" s="9"/>
      <c r="C13" s="9"/>
      <c r="D13" s="9"/>
      <c r="E13" s="8" t="str">
        <f>"New York, NY 11010"</f>
        <v>New York, NY 11010</v>
      </c>
      <c r="G13" s="8" t="str">
        <f>"New York, NY 11010"</f>
        <v>New York, NY 11010</v>
      </c>
      <c r="H13" s="8" t="s">
        <v>39</v>
      </c>
      <c r="I13" s="8" t="str">
        <f>"New York, NY 11010"</f>
        <v>New York, NY 11010</v>
      </c>
    </row>
    <row r="14" spans="1:9" ht="14.1" customHeight="1" x14ac:dyDescent="0.2">
      <c r="A14" s="9"/>
      <c r="B14" s="9"/>
      <c r="C14" s="9"/>
      <c r="D14" s="9"/>
      <c r="F14" s="8" t="s">
        <v>39</v>
      </c>
      <c r="H14" s="8" t="s">
        <v>39</v>
      </c>
    </row>
    <row r="15" spans="1:9" x14ac:dyDescent="0.2">
      <c r="A15" s="9"/>
      <c r="B15" s="9">
        <f>D9+1</f>
        <v>37</v>
      </c>
      <c r="C15" s="9">
        <f>B15+1</f>
        <v>38</v>
      </c>
      <c r="D15" s="9">
        <f>C15+1</f>
        <v>39</v>
      </c>
      <c r="F15" s="8" t="s">
        <v>39</v>
      </c>
      <c r="H15" s="8" t="s">
        <v>39</v>
      </c>
    </row>
    <row r="16" spans="1:9" x14ac:dyDescent="0.2">
      <c r="A16" s="9"/>
      <c r="B16" s="9" t="str">
        <f>"""NAV Direct"",""CRONUS JetCorp USA"",""18"",""5"",""33 Mildred Pl"",""6"","""",""7"",""Trenton"",""8"",""Sonia Bitter"",""92"",""NJ"",""35"",""US"",""91"",""11020"",""4"","""",""2"",""Tinfan"""</f>
        <v>"NAV Direct","CRONUS JetCorp USA","18","5","33 Mildred Pl","6","","7","Trenton","8","Sonia Bitter","92","NJ","35","US","91","11020","4","","2","Tinfan"</v>
      </c>
      <c r="C16" s="9" t="str">
        <f>"""NAV Direct"",""CRONUS JetCorp USA"",""18"",""5"",""44028 High Street"",""6"","""",""7"",""Trenton"",""8"",""Agon Silver"",""92"",""NJ"",""35"",""US"",""91"",""11020"",""4"","""",""2"",""Moveex"""</f>
        <v>"NAV Direct","CRONUS JetCorp USA","18","5","44028 High Street","6","","7","Trenton","8","Agon Silver","92","NJ","35","US","91","11020","4","","2","Moveex"</v>
      </c>
      <c r="D16" s="9" t="str">
        <f>"""NAV Direct"",""CRONUS JetCorp USA"",""18"",""5"",""220 Center Street"",""6"","""",""7"",""Jackson"",""8"",""Narisa Kensington"",""92"",""VA"",""35"",""US"",""91"",""29110"",""4"","""",""2"",""Roundron"""</f>
        <v>"NAV Direct","CRONUS JetCorp USA","18","5","220 Center Street","6","","7","Jackson","8","Narisa Kensington","92","VA","35","US","91","29110","4","","2","Roundron"</v>
      </c>
      <c r="E16" s="8" t="str">
        <f>"Sonia Bitter"</f>
        <v>Sonia Bitter</v>
      </c>
      <c r="G16" s="8" t="str">
        <f>"Agon Silver"</f>
        <v>Agon Silver</v>
      </c>
      <c r="H16" s="8" t="s">
        <v>39</v>
      </c>
      <c r="I16" s="8" t="str">
        <f>"Narisa Kensington"</f>
        <v>Narisa Kensington</v>
      </c>
    </row>
    <row r="17" spans="1:9" x14ac:dyDescent="0.2">
      <c r="A17" s="9"/>
      <c r="B17" s="9"/>
      <c r="C17" s="9"/>
      <c r="D17" s="9"/>
      <c r="E17" s="8" t="str">
        <f>"Tinfan"</f>
        <v>Tinfan</v>
      </c>
      <c r="G17" s="8" t="str">
        <f>"Moveex"</f>
        <v>Moveex</v>
      </c>
      <c r="H17" s="8" t="s">
        <v>39</v>
      </c>
      <c r="I17" s="8" t="str">
        <f>"Roundron"</f>
        <v>Roundron</v>
      </c>
    </row>
    <row r="18" spans="1:9" x14ac:dyDescent="0.2">
      <c r="A18" s="9"/>
      <c r="B18" s="9"/>
      <c r="C18" s="9"/>
      <c r="D18" s="9"/>
      <c r="E18" s="8" t="str">
        <f>"33 Mildred Pl "</f>
        <v xml:space="preserve">33 Mildred Pl </v>
      </c>
      <c r="G18" s="8" t="str">
        <f>"44028 High Street "</f>
        <v xml:space="preserve">44028 High Street </v>
      </c>
      <c r="H18" s="8" t="s">
        <v>39</v>
      </c>
      <c r="I18" s="8" t="str">
        <f>"220 Center Street "</f>
        <v xml:space="preserve">220 Center Street </v>
      </c>
    </row>
    <row r="19" spans="1:9" x14ac:dyDescent="0.2">
      <c r="A19" s="9"/>
      <c r="B19" s="9"/>
      <c r="C19" s="9"/>
      <c r="D19" s="9"/>
      <c r="E19" s="8" t="str">
        <f>"Trenton, NJ 11020"</f>
        <v>Trenton, NJ 11020</v>
      </c>
      <c r="G19" s="8" t="str">
        <f>"Trenton, NJ 11020"</f>
        <v>Trenton, NJ 11020</v>
      </c>
      <c r="H19" s="8" t="s">
        <v>39</v>
      </c>
      <c r="I19" s="8" t="str">
        <f>"Jackson, VA 29110"</f>
        <v>Jackson, VA 29110</v>
      </c>
    </row>
    <row r="20" spans="1:9" ht="14.1" customHeight="1" x14ac:dyDescent="0.2">
      <c r="A20" s="9"/>
      <c r="B20" s="9"/>
      <c r="C20" s="9"/>
      <c r="D20" s="9"/>
      <c r="F20" s="8" t="s">
        <v>39</v>
      </c>
      <c r="H20" s="8" t="s">
        <v>39</v>
      </c>
    </row>
    <row r="21" spans="1:9" x14ac:dyDescent="0.2">
      <c r="A21" s="9"/>
      <c r="B21" s="9">
        <f>D15+1</f>
        <v>40</v>
      </c>
      <c r="C21" s="9">
        <f>B21+1</f>
        <v>41</v>
      </c>
      <c r="D21" s="9">
        <f>C21+1</f>
        <v>42</v>
      </c>
      <c r="F21" s="8" t="s">
        <v>39</v>
      </c>
      <c r="H21" s="8" t="s">
        <v>39</v>
      </c>
    </row>
    <row r="22" spans="1:9" x14ac:dyDescent="0.2">
      <c r="A22" s="9"/>
      <c r="B22" s="9" t="str">
        <f>"""NAV Direct"",""CRONUS JetCorp USA"",""18"",""5"",""50 State Street"",""6"","""",""7"",""Emeryville"",""8"",""Edwina Stein"",""92"",""SC"",""35"",""US"",""91"",""29980"",""4"","""",""2"",""Saxon Technology"""</f>
        <v>"NAV Direct","CRONUS JetCorp USA","18","5","50 State Street","6","","7","Emeryville","8","Edwina Stein","92","SC","35","US","91","29980","4","","2","Saxon Technology"</v>
      </c>
      <c r="C22" s="9" t="str">
        <f>"""NAV Direct"",""CRONUS JetCorp USA"",""18"",""5"",""88 Oak Street"",""6"","""",""7"",""Emeryville"",""8"",""Dennis Eloy Cantu"",""92"",""SC"",""35"",""US"",""91"",""29980"",""4"","""",""2"",""Hotspot Systems"""</f>
        <v>"NAV Direct","CRONUS JetCorp USA","18","5","88 Oak Street","6","","7","Emeryville","8","Dennis Eloy Cantu","92","SC","35","US","91","29980","4","","2","Hotspot Systems"</v>
      </c>
      <c r="D22" s="9" t="str">
        <f>"""NAV Direct"",""CRONUS JetCorp USA"",""18"",""5"",""344 Maple Ave"",""6"","""",""7"",""Carlsburg"",""8"",""Freda Clifford Craft"",""92"",""VA"",""35"",""US"",""91"",""29110"",""4"","""",""2"",""Zumi's"""</f>
        <v>"NAV Direct","CRONUS JetCorp USA","18","5","344 Maple Ave","6","","7","Carlsburg","8","Freda Clifford Craft","92","VA","35","US","91","29110","4","","2","Zumi's"</v>
      </c>
      <c r="E22" s="8" t="str">
        <f>"Edwina Stein"</f>
        <v>Edwina Stein</v>
      </c>
      <c r="G22" s="8" t="str">
        <f>"Dennis Eloy Cantu"</f>
        <v>Dennis Eloy Cantu</v>
      </c>
      <c r="H22" s="8" t="s">
        <v>39</v>
      </c>
      <c r="I22" s="8" t="str">
        <f>"Freda Clifford Craft"</f>
        <v>Freda Clifford Craft</v>
      </c>
    </row>
    <row r="23" spans="1:9" x14ac:dyDescent="0.2">
      <c r="A23" s="9"/>
      <c r="B23" s="9"/>
      <c r="C23" s="9"/>
      <c r="D23" s="9"/>
      <c r="E23" s="8" t="str">
        <f>"Saxon Technology"</f>
        <v>Saxon Technology</v>
      </c>
      <c r="G23" s="8" t="str">
        <f>"Hotspot Systems"</f>
        <v>Hotspot Systems</v>
      </c>
      <c r="H23" s="8" t="s">
        <v>39</v>
      </c>
      <c r="I23" s="8" t="str">
        <f>"Zumi's"</f>
        <v>Zumi's</v>
      </c>
    </row>
    <row r="24" spans="1:9" x14ac:dyDescent="0.2">
      <c r="A24" s="9"/>
      <c r="B24" s="9"/>
      <c r="C24" s="9"/>
      <c r="D24" s="9"/>
      <c r="E24" s="8" t="str">
        <f>"50 State Street "</f>
        <v xml:space="preserve">50 State Street </v>
      </c>
      <c r="G24" s="8" t="str">
        <f>"88 Oak Street "</f>
        <v xml:space="preserve">88 Oak Street </v>
      </c>
      <c r="H24" s="8" t="s">
        <v>39</v>
      </c>
      <c r="I24" s="8" t="str">
        <f>"344 Maple Ave "</f>
        <v xml:space="preserve">344 Maple Ave </v>
      </c>
    </row>
    <row r="25" spans="1:9" x14ac:dyDescent="0.2">
      <c r="A25" s="9"/>
      <c r="B25" s="9"/>
      <c r="C25" s="9"/>
      <c r="D25" s="9"/>
      <c r="E25" s="8" t="str">
        <f>"Emeryville, SC 29980"</f>
        <v>Emeryville, SC 29980</v>
      </c>
      <c r="G25" s="8" t="str">
        <f>"Emeryville, SC 29980"</f>
        <v>Emeryville, SC 29980</v>
      </c>
      <c r="H25" s="8" t="s">
        <v>39</v>
      </c>
      <c r="I25" s="8" t="str">
        <f>"Carlsburg, VA 29110"</f>
        <v>Carlsburg, VA 29110</v>
      </c>
    </row>
    <row r="26" spans="1:9" ht="14.1" customHeight="1" x14ac:dyDescent="0.2">
      <c r="A26" s="9"/>
      <c r="B26" s="9"/>
      <c r="C26" s="9"/>
      <c r="D26" s="9"/>
      <c r="F26" s="8" t="s">
        <v>39</v>
      </c>
      <c r="H26" s="8" t="s">
        <v>39</v>
      </c>
    </row>
    <row r="27" spans="1:9" x14ac:dyDescent="0.2">
      <c r="A27" s="9"/>
      <c r="B27" s="9">
        <f>D21+1</f>
        <v>43</v>
      </c>
      <c r="C27" s="9">
        <f>B27+1</f>
        <v>44</v>
      </c>
      <c r="D27" s="9">
        <f>C27+1</f>
        <v>45</v>
      </c>
      <c r="F27" s="8" t="s">
        <v>39</v>
      </c>
      <c r="H27" s="8" t="s">
        <v>39</v>
      </c>
    </row>
    <row r="28" spans="1:9" x14ac:dyDescent="0.2">
      <c r="A28" s="9"/>
      <c r="B28" s="9" t="str">
        <f>"""NAV Direct"",""CRONUS JetCorp USA"",""18"",""5"",""4833 Ash Street"",""6"","""",""7"",""Carlsburg"",""8"",""Dee Pratt"",""92"",""VA"",""35"",""US"",""91"",""29110"",""4"","""",""2"",""First Bank"""</f>
        <v>"NAV Direct","CRONUS JetCorp USA","18","5","4833 Ash Street","6","","7","Carlsburg","8","Dee Pratt","92","VA","35","US","91","29110","4","","2","First Bank"</v>
      </c>
      <c r="C28" s="9" t="str">
        <f>"""NAV Direct"",""CRONUS JetCorp USA"",""18"",""5"",""23330 Davis Street"",""6"","""",""7"",""San Jose"",""8"",""Louisa Matthews"",""92"",""CA"",""35"",""US"",""91"",""90211"",""4"","""",""2"",""Odessy Sports"""</f>
        <v>"NAV Direct","CRONUS JetCorp USA","18","5","23330 Davis Street","6","","7","San Jose","8","Louisa Matthews","92","CA","35","US","91","90211","4","","2","Odessy Sports"</v>
      </c>
      <c r="D28" s="9" t="str">
        <f>"""NAV Direct"",""CRONUS JetCorp USA"",""18"",""5"",""449 Lancaster"",""6"","""",""7"",""San Jose"",""8"",""Imelda Hensley"",""92"",""CA"",""35"",""US"",""91"",""90211"",""4"","""",""2"",""Dantons"""</f>
        <v>"NAV Direct","CRONUS JetCorp USA","18","5","449 Lancaster","6","","7","San Jose","8","Imelda Hensley","92","CA","35","US","91","90211","4","","2","Dantons"</v>
      </c>
      <c r="E28" s="8" t="str">
        <f>"Dee Pratt"</f>
        <v>Dee Pratt</v>
      </c>
      <c r="G28" s="8" t="str">
        <f>"Louisa Matthews"</f>
        <v>Louisa Matthews</v>
      </c>
      <c r="H28" s="8" t="s">
        <v>39</v>
      </c>
      <c r="I28" s="8" t="str">
        <f>"Imelda Hensley"</f>
        <v>Imelda Hensley</v>
      </c>
    </row>
    <row r="29" spans="1:9" x14ac:dyDescent="0.2">
      <c r="A29" s="9"/>
      <c r="B29" s="9"/>
      <c r="C29" s="9"/>
      <c r="D29" s="9"/>
      <c r="E29" s="8" t="str">
        <f>"First Bank"</f>
        <v>First Bank</v>
      </c>
      <c r="G29" s="8" t="str">
        <f>"Odessy Sports"</f>
        <v>Odessy Sports</v>
      </c>
      <c r="H29" s="8" t="s">
        <v>39</v>
      </c>
      <c r="I29" s="8" t="str">
        <f>"Dantons"</f>
        <v>Dantons</v>
      </c>
    </row>
    <row r="30" spans="1:9" x14ac:dyDescent="0.2">
      <c r="A30" s="9"/>
      <c r="B30" s="9"/>
      <c r="C30" s="9"/>
      <c r="D30" s="9"/>
      <c r="E30" s="8" t="str">
        <f>"4833 Ash Street "</f>
        <v xml:space="preserve">4833 Ash Street </v>
      </c>
      <c r="G30" s="8" t="str">
        <f>"23330 Davis Street "</f>
        <v xml:space="preserve">23330 Davis Street </v>
      </c>
      <c r="H30" s="8" t="s">
        <v>39</v>
      </c>
      <c r="I30" s="8" t="str">
        <f>"449 Lancaster "</f>
        <v xml:space="preserve">449 Lancaster </v>
      </c>
    </row>
    <row r="31" spans="1:9" x14ac:dyDescent="0.2">
      <c r="A31" s="9"/>
      <c r="B31" s="9"/>
      <c r="C31" s="9"/>
      <c r="D31" s="9"/>
      <c r="E31" s="8" t="str">
        <f>"Carlsburg, VA 29110"</f>
        <v>Carlsburg, VA 29110</v>
      </c>
      <c r="G31" s="8" t="str">
        <f>"San Jose, CA 90211"</f>
        <v>San Jose, CA 90211</v>
      </c>
      <c r="H31" s="8" t="s">
        <v>39</v>
      </c>
      <c r="I31" s="8" t="str">
        <f>"San Jose, CA 90211"</f>
        <v>San Jose, CA 90211</v>
      </c>
    </row>
    <row r="32" spans="1:9" ht="14.1" customHeight="1" x14ac:dyDescent="0.2">
      <c r="A32" s="9"/>
      <c r="B32" s="9"/>
      <c r="C32" s="9"/>
      <c r="D32" s="9"/>
      <c r="F32" s="8" t="s">
        <v>39</v>
      </c>
      <c r="H32" s="8" t="s">
        <v>39</v>
      </c>
    </row>
    <row r="33" spans="1:9" x14ac:dyDescent="0.2">
      <c r="A33" s="9"/>
      <c r="B33" s="9">
        <f>D27+1</f>
        <v>46</v>
      </c>
      <c r="C33" s="9">
        <f>B33+1</f>
        <v>47</v>
      </c>
      <c r="D33" s="9">
        <f>C33+1</f>
        <v>48</v>
      </c>
      <c r="F33" s="8" t="s">
        <v>39</v>
      </c>
      <c r="H33" s="8" t="s">
        <v>39</v>
      </c>
    </row>
    <row r="34" spans="1:9" x14ac:dyDescent="0.2">
      <c r="A34" s="9"/>
      <c r="B34" s="9" t="str">
        <f>"""NAV Direct"",""CRONUS JetCorp USA"",""18"",""5"",""49911 Bushing Street"",""6"","""",""7"",""San Francisco"",""8"",""Denver Henson"",""92"",""CA"",""35"",""US"",""91"",""90211"",""4"","""",""2"",""Gamma Ray's"""</f>
        <v>"NAV Direct","CRONUS JetCorp USA","18","5","49911 Bushing Street","6","","7","San Francisco","8","Denver Henson","92","CA","35","US","91","90211","4","","2","Gamma Ray's"</v>
      </c>
      <c r="C34" s="9" t="str">
        <f>"""NAV Direct"",""CRONUS JetCorp USA"",""18"",""5"",""811 Rodeo Drive"",""6"","""",""7"",""Los Angeles"",""8"",""Denis Martin"",""92"",""CA"",""35"",""US"",""91"",""90211"",""4"","""",""2"",""Super Daves"""</f>
        <v>"NAV Direct","CRONUS JetCorp USA","18","5","811 Rodeo Drive","6","","7","Los Angeles","8","Denis Martin","92","CA","35","US","91","90211","4","","2","Super Daves"</v>
      </c>
      <c r="D34" s="9" t="str">
        <f>"""NAV Direct"",""CRONUS JetCorp USA"",""18"",""5"",""9117 Lynx Ave"",""6"","""",""7"",""Los Angeles"",""8"",""Arturo Bradshaw"",""92"",""CA"",""35"",""US"",""91"",""90211"",""4"","""",""2"",""Bargottis"""</f>
        <v>"NAV Direct","CRONUS JetCorp USA","18","5","9117 Lynx Ave","6","","7","Los Angeles","8","Arturo Bradshaw","92","CA","35","US","91","90211","4","","2","Bargottis"</v>
      </c>
      <c r="E34" s="8" t="str">
        <f>"Denver Henson"</f>
        <v>Denver Henson</v>
      </c>
      <c r="G34" s="8" t="str">
        <f>"Denis Martin"</f>
        <v>Denis Martin</v>
      </c>
      <c r="H34" s="8" t="s">
        <v>39</v>
      </c>
      <c r="I34" s="8" t="str">
        <f>"Arturo Bradshaw"</f>
        <v>Arturo Bradshaw</v>
      </c>
    </row>
    <row r="35" spans="1:9" x14ac:dyDescent="0.2">
      <c r="A35" s="9"/>
      <c r="B35" s="9"/>
      <c r="C35" s="9"/>
      <c r="D35" s="9"/>
      <c r="E35" s="8" t="str">
        <f>"Gamma Ray's"</f>
        <v>Gamma Ray's</v>
      </c>
      <c r="G35" s="8" t="str">
        <f>"Super Daves"</f>
        <v>Super Daves</v>
      </c>
      <c r="H35" s="8" t="s">
        <v>39</v>
      </c>
      <c r="I35" s="8" t="str">
        <f>"Bargottis"</f>
        <v>Bargottis</v>
      </c>
    </row>
    <row r="36" spans="1:9" x14ac:dyDescent="0.2">
      <c r="A36" s="9"/>
      <c r="B36" s="9"/>
      <c r="C36" s="9"/>
      <c r="D36" s="9"/>
      <c r="E36" s="8" t="str">
        <f>"49911 Bushing Street "</f>
        <v xml:space="preserve">49911 Bushing Street </v>
      </c>
      <c r="G36" s="8" t="str">
        <f>"811 Rodeo Drive "</f>
        <v xml:space="preserve">811 Rodeo Drive </v>
      </c>
      <c r="H36" s="8" t="s">
        <v>39</v>
      </c>
      <c r="I36" s="8" t="str">
        <f>"9117 Lynx Ave "</f>
        <v xml:space="preserve">9117 Lynx Ave </v>
      </c>
    </row>
    <row r="37" spans="1:9" x14ac:dyDescent="0.2">
      <c r="A37" s="9"/>
      <c r="B37" s="9"/>
      <c r="C37" s="9"/>
      <c r="D37" s="9"/>
      <c r="E37" s="8" t="str">
        <f>"San Francisco, CA 90211"</f>
        <v>San Francisco, CA 90211</v>
      </c>
      <c r="G37" s="8" t="str">
        <f>"Los Angeles, CA 90211"</f>
        <v>Los Angeles, CA 90211</v>
      </c>
      <c r="H37" s="8" t="s">
        <v>39</v>
      </c>
      <c r="I37" s="8" t="str">
        <f>"Los Angeles, CA 90211"</f>
        <v>Los Angeles, CA 90211</v>
      </c>
    </row>
    <row r="38" spans="1:9" ht="14.1" customHeight="1" x14ac:dyDescent="0.2">
      <c r="A38" s="9"/>
      <c r="B38" s="9"/>
      <c r="C38" s="9"/>
      <c r="D38" s="9"/>
      <c r="F38" s="8" t="s">
        <v>39</v>
      </c>
      <c r="H38" s="8" t="s">
        <v>39</v>
      </c>
    </row>
    <row r="39" spans="1:9" x14ac:dyDescent="0.2">
      <c r="A39" s="9"/>
      <c r="B39" s="9">
        <f>D33+1</f>
        <v>49</v>
      </c>
      <c r="C39" s="9">
        <f>B39+1</f>
        <v>50</v>
      </c>
      <c r="D39" s="9">
        <f>C39+1</f>
        <v>51</v>
      </c>
      <c r="F39" s="8" t="s">
        <v>39</v>
      </c>
      <c r="H39" s="8" t="s">
        <v>39</v>
      </c>
    </row>
    <row r="40" spans="1:9" x14ac:dyDescent="0.2">
      <c r="A40" s="9"/>
      <c r="B40" s="9" t="str">
        <f>"""NAV Direct"",""CRONUS JetCorp USA"",""18"",""5"",""338189 Burlingham Way"",""6"","""",""7"",""Los Angeles"",""8"",""Lola Allison Prince"",""92"",""CA"",""35"",""US"",""91"",""90211"",""4"","""",""2"",""MovieTime Entertainment"""</f>
        <v>"NAV Direct","CRONUS JetCorp USA","18","5","338189 Burlingham Way","6","","7","Los Angeles","8","Lola Allison Prince","92","CA","35","US","91","90211","4","","2","MovieTime Entertainment"</v>
      </c>
      <c r="C40" s="9" t="str">
        <f>"""NAV Direct"",""CRONUS JetCorp USA"",""18"",""5"",""9339 Stinger Street"",""6"","""",""7"",""Los Angeles"",""8"",""Olivia Mosley"",""92"",""CA"",""35"",""US"",""91"",""90211"",""4"","""",""2"",""Parvotis"""</f>
        <v>"NAV Direct","CRONUS JetCorp USA","18","5","9339 Stinger Street","6","","7","Los Angeles","8","Olivia Mosley","92","CA","35","US","91","90211","4","","2","Parvotis"</v>
      </c>
      <c r="D40" s="9" t="str">
        <f>"""NAV Direct"",""CRONUS JetCorp USA"",""18"",""5"",""2181 Bleu Ct."",""6"","""",""7"",""Los Angeles"",""8"",""Dolly Hicks"",""92"",""CA"",""35"",""US"",""91"",""90211"",""4"","""",""2"",""Blesmore Systems"""</f>
        <v>"NAV Direct","CRONUS JetCorp USA","18","5","2181 Bleu Ct.","6","","7","Los Angeles","8","Dolly Hicks","92","CA","35","US","91","90211","4","","2","Blesmore Systems"</v>
      </c>
      <c r="E40" s="8" t="str">
        <f>"Lola Allison Prince"</f>
        <v>Lola Allison Prince</v>
      </c>
      <c r="G40" s="8" t="str">
        <f>"Olivia Mosley"</f>
        <v>Olivia Mosley</v>
      </c>
      <c r="H40" s="8" t="s">
        <v>39</v>
      </c>
      <c r="I40" s="8" t="str">
        <f>"Dolly Hicks"</f>
        <v>Dolly Hicks</v>
      </c>
    </row>
    <row r="41" spans="1:9" x14ac:dyDescent="0.2">
      <c r="A41" s="9"/>
      <c r="B41" s="9"/>
      <c r="C41" s="9"/>
      <c r="D41" s="9"/>
      <c r="E41" s="8" t="str">
        <f>"MovieTime Entertainment"</f>
        <v>MovieTime Entertainment</v>
      </c>
      <c r="G41" s="8" t="str">
        <f>"Parvotis"</f>
        <v>Parvotis</v>
      </c>
      <c r="H41" s="8" t="s">
        <v>39</v>
      </c>
      <c r="I41" s="8" t="str">
        <f>"Blesmore Systems"</f>
        <v>Blesmore Systems</v>
      </c>
    </row>
    <row r="42" spans="1:9" x14ac:dyDescent="0.2">
      <c r="A42" s="9"/>
      <c r="B42" s="9"/>
      <c r="C42" s="9"/>
      <c r="D42" s="9"/>
      <c r="E42" s="8" t="str">
        <f>"338189 Burlingham Way "</f>
        <v xml:space="preserve">338189 Burlingham Way </v>
      </c>
      <c r="G42" s="8" t="str">
        <f>"9339 Stinger Street "</f>
        <v xml:space="preserve">9339 Stinger Street </v>
      </c>
      <c r="H42" s="8" t="s">
        <v>39</v>
      </c>
      <c r="I42" s="8" t="str">
        <f>"2181 Bleu Ct. "</f>
        <v xml:space="preserve">2181 Bleu Ct. </v>
      </c>
    </row>
    <row r="43" spans="1:9" x14ac:dyDescent="0.2">
      <c r="A43" s="9"/>
      <c r="B43" s="9"/>
      <c r="C43" s="9"/>
      <c r="D43" s="9"/>
      <c r="E43" s="8" t="str">
        <f>"Los Angeles, CA 90211"</f>
        <v>Los Angeles, CA 90211</v>
      </c>
      <c r="G43" s="8" t="str">
        <f>"Los Angeles, CA 90211"</f>
        <v>Los Angeles, CA 90211</v>
      </c>
      <c r="H43" s="8" t="s">
        <v>39</v>
      </c>
      <c r="I43" s="8" t="str">
        <f>"Los Angeles, CA 90211"</f>
        <v>Los Angeles, CA 90211</v>
      </c>
    </row>
    <row r="44" spans="1:9" ht="14.1" customHeight="1" x14ac:dyDescent="0.2">
      <c r="A44" s="9"/>
      <c r="B44" s="9"/>
      <c r="C44" s="9"/>
      <c r="D44" s="9"/>
      <c r="F44" s="8" t="s">
        <v>39</v>
      </c>
      <c r="H44" s="8" t="s">
        <v>39</v>
      </c>
    </row>
    <row r="45" spans="1:9" x14ac:dyDescent="0.2">
      <c r="A45" s="9"/>
      <c r="B45" s="9">
        <f>D39+1</f>
        <v>52</v>
      </c>
      <c r="C45" s="9">
        <f>B45+1</f>
        <v>53</v>
      </c>
      <c r="D45" s="9">
        <f>C45+1</f>
        <v>54</v>
      </c>
      <c r="F45" s="8" t="s">
        <v>39</v>
      </c>
      <c r="H45" s="8" t="s">
        <v>39</v>
      </c>
    </row>
    <row r="46" spans="1:9" x14ac:dyDescent="0.2">
      <c r="A46" s="9"/>
      <c r="B46" s="9" t="str">
        <f>"""NAV Direct"",""CRONUS JetCorp USA"",""18"",""5"",""219 Madison"",""6"","""",""7"",""Los Angeles"",""8"",""Seymour Jean Roman"",""92"",""CA"",""35"",""US"",""91"",""90211"",""4"","""",""2"",""Dicon Industries"""</f>
        <v>"NAV Direct","CRONUS JetCorp USA","18","5","219 Madison","6","","7","Los Angeles","8","Seymour Jean Roman","92","CA","35","US","91","90211","4","","2","Dicon Industries"</v>
      </c>
      <c r="C46" s="9" t="str">
        <f>"""NAV Direct"",""CRONUS JetCorp USA"",""18"",""5"",""222 B St"",""6"","""",""7"",""Bellingham"",""8"",""Michael Zeichel"",""92"",""WA"",""35"",""US"",""91"",""81260"",""4"","""",""2"",""Bob's Budget Trophies"""</f>
        <v>"NAV Direct","CRONUS JetCorp USA","18","5","222 B St","6","","7","Bellingham","8","Michael Zeichel","92","WA","35","US","91","81260","4","","2","Bob's Budget Trophies"</v>
      </c>
      <c r="D46" s="9" t="str">
        <f>"""NAV Direct"",""CRONUS JetCorp USA"",""18"",""5"",""102 Centro"",""6"","""",""7"",""Los Angeles"",""8"",""Susan Crown"",""92"",""CA"",""35"",""US"",""91"",""82685"",""4"","""",""2"",""Crown Trophy"""</f>
        <v>"NAV Direct","CRONUS JetCorp USA","18","5","102 Centro","6","","7","Los Angeles","8","Susan Crown","92","CA","35","US","91","82685","4","","2","Crown Trophy"</v>
      </c>
      <c r="E46" s="8" t="str">
        <f>"Seymour Jean Roman"</f>
        <v>Seymour Jean Roman</v>
      </c>
      <c r="G46" s="8" t="str">
        <f>"Michael Zeichel"</f>
        <v>Michael Zeichel</v>
      </c>
      <c r="H46" s="8" t="s">
        <v>39</v>
      </c>
      <c r="I46" s="8" t="str">
        <f>"Susan Crown"</f>
        <v>Susan Crown</v>
      </c>
    </row>
    <row r="47" spans="1:9" x14ac:dyDescent="0.2">
      <c r="A47" s="9"/>
      <c r="B47" s="9"/>
      <c r="C47" s="9"/>
      <c r="D47" s="9"/>
      <c r="E47" s="8" t="str">
        <f>"Dicon Industries"</f>
        <v>Dicon Industries</v>
      </c>
      <c r="G47" s="8" t="str">
        <f>"Bob's Budget Trophies"</f>
        <v>Bob's Budget Trophies</v>
      </c>
      <c r="H47" s="8" t="s">
        <v>39</v>
      </c>
      <c r="I47" s="8" t="str">
        <f>"Crown Trophy"</f>
        <v>Crown Trophy</v>
      </c>
    </row>
    <row r="48" spans="1:9" x14ac:dyDescent="0.2">
      <c r="A48" s="9"/>
      <c r="B48" s="9"/>
      <c r="C48" s="9"/>
      <c r="D48" s="9"/>
      <c r="E48" s="8" t="str">
        <f>"219 Madison "</f>
        <v xml:space="preserve">219 Madison </v>
      </c>
      <c r="G48" s="8" t="str">
        <f>"222 B St "</f>
        <v xml:space="preserve">222 B St </v>
      </c>
      <c r="H48" s="8" t="s">
        <v>39</v>
      </c>
      <c r="I48" s="8" t="str">
        <f>"102 Centro "</f>
        <v xml:space="preserve">102 Centro </v>
      </c>
    </row>
    <row r="49" spans="1:9" x14ac:dyDescent="0.2">
      <c r="A49" s="9"/>
      <c r="B49" s="9"/>
      <c r="C49" s="9"/>
      <c r="D49" s="9"/>
      <c r="E49" s="8" t="str">
        <f>"Los Angeles, CA 90211"</f>
        <v>Los Angeles, CA 90211</v>
      </c>
      <c r="G49" s="8" t="str">
        <f>"Bellingham, WA 81260"</f>
        <v>Bellingham, WA 81260</v>
      </c>
      <c r="H49" s="8" t="s">
        <v>39</v>
      </c>
      <c r="I49" s="8" t="str">
        <f>"Los Angeles, CA 82685"</f>
        <v>Los Angeles, CA 82685</v>
      </c>
    </row>
    <row r="50" spans="1:9" ht="14.1" customHeight="1" x14ac:dyDescent="0.2">
      <c r="A50" s="9"/>
      <c r="B50" s="9"/>
      <c r="C50" s="9"/>
      <c r="D50" s="9"/>
      <c r="F50" s="8" t="s">
        <v>39</v>
      </c>
      <c r="H50" s="8" t="s">
        <v>39</v>
      </c>
    </row>
    <row r="51" spans="1:9" x14ac:dyDescent="0.2">
      <c r="A51" s="9"/>
      <c r="B51" s="9">
        <f>D45+1</f>
        <v>55</v>
      </c>
      <c r="C51" s="9">
        <f>B51+1</f>
        <v>56</v>
      </c>
      <c r="D51" s="9">
        <f>C51+1</f>
        <v>57</v>
      </c>
      <c r="F51" s="8" t="s">
        <v>39</v>
      </c>
      <c r="H51" s="8" t="s">
        <v>39</v>
      </c>
    </row>
    <row r="52" spans="1:9" x14ac:dyDescent="0.2">
      <c r="A52" s="9"/>
      <c r="B52" s="9" t="str">
        <f>"""NAV Direct"",""CRONUS JetCorp USA"",""18"",""5"",""4598 North Bellmount Ave"",""6"","""",""7"",""Columbus"",""8"",""James Moore"",""92"",""GA"",""35"",""US"",""91"",""52417"",""4"","""",""2"",""BTS Trophies"""</f>
        <v>"NAV Direct","CRONUS JetCorp USA","18","5","4598 North Bellmount Ave","6","","7","Columbus","8","James Moore","92","GA","35","US","91","52417","4","","2","BTS Trophies"</v>
      </c>
      <c r="C52" s="9" t="str">
        <f>"""NAV Direct"",""CRONUS JetCorp USA"",""18"",""5"",""33129 Columbus AV"",""6"","""",""7"",""Los Angeles"",""8"",""Darmor Von Richter"",""92"",""CA"",""35"",""US"",""91"",""93164"",""4"","""",""2"",""Trophy House"""</f>
        <v>"NAV Direct","CRONUS JetCorp USA","18","5","33129 Columbus AV","6","","7","Los Angeles","8","Darmor Von Richter","92","CA","35","US","91","93164","4","","2","Trophy House"</v>
      </c>
      <c r="D52" s="9" t="str">
        <f>"""NAV Direct"",""CRONUS JetCorp USA"",""18"",""5"",""201 Mortonsen Ave"",""6"","""",""7"",""Tampa"",""8"",""Frau Karin Fleischer"",""92"",""FL"",""35"",""US"",""91"",""61702"",""4"","""",""2"",""King T"""</f>
        <v>"NAV Direct","CRONUS JetCorp USA","18","5","201 Mortonsen Ave","6","","7","Tampa","8","Frau Karin Fleischer","92","FL","35","US","91","61702","4","","2","King T"</v>
      </c>
      <c r="E52" s="8" t="str">
        <f>"James Moore"</f>
        <v>James Moore</v>
      </c>
      <c r="G52" s="8" t="str">
        <f>"Darmor Von Richter"</f>
        <v>Darmor Von Richter</v>
      </c>
      <c r="H52" s="8" t="s">
        <v>39</v>
      </c>
      <c r="I52" s="8" t="str">
        <f>"Frau Karin Fleischer"</f>
        <v>Frau Karin Fleischer</v>
      </c>
    </row>
    <row r="53" spans="1:9" x14ac:dyDescent="0.2">
      <c r="A53" s="9"/>
      <c r="B53" s="9"/>
      <c r="C53" s="9"/>
      <c r="D53" s="9"/>
      <c r="E53" s="8" t="str">
        <f>"BTS Trophies"</f>
        <v>BTS Trophies</v>
      </c>
      <c r="G53" s="8" t="str">
        <f>"Trophy House"</f>
        <v>Trophy House</v>
      </c>
      <c r="H53" s="8" t="s">
        <v>39</v>
      </c>
      <c r="I53" s="8" t="str">
        <f>"King T"</f>
        <v>King T</v>
      </c>
    </row>
    <row r="54" spans="1:9" x14ac:dyDescent="0.2">
      <c r="A54" s="9"/>
      <c r="B54" s="9"/>
      <c r="C54" s="9"/>
      <c r="D54" s="9"/>
      <c r="E54" s="8" t="str">
        <f>"4598 North Bellmount Ave "</f>
        <v xml:space="preserve">4598 North Bellmount Ave </v>
      </c>
      <c r="G54" s="8" t="str">
        <f>"33129 Columbus AV "</f>
        <v xml:space="preserve">33129 Columbus AV </v>
      </c>
      <c r="H54" s="8" t="s">
        <v>39</v>
      </c>
      <c r="I54" s="8" t="str">
        <f>"201 Mortonsen Ave "</f>
        <v xml:space="preserve">201 Mortonsen Ave </v>
      </c>
    </row>
    <row r="55" spans="1:9" x14ac:dyDescent="0.2">
      <c r="A55" s="9"/>
      <c r="B55" s="9"/>
      <c r="C55" s="9"/>
      <c r="D55" s="9"/>
      <c r="E55" s="8" t="str">
        <f>"Columbus, GA 52417"</f>
        <v>Columbus, GA 52417</v>
      </c>
      <c r="G55" s="8" t="str">
        <f>"Los Angeles, CA 93164"</f>
        <v>Los Angeles, CA 93164</v>
      </c>
      <c r="H55" s="8" t="s">
        <v>39</v>
      </c>
      <c r="I55" s="8" t="str">
        <f>"Tampa, FL 61702"</f>
        <v>Tampa, FL 61702</v>
      </c>
    </row>
    <row r="56" spans="1:9" ht="14.1" customHeight="1" x14ac:dyDescent="0.2">
      <c r="A56" s="9"/>
      <c r="B56" s="9"/>
      <c r="C56" s="9"/>
      <c r="D56" s="9"/>
      <c r="F56" s="8" t="s">
        <v>39</v>
      </c>
      <c r="H56" s="8" t="s">
        <v>39</v>
      </c>
    </row>
    <row r="57" spans="1:9" x14ac:dyDescent="0.2">
      <c r="A57" s="9"/>
      <c r="B57" s="9">
        <f>D51+1</f>
        <v>58</v>
      </c>
      <c r="C57" s="9">
        <f>B57+1</f>
        <v>59</v>
      </c>
      <c r="D57" s="9">
        <f>C57+1</f>
        <v>60</v>
      </c>
      <c r="F57" s="8" t="s">
        <v>39</v>
      </c>
      <c r="H57" s="8" t="s">
        <v>39</v>
      </c>
    </row>
    <row r="58" spans="1:9" x14ac:dyDescent="0.2">
      <c r="A58" s="9"/>
      <c r="B58" s="9" t="str">
        <f>"""NAV Direct"",""CRONUS JetCorp USA"",""18"",""5"",""331182 Center St."",""6"","""",""7"",""Nashville"",""8"",""Tyler Durden"",""92"",""TN"",""35"",""US"",""91"",""44743"",""4"","""",""2"",""American Specialties"""</f>
        <v>"NAV Direct","CRONUS JetCorp USA","18","5","331182 Center St.","6","","7","Nashville","8","Tyler Durden","92","TN","35","US","91","44743","4","","2","American Specialties"</v>
      </c>
      <c r="C58" s="9" t="str">
        <f>"""NAV Direct"",""CRONUS JetCorp USA"",""18"",""5"",""233 H Street"",""6"","""",""7"",""New York"",""8"",""Dink Winkerson"",""92"",""NY"",""35"",""US"",""91"",""51604"",""4"","""",""2"",""TK Outfitters"""</f>
        <v>"NAV Direct","CRONUS JetCorp USA","18","5","233 H Street","6","","7","New York","8","Dink Winkerson","92","NY","35","US","91","51604","4","","2","TK Outfitters"</v>
      </c>
      <c r="D58" s="9" t="str">
        <f>"""NAV Direct"",""CRONUS JetCorp USA"",""18"",""5"",""201 Diablo Ave"",""6"","""",""7"",""Tampa"",""8"",""Mike Davis"",""92"",""FL"",""35"",""US"",""91"",""58996"",""4"","""",""2"",""Wimingtons"""</f>
        <v>"NAV Direct","CRONUS JetCorp USA","18","5","201 Diablo Ave","6","","7","Tampa","8","Mike Davis","92","FL","35","US","91","58996","4","","2","Wimingtons"</v>
      </c>
      <c r="E58" s="8" t="str">
        <f>"Tyler Durden"</f>
        <v>Tyler Durden</v>
      </c>
      <c r="G58" s="8" t="str">
        <f>"Dink Winkerson"</f>
        <v>Dink Winkerson</v>
      </c>
      <c r="H58" s="8" t="s">
        <v>39</v>
      </c>
      <c r="I58" s="8" t="str">
        <f>"Mike Davis"</f>
        <v>Mike Davis</v>
      </c>
    </row>
    <row r="59" spans="1:9" x14ac:dyDescent="0.2">
      <c r="A59" s="9"/>
      <c r="B59" s="9"/>
      <c r="C59" s="9"/>
      <c r="D59" s="9"/>
      <c r="E59" s="8" t="str">
        <f>"American Specialties"</f>
        <v>American Specialties</v>
      </c>
      <c r="G59" s="8" t="str">
        <f>"TK Outfitters"</f>
        <v>TK Outfitters</v>
      </c>
      <c r="H59" s="8" t="s">
        <v>39</v>
      </c>
      <c r="I59" s="8" t="str">
        <f>"Wimingtons"</f>
        <v>Wimingtons</v>
      </c>
    </row>
    <row r="60" spans="1:9" x14ac:dyDescent="0.2">
      <c r="A60" s="9"/>
      <c r="B60" s="9"/>
      <c r="C60" s="9"/>
      <c r="D60" s="9"/>
      <c r="E60" s="8" t="str">
        <f>"331182 Center St. "</f>
        <v xml:space="preserve">331182 Center St. </v>
      </c>
      <c r="G60" s="8" t="str">
        <f>"233 H Street "</f>
        <v xml:space="preserve">233 H Street </v>
      </c>
      <c r="H60" s="8" t="s">
        <v>39</v>
      </c>
      <c r="I60" s="8" t="str">
        <f>"201 Diablo Ave "</f>
        <v xml:space="preserve">201 Diablo Ave </v>
      </c>
    </row>
    <row r="61" spans="1:9" x14ac:dyDescent="0.2">
      <c r="A61" s="9"/>
      <c r="B61" s="9"/>
      <c r="C61" s="9"/>
      <c r="D61" s="9"/>
      <c r="E61" s="8" t="str">
        <f>"Nashville, TN 44743"</f>
        <v>Nashville, TN 44743</v>
      </c>
      <c r="G61" s="8" t="str">
        <f>"New York, NY 51604"</f>
        <v>New York, NY 51604</v>
      </c>
      <c r="H61" s="8" t="s">
        <v>39</v>
      </c>
      <c r="I61" s="8" t="str">
        <f>"Tampa, FL 58996"</f>
        <v>Tampa, FL 58996</v>
      </c>
    </row>
    <row r="62" spans="1:9" x14ac:dyDescent="0.2">
      <c r="F62" s="8" t="s">
        <v>39</v>
      </c>
      <c r="H62" s="8" t="s">
        <v>39</v>
      </c>
    </row>
  </sheetData>
  <printOptions horizontalCentered="1" verticalCentered="1"/>
  <pageMargins left="0.2" right="0" top="0.5" bottom="0.25" header="0.3" footer="0"/>
  <pageSetup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showGridLines="0" topLeftCell="E4" zoomScale="160" zoomScaleNormal="160" workbookViewId="0"/>
  </sheetViews>
  <sheetFormatPr defaultColWidth="9.140625" defaultRowHeight="12" x14ac:dyDescent="0.2"/>
  <cols>
    <col min="1" max="1" width="2.85546875" style="8" hidden="1" customWidth="1"/>
    <col min="2" max="4" width="3.28515625" style="8" hidden="1" customWidth="1"/>
    <col min="5" max="5" width="32.7109375" style="8" customWidth="1"/>
    <col min="6" max="6" width="2.28515625" style="8" customWidth="1"/>
    <col min="7" max="7" width="32.7109375" style="8" customWidth="1"/>
    <col min="8" max="8" width="3.28515625" style="8" customWidth="1"/>
    <col min="9" max="9" width="32.7109375" style="8" customWidth="1"/>
    <col min="10" max="16384" width="9.140625" style="8"/>
  </cols>
  <sheetData>
    <row r="1" spans="1:9" hidden="1" x14ac:dyDescent="0.2">
      <c r="A1" s="9" t="s">
        <v>218</v>
      </c>
      <c r="B1" s="9" t="s">
        <v>0</v>
      </c>
      <c r="C1" s="9" t="s">
        <v>0</v>
      </c>
      <c r="D1" s="9" t="s">
        <v>0</v>
      </c>
      <c r="E1" s="9"/>
      <c r="F1" s="9" t="s">
        <v>39</v>
      </c>
      <c r="G1" s="9"/>
      <c r="H1" s="9" t="s">
        <v>39</v>
      </c>
      <c r="I1" s="9"/>
    </row>
    <row r="2" spans="1:9" hidden="1" x14ac:dyDescent="0.2">
      <c r="A2" s="9" t="s">
        <v>0</v>
      </c>
      <c r="B2" s="9"/>
      <c r="C2" s="9"/>
      <c r="D2" s="9"/>
      <c r="E2" s="9" t="s">
        <v>7</v>
      </c>
      <c r="F2" s="9" t="s">
        <v>39</v>
      </c>
      <c r="G2" s="9">
        <v>3</v>
      </c>
      <c r="H2" s="9" t="s">
        <v>39</v>
      </c>
      <c r="I2" s="9">
        <f>(G2*30)-29</f>
        <v>61</v>
      </c>
    </row>
    <row r="3" spans="1:9" hidden="1" x14ac:dyDescent="0.2">
      <c r="A3" s="9" t="s">
        <v>0</v>
      </c>
      <c r="B3" s="9">
        <f>I2</f>
        <v>61</v>
      </c>
      <c r="C3" s="9">
        <f>B3+1</f>
        <v>62</v>
      </c>
      <c r="D3" s="9">
        <f>C3+1</f>
        <v>63</v>
      </c>
      <c r="E3" s="9"/>
      <c r="F3" s="9" t="s">
        <v>39</v>
      </c>
      <c r="G3" s="9"/>
      <c r="H3" s="9" t="s">
        <v>39</v>
      </c>
      <c r="I3" s="9"/>
    </row>
    <row r="4" spans="1:9" x14ac:dyDescent="0.2">
      <c r="A4" s="9"/>
      <c r="B4" s="9" t="str">
        <f>"""NAV Direct"",""CRONUS JetCorp USA"",""18"",""5"",""3312 First St."",""6"","""",""7"",""Denver"",""8"",""Mark Mailstrom"",""92"",""CO"",""35"",""US"",""91"",""75944"",""4"","""",""2"",""KNB Trophies"""</f>
        <v>"NAV Direct","CRONUS JetCorp USA","18","5","3312 First St.","6","","7","Denver","8","Mark Mailstrom","92","CO","35","US","91","75944","4","","2","KNB Trophies"</v>
      </c>
      <c r="C4" s="9" t="str">
        <f>"""NAV Direct"",""CRONUS JetCorp USA"",""18"",""5"",""23223 Oak Ave"",""6"","""",""7"",""Memphis"",""8"",""JB Salenges"",""92"",""TN"",""35"",""US"",""91"",""61366"",""4"","""",""2"",""Birmingham Supply"""</f>
        <v>"NAV Direct","CRONUS JetCorp USA","18","5","23223 Oak Ave","6","","7","Memphis","8","JB Salenges","92","TN","35","US","91","61366","4","","2","Birmingham Supply"</v>
      </c>
      <c r="D4" s="9" t="str">
        <f>"""NAV Direct"",""CRONUS JetCorp USA"",""18"",""5"",""23 Elkhorn Ave."",""6"","""",""7"",""Deluth"",""8"",""Elizabeth Griff"",""92"",""MN"",""35"",""US"",""91"",""35228"",""4"","""",""2"",""Columbus Party Supplies"""</f>
        <v>"NAV Direct","CRONUS JetCorp USA","18","5","23 Elkhorn Ave.","6","","7","Deluth","8","Elizabeth Griff","92","MN","35","US","91","35228","4","","2","Columbus Party Supplies"</v>
      </c>
      <c r="E4" s="8" t="str">
        <f>"Mark Mailstrom"</f>
        <v>Mark Mailstrom</v>
      </c>
      <c r="G4" s="8" t="str">
        <f>"JB Salenges"</f>
        <v>JB Salenges</v>
      </c>
      <c r="H4" s="8" t="s">
        <v>39</v>
      </c>
      <c r="I4" s="8" t="str">
        <f>"Elizabeth Griff"</f>
        <v>Elizabeth Griff</v>
      </c>
    </row>
    <row r="5" spans="1:9" x14ac:dyDescent="0.2">
      <c r="A5" s="9"/>
      <c r="B5" s="9"/>
      <c r="C5" s="9"/>
      <c r="D5" s="9"/>
      <c r="E5" s="8" t="str">
        <f>"KNB Trophies"</f>
        <v>KNB Trophies</v>
      </c>
      <c r="G5" s="8" t="str">
        <f>"Birmingham Supply"</f>
        <v>Birmingham Supply</v>
      </c>
      <c r="H5" s="8" t="s">
        <v>39</v>
      </c>
      <c r="I5" s="8" t="str">
        <f>"Columbus Party Supplies"</f>
        <v>Columbus Party Supplies</v>
      </c>
    </row>
    <row r="6" spans="1:9" x14ac:dyDescent="0.2">
      <c r="A6" s="9"/>
      <c r="B6" s="9"/>
      <c r="C6" s="9"/>
      <c r="D6" s="9"/>
      <c r="E6" s="8" t="str">
        <f>"3312 First St. "</f>
        <v xml:space="preserve">3312 First St. </v>
      </c>
      <c r="G6" s="8" t="str">
        <f>"23223 Oak Ave "</f>
        <v xml:space="preserve">23223 Oak Ave </v>
      </c>
      <c r="H6" s="8" t="s">
        <v>39</v>
      </c>
      <c r="I6" s="8" t="str">
        <f>"23 Elkhorn Ave. "</f>
        <v xml:space="preserve">23 Elkhorn Ave. </v>
      </c>
    </row>
    <row r="7" spans="1:9" ht="12.95" customHeight="1" x14ac:dyDescent="0.2">
      <c r="A7" s="9"/>
      <c r="B7" s="9"/>
      <c r="C7" s="9"/>
      <c r="D7" s="9"/>
      <c r="E7" s="8" t="str">
        <f>"Denver, CO 75944"</f>
        <v>Denver, CO 75944</v>
      </c>
      <c r="G7" s="8" t="str">
        <f>"Memphis, TN 61366"</f>
        <v>Memphis, TN 61366</v>
      </c>
      <c r="H7" s="8" t="s">
        <v>39</v>
      </c>
      <c r="I7" s="8" t="str">
        <f>"Deluth, MN 35228"</f>
        <v>Deluth, MN 35228</v>
      </c>
    </row>
    <row r="8" spans="1:9" ht="14.1" customHeight="1" x14ac:dyDescent="0.2">
      <c r="A8" s="9"/>
      <c r="B8" s="9"/>
      <c r="C8" s="9"/>
      <c r="D8" s="9"/>
      <c r="F8" s="8" t="s">
        <v>39</v>
      </c>
      <c r="H8" s="8" t="s">
        <v>39</v>
      </c>
    </row>
    <row r="9" spans="1:9" x14ac:dyDescent="0.2">
      <c r="A9" s="9"/>
      <c r="B9" s="9">
        <f>D3+1</f>
        <v>64</v>
      </c>
      <c r="C9" s="9">
        <f>B9+1</f>
        <v>65</v>
      </c>
      <c r="D9" s="9">
        <f>C9+1</f>
        <v>66</v>
      </c>
      <c r="F9" s="8" t="s">
        <v>39</v>
      </c>
      <c r="H9" s="8" t="s">
        <v>39</v>
      </c>
    </row>
    <row r="10" spans="1:9" x14ac:dyDescent="0.2">
      <c r="A10" s="9"/>
      <c r="B10" s="9" t="str">
        <f>"""NAV Direct"",""CRONUS JetCorp USA"",""18"",""5"",""100 Pensylvania Ave"",""6"","""",""7"",""Washington"",""8"",""Jdamian"",""92"",""DC"",""35"",""US"",""91"",""35451"",""4"","""",""2"",""Joe Mammas"""</f>
        <v>"NAV Direct","CRONUS JetCorp USA","18","5","100 Pensylvania Ave","6","","7","Washington","8","Jdamian","92","DC","35","US","91","35451","4","","2","Joe Mammas"</v>
      </c>
      <c r="C10" s="9" t="str">
        <f>"""NAV Direct"",""CRONUS JetCorp USA"",""18"",""5"",""1221 Centennial Ave"",""6"","""",""7"",""Dallas"",""8"",""Joan Franze"",""92"",""TX"",""35"",""US"",""91"",""69780"",""4"","""",""2"",""Renslingers"""</f>
        <v>"NAV Direct","CRONUS JetCorp USA","18","5","1221 Centennial Ave","6","","7","Dallas","8","Joan Franze","92","TX","35","US","91","69780","4","","2","Renslingers"</v>
      </c>
      <c r="D10" s="9" t="str">
        <f>"""NAV Direct"",""CRONUS JetCorp USA"",""18"",""5"",""12331 Church St."",""6"","""",""7"",""Fort Worth"",""8"",""Billy Bob Horton"",""92"",""TX"",""35"",""US"",""91"",""99223"",""4"","""",""2"",""Wonder Trophy"""</f>
        <v>"NAV Direct","CRONUS JetCorp USA","18","5","12331 Church St.","6","","7","Fort Worth","8","Billy Bob Horton","92","TX","35","US","91","99223","4","","2","Wonder Trophy"</v>
      </c>
      <c r="E10" s="8" t="str">
        <f>"Jdamian"</f>
        <v>Jdamian</v>
      </c>
      <c r="G10" s="8" t="str">
        <f>"Joan Franze"</f>
        <v>Joan Franze</v>
      </c>
      <c r="H10" s="8" t="s">
        <v>39</v>
      </c>
      <c r="I10" s="8" t="str">
        <f>"Billy Bob Horton"</f>
        <v>Billy Bob Horton</v>
      </c>
    </row>
    <row r="11" spans="1:9" x14ac:dyDescent="0.2">
      <c r="A11" s="9"/>
      <c r="B11" s="9"/>
      <c r="C11" s="9"/>
      <c r="D11" s="9"/>
      <c r="E11" s="8" t="str">
        <f>"Joe Mammas"</f>
        <v>Joe Mammas</v>
      </c>
      <c r="G11" s="8" t="str">
        <f>"Renslingers"</f>
        <v>Renslingers</v>
      </c>
      <c r="H11" s="8" t="s">
        <v>39</v>
      </c>
      <c r="I11" s="8" t="str">
        <f>"Wonder Trophy"</f>
        <v>Wonder Trophy</v>
      </c>
    </row>
    <row r="12" spans="1:9" x14ac:dyDescent="0.2">
      <c r="A12" s="9"/>
      <c r="B12" s="9"/>
      <c r="C12" s="9"/>
      <c r="D12" s="9"/>
      <c r="E12" s="8" t="str">
        <f>"100 Pensylvania Ave "</f>
        <v xml:space="preserve">100 Pensylvania Ave </v>
      </c>
      <c r="G12" s="8" t="str">
        <f>"1221 Centennial Ave "</f>
        <v xml:space="preserve">1221 Centennial Ave </v>
      </c>
      <c r="H12" s="8" t="s">
        <v>39</v>
      </c>
      <c r="I12" s="8" t="str">
        <f>"12331 Church St. "</f>
        <v xml:space="preserve">12331 Church St. </v>
      </c>
    </row>
    <row r="13" spans="1:9" x14ac:dyDescent="0.2">
      <c r="A13" s="9"/>
      <c r="B13" s="9"/>
      <c r="C13" s="9"/>
      <c r="D13" s="9"/>
      <c r="E13" s="8" t="str">
        <f>"Washington, DC 35451"</f>
        <v>Washington, DC 35451</v>
      </c>
      <c r="G13" s="8" t="str">
        <f>"Dallas, TX 69780"</f>
        <v>Dallas, TX 69780</v>
      </c>
      <c r="H13" s="8" t="s">
        <v>39</v>
      </c>
      <c r="I13" s="8" t="str">
        <f>"Fort Worth, TX 99223"</f>
        <v>Fort Worth, TX 99223</v>
      </c>
    </row>
    <row r="14" spans="1:9" ht="14.1" customHeight="1" x14ac:dyDescent="0.2">
      <c r="A14" s="9"/>
      <c r="B14" s="9"/>
      <c r="C14" s="9"/>
      <c r="D14" s="9"/>
      <c r="F14" s="8" t="s">
        <v>39</v>
      </c>
      <c r="H14" s="8" t="s">
        <v>39</v>
      </c>
    </row>
    <row r="15" spans="1:9" x14ac:dyDescent="0.2">
      <c r="A15" s="9"/>
      <c r="B15" s="9">
        <f>D9+1</f>
        <v>67</v>
      </c>
      <c r="C15" s="9">
        <f>B15+1</f>
        <v>68</v>
      </c>
      <c r="D15" s="9">
        <f>C15+1</f>
        <v>69</v>
      </c>
      <c r="F15" s="8" t="s">
        <v>39</v>
      </c>
      <c r="H15" s="8" t="s">
        <v>39</v>
      </c>
    </row>
    <row r="16" spans="1:9" x14ac:dyDescent="0.2">
      <c r="A16" s="9"/>
      <c r="B16" s="9" t="str">
        <f>"""NAV Direct"",""CRONUS JetCorp USA"",""18"",""5"",""22 Forester Rd."",""6"","""",""7"",""Deluth"",""8"",""Susan B. Anthony"",""92"",""MN"",""35"",""US"",""91"",""29906"",""4"","""",""2"",""Bstrokes Trophy"""</f>
        <v>"NAV Direct","CRONUS JetCorp USA","18","5","22 Forester Rd.","6","","7","Deluth","8","Susan B. Anthony","92","MN","35","US","91","29906","4","","2","Bstrokes Trophy"</v>
      </c>
      <c r="C16" s="9" t="str">
        <f>"""NAV Direct"",""CRONUS JetCorp USA"",""18"",""5"",""333 Dalmation St."",""6"","""",""7"",""Atlanta"",""8"",""Blake Griffith"",""92"",""GA"",""35"",""US"",""91"",""21613"",""4"","""",""2"",""Carlton's"""</f>
        <v>"NAV Direct","CRONUS JetCorp USA","18","5","333 Dalmation St.","6","","7","Atlanta","8","Blake Griffith","92","GA","35","US","91","21613","4","","2","Carlton's"</v>
      </c>
      <c r="D16" s="9" t="str">
        <f>"""NAV Direct"",""CRONUS JetCorp USA"",""18"",""5"",""4391 """"D"""" St."",""6"","""",""7"",""Los Angeles"",""8"",""Sara Whind"",""92"",""CA"",""35"",""US"",""91"",""21639"",""4"","""",""2"",""Bing &amp; Co"""</f>
        <v>"NAV Direct","CRONUS JetCorp USA","18","5","4391 ""D"" St.","6","","7","Los Angeles","8","Sara Whind","92","CA","35","US","91","21639","4","","2","Bing &amp; Co"</v>
      </c>
      <c r="E16" s="8" t="str">
        <f>"Susan B. Anthony"</f>
        <v>Susan B. Anthony</v>
      </c>
      <c r="G16" s="8" t="str">
        <f>"Blake Griffith"</f>
        <v>Blake Griffith</v>
      </c>
      <c r="H16" s="8" t="s">
        <v>39</v>
      </c>
      <c r="I16" s="8" t="str">
        <f>"Sara Whind"</f>
        <v>Sara Whind</v>
      </c>
    </row>
    <row r="17" spans="1:9" x14ac:dyDescent="0.2">
      <c r="A17" s="9"/>
      <c r="B17" s="9"/>
      <c r="C17" s="9"/>
      <c r="D17" s="9"/>
      <c r="E17" s="8" t="str">
        <f>"Bstrokes Trophy"</f>
        <v>Bstrokes Trophy</v>
      </c>
      <c r="G17" s="8" t="str">
        <f>"Carlton's"</f>
        <v>Carlton's</v>
      </c>
      <c r="H17" s="8" t="s">
        <v>39</v>
      </c>
      <c r="I17" s="8" t="str">
        <f>"Bing &amp; Co"</f>
        <v>Bing &amp; Co</v>
      </c>
    </row>
    <row r="18" spans="1:9" x14ac:dyDescent="0.2">
      <c r="A18" s="9"/>
      <c r="B18" s="9"/>
      <c r="C18" s="9"/>
      <c r="D18" s="9"/>
      <c r="E18" s="8" t="str">
        <f>"22 Forester Rd. "</f>
        <v xml:space="preserve">22 Forester Rd. </v>
      </c>
      <c r="G18" s="8" t="str">
        <f>"333 Dalmation St. "</f>
        <v xml:space="preserve">333 Dalmation St. </v>
      </c>
      <c r="H18" s="8" t="s">
        <v>39</v>
      </c>
      <c r="I18" s="8" t="str">
        <f>"4391 ""D"" St. "</f>
        <v xml:space="preserve">4391 "D" St. </v>
      </c>
    </row>
    <row r="19" spans="1:9" x14ac:dyDescent="0.2">
      <c r="A19" s="9"/>
      <c r="B19" s="9"/>
      <c r="C19" s="9"/>
      <c r="D19" s="9"/>
      <c r="E19" s="8" t="str">
        <f>"Deluth, MN 29906"</f>
        <v>Deluth, MN 29906</v>
      </c>
      <c r="G19" s="8" t="str">
        <f>"Atlanta, GA 21613"</f>
        <v>Atlanta, GA 21613</v>
      </c>
      <c r="H19" s="8" t="s">
        <v>39</v>
      </c>
      <c r="I19" s="8" t="str">
        <f>"Los Angeles, CA 21639"</f>
        <v>Los Angeles, CA 21639</v>
      </c>
    </row>
    <row r="20" spans="1:9" ht="14.1" customHeight="1" x14ac:dyDescent="0.2">
      <c r="A20" s="9"/>
      <c r="B20" s="9"/>
      <c r="C20" s="9"/>
      <c r="D20" s="9"/>
      <c r="F20" s="8" t="s">
        <v>39</v>
      </c>
      <c r="H20" s="8" t="s">
        <v>39</v>
      </c>
    </row>
    <row r="21" spans="1:9" x14ac:dyDescent="0.2">
      <c r="A21" s="9"/>
      <c r="B21" s="9">
        <f>D15+1</f>
        <v>70</v>
      </c>
      <c r="C21" s="9">
        <f>B21+1</f>
        <v>71</v>
      </c>
      <c r="D21" s="9">
        <f>C21+1</f>
        <v>72</v>
      </c>
      <c r="F21" s="8" t="s">
        <v>39</v>
      </c>
      <c r="H21" s="8" t="s">
        <v>39</v>
      </c>
    </row>
    <row r="22" spans="1:9" x14ac:dyDescent="0.2">
      <c r="A22" s="9"/>
      <c r="B22" s="9" t="str">
        <f>"""NAV Direct"",""CRONUS JetCorp USA"",""18"",""5"",""449911 South Ave."",""6"","""",""7"",""Eugene"",""8"",""B. Shoemaker"",""92"",""OR"",""35"",""US"",""91"",""70560"",""4"","""",""2"",""Twirlers"""</f>
        <v>"NAV Direct","CRONUS JetCorp USA","18","5","449911 South Ave.","6","","7","Eugene","8","B. Shoemaker","92","OR","35","US","91","70560","4","","2","Twirlers"</v>
      </c>
      <c r="C22" s="9" t="str">
        <f>"""NAV Direct"",""CRONUS JetCorp USA"",""18"",""5"",""22 Second Ave"",""6"","""",""7"",""Portland"",""8"",""Dianna Saxford"",""92"",""OR"",""35"",""US"",""91"",""80912"",""4"","""",""2"",""Saxford &amp; Daughters"""</f>
        <v>"NAV Direct","CRONUS JetCorp USA","18","5","22 Second Ave","6","","7","Portland","8","Dianna Saxford","92","OR","35","US","91","80912","4","","2","Saxford &amp; Daughters"</v>
      </c>
      <c r="D22" s="9" t="str">
        <f>"""NAV Direct"",""CRONUS JetCorp USA"",""18"",""5"",""330 Multnomah Blvd."",""6"","""",""7"",""Portland"",""8"",""Bill Bluss"",""92"",""OR"",""35"",""US"",""91"",""40649"",""4"","""",""2"",""Jgems"""</f>
        <v>"NAV Direct","CRONUS JetCorp USA","18","5","330 Multnomah Blvd.","6","","7","Portland","8","Bill Bluss","92","OR","35","US","91","40649","4","","2","Jgems"</v>
      </c>
      <c r="E22" s="8" t="str">
        <f>"B. Shoemaker"</f>
        <v>B. Shoemaker</v>
      </c>
      <c r="G22" s="8" t="str">
        <f>"Dianna Saxford"</f>
        <v>Dianna Saxford</v>
      </c>
      <c r="H22" s="8" t="s">
        <v>39</v>
      </c>
      <c r="I22" s="8" t="str">
        <f>"Bill Bluss"</f>
        <v>Bill Bluss</v>
      </c>
    </row>
    <row r="23" spans="1:9" x14ac:dyDescent="0.2">
      <c r="A23" s="9"/>
      <c r="B23" s="9"/>
      <c r="C23" s="9"/>
      <c r="D23" s="9"/>
      <c r="E23" s="8" t="str">
        <f>"Twirlers"</f>
        <v>Twirlers</v>
      </c>
      <c r="G23" s="8" t="str">
        <f>"Saxford &amp; Daughters"</f>
        <v>Saxford &amp; Daughters</v>
      </c>
      <c r="H23" s="8" t="s">
        <v>39</v>
      </c>
      <c r="I23" s="8" t="str">
        <f>"Jgems"</f>
        <v>Jgems</v>
      </c>
    </row>
    <row r="24" spans="1:9" x14ac:dyDescent="0.2">
      <c r="A24" s="9"/>
      <c r="B24" s="9"/>
      <c r="C24" s="9"/>
      <c r="D24" s="9"/>
      <c r="E24" s="8" t="str">
        <f>"449911 South Ave. "</f>
        <v xml:space="preserve">449911 South Ave. </v>
      </c>
      <c r="G24" s="8" t="str">
        <f>"22 Second Ave "</f>
        <v xml:space="preserve">22 Second Ave </v>
      </c>
      <c r="H24" s="8" t="s">
        <v>39</v>
      </c>
      <c r="I24" s="8" t="str">
        <f>"330 Multnomah Blvd. "</f>
        <v xml:space="preserve">330 Multnomah Blvd. </v>
      </c>
    </row>
    <row r="25" spans="1:9" x14ac:dyDescent="0.2">
      <c r="A25" s="9"/>
      <c r="B25" s="9"/>
      <c r="C25" s="9"/>
      <c r="D25" s="9"/>
      <c r="E25" s="8" t="str">
        <f>"Eugene, OR 70560"</f>
        <v>Eugene, OR 70560</v>
      </c>
      <c r="G25" s="8" t="str">
        <f>"Portland, OR 80912"</f>
        <v>Portland, OR 80912</v>
      </c>
      <c r="H25" s="8" t="s">
        <v>39</v>
      </c>
      <c r="I25" s="8" t="str">
        <f>"Portland, OR 40649"</f>
        <v>Portland, OR 40649</v>
      </c>
    </row>
    <row r="26" spans="1:9" ht="14.1" customHeight="1" x14ac:dyDescent="0.2">
      <c r="A26" s="9"/>
      <c r="B26" s="9"/>
      <c r="C26" s="9"/>
      <c r="D26" s="9"/>
      <c r="F26" s="8" t="s">
        <v>39</v>
      </c>
      <c r="H26" s="8" t="s">
        <v>39</v>
      </c>
    </row>
    <row r="27" spans="1:9" x14ac:dyDescent="0.2">
      <c r="A27" s="9"/>
      <c r="B27" s="9">
        <f>D21+1</f>
        <v>73</v>
      </c>
      <c r="C27" s="9">
        <f>B27+1</f>
        <v>74</v>
      </c>
      <c r="D27" s="9">
        <f>C27+1</f>
        <v>75</v>
      </c>
      <c r="F27" s="8" t="s">
        <v>39</v>
      </c>
      <c r="H27" s="8" t="s">
        <v>39</v>
      </c>
    </row>
    <row r="28" spans="1:9" x14ac:dyDescent="0.2">
      <c r="A28" s="9"/>
      <c r="B28" s="9" t="str">
        <f>"""NAV Direct"",""CRONUS JetCorp USA"",""18"",""5"",""48190 South Park Ave"",""6"","""",""7"",""San Francisco"",""8"",""Evana Dolittle"",""92"",""CA"",""35"",""US"",""91"",""47888"",""4"","""",""2"",""Tarmax"""</f>
        <v>"NAV Direct","CRONUS JetCorp USA","18","5","48190 South Park Ave","6","","7","San Francisco","8","Evana Dolittle","92","CA","35","US","91","47888","4","","2","Tarmax"</v>
      </c>
      <c r="C28" s="9" t="str">
        <f>"""NAV Direct"",""CRONUS JetCorp USA"",""18"",""5"",""330 F Street"",""6"","""",""7"",""Deluth"",""8"",""Steve Austin"",""92"",""MN"",""35"",""US"",""91"",""74179"",""4"","""",""2"",""Tarmingtons"""</f>
        <v>"NAV Direct","CRONUS JetCorp USA","18","5","330 F Street","6","","7","Deluth","8","Steve Austin","92","MN","35","US","91","74179","4","","2","Tarmingtons"</v>
      </c>
      <c r="D28" s="9" t="str">
        <f>"""NAV Direct"",""CRONUS JetCorp USA"",""18"",""5"",""2200 Center Blvd."",""6"","""",""7"",""Las Vegas"",""8"",""Stan Stan"",""92"",""NV"",""35"",""US"",""91"",""74180"",""4"","""",""2"",""Stan's Trophies"""</f>
        <v>"NAV Direct","CRONUS JetCorp USA","18","5","2200 Center Blvd.","6","","7","Las Vegas","8","Stan Stan","92","NV","35","US","91","74180","4","","2","Stan's Trophies"</v>
      </c>
      <c r="E28" s="8" t="str">
        <f>"Evana Dolittle"</f>
        <v>Evana Dolittle</v>
      </c>
      <c r="G28" s="8" t="str">
        <f>"Steve Austin"</f>
        <v>Steve Austin</v>
      </c>
      <c r="H28" s="8" t="s">
        <v>39</v>
      </c>
      <c r="I28" s="8" t="str">
        <f>"Stan Stan"</f>
        <v>Stan Stan</v>
      </c>
    </row>
    <row r="29" spans="1:9" x14ac:dyDescent="0.2">
      <c r="A29" s="9"/>
      <c r="B29" s="9"/>
      <c r="C29" s="9"/>
      <c r="D29" s="9"/>
      <c r="E29" s="8" t="str">
        <f>"Tarmax"</f>
        <v>Tarmax</v>
      </c>
      <c r="G29" s="8" t="str">
        <f>"Tarmingtons"</f>
        <v>Tarmingtons</v>
      </c>
      <c r="H29" s="8" t="s">
        <v>39</v>
      </c>
      <c r="I29" s="8" t="str">
        <f>"Stan's Trophies"</f>
        <v>Stan's Trophies</v>
      </c>
    </row>
    <row r="30" spans="1:9" x14ac:dyDescent="0.2">
      <c r="A30" s="9"/>
      <c r="B30" s="9"/>
      <c r="C30" s="9"/>
      <c r="D30" s="9"/>
      <c r="E30" s="8" t="str">
        <f>"48190 South Park Ave "</f>
        <v xml:space="preserve">48190 South Park Ave </v>
      </c>
      <c r="G30" s="8" t="str">
        <f>"330 F Street "</f>
        <v xml:space="preserve">330 F Street </v>
      </c>
      <c r="H30" s="8" t="s">
        <v>39</v>
      </c>
      <c r="I30" s="8" t="str">
        <f>"2200 Center Blvd. "</f>
        <v xml:space="preserve">2200 Center Blvd. </v>
      </c>
    </row>
    <row r="31" spans="1:9" x14ac:dyDescent="0.2">
      <c r="A31" s="9"/>
      <c r="B31" s="9"/>
      <c r="C31" s="9"/>
      <c r="D31" s="9"/>
      <c r="E31" s="8" t="str">
        <f>"San Francisco, CA 47888"</f>
        <v>San Francisco, CA 47888</v>
      </c>
      <c r="G31" s="8" t="str">
        <f>"Deluth, MN 74179"</f>
        <v>Deluth, MN 74179</v>
      </c>
      <c r="H31" s="8" t="s">
        <v>39</v>
      </c>
      <c r="I31" s="8" t="str">
        <f>"Las Vegas, NV 74180"</f>
        <v>Las Vegas, NV 74180</v>
      </c>
    </row>
    <row r="32" spans="1:9" ht="14.1" customHeight="1" x14ac:dyDescent="0.2">
      <c r="A32" s="9"/>
      <c r="B32" s="9"/>
      <c r="C32" s="9"/>
      <c r="D32" s="9"/>
      <c r="F32" s="8" t="s">
        <v>39</v>
      </c>
      <c r="H32" s="8" t="s">
        <v>39</v>
      </c>
    </row>
    <row r="33" spans="1:9" x14ac:dyDescent="0.2">
      <c r="A33" s="9"/>
      <c r="B33" s="9">
        <f>D27+1</f>
        <v>76</v>
      </c>
      <c r="C33" s="9">
        <f>B33+1</f>
        <v>77</v>
      </c>
      <c r="D33" s="9">
        <f>C33+1</f>
        <v>78</v>
      </c>
      <c r="F33" s="8" t="s">
        <v>39</v>
      </c>
      <c r="H33" s="8" t="s">
        <v>39</v>
      </c>
    </row>
    <row r="34" spans="1:9" x14ac:dyDescent="0.2">
      <c r="A34" s="9"/>
      <c r="B34" s="9" t="str">
        <f>"""NAV Direct"",""CRONUS JetCorp USA"",""18"",""5"",""3391 Concord Ave"",""6"","""",""7"",""Boston"",""8"",""Bill Briggs"",""92"",""MA"",""35"",""US"",""91"",""74181"",""4"","""",""2"",""Bill's Trophies"""</f>
        <v>"NAV Direct","CRONUS JetCorp USA","18","5","3391 Concord Ave","6","","7","Boston","8","Bill Briggs","92","MA","35","US","91","74181","4","","2","Bill's Trophies"</v>
      </c>
      <c r="C34" s="9" t="str">
        <f>"""NAV Direct"",""CRONUS JetCorp USA"",""18"",""5"",""231882 """"S"""" Street"",""6"","""",""7"",""Seattle "",""8"",""J. Salinger"",""92"",""WA"",""35"",""US"",""91"",""74182"",""4"","""",""2"",""Team Trophy"""</f>
        <v>"NAV Direct","CRONUS JetCorp USA","18","5","231882 ""S"" Street","6","","7","Seattle ","8","J. Salinger","92","WA","35","US","91","74182","4","","2","Team Trophy"</v>
      </c>
      <c r="D34" s="9" t="str">
        <f>"""NAV Direct"",""CRONUS JetCorp USA"",""18"",""5"",""11 Center Ave."",""6"","""",""7"",""Eugene"",""8"",""Bob Oldhart"",""92"",""OR"",""35"",""US"",""91"",""74183"",""4"","""",""2"",""AAA Trophy"""</f>
        <v>"NAV Direct","CRONUS JetCorp USA","18","5","11 Center Ave.","6","","7","Eugene","8","Bob Oldhart","92","OR","35","US","91","74183","4","","2","AAA Trophy"</v>
      </c>
      <c r="E34" s="8" t="str">
        <f>"Bill Briggs"</f>
        <v>Bill Briggs</v>
      </c>
      <c r="G34" s="8" t="str">
        <f>"J. Salinger"</f>
        <v>J. Salinger</v>
      </c>
      <c r="H34" s="8" t="s">
        <v>39</v>
      </c>
      <c r="I34" s="8" t="str">
        <f>"Bob Oldhart"</f>
        <v>Bob Oldhart</v>
      </c>
    </row>
    <row r="35" spans="1:9" x14ac:dyDescent="0.2">
      <c r="A35" s="9"/>
      <c r="B35" s="9"/>
      <c r="C35" s="9"/>
      <c r="D35" s="9"/>
      <c r="E35" s="8" t="str">
        <f>"Bill's Trophies"</f>
        <v>Bill's Trophies</v>
      </c>
      <c r="G35" s="8" t="str">
        <f>"Team Trophy"</f>
        <v>Team Trophy</v>
      </c>
      <c r="H35" s="8" t="s">
        <v>39</v>
      </c>
      <c r="I35" s="8" t="str">
        <f>"AAA Trophy"</f>
        <v>AAA Trophy</v>
      </c>
    </row>
    <row r="36" spans="1:9" x14ac:dyDescent="0.2">
      <c r="A36" s="9"/>
      <c r="B36" s="9"/>
      <c r="C36" s="9"/>
      <c r="D36" s="9"/>
      <c r="E36" s="8" t="str">
        <f>"3391 Concord Ave "</f>
        <v xml:space="preserve">3391 Concord Ave </v>
      </c>
      <c r="G36" s="8" t="str">
        <f>"231882 ""S"" Street "</f>
        <v xml:space="preserve">231882 "S" Street </v>
      </c>
      <c r="H36" s="8" t="s">
        <v>39</v>
      </c>
      <c r="I36" s="8" t="str">
        <f>"11 Center Ave. "</f>
        <v xml:space="preserve">11 Center Ave. </v>
      </c>
    </row>
    <row r="37" spans="1:9" x14ac:dyDescent="0.2">
      <c r="A37" s="9"/>
      <c r="B37" s="9"/>
      <c r="C37" s="9"/>
      <c r="D37" s="9"/>
      <c r="E37" s="8" t="str">
        <f>"Boston, MA 74181"</f>
        <v>Boston, MA 74181</v>
      </c>
      <c r="G37" s="8" t="str">
        <f>"Seattle , WA 74182"</f>
        <v>Seattle , WA 74182</v>
      </c>
      <c r="H37" s="8" t="s">
        <v>39</v>
      </c>
      <c r="I37" s="8" t="str">
        <f>"Eugene, OR 74183"</f>
        <v>Eugene, OR 74183</v>
      </c>
    </row>
    <row r="38" spans="1:9" ht="14.1" customHeight="1" x14ac:dyDescent="0.2">
      <c r="A38" s="9"/>
      <c r="B38" s="9"/>
      <c r="C38" s="9"/>
      <c r="D38" s="9"/>
      <c r="F38" s="8" t="s">
        <v>39</v>
      </c>
      <c r="H38" s="8" t="s">
        <v>39</v>
      </c>
    </row>
    <row r="39" spans="1:9" x14ac:dyDescent="0.2">
      <c r="A39" s="9"/>
      <c r="B39" s="9">
        <f>D33+1</f>
        <v>79</v>
      </c>
      <c r="C39" s="9">
        <f>B39+1</f>
        <v>80</v>
      </c>
      <c r="D39" s="9">
        <f>C39+1</f>
        <v>81</v>
      </c>
      <c r="F39" s="8" t="s">
        <v>39</v>
      </c>
      <c r="H39" s="8" t="s">
        <v>39</v>
      </c>
    </row>
    <row r="40" spans="1:9" x14ac:dyDescent="0.2">
      <c r="A40" s="9"/>
      <c r="B40" s="9" t="str">
        <f>"""NAV Direct"",""CRONUS JetCorp USA"",""18"",""5"",""3320 Sterling "",""6"","""",""7"",""Portland"",""8"",""Nadia Comkon"",""92"",""OR"",""35"",""US"",""91"",""74184"",""4"","""",""2"",""BBB Trophy"""</f>
        <v>"NAV Direct","CRONUS JetCorp USA","18","5","3320 Sterling ","6","","7","Portland","8","Nadia Comkon","92","OR","35","US","91","74184","4","","2","BBB Trophy"</v>
      </c>
      <c r="C40" s="9" t="str">
        <f>""</f>
        <v/>
      </c>
      <c r="D40" s="9" t="str">
        <f>""</f>
        <v/>
      </c>
      <c r="E40" s="8" t="str">
        <f>"Nadia Comkon"</f>
        <v>Nadia Comkon</v>
      </c>
      <c r="G40" s="8" t="str">
        <f>""</f>
        <v/>
      </c>
      <c r="H40" s="8" t="s">
        <v>39</v>
      </c>
      <c r="I40" s="8" t="str">
        <f>""</f>
        <v/>
      </c>
    </row>
    <row r="41" spans="1:9" x14ac:dyDescent="0.2">
      <c r="A41" s="9"/>
      <c r="B41" s="9"/>
      <c r="C41" s="9"/>
      <c r="D41" s="9"/>
      <c r="E41" s="8" t="str">
        <f>"BBB Trophy"</f>
        <v>BBB Trophy</v>
      </c>
      <c r="G41" s="8" t="str">
        <f>""</f>
        <v/>
      </c>
      <c r="H41" s="8" t="s">
        <v>39</v>
      </c>
      <c r="I41" s="8" t="str">
        <f>""</f>
        <v/>
      </c>
    </row>
    <row r="42" spans="1:9" x14ac:dyDescent="0.2">
      <c r="A42" s="9"/>
      <c r="B42" s="9"/>
      <c r="C42" s="9"/>
      <c r="D42" s="9"/>
      <c r="E42" s="8" t="str">
        <f>"3320 Sterling  "</f>
        <v xml:space="preserve">3320 Sterling  </v>
      </c>
      <c r="G42" s="8" t="str">
        <f>" "</f>
        <v xml:space="preserve"> </v>
      </c>
      <c r="H42" s="8" t="s">
        <v>39</v>
      </c>
      <c r="I42" s="8" t="str">
        <f>" "</f>
        <v xml:space="preserve"> </v>
      </c>
    </row>
    <row r="43" spans="1:9" x14ac:dyDescent="0.2">
      <c r="A43" s="9"/>
      <c r="B43" s="9"/>
      <c r="C43" s="9"/>
      <c r="D43" s="9"/>
      <c r="E43" s="8" t="str">
        <f>"Portland, OR 74184"</f>
        <v>Portland, OR 74184</v>
      </c>
      <c r="G43" s="8" t="str">
        <f>",  "</f>
        <v xml:space="preserve">,  </v>
      </c>
      <c r="H43" s="8" t="s">
        <v>39</v>
      </c>
      <c r="I43" s="8" t="str">
        <f>",  "</f>
        <v xml:space="preserve">,  </v>
      </c>
    </row>
    <row r="44" spans="1:9" ht="14.1" customHeight="1" x14ac:dyDescent="0.2">
      <c r="A44" s="9"/>
      <c r="B44" s="9"/>
      <c r="C44" s="9"/>
      <c r="D44" s="9"/>
      <c r="F44" s="8" t="s">
        <v>39</v>
      </c>
      <c r="H44" s="8" t="s">
        <v>39</v>
      </c>
    </row>
    <row r="45" spans="1:9" x14ac:dyDescent="0.2">
      <c r="A45" s="9"/>
      <c r="B45" s="9">
        <f>D39+1</f>
        <v>82</v>
      </c>
      <c r="C45" s="9">
        <f>B45+1</f>
        <v>83</v>
      </c>
      <c r="D45" s="9">
        <f>C45+1</f>
        <v>84</v>
      </c>
      <c r="F45" s="8" t="s">
        <v>39</v>
      </c>
      <c r="H45" s="8" t="s">
        <v>39</v>
      </c>
    </row>
    <row r="46" spans="1:9" x14ac:dyDescent="0.2">
      <c r="A46" s="9"/>
      <c r="B46" s="9" t="str">
        <f>""</f>
        <v/>
      </c>
      <c r="C46" s="9" t="str">
        <f>""</f>
        <v/>
      </c>
      <c r="D46" s="9" t="str">
        <f>""</f>
        <v/>
      </c>
      <c r="E46" s="8" t="str">
        <f>""</f>
        <v/>
      </c>
      <c r="G46" s="8" t="str">
        <f>""</f>
        <v/>
      </c>
      <c r="H46" s="8" t="s">
        <v>39</v>
      </c>
      <c r="I46" s="8" t="str">
        <f>""</f>
        <v/>
      </c>
    </row>
    <row r="47" spans="1:9" x14ac:dyDescent="0.2">
      <c r="A47" s="9"/>
      <c r="B47" s="9"/>
      <c r="C47" s="9"/>
      <c r="D47" s="9"/>
      <c r="E47" s="8" t="str">
        <f>""</f>
        <v/>
      </c>
      <c r="G47" s="8" t="str">
        <f>""</f>
        <v/>
      </c>
      <c r="H47" s="8" t="s">
        <v>39</v>
      </c>
      <c r="I47" s="8" t="str">
        <f>""</f>
        <v/>
      </c>
    </row>
    <row r="48" spans="1:9" x14ac:dyDescent="0.2">
      <c r="A48" s="9"/>
      <c r="B48" s="9"/>
      <c r="C48" s="9"/>
      <c r="D48" s="9"/>
      <c r="E48" s="8" t="str">
        <f>" "</f>
        <v xml:space="preserve"> </v>
      </c>
      <c r="G48" s="8" t="str">
        <f>" "</f>
        <v xml:space="preserve"> </v>
      </c>
      <c r="H48" s="8" t="s">
        <v>39</v>
      </c>
      <c r="I48" s="8" t="str">
        <f>" "</f>
        <v xml:space="preserve"> </v>
      </c>
    </row>
    <row r="49" spans="1:9" x14ac:dyDescent="0.2">
      <c r="A49" s="9"/>
      <c r="B49" s="9"/>
      <c r="C49" s="9"/>
      <c r="D49" s="9"/>
      <c r="E49" s="8" t="str">
        <f>",  "</f>
        <v xml:space="preserve">,  </v>
      </c>
      <c r="G49" s="8" t="str">
        <f>",  "</f>
        <v xml:space="preserve">,  </v>
      </c>
      <c r="H49" s="8" t="s">
        <v>39</v>
      </c>
      <c r="I49" s="8" t="str">
        <f>",  "</f>
        <v xml:space="preserve">,  </v>
      </c>
    </row>
    <row r="50" spans="1:9" ht="14.1" customHeight="1" x14ac:dyDescent="0.2">
      <c r="A50" s="9"/>
      <c r="B50" s="9"/>
      <c r="C50" s="9"/>
      <c r="D50" s="9"/>
      <c r="F50" s="8" t="s">
        <v>39</v>
      </c>
      <c r="H50" s="8" t="s">
        <v>39</v>
      </c>
    </row>
    <row r="51" spans="1:9" x14ac:dyDescent="0.2">
      <c r="A51" s="9"/>
      <c r="B51" s="9">
        <f>D45+1</f>
        <v>85</v>
      </c>
      <c r="C51" s="9">
        <f>B51+1</f>
        <v>86</v>
      </c>
      <c r="D51" s="9">
        <f>C51+1</f>
        <v>87</v>
      </c>
      <c r="F51" s="8" t="s">
        <v>39</v>
      </c>
      <c r="H51" s="8" t="s">
        <v>39</v>
      </c>
    </row>
    <row r="52" spans="1:9" x14ac:dyDescent="0.2">
      <c r="A52" s="9"/>
      <c r="B52" s="9" t="str">
        <f>""</f>
        <v/>
      </c>
      <c r="C52" s="9" t="str">
        <f>""</f>
        <v/>
      </c>
      <c r="D52" s="9" t="str">
        <f>""</f>
        <v/>
      </c>
      <c r="E52" s="8" t="str">
        <f>""</f>
        <v/>
      </c>
      <c r="G52" s="8" t="str">
        <f>""</f>
        <v/>
      </c>
      <c r="H52" s="8" t="s">
        <v>39</v>
      </c>
      <c r="I52" s="8" t="str">
        <f>""</f>
        <v/>
      </c>
    </row>
    <row r="53" spans="1:9" x14ac:dyDescent="0.2">
      <c r="A53" s="9"/>
      <c r="B53" s="9"/>
      <c r="C53" s="9"/>
      <c r="D53" s="9"/>
      <c r="E53" s="8" t="str">
        <f>""</f>
        <v/>
      </c>
      <c r="G53" s="8" t="str">
        <f>""</f>
        <v/>
      </c>
      <c r="H53" s="8" t="s">
        <v>39</v>
      </c>
      <c r="I53" s="8" t="str">
        <f>""</f>
        <v/>
      </c>
    </row>
    <row r="54" spans="1:9" x14ac:dyDescent="0.2">
      <c r="A54" s="9"/>
      <c r="B54" s="9"/>
      <c r="C54" s="9"/>
      <c r="D54" s="9"/>
      <c r="E54" s="8" t="str">
        <f>" "</f>
        <v xml:space="preserve"> </v>
      </c>
      <c r="G54" s="8" t="str">
        <f>" "</f>
        <v xml:space="preserve"> </v>
      </c>
      <c r="H54" s="8" t="s">
        <v>39</v>
      </c>
      <c r="I54" s="8" t="str">
        <f>" "</f>
        <v xml:space="preserve"> </v>
      </c>
    </row>
    <row r="55" spans="1:9" x14ac:dyDescent="0.2">
      <c r="A55" s="9"/>
      <c r="B55" s="9"/>
      <c r="C55" s="9"/>
      <c r="D55" s="9"/>
      <c r="E55" s="8" t="str">
        <f>",  "</f>
        <v xml:space="preserve">,  </v>
      </c>
      <c r="G55" s="8" t="str">
        <f>",  "</f>
        <v xml:space="preserve">,  </v>
      </c>
      <c r="H55" s="8" t="s">
        <v>39</v>
      </c>
      <c r="I55" s="8" t="str">
        <f>",  "</f>
        <v xml:space="preserve">,  </v>
      </c>
    </row>
    <row r="56" spans="1:9" ht="14.1" customHeight="1" x14ac:dyDescent="0.2">
      <c r="A56" s="9"/>
      <c r="B56" s="9"/>
      <c r="C56" s="9"/>
      <c r="D56" s="9"/>
      <c r="F56" s="8" t="s">
        <v>39</v>
      </c>
      <c r="H56" s="8" t="s">
        <v>39</v>
      </c>
    </row>
    <row r="57" spans="1:9" x14ac:dyDescent="0.2">
      <c r="A57" s="9"/>
      <c r="B57" s="9">
        <f>D51+1</f>
        <v>88</v>
      </c>
      <c r="C57" s="9">
        <f>B57+1</f>
        <v>89</v>
      </c>
      <c r="D57" s="9">
        <f>C57+1</f>
        <v>90</v>
      </c>
      <c r="F57" s="8" t="s">
        <v>39</v>
      </c>
      <c r="H57" s="8" t="s">
        <v>39</v>
      </c>
    </row>
    <row r="58" spans="1:9" x14ac:dyDescent="0.2">
      <c r="A58" s="9"/>
      <c r="B58" s="9" t="str">
        <f>""</f>
        <v/>
      </c>
      <c r="C58" s="9" t="str">
        <f>""</f>
        <v/>
      </c>
      <c r="D58" s="9" t="str">
        <f>""</f>
        <v/>
      </c>
      <c r="E58" s="8" t="str">
        <f>""</f>
        <v/>
      </c>
      <c r="G58" s="8" t="str">
        <f>""</f>
        <v/>
      </c>
      <c r="H58" s="8" t="s">
        <v>39</v>
      </c>
      <c r="I58" s="8" t="str">
        <f>""</f>
        <v/>
      </c>
    </row>
    <row r="59" spans="1:9" x14ac:dyDescent="0.2">
      <c r="A59" s="9"/>
      <c r="B59" s="9"/>
      <c r="C59" s="9"/>
      <c r="D59" s="9"/>
      <c r="E59" s="8" t="str">
        <f>""</f>
        <v/>
      </c>
      <c r="G59" s="8" t="str">
        <f>""</f>
        <v/>
      </c>
      <c r="H59" s="8" t="s">
        <v>39</v>
      </c>
      <c r="I59" s="8" t="str">
        <f>""</f>
        <v/>
      </c>
    </row>
    <row r="60" spans="1:9" x14ac:dyDescent="0.2">
      <c r="A60" s="9"/>
      <c r="B60" s="9"/>
      <c r="C60" s="9"/>
      <c r="D60" s="9"/>
      <c r="E60" s="8" t="str">
        <f>" "</f>
        <v xml:space="preserve"> </v>
      </c>
      <c r="G60" s="8" t="str">
        <f>" "</f>
        <v xml:space="preserve"> </v>
      </c>
      <c r="H60" s="8" t="s">
        <v>39</v>
      </c>
      <c r="I60" s="8" t="str">
        <f>" "</f>
        <v xml:space="preserve"> </v>
      </c>
    </row>
    <row r="61" spans="1:9" x14ac:dyDescent="0.2">
      <c r="A61" s="9"/>
      <c r="B61" s="9"/>
      <c r="C61" s="9"/>
      <c r="D61" s="9"/>
      <c r="E61" s="8" t="str">
        <f>",  "</f>
        <v xml:space="preserve">,  </v>
      </c>
      <c r="G61" s="8" t="str">
        <f>",  "</f>
        <v xml:space="preserve">,  </v>
      </c>
      <c r="H61" s="8" t="s">
        <v>39</v>
      </c>
      <c r="I61" s="8" t="str">
        <f>",  "</f>
        <v xml:space="preserve">,  </v>
      </c>
    </row>
    <row r="62" spans="1:9" x14ac:dyDescent="0.2">
      <c r="F62" s="8" t="s">
        <v>39</v>
      </c>
      <c r="H62" s="8" t="s">
        <v>39</v>
      </c>
    </row>
  </sheetData>
  <printOptions horizontalCentered="1" verticalCentered="1"/>
  <pageMargins left="0.2" right="0" top="0.5" bottom="0.25" header="0.3" footer="0"/>
  <pageSetup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"/>
  <sheetViews>
    <sheetView workbookViewId="0"/>
  </sheetViews>
  <sheetFormatPr defaultRowHeight="15" x14ac:dyDescent="0.25"/>
  <sheetData>
    <row r="1" spans="1:5" x14ac:dyDescent="0.25">
      <c r="A1" s="1" t="s">
        <v>210</v>
      </c>
      <c r="B1" s="1" t="s">
        <v>1</v>
      </c>
      <c r="C1" s="1" t="s">
        <v>2</v>
      </c>
      <c r="D1" s="1" t="s">
        <v>3</v>
      </c>
      <c r="E1" s="1" t="s">
        <v>206</v>
      </c>
    </row>
    <row r="3" spans="1:5" x14ac:dyDescent="0.25">
      <c r="C3" s="1" t="s">
        <v>41</v>
      </c>
    </row>
    <row r="4" spans="1:5" x14ac:dyDescent="0.25">
      <c r="A4" s="1" t="s">
        <v>4</v>
      </c>
      <c r="B4" s="1" t="s">
        <v>42</v>
      </c>
      <c r="C4" s="1" t="s">
        <v>165</v>
      </c>
      <c r="D4" s="1" t="s">
        <v>47</v>
      </c>
    </row>
    <row r="5" spans="1:5" x14ac:dyDescent="0.25">
      <c r="A5" s="1" t="s">
        <v>4</v>
      </c>
      <c r="B5" s="1" t="s">
        <v>203</v>
      </c>
      <c r="C5" s="1" t="s">
        <v>45</v>
      </c>
      <c r="D5" s="1" t="s">
        <v>199</v>
      </c>
    </row>
    <row r="6" spans="1:5" x14ac:dyDescent="0.25">
      <c r="A6" s="1" t="s">
        <v>4</v>
      </c>
      <c r="B6" s="1" t="s">
        <v>43</v>
      </c>
      <c r="C6" s="1" t="s">
        <v>204</v>
      </c>
    </row>
    <row r="7" spans="1:5" x14ac:dyDescent="0.25">
      <c r="A7" s="1" t="s">
        <v>4</v>
      </c>
      <c r="B7" s="1" t="s">
        <v>44</v>
      </c>
      <c r="C7" s="1" t="s">
        <v>208</v>
      </c>
      <c r="E7" s="1" t="s">
        <v>207</v>
      </c>
    </row>
    <row r="11" spans="1:5" x14ac:dyDescent="0.25">
      <c r="B11" s="1" t="s">
        <v>5</v>
      </c>
      <c r="C11" s="1" t="s">
        <v>200</v>
      </c>
    </row>
    <row r="12" spans="1:5" x14ac:dyDescent="0.25">
      <c r="B12" s="1" t="s">
        <v>6</v>
      </c>
      <c r="C12" s="1" t="s">
        <v>201</v>
      </c>
    </row>
    <row r="17" spans="2:3" x14ac:dyDescent="0.25">
      <c r="B17" s="1" t="s">
        <v>46</v>
      </c>
      <c r="C17" s="1" t="s">
        <v>202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"/>
  <sheetViews>
    <sheetView workbookViewId="0"/>
  </sheetViews>
  <sheetFormatPr defaultRowHeight="15" x14ac:dyDescent="0.25"/>
  <sheetData>
    <row r="1" spans="1:5" x14ac:dyDescent="0.25">
      <c r="A1" s="1" t="s">
        <v>210</v>
      </c>
      <c r="B1" s="1" t="s">
        <v>1</v>
      </c>
      <c r="C1" s="1" t="s">
        <v>2</v>
      </c>
      <c r="D1" s="1" t="s">
        <v>3</v>
      </c>
      <c r="E1" s="1" t="s">
        <v>206</v>
      </c>
    </row>
    <row r="3" spans="1:5" x14ac:dyDescent="0.25">
      <c r="C3" s="1" t="s">
        <v>41</v>
      </c>
    </row>
    <row r="4" spans="1:5" x14ac:dyDescent="0.25">
      <c r="A4" s="1" t="s">
        <v>4</v>
      </c>
      <c r="B4" s="1" t="s">
        <v>42</v>
      </c>
      <c r="C4" s="1" t="s">
        <v>165</v>
      </c>
      <c r="D4" s="1" t="s">
        <v>47</v>
      </c>
    </row>
    <row r="5" spans="1:5" x14ac:dyDescent="0.25">
      <c r="A5" s="1" t="s">
        <v>4</v>
      </c>
      <c r="B5" s="1" t="s">
        <v>203</v>
      </c>
      <c r="C5" s="1" t="s">
        <v>45</v>
      </c>
      <c r="D5" s="1" t="s">
        <v>199</v>
      </c>
    </row>
    <row r="6" spans="1:5" x14ac:dyDescent="0.25">
      <c r="A6" s="1" t="s">
        <v>4</v>
      </c>
      <c r="B6" s="1" t="s">
        <v>43</v>
      </c>
      <c r="C6" s="1" t="s">
        <v>204</v>
      </c>
    </row>
    <row r="7" spans="1:5" x14ac:dyDescent="0.25">
      <c r="A7" s="1" t="s">
        <v>4</v>
      </c>
      <c r="B7" s="1" t="s">
        <v>44</v>
      </c>
      <c r="C7" s="1" t="s">
        <v>208</v>
      </c>
      <c r="E7" s="1" t="s">
        <v>207</v>
      </c>
    </row>
    <row r="11" spans="1:5" x14ac:dyDescent="0.25">
      <c r="B11" s="1" t="s">
        <v>5</v>
      </c>
      <c r="C11" s="1" t="s">
        <v>200</v>
      </c>
    </row>
    <row r="12" spans="1:5" x14ac:dyDescent="0.25">
      <c r="B12" s="1" t="s">
        <v>6</v>
      </c>
      <c r="C12" s="1" t="s">
        <v>201</v>
      </c>
    </row>
    <row r="17" spans="2:3" x14ac:dyDescent="0.25">
      <c r="B17" s="1" t="s">
        <v>46</v>
      </c>
      <c r="C17" s="1" t="s">
        <v>202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2"/>
  <sheetViews>
    <sheetView workbookViewId="0"/>
  </sheetViews>
  <sheetFormatPr defaultRowHeight="15" x14ac:dyDescent="0.25"/>
  <sheetData>
    <row r="1" spans="1:9" x14ac:dyDescent="0.25">
      <c r="A1" s="1" t="s">
        <v>211</v>
      </c>
      <c r="B1" s="1" t="s">
        <v>0</v>
      </c>
      <c r="C1" s="1" t="s">
        <v>0</v>
      </c>
      <c r="D1" s="1" t="s">
        <v>0</v>
      </c>
      <c r="F1" s="1" t="s">
        <v>39</v>
      </c>
      <c r="H1" s="1" t="s">
        <v>39</v>
      </c>
    </row>
    <row r="2" spans="1:9" x14ac:dyDescent="0.25">
      <c r="A2" s="1" t="s">
        <v>0</v>
      </c>
      <c r="E2" s="1" t="s">
        <v>7</v>
      </c>
      <c r="F2" s="1" t="s">
        <v>39</v>
      </c>
      <c r="G2" s="1" t="s">
        <v>8</v>
      </c>
      <c r="H2" s="1" t="s">
        <v>39</v>
      </c>
      <c r="I2" s="1" t="s">
        <v>205</v>
      </c>
    </row>
    <row r="3" spans="1:9" x14ac:dyDescent="0.25">
      <c r="A3" s="1" t="s">
        <v>0</v>
      </c>
      <c r="B3" s="1" t="s">
        <v>40</v>
      </c>
      <c r="C3" s="1" t="s">
        <v>29</v>
      </c>
      <c r="D3" s="1" t="s">
        <v>14</v>
      </c>
      <c r="F3" s="1" t="s">
        <v>39</v>
      </c>
      <c r="H3" s="1" t="s">
        <v>39</v>
      </c>
    </row>
    <row r="4" spans="1:9" x14ac:dyDescent="0.25">
      <c r="B4" s="1" t="s">
        <v>48</v>
      </c>
      <c r="C4" s="1" t="s">
        <v>49</v>
      </c>
      <c r="D4" s="1" t="s">
        <v>60</v>
      </c>
      <c r="E4" s="1" t="s">
        <v>50</v>
      </c>
      <c r="G4" s="1" t="s">
        <v>61</v>
      </c>
      <c r="H4" s="1" t="s">
        <v>39</v>
      </c>
      <c r="I4" s="1" t="s">
        <v>62</v>
      </c>
    </row>
    <row r="5" spans="1:9" x14ac:dyDescent="0.25">
      <c r="E5" s="1" t="s">
        <v>138</v>
      </c>
      <c r="G5" s="1" t="s">
        <v>139</v>
      </c>
      <c r="H5" s="1" t="s">
        <v>39</v>
      </c>
      <c r="I5" s="1" t="s">
        <v>140</v>
      </c>
    </row>
    <row r="6" spans="1:9" x14ac:dyDescent="0.25">
      <c r="E6" s="1" t="s">
        <v>51</v>
      </c>
      <c r="G6" s="1" t="s">
        <v>63</v>
      </c>
      <c r="H6" s="1" t="s">
        <v>39</v>
      </c>
      <c r="I6" s="1" t="s">
        <v>64</v>
      </c>
    </row>
    <row r="7" spans="1:9" x14ac:dyDescent="0.25">
      <c r="E7" s="1" t="s">
        <v>169</v>
      </c>
      <c r="G7" s="1" t="s">
        <v>170</v>
      </c>
      <c r="H7" s="1" t="s">
        <v>39</v>
      </c>
      <c r="I7" s="1" t="s">
        <v>171</v>
      </c>
    </row>
    <row r="8" spans="1:9" x14ac:dyDescent="0.25">
      <c r="F8" s="1" t="s">
        <v>39</v>
      </c>
      <c r="H8" s="1" t="s">
        <v>39</v>
      </c>
    </row>
    <row r="9" spans="1:9" x14ac:dyDescent="0.25">
      <c r="B9" s="1" t="s">
        <v>15</v>
      </c>
      <c r="C9" s="1" t="s">
        <v>30</v>
      </c>
      <c r="D9" s="1" t="s">
        <v>9</v>
      </c>
      <c r="F9" s="1" t="s">
        <v>39</v>
      </c>
      <c r="H9" s="1" t="s">
        <v>39</v>
      </c>
    </row>
    <row r="10" spans="1:9" x14ac:dyDescent="0.25">
      <c r="B10" s="1" t="s">
        <v>65</v>
      </c>
      <c r="C10" s="1" t="s">
        <v>66</v>
      </c>
      <c r="D10" s="1" t="s">
        <v>67</v>
      </c>
      <c r="E10" s="1" t="s">
        <v>52</v>
      </c>
      <c r="G10" s="1" t="s">
        <v>68</v>
      </c>
      <c r="H10" s="1" t="s">
        <v>39</v>
      </c>
      <c r="I10" s="1" t="s">
        <v>69</v>
      </c>
    </row>
    <row r="11" spans="1:9" x14ac:dyDescent="0.25">
      <c r="E11" s="1" t="s">
        <v>141</v>
      </c>
      <c r="G11" s="1" t="s">
        <v>142</v>
      </c>
      <c r="H11" s="1" t="s">
        <v>39</v>
      </c>
      <c r="I11" s="1" t="s">
        <v>143</v>
      </c>
    </row>
    <row r="12" spans="1:9" x14ac:dyDescent="0.25">
      <c r="E12" s="1" t="s">
        <v>53</v>
      </c>
      <c r="G12" s="1" t="s">
        <v>70</v>
      </c>
      <c r="H12" s="1" t="s">
        <v>39</v>
      </c>
      <c r="I12" s="1" t="s">
        <v>71</v>
      </c>
    </row>
    <row r="13" spans="1:9" x14ac:dyDescent="0.25">
      <c r="E13" s="1" t="s">
        <v>172</v>
      </c>
      <c r="G13" s="1" t="s">
        <v>173</v>
      </c>
      <c r="H13" s="1" t="s">
        <v>39</v>
      </c>
      <c r="I13" s="1" t="s">
        <v>174</v>
      </c>
    </row>
    <row r="14" spans="1:9" x14ac:dyDescent="0.25">
      <c r="F14" s="1" t="s">
        <v>39</v>
      </c>
      <c r="H14" s="1" t="s">
        <v>39</v>
      </c>
    </row>
    <row r="15" spans="1:9" x14ac:dyDescent="0.25">
      <c r="B15" s="1" t="s">
        <v>10</v>
      </c>
      <c r="C15" s="1" t="s">
        <v>31</v>
      </c>
      <c r="D15" s="1" t="s">
        <v>16</v>
      </c>
      <c r="F15" s="1" t="s">
        <v>39</v>
      </c>
      <c r="H15" s="1" t="s">
        <v>39</v>
      </c>
    </row>
    <row r="16" spans="1:9" x14ac:dyDescent="0.25">
      <c r="B16" s="1" t="s">
        <v>72</v>
      </c>
      <c r="C16" s="1" t="s">
        <v>73</v>
      </c>
      <c r="D16" s="1" t="s">
        <v>74</v>
      </c>
      <c r="E16" s="1" t="s">
        <v>54</v>
      </c>
      <c r="G16" s="1" t="s">
        <v>75</v>
      </c>
      <c r="H16" s="1" t="s">
        <v>39</v>
      </c>
      <c r="I16" s="1" t="s">
        <v>76</v>
      </c>
    </row>
    <row r="17" spans="2:9" x14ac:dyDescent="0.25">
      <c r="E17" s="1" t="s">
        <v>144</v>
      </c>
      <c r="G17" s="1" t="s">
        <v>145</v>
      </c>
      <c r="H17" s="1" t="s">
        <v>39</v>
      </c>
      <c r="I17" s="1" t="s">
        <v>146</v>
      </c>
    </row>
    <row r="18" spans="2:9" x14ac:dyDescent="0.25">
      <c r="E18" s="1" t="s">
        <v>55</v>
      </c>
      <c r="G18" s="1" t="s">
        <v>77</v>
      </c>
      <c r="H18" s="1" t="s">
        <v>39</v>
      </c>
      <c r="I18" s="1" t="s">
        <v>78</v>
      </c>
    </row>
    <row r="19" spans="2:9" x14ac:dyDescent="0.25">
      <c r="E19" s="1" t="s">
        <v>175</v>
      </c>
      <c r="G19" s="1" t="s">
        <v>176</v>
      </c>
      <c r="H19" s="1" t="s">
        <v>39</v>
      </c>
      <c r="I19" s="1" t="s">
        <v>177</v>
      </c>
    </row>
    <row r="20" spans="2:9" x14ac:dyDescent="0.25">
      <c r="F20" s="1" t="s">
        <v>39</v>
      </c>
      <c r="H20" s="1" t="s">
        <v>39</v>
      </c>
    </row>
    <row r="21" spans="2:9" x14ac:dyDescent="0.25">
      <c r="B21" s="1" t="s">
        <v>17</v>
      </c>
      <c r="C21" s="1" t="s">
        <v>32</v>
      </c>
      <c r="D21" s="1" t="s">
        <v>18</v>
      </c>
      <c r="F21" s="1" t="s">
        <v>39</v>
      </c>
      <c r="H21" s="1" t="s">
        <v>39</v>
      </c>
    </row>
    <row r="22" spans="2:9" x14ac:dyDescent="0.25">
      <c r="B22" s="1" t="s">
        <v>79</v>
      </c>
      <c r="C22" s="1" t="s">
        <v>80</v>
      </c>
      <c r="D22" s="1" t="s">
        <v>81</v>
      </c>
      <c r="E22" s="1" t="s">
        <v>56</v>
      </c>
      <c r="G22" s="1" t="s">
        <v>82</v>
      </c>
      <c r="H22" s="1" t="s">
        <v>39</v>
      </c>
      <c r="I22" s="1" t="s">
        <v>83</v>
      </c>
    </row>
    <row r="23" spans="2:9" x14ac:dyDescent="0.25">
      <c r="E23" s="1" t="s">
        <v>147</v>
      </c>
      <c r="G23" s="1" t="s">
        <v>148</v>
      </c>
      <c r="H23" s="1" t="s">
        <v>39</v>
      </c>
      <c r="I23" s="1" t="s">
        <v>149</v>
      </c>
    </row>
    <row r="24" spans="2:9" x14ac:dyDescent="0.25">
      <c r="E24" s="1" t="s">
        <v>57</v>
      </c>
      <c r="G24" s="1" t="s">
        <v>84</v>
      </c>
      <c r="H24" s="1" t="s">
        <v>39</v>
      </c>
      <c r="I24" s="1" t="s">
        <v>85</v>
      </c>
    </row>
    <row r="25" spans="2:9" x14ac:dyDescent="0.25">
      <c r="E25" s="1" t="s">
        <v>178</v>
      </c>
      <c r="G25" s="1" t="s">
        <v>179</v>
      </c>
      <c r="H25" s="1" t="s">
        <v>39</v>
      </c>
      <c r="I25" s="1" t="s">
        <v>180</v>
      </c>
    </row>
    <row r="26" spans="2:9" x14ac:dyDescent="0.25">
      <c r="F26" s="1" t="s">
        <v>39</v>
      </c>
      <c r="H26" s="1" t="s">
        <v>39</v>
      </c>
    </row>
    <row r="27" spans="2:9" x14ac:dyDescent="0.25">
      <c r="B27" s="1" t="s">
        <v>19</v>
      </c>
      <c r="C27" s="1" t="s">
        <v>33</v>
      </c>
      <c r="D27" s="1" t="s">
        <v>20</v>
      </c>
      <c r="F27" s="1" t="s">
        <v>39</v>
      </c>
      <c r="H27" s="1" t="s">
        <v>39</v>
      </c>
    </row>
    <row r="28" spans="2:9" x14ac:dyDescent="0.25">
      <c r="B28" s="1" t="s">
        <v>86</v>
      </c>
      <c r="C28" s="1" t="s">
        <v>87</v>
      </c>
      <c r="D28" s="1" t="s">
        <v>88</v>
      </c>
      <c r="E28" s="1" t="s">
        <v>58</v>
      </c>
      <c r="G28" s="1" t="s">
        <v>89</v>
      </c>
      <c r="H28" s="1" t="s">
        <v>39</v>
      </c>
      <c r="I28" s="1" t="s">
        <v>90</v>
      </c>
    </row>
    <row r="29" spans="2:9" x14ac:dyDescent="0.25">
      <c r="E29" s="1" t="s">
        <v>150</v>
      </c>
      <c r="G29" s="1" t="s">
        <v>151</v>
      </c>
      <c r="H29" s="1" t="s">
        <v>39</v>
      </c>
      <c r="I29" s="1" t="s">
        <v>152</v>
      </c>
    </row>
    <row r="30" spans="2:9" x14ac:dyDescent="0.25">
      <c r="E30" s="1" t="s">
        <v>59</v>
      </c>
      <c r="G30" s="1" t="s">
        <v>91</v>
      </c>
      <c r="H30" s="1" t="s">
        <v>39</v>
      </c>
      <c r="I30" s="1" t="s">
        <v>92</v>
      </c>
    </row>
    <row r="31" spans="2:9" x14ac:dyDescent="0.25">
      <c r="E31" s="1" t="s">
        <v>181</v>
      </c>
      <c r="G31" s="1" t="s">
        <v>182</v>
      </c>
      <c r="H31" s="1" t="s">
        <v>39</v>
      </c>
      <c r="I31" s="1" t="s">
        <v>183</v>
      </c>
    </row>
    <row r="32" spans="2:9" x14ac:dyDescent="0.25">
      <c r="F32" s="1" t="s">
        <v>39</v>
      </c>
      <c r="H32" s="1" t="s">
        <v>39</v>
      </c>
    </row>
    <row r="33" spans="2:9" x14ac:dyDescent="0.25">
      <c r="B33" s="1" t="s">
        <v>21</v>
      </c>
      <c r="C33" s="1" t="s">
        <v>34</v>
      </c>
      <c r="D33" s="1" t="s">
        <v>22</v>
      </c>
      <c r="F33" s="1" t="s">
        <v>39</v>
      </c>
      <c r="H33" s="1" t="s">
        <v>39</v>
      </c>
    </row>
    <row r="34" spans="2:9" x14ac:dyDescent="0.25">
      <c r="B34" s="1" t="s">
        <v>93</v>
      </c>
      <c r="C34" s="1" t="s">
        <v>94</v>
      </c>
      <c r="D34" s="1" t="s">
        <v>95</v>
      </c>
      <c r="E34" s="1" t="s">
        <v>96</v>
      </c>
      <c r="G34" s="1" t="s">
        <v>97</v>
      </c>
      <c r="H34" s="1" t="s">
        <v>39</v>
      </c>
      <c r="I34" s="1" t="s">
        <v>98</v>
      </c>
    </row>
    <row r="35" spans="2:9" x14ac:dyDescent="0.25">
      <c r="E35" s="1" t="s">
        <v>153</v>
      </c>
      <c r="G35" s="1" t="s">
        <v>154</v>
      </c>
      <c r="H35" s="1" t="s">
        <v>39</v>
      </c>
      <c r="I35" s="1" t="s">
        <v>155</v>
      </c>
    </row>
    <row r="36" spans="2:9" x14ac:dyDescent="0.25">
      <c r="E36" s="1" t="s">
        <v>99</v>
      </c>
      <c r="G36" s="1" t="s">
        <v>100</v>
      </c>
      <c r="H36" s="1" t="s">
        <v>39</v>
      </c>
      <c r="I36" s="1" t="s">
        <v>101</v>
      </c>
    </row>
    <row r="37" spans="2:9" x14ac:dyDescent="0.25">
      <c r="E37" s="1" t="s">
        <v>184</v>
      </c>
      <c r="G37" s="1" t="s">
        <v>185</v>
      </c>
      <c r="H37" s="1" t="s">
        <v>39</v>
      </c>
      <c r="I37" s="1" t="s">
        <v>186</v>
      </c>
    </row>
    <row r="38" spans="2:9" x14ac:dyDescent="0.25">
      <c r="F38" s="1" t="s">
        <v>39</v>
      </c>
      <c r="H38" s="1" t="s">
        <v>39</v>
      </c>
    </row>
    <row r="39" spans="2:9" x14ac:dyDescent="0.25">
      <c r="B39" s="1" t="s">
        <v>23</v>
      </c>
      <c r="C39" s="1" t="s">
        <v>35</v>
      </c>
      <c r="D39" s="1" t="s">
        <v>11</v>
      </c>
      <c r="F39" s="1" t="s">
        <v>39</v>
      </c>
      <c r="H39" s="1" t="s">
        <v>39</v>
      </c>
    </row>
    <row r="40" spans="2:9" x14ac:dyDescent="0.25">
      <c r="B40" s="1" t="s">
        <v>102</v>
      </c>
      <c r="C40" s="1" t="s">
        <v>103</v>
      </c>
      <c r="D40" s="1" t="s">
        <v>104</v>
      </c>
      <c r="E40" s="1" t="s">
        <v>105</v>
      </c>
      <c r="G40" s="1" t="s">
        <v>106</v>
      </c>
      <c r="H40" s="1" t="s">
        <v>39</v>
      </c>
      <c r="I40" s="1" t="s">
        <v>107</v>
      </c>
    </row>
    <row r="41" spans="2:9" x14ac:dyDescent="0.25">
      <c r="E41" s="1" t="s">
        <v>156</v>
      </c>
      <c r="G41" s="1" t="s">
        <v>157</v>
      </c>
      <c r="H41" s="1" t="s">
        <v>39</v>
      </c>
      <c r="I41" s="1" t="s">
        <v>158</v>
      </c>
    </row>
    <row r="42" spans="2:9" x14ac:dyDescent="0.25">
      <c r="E42" s="1" t="s">
        <v>108</v>
      </c>
      <c r="G42" s="1" t="s">
        <v>109</v>
      </c>
      <c r="H42" s="1" t="s">
        <v>39</v>
      </c>
      <c r="I42" s="1" t="s">
        <v>110</v>
      </c>
    </row>
    <row r="43" spans="2:9" x14ac:dyDescent="0.25">
      <c r="E43" s="1" t="s">
        <v>187</v>
      </c>
      <c r="G43" s="1" t="s">
        <v>188</v>
      </c>
      <c r="H43" s="1" t="s">
        <v>39</v>
      </c>
      <c r="I43" s="1" t="s">
        <v>189</v>
      </c>
    </row>
    <row r="44" spans="2:9" x14ac:dyDescent="0.25">
      <c r="F44" s="1" t="s">
        <v>39</v>
      </c>
      <c r="H44" s="1" t="s">
        <v>39</v>
      </c>
    </row>
    <row r="45" spans="2:9" x14ac:dyDescent="0.25">
      <c r="B45" s="1" t="s">
        <v>12</v>
      </c>
      <c r="C45" s="1" t="s">
        <v>36</v>
      </c>
      <c r="D45" s="1" t="s">
        <v>24</v>
      </c>
      <c r="F45" s="1" t="s">
        <v>39</v>
      </c>
      <c r="H45" s="1" t="s">
        <v>39</v>
      </c>
    </row>
    <row r="46" spans="2:9" x14ac:dyDescent="0.25">
      <c r="B46" s="1" t="s">
        <v>111</v>
      </c>
      <c r="C46" s="1" t="s">
        <v>112</v>
      </c>
      <c r="D46" s="1" t="s">
        <v>113</v>
      </c>
      <c r="E46" s="1" t="s">
        <v>114</v>
      </c>
      <c r="G46" s="1" t="s">
        <v>115</v>
      </c>
      <c r="H46" s="1" t="s">
        <v>39</v>
      </c>
      <c r="I46" s="1" t="s">
        <v>116</v>
      </c>
    </row>
    <row r="47" spans="2:9" x14ac:dyDescent="0.25">
      <c r="E47" s="1" t="s">
        <v>159</v>
      </c>
      <c r="G47" s="1" t="s">
        <v>160</v>
      </c>
      <c r="H47" s="1" t="s">
        <v>39</v>
      </c>
      <c r="I47" s="1" t="s">
        <v>161</v>
      </c>
    </row>
    <row r="48" spans="2:9" x14ac:dyDescent="0.25">
      <c r="E48" s="1" t="s">
        <v>117</v>
      </c>
      <c r="G48" s="1" t="s">
        <v>118</v>
      </c>
      <c r="H48" s="1" t="s">
        <v>39</v>
      </c>
      <c r="I48" s="1" t="s">
        <v>119</v>
      </c>
    </row>
    <row r="49" spans="2:9" x14ac:dyDescent="0.25">
      <c r="E49" s="1" t="s">
        <v>190</v>
      </c>
      <c r="G49" s="1" t="s">
        <v>191</v>
      </c>
      <c r="H49" s="1" t="s">
        <v>39</v>
      </c>
      <c r="I49" s="1" t="s">
        <v>192</v>
      </c>
    </row>
    <row r="50" spans="2:9" x14ac:dyDescent="0.25">
      <c r="F50" s="1" t="s">
        <v>39</v>
      </c>
      <c r="H50" s="1" t="s">
        <v>39</v>
      </c>
    </row>
    <row r="51" spans="2:9" x14ac:dyDescent="0.25">
      <c r="B51" s="1" t="s">
        <v>25</v>
      </c>
      <c r="C51" s="1" t="s">
        <v>37</v>
      </c>
      <c r="D51" s="1" t="s">
        <v>26</v>
      </c>
      <c r="F51" s="1" t="s">
        <v>39</v>
      </c>
      <c r="H51" s="1" t="s">
        <v>39</v>
      </c>
    </row>
    <row r="52" spans="2:9" x14ac:dyDescent="0.25">
      <c r="B52" s="1" t="s">
        <v>120</v>
      </c>
      <c r="C52" s="1" t="s">
        <v>121</v>
      </c>
      <c r="D52" s="1" t="s">
        <v>122</v>
      </c>
      <c r="E52" s="1" t="s">
        <v>123</v>
      </c>
      <c r="G52" s="1" t="s">
        <v>124</v>
      </c>
      <c r="H52" s="1" t="s">
        <v>39</v>
      </c>
      <c r="I52" s="1" t="s">
        <v>125</v>
      </c>
    </row>
    <row r="53" spans="2:9" x14ac:dyDescent="0.25">
      <c r="E53" s="1" t="s">
        <v>162</v>
      </c>
      <c r="G53" s="1" t="s">
        <v>163</v>
      </c>
      <c r="H53" s="1" t="s">
        <v>39</v>
      </c>
      <c r="I53" s="1" t="s">
        <v>164</v>
      </c>
    </row>
    <row r="54" spans="2:9" x14ac:dyDescent="0.25">
      <c r="E54" s="1" t="s">
        <v>126</v>
      </c>
      <c r="G54" s="1" t="s">
        <v>127</v>
      </c>
      <c r="H54" s="1" t="s">
        <v>39</v>
      </c>
      <c r="I54" s="1" t="s">
        <v>128</v>
      </c>
    </row>
    <row r="55" spans="2:9" x14ac:dyDescent="0.25">
      <c r="E55" s="1" t="s">
        <v>193</v>
      </c>
      <c r="G55" s="1" t="s">
        <v>194</v>
      </c>
      <c r="H55" s="1" t="s">
        <v>39</v>
      </c>
      <c r="I55" s="1" t="s">
        <v>195</v>
      </c>
    </row>
    <row r="56" spans="2:9" x14ac:dyDescent="0.25">
      <c r="F56" s="1" t="s">
        <v>39</v>
      </c>
      <c r="H56" s="1" t="s">
        <v>39</v>
      </c>
    </row>
    <row r="57" spans="2:9" x14ac:dyDescent="0.25">
      <c r="B57" s="1" t="s">
        <v>27</v>
      </c>
      <c r="C57" s="1" t="s">
        <v>38</v>
      </c>
      <c r="D57" s="1" t="s">
        <v>28</v>
      </c>
      <c r="F57" s="1" t="s">
        <v>39</v>
      </c>
      <c r="H57" s="1" t="s">
        <v>39</v>
      </c>
    </row>
    <row r="58" spans="2:9" x14ac:dyDescent="0.25">
      <c r="B58" s="1" t="s">
        <v>129</v>
      </c>
      <c r="C58" s="1" t="s">
        <v>130</v>
      </c>
      <c r="D58" s="1" t="s">
        <v>131</v>
      </c>
      <c r="E58" s="1" t="s">
        <v>132</v>
      </c>
      <c r="G58" s="1" t="s">
        <v>133</v>
      </c>
      <c r="H58" s="1" t="s">
        <v>39</v>
      </c>
      <c r="I58" s="1" t="s">
        <v>134</v>
      </c>
    </row>
    <row r="59" spans="2:9" x14ac:dyDescent="0.25">
      <c r="E59" s="1" t="s">
        <v>166</v>
      </c>
      <c r="G59" s="1" t="s">
        <v>167</v>
      </c>
      <c r="H59" s="1" t="s">
        <v>39</v>
      </c>
      <c r="I59" s="1" t="s">
        <v>168</v>
      </c>
    </row>
    <row r="60" spans="2:9" x14ac:dyDescent="0.25">
      <c r="E60" s="1" t="s">
        <v>135</v>
      </c>
      <c r="G60" s="1" t="s">
        <v>136</v>
      </c>
      <c r="H60" s="1" t="s">
        <v>39</v>
      </c>
      <c r="I60" s="1" t="s">
        <v>137</v>
      </c>
    </row>
    <row r="61" spans="2:9" x14ac:dyDescent="0.25">
      <c r="E61" s="1" t="s">
        <v>196</v>
      </c>
      <c r="G61" s="1" t="s">
        <v>197</v>
      </c>
      <c r="H61" s="1" t="s">
        <v>39</v>
      </c>
      <c r="I61" s="1" t="s">
        <v>198</v>
      </c>
    </row>
    <row r="62" spans="2:9" x14ac:dyDescent="0.25">
      <c r="F62" s="1" t="s">
        <v>39</v>
      </c>
      <c r="H62" s="1" t="s">
        <v>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2"/>
  <sheetViews>
    <sheetView workbookViewId="0"/>
  </sheetViews>
  <sheetFormatPr defaultRowHeight="15" x14ac:dyDescent="0.25"/>
  <sheetData>
    <row r="1" spans="1:9" x14ac:dyDescent="0.25">
      <c r="A1" s="1" t="s">
        <v>211</v>
      </c>
      <c r="B1" s="1" t="s">
        <v>0</v>
      </c>
      <c r="C1" s="1" t="s">
        <v>0</v>
      </c>
      <c r="D1" s="1" t="s">
        <v>0</v>
      </c>
      <c r="F1" s="1" t="s">
        <v>39</v>
      </c>
      <c r="H1" s="1" t="s">
        <v>39</v>
      </c>
    </row>
    <row r="2" spans="1:9" x14ac:dyDescent="0.25">
      <c r="A2" s="1" t="s">
        <v>0</v>
      </c>
      <c r="E2" s="1" t="s">
        <v>7</v>
      </c>
      <c r="F2" s="1" t="s">
        <v>39</v>
      </c>
      <c r="G2" s="1" t="s">
        <v>8</v>
      </c>
      <c r="H2" s="1" t="s">
        <v>39</v>
      </c>
      <c r="I2" s="1" t="s">
        <v>205</v>
      </c>
    </row>
    <row r="3" spans="1:9" x14ac:dyDescent="0.25">
      <c r="A3" s="1" t="s">
        <v>0</v>
      </c>
      <c r="B3" s="1" t="s">
        <v>40</v>
      </c>
      <c r="C3" s="1" t="s">
        <v>29</v>
      </c>
      <c r="D3" s="1" t="s">
        <v>14</v>
      </c>
      <c r="F3" s="1" t="s">
        <v>39</v>
      </c>
      <c r="H3" s="1" t="s">
        <v>39</v>
      </c>
    </row>
    <row r="4" spans="1:9" x14ac:dyDescent="0.25">
      <c r="B4" s="1" t="s">
        <v>48</v>
      </c>
      <c r="C4" s="1" t="s">
        <v>49</v>
      </c>
      <c r="D4" s="1" t="s">
        <v>60</v>
      </c>
      <c r="E4" s="1" t="s">
        <v>50</v>
      </c>
      <c r="G4" s="1" t="s">
        <v>61</v>
      </c>
      <c r="H4" s="1" t="s">
        <v>39</v>
      </c>
      <c r="I4" s="1" t="s">
        <v>62</v>
      </c>
    </row>
    <row r="5" spans="1:9" x14ac:dyDescent="0.25">
      <c r="E5" s="1" t="s">
        <v>138</v>
      </c>
      <c r="G5" s="1" t="s">
        <v>139</v>
      </c>
      <c r="H5" s="1" t="s">
        <v>39</v>
      </c>
      <c r="I5" s="1" t="s">
        <v>140</v>
      </c>
    </row>
    <row r="6" spans="1:9" x14ac:dyDescent="0.25">
      <c r="E6" s="1" t="s">
        <v>51</v>
      </c>
      <c r="G6" s="1" t="s">
        <v>63</v>
      </c>
      <c r="H6" s="1" t="s">
        <v>39</v>
      </c>
      <c r="I6" s="1" t="s">
        <v>64</v>
      </c>
    </row>
    <row r="7" spans="1:9" x14ac:dyDescent="0.25">
      <c r="E7" s="1" t="s">
        <v>169</v>
      </c>
      <c r="G7" s="1" t="s">
        <v>170</v>
      </c>
      <c r="H7" s="1" t="s">
        <v>39</v>
      </c>
      <c r="I7" s="1" t="s">
        <v>171</v>
      </c>
    </row>
    <row r="8" spans="1:9" x14ac:dyDescent="0.25">
      <c r="F8" s="1" t="s">
        <v>39</v>
      </c>
      <c r="H8" s="1" t="s">
        <v>39</v>
      </c>
    </row>
    <row r="9" spans="1:9" x14ac:dyDescent="0.25">
      <c r="B9" s="1" t="s">
        <v>15</v>
      </c>
      <c r="C9" s="1" t="s">
        <v>30</v>
      </c>
      <c r="D9" s="1" t="s">
        <v>9</v>
      </c>
      <c r="F9" s="1" t="s">
        <v>39</v>
      </c>
      <c r="H9" s="1" t="s">
        <v>39</v>
      </c>
    </row>
    <row r="10" spans="1:9" x14ac:dyDescent="0.25">
      <c r="B10" s="1" t="s">
        <v>65</v>
      </c>
      <c r="C10" s="1" t="s">
        <v>66</v>
      </c>
      <c r="D10" s="1" t="s">
        <v>67</v>
      </c>
      <c r="E10" s="1" t="s">
        <v>52</v>
      </c>
      <c r="G10" s="1" t="s">
        <v>68</v>
      </c>
      <c r="H10" s="1" t="s">
        <v>39</v>
      </c>
      <c r="I10" s="1" t="s">
        <v>69</v>
      </c>
    </row>
    <row r="11" spans="1:9" x14ac:dyDescent="0.25">
      <c r="E11" s="1" t="s">
        <v>141</v>
      </c>
      <c r="G11" s="1" t="s">
        <v>142</v>
      </c>
      <c r="H11" s="1" t="s">
        <v>39</v>
      </c>
      <c r="I11" s="1" t="s">
        <v>143</v>
      </c>
    </row>
    <row r="12" spans="1:9" x14ac:dyDescent="0.25">
      <c r="E12" s="1" t="s">
        <v>53</v>
      </c>
      <c r="G12" s="1" t="s">
        <v>70</v>
      </c>
      <c r="H12" s="1" t="s">
        <v>39</v>
      </c>
      <c r="I12" s="1" t="s">
        <v>71</v>
      </c>
    </row>
    <row r="13" spans="1:9" x14ac:dyDescent="0.25">
      <c r="E13" s="1" t="s">
        <v>172</v>
      </c>
      <c r="G13" s="1" t="s">
        <v>173</v>
      </c>
      <c r="H13" s="1" t="s">
        <v>39</v>
      </c>
      <c r="I13" s="1" t="s">
        <v>174</v>
      </c>
    </row>
    <row r="14" spans="1:9" x14ac:dyDescent="0.25">
      <c r="F14" s="1" t="s">
        <v>39</v>
      </c>
      <c r="H14" s="1" t="s">
        <v>39</v>
      </c>
    </row>
    <row r="15" spans="1:9" x14ac:dyDescent="0.25">
      <c r="B15" s="1" t="s">
        <v>10</v>
      </c>
      <c r="C15" s="1" t="s">
        <v>31</v>
      </c>
      <c r="D15" s="1" t="s">
        <v>16</v>
      </c>
      <c r="F15" s="1" t="s">
        <v>39</v>
      </c>
      <c r="H15" s="1" t="s">
        <v>39</v>
      </c>
    </row>
    <row r="16" spans="1:9" x14ac:dyDescent="0.25">
      <c r="B16" s="1" t="s">
        <v>72</v>
      </c>
      <c r="C16" s="1" t="s">
        <v>73</v>
      </c>
      <c r="D16" s="1" t="s">
        <v>74</v>
      </c>
      <c r="E16" s="1" t="s">
        <v>54</v>
      </c>
      <c r="G16" s="1" t="s">
        <v>75</v>
      </c>
      <c r="H16" s="1" t="s">
        <v>39</v>
      </c>
      <c r="I16" s="1" t="s">
        <v>76</v>
      </c>
    </row>
    <row r="17" spans="2:9" x14ac:dyDescent="0.25">
      <c r="E17" s="1" t="s">
        <v>144</v>
      </c>
      <c r="G17" s="1" t="s">
        <v>145</v>
      </c>
      <c r="H17" s="1" t="s">
        <v>39</v>
      </c>
      <c r="I17" s="1" t="s">
        <v>146</v>
      </c>
    </row>
    <row r="18" spans="2:9" x14ac:dyDescent="0.25">
      <c r="E18" s="1" t="s">
        <v>55</v>
      </c>
      <c r="G18" s="1" t="s">
        <v>77</v>
      </c>
      <c r="H18" s="1" t="s">
        <v>39</v>
      </c>
      <c r="I18" s="1" t="s">
        <v>78</v>
      </c>
    </row>
    <row r="19" spans="2:9" x14ac:dyDescent="0.25">
      <c r="E19" s="1" t="s">
        <v>175</v>
      </c>
      <c r="G19" s="1" t="s">
        <v>176</v>
      </c>
      <c r="H19" s="1" t="s">
        <v>39</v>
      </c>
      <c r="I19" s="1" t="s">
        <v>177</v>
      </c>
    </row>
    <row r="20" spans="2:9" x14ac:dyDescent="0.25">
      <c r="F20" s="1" t="s">
        <v>39</v>
      </c>
      <c r="H20" s="1" t="s">
        <v>39</v>
      </c>
    </row>
    <row r="21" spans="2:9" x14ac:dyDescent="0.25">
      <c r="B21" s="1" t="s">
        <v>17</v>
      </c>
      <c r="C21" s="1" t="s">
        <v>32</v>
      </c>
      <c r="D21" s="1" t="s">
        <v>18</v>
      </c>
      <c r="F21" s="1" t="s">
        <v>39</v>
      </c>
      <c r="H21" s="1" t="s">
        <v>39</v>
      </c>
    </row>
    <row r="22" spans="2:9" x14ac:dyDescent="0.25">
      <c r="B22" s="1" t="s">
        <v>79</v>
      </c>
      <c r="C22" s="1" t="s">
        <v>80</v>
      </c>
      <c r="D22" s="1" t="s">
        <v>81</v>
      </c>
      <c r="E22" s="1" t="s">
        <v>56</v>
      </c>
      <c r="G22" s="1" t="s">
        <v>82</v>
      </c>
      <c r="H22" s="1" t="s">
        <v>39</v>
      </c>
      <c r="I22" s="1" t="s">
        <v>83</v>
      </c>
    </row>
    <row r="23" spans="2:9" x14ac:dyDescent="0.25">
      <c r="E23" s="1" t="s">
        <v>147</v>
      </c>
      <c r="G23" s="1" t="s">
        <v>148</v>
      </c>
      <c r="H23" s="1" t="s">
        <v>39</v>
      </c>
      <c r="I23" s="1" t="s">
        <v>149</v>
      </c>
    </row>
    <row r="24" spans="2:9" x14ac:dyDescent="0.25">
      <c r="E24" s="1" t="s">
        <v>57</v>
      </c>
      <c r="G24" s="1" t="s">
        <v>84</v>
      </c>
      <c r="H24" s="1" t="s">
        <v>39</v>
      </c>
      <c r="I24" s="1" t="s">
        <v>85</v>
      </c>
    </row>
    <row r="25" spans="2:9" x14ac:dyDescent="0.25">
      <c r="E25" s="1" t="s">
        <v>178</v>
      </c>
      <c r="G25" s="1" t="s">
        <v>179</v>
      </c>
      <c r="H25" s="1" t="s">
        <v>39</v>
      </c>
      <c r="I25" s="1" t="s">
        <v>180</v>
      </c>
    </row>
    <row r="26" spans="2:9" x14ac:dyDescent="0.25">
      <c r="F26" s="1" t="s">
        <v>39</v>
      </c>
      <c r="H26" s="1" t="s">
        <v>39</v>
      </c>
    </row>
    <row r="27" spans="2:9" x14ac:dyDescent="0.25">
      <c r="B27" s="1" t="s">
        <v>19</v>
      </c>
      <c r="C27" s="1" t="s">
        <v>33</v>
      </c>
      <c r="D27" s="1" t="s">
        <v>20</v>
      </c>
      <c r="F27" s="1" t="s">
        <v>39</v>
      </c>
      <c r="H27" s="1" t="s">
        <v>39</v>
      </c>
    </row>
    <row r="28" spans="2:9" x14ac:dyDescent="0.25">
      <c r="B28" s="1" t="s">
        <v>86</v>
      </c>
      <c r="C28" s="1" t="s">
        <v>87</v>
      </c>
      <c r="D28" s="1" t="s">
        <v>88</v>
      </c>
      <c r="E28" s="1" t="s">
        <v>58</v>
      </c>
      <c r="G28" s="1" t="s">
        <v>89</v>
      </c>
      <c r="H28" s="1" t="s">
        <v>39</v>
      </c>
      <c r="I28" s="1" t="s">
        <v>90</v>
      </c>
    </row>
    <row r="29" spans="2:9" x14ac:dyDescent="0.25">
      <c r="E29" s="1" t="s">
        <v>150</v>
      </c>
      <c r="G29" s="1" t="s">
        <v>151</v>
      </c>
      <c r="H29" s="1" t="s">
        <v>39</v>
      </c>
      <c r="I29" s="1" t="s">
        <v>152</v>
      </c>
    </row>
    <row r="30" spans="2:9" x14ac:dyDescent="0.25">
      <c r="E30" s="1" t="s">
        <v>59</v>
      </c>
      <c r="G30" s="1" t="s">
        <v>91</v>
      </c>
      <c r="H30" s="1" t="s">
        <v>39</v>
      </c>
      <c r="I30" s="1" t="s">
        <v>92</v>
      </c>
    </row>
    <row r="31" spans="2:9" x14ac:dyDescent="0.25">
      <c r="E31" s="1" t="s">
        <v>181</v>
      </c>
      <c r="G31" s="1" t="s">
        <v>182</v>
      </c>
      <c r="H31" s="1" t="s">
        <v>39</v>
      </c>
      <c r="I31" s="1" t="s">
        <v>183</v>
      </c>
    </row>
    <row r="32" spans="2:9" x14ac:dyDescent="0.25">
      <c r="F32" s="1" t="s">
        <v>39</v>
      </c>
      <c r="H32" s="1" t="s">
        <v>39</v>
      </c>
    </row>
    <row r="33" spans="2:9" x14ac:dyDescent="0.25">
      <c r="B33" s="1" t="s">
        <v>21</v>
      </c>
      <c r="C33" s="1" t="s">
        <v>34</v>
      </c>
      <c r="D33" s="1" t="s">
        <v>22</v>
      </c>
      <c r="F33" s="1" t="s">
        <v>39</v>
      </c>
      <c r="H33" s="1" t="s">
        <v>39</v>
      </c>
    </row>
    <row r="34" spans="2:9" x14ac:dyDescent="0.25">
      <c r="B34" s="1" t="s">
        <v>93</v>
      </c>
      <c r="C34" s="1" t="s">
        <v>94</v>
      </c>
      <c r="D34" s="1" t="s">
        <v>95</v>
      </c>
      <c r="E34" s="1" t="s">
        <v>96</v>
      </c>
      <c r="G34" s="1" t="s">
        <v>97</v>
      </c>
      <c r="H34" s="1" t="s">
        <v>39</v>
      </c>
      <c r="I34" s="1" t="s">
        <v>98</v>
      </c>
    </row>
    <row r="35" spans="2:9" x14ac:dyDescent="0.25">
      <c r="E35" s="1" t="s">
        <v>153</v>
      </c>
      <c r="G35" s="1" t="s">
        <v>154</v>
      </c>
      <c r="H35" s="1" t="s">
        <v>39</v>
      </c>
      <c r="I35" s="1" t="s">
        <v>155</v>
      </c>
    </row>
    <row r="36" spans="2:9" x14ac:dyDescent="0.25">
      <c r="E36" s="1" t="s">
        <v>99</v>
      </c>
      <c r="G36" s="1" t="s">
        <v>100</v>
      </c>
      <c r="H36" s="1" t="s">
        <v>39</v>
      </c>
      <c r="I36" s="1" t="s">
        <v>101</v>
      </c>
    </row>
    <row r="37" spans="2:9" x14ac:dyDescent="0.25">
      <c r="E37" s="1" t="s">
        <v>184</v>
      </c>
      <c r="G37" s="1" t="s">
        <v>185</v>
      </c>
      <c r="H37" s="1" t="s">
        <v>39</v>
      </c>
      <c r="I37" s="1" t="s">
        <v>186</v>
      </c>
    </row>
    <row r="38" spans="2:9" x14ac:dyDescent="0.25">
      <c r="F38" s="1" t="s">
        <v>39</v>
      </c>
      <c r="H38" s="1" t="s">
        <v>39</v>
      </c>
    </row>
    <row r="39" spans="2:9" x14ac:dyDescent="0.25">
      <c r="B39" s="1" t="s">
        <v>23</v>
      </c>
      <c r="C39" s="1" t="s">
        <v>35</v>
      </c>
      <c r="D39" s="1" t="s">
        <v>11</v>
      </c>
      <c r="F39" s="1" t="s">
        <v>39</v>
      </c>
      <c r="H39" s="1" t="s">
        <v>39</v>
      </c>
    </row>
    <row r="40" spans="2:9" x14ac:dyDescent="0.25">
      <c r="B40" s="1" t="s">
        <v>102</v>
      </c>
      <c r="C40" s="1" t="s">
        <v>103</v>
      </c>
      <c r="D40" s="1" t="s">
        <v>104</v>
      </c>
      <c r="E40" s="1" t="s">
        <v>105</v>
      </c>
      <c r="G40" s="1" t="s">
        <v>106</v>
      </c>
      <c r="H40" s="1" t="s">
        <v>39</v>
      </c>
      <c r="I40" s="1" t="s">
        <v>107</v>
      </c>
    </row>
    <row r="41" spans="2:9" x14ac:dyDescent="0.25">
      <c r="E41" s="1" t="s">
        <v>156</v>
      </c>
      <c r="G41" s="1" t="s">
        <v>157</v>
      </c>
      <c r="H41" s="1" t="s">
        <v>39</v>
      </c>
      <c r="I41" s="1" t="s">
        <v>158</v>
      </c>
    </row>
    <row r="42" spans="2:9" x14ac:dyDescent="0.25">
      <c r="E42" s="1" t="s">
        <v>108</v>
      </c>
      <c r="G42" s="1" t="s">
        <v>109</v>
      </c>
      <c r="H42" s="1" t="s">
        <v>39</v>
      </c>
      <c r="I42" s="1" t="s">
        <v>110</v>
      </c>
    </row>
    <row r="43" spans="2:9" x14ac:dyDescent="0.25">
      <c r="E43" s="1" t="s">
        <v>187</v>
      </c>
      <c r="G43" s="1" t="s">
        <v>188</v>
      </c>
      <c r="H43" s="1" t="s">
        <v>39</v>
      </c>
      <c r="I43" s="1" t="s">
        <v>189</v>
      </c>
    </row>
    <row r="44" spans="2:9" x14ac:dyDescent="0.25">
      <c r="F44" s="1" t="s">
        <v>39</v>
      </c>
      <c r="H44" s="1" t="s">
        <v>39</v>
      </c>
    </row>
    <row r="45" spans="2:9" x14ac:dyDescent="0.25">
      <c r="B45" s="1" t="s">
        <v>12</v>
      </c>
      <c r="C45" s="1" t="s">
        <v>36</v>
      </c>
      <c r="D45" s="1" t="s">
        <v>24</v>
      </c>
      <c r="F45" s="1" t="s">
        <v>39</v>
      </c>
      <c r="H45" s="1" t="s">
        <v>39</v>
      </c>
    </row>
    <row r="46" spans="2:9" x14ac:dyDescent="0.25">
      <c r="B46" s="1" t="s">
        <v>111</v>
      </c>
      <c r="C46" s="1" t="s">
        <v>112</v>
      </c>
      <c r="D46" s="1" t="s">
        <v>113</v>
      </c>
      <c r="E46" s="1" t="s">
        <v>114</v>
      </c>
      <c r="G46" s="1" t="s">
        <v>115</v>
      </c>
      <c r="H46" s="1" t="s">
        <v>39</v>
      </c>
      <c r="I46" s="1" t="s">
        <v>116</v>
      </c>
    </row>
    <row r="47" spans="2:9" x14ac:dyDescent="0.25">
      <c r="E47" s="1" t="s">
        <v>159</v>
      </c>
      <c r="G47" s="1" t="s">
        <v>160</v>
      </c>
      <c r="H47" s="1" t="s">
        <v>39</v>
      </c>
      <c r="I47" s="1" t="s">
        <v>161</v>
      </c>
    </row>
    <row r="48" spans="2:9" x14ac:dyDescent="0.25">
      <c r="E48" s="1" t="s">
        <v>117</v>
      </c>
      <c r="G48" s="1" t="s">
        <v>118</v>
      </c>
      <c r="H48" s="1" t="s">
        <v>39</v>
      </c>
      <c r="I48" s="1" t="s">
        <v>119</v>
      </c>
    </row>
    <row r="49" spans="2:9" x14ac:dyDescent="0.25">
      <c r="E49" s="1" t="s">
        <v>190</v>
      </c>
      <c r="G49" s="1" t="s">
        <v>191</v>
      </c>
      <c r="H49" s="1" t="s">
        <v>39</v>
      </c>
      <c r="I49" s="1" t="s">
        <v>192</v>
      </c>
    </row>
    <row r="50" spans="2:9" x14ac:dyDescent="0.25">
      <c r="F50" s="1" t="s">
        <v>39</v>
      </c>
      <c r="H50" s="1" t="s">
        <v>39</v>
      </c>
    </row>
    <row r="51" spans="2:9" x14ac:dyDescent="0.25">
      <c r="B51" s="1" t="s">
        <v>25</v>
      </c>
      <c r="C51" s="1" t="s">
        <v>37</v>
      </c>
      <c r="D51" s="1" t="s">
        <v>26</v>
      </c>
      <c r="F51" s="1" t="s">
        <v>39</v>
      </c>
      <c r="H51" s="1" t="s">
        <v>39</v>
      </c>
    </row>
    <row r="52" spans="2:9" x14ac:dyDescent="0.25">
      <c r="B52" s="1" t="s">
        <v>120</v>
      </c>
      <c r="C52" s="1" t="s">
        <v>121</v>
      </c>
      <c r="D52" s="1" t="s">
        <v>122</v>
      </c>
      <c r="E52" s="1" t="s">
        <v>123</v>
      </c>
      <c r="G52" s="1" t="s">
        <v>124</v>
      </c>
      <c r="H52" s="1" t="s">
        <v>39</v>
      </c>
      <c r="I52" s="1" t="s">
        <v>125</v>
      </c>
    </row>
    <row r="53" spans="2:9" x14ac:dyDescent="0.25">
      <c r="E53" s="1" t="s">
        <v>162</v>
      </c>
      <c r="G53" s="1" t="s">
        <v>163</v>
      </c>
      <c r="H53" s="1" t="s">
        <v>39</v>
      </c>
      <c r="I53" s="1" t="s">
        <v>164</v>
      </c>
    </row>
    <row r="54" spans="2:9" x14ac:dyDescent="0.25">
      <c r="E54" s="1" t="s">
        <v>126</v>
      </c>
      <c r="G54" s="1" t="s">
        <v>127</v>
      </c>
      <c r="H54" s="1" t="s">
        <v>39</v>
      </c>
      <c r="I54" s="1" t="s">
        <v>128</v>
      </c>
    </row>
    <row r="55" spans="2:9" x14ac:dyDescent="0.25">
      <c r="E55" s="1" t="s">
        <v>193</v>
      </c>
      <c r="G55" s="1" t="s">
        <v>194</v>
      </c>
      <c r="H55" s="1" t="s">
        <v>39</v>
      </c>
      <c r="I55" s="1" t="s">
        <v>195</v>
      </c>
    </row>
    <row r="56" spans="2:9" x14ac:dyDescent="0.25">
      <c r="F56" s="1" t="s">
        <v>39</v>
      </c>
      <c r="H56" s="1" t="s">
        <v>39</v>
      </c>
    </row>
    <row r="57" spans="2:9" x14ac:dyDescent="0.25">
      <c r="B57" s="1" t="s">
        <v>27</v>
      </c>
      <c r="C57" s="1" t="s">
        <v>38</v>
      </c>
      <c r="D57" s="1" t="s">
        <v>28</v>
      </c>
      <c r="F57" s="1" t="s">
        <v>39</v>
      </c>
      <c r="H57" s="1" t="s">
        <v>39</v>
      </c>
    </row>
    <row r="58" spans="2:9" x14ac:dyDescent="0.25">
      <c r="B58" s="1" t="s">
        <v>129</v>
      </c>
      <c r="C58" s="1" t="s">
        <v>130</v>
      </c>
      <c r="D58" s="1" t="s">
        <v>131</v>
      </c>
      <c r="E58" s="1" t="s">
        <v>132</v>
      </c>
      <c r="G58" s="1" t="s">
        <v>133</v>
      </c>
      <c r="H58" s="1" t="s">
        <v>39</v>
      </c>
      <c r="I58" s="1" t="s">
        <v>134</v>
      </c>
    </row>
    <row r="59" spans="2:9" x14ac:dyDescent="0.25">
      <c r="E59" s="1" t="s">
        <v>166</v>
      </c>
      <c r="G59" s="1" t="s">
        <v>167</v>
      </c>
      <c r="H59" s="1" t="s">
        <v>39</v>
      </c>
      <c r="I59" s="1" t="s">
        <v>168</v>
      </c>
    </row>
    <row r="60" spans="2:9" x14ac:dyDescent="0.25">
      <c r="E60" s="1" t="s">
        <v>135</v>
      </c>
      <c r="G60" s="1" t="s">
        <v>136</v>
      </c>
      <c r="H60" s="1" t="s">
        <v>39</v>
      </c>
      <c r="I60" s="1" t="s">
        <v>137</v>
      </c>
    </row>
    <row r="61" spans="2:9" x14ac:dyDescent="0.25">
      <c r="E61" s="1" t="s">
        <v>196</v>
      </c>
      <c r="G61" s="1" t="s">
        <v>197</v>
      </c>
      <c r="H61" s="1" t="s">
        <v>39</v>
      </c>
      <c r="I61" s="1" t="s">
        <v>198</v>
      </c>
    </row>
    <row r="62" spans="2:9" x14ac:dyDescent="0.25">
      <c r="F62" s="1" t="s">
        <v>39</v>
      </c>
      <c r="H62" s="1" t="s">
        <v>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"/>
  <sheetViews>
    <sheetView workbookViewId="0"/>
  </sheetViews>
  <sheetFormatPr defaultRowHeight="15" x14ac:dyDescent="0.25"/>
  <sheetData>
    <row r="1" spans="1:5" x14ac:dyDescent="0.25">
      <c r="A1" s="1" t="s">
        <v>213</v>
      </c>
      <c r="B1" s="1" t="s">
        <v>1</v>
      </c>
      <c r="C1" s="1" t="s">
        <v>2</v>
      </c>
      <c r="D1" s="1" t="s">
        <v>3</v>
      </c>
      <c r="E1" s="1" t="s">
        <v>206</v>
      </c>
    </row>
    <row r="3" spans="1:5" x14ac:dyDescent="0.25">
      <c r="C3" s="1" t="s">
        <v>41</v>
      </c>
    </row>
    <row r="4" spans="1:5" x14ac:dyDescent="0.25">
      <c r="A4" s="1" t="s">
        <v>4</v>
      </c>
      <c r="B4" s="1" t="s">
        <v>42</v>
      </c>
      <c r="C4" s="1" t="s">
        <v>165</v>
      </c>
      <c r="D4" s="1" t="s">
        <v>47</v>
      </c>
    </row>
    <row r="5" spans="1:5" x14ac:dyDescent="0.25">
      <c r="A5" s="1" t="s">
        <v>4</v>
      </c>
      <c r="B5" s="1" t="s">
        <v>203</v>
      </c>
      <c r="C5" s="1" t="s">
        <v>45</v>
      </c>
      <c r="D5" s="1" t="s">
        <v>199</v>
      </c>
    </row>
    <row r="6" spans="1:5" x14ac:dyDescent="0.25">
      <c r="A6" s="1" t="s">
        <v>4</v>
      </c>
      <c r="B6" s="1" t="s">
        <v>43</v>
      </c>
      <c r="C6" s="1" t="s">
        <v>204</v>
      </c>
    </row>
    <row r="7" spans="1:5" x14ac:dyDescent="0.25">
      <c r="A7" s="1" t="s">
        <v>4</v>
      </c>
      <c r="B7" s="1" t="s">
        <v>44</v>
      </c>
      <c r="C7" s="1" t="s">
        <v>208</v>
      </c>
      <c r="E7" s="1" t="s">
        <v>207</v>
      </c>
    </row>
    <row r="11" spans="1:5" x14ac:dyDescent="0.25">
      <c r="B11" s="1" t="s">
        <v>5</v>
      </c>
      <c r="C11" s="1" t="s">
        <v>200</v>
      </c>
    </row>
    <row r="12" spans="1:5" x14ac:dyDescent="0.25">
      <c r="B12" s="1" t="s">
        <v>6</v>
      </c>
      <c r="C12" s="1" t="s">
        <v>201</v>
      </c>
    </row>
    <row r="17" spans="2:3" x14ac:dyDescent="0.25">
      <c r="B17" s="1" t="s">
        <v>46</v>
      </c>
      <c r="C17" s="1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Options</vt:lpstr>
      <vt:lpstr>1</vt:lpstr>
      <vt:lpstr>2</vt:lpstr>
      <vt:lpstr>3</vt:lpstr>
      <vt:lpstr>CustNo</vt:lpstr>
      <vt:lpstr>Pages</vt:lpstr>
      <vt:lpstr>StartDate</vt:lpstr>
      <vt:lpstr>TodaysDate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 Address Labels</dc:title>
  <dc:subject>Jet Reports</dc:subject>
  <dc:creator>Steve Little</dc:creator>
  <dc:description>Customer address information is merged into a spreadsheet formatted to print to Avery 5160 labels.</dc:description>
  <cp:lastModifiedBy>Haseeb Tariq</cp:lastModifiedBy>
  <cp:lastPrinted>2015-02-13T23:07:11Z</cp:lastPrinted>
  <dcterms:created xsi:type="dcterms:W3CDTF">2014-11-25T18:57:34Z</dcterms:created>
  <dcterms:modified xsi:type="dcterms:W3CDTF">2023-09-04T11:05:31Z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