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6" documentId="11_C0F0BFB788DC5A806650B2566A2D1335BB3A98E4" xr6:coauthVersionLast="47" xr6:coauthVersionMax="47" xr10:uidLastSave="{B464016B-364F-4206-9713-F4C59325DC9F}"/>
  <bookViews>
    <workbookView xWindow="-110" yWindow="-110" windowWidth="19420" windowHeight="11500" firstSheet="1" activeTab="2" xr2:uid="{00000000-000D-0000-FFFF-FFFF00000000}"/>
  </bookViews>
  <sheets>
    <sheet name="Options" sheetId="2" state="hidden" r:id="rId1"/>
    <sheet name="Income Statement" sheetId="1" r:id="rId2"/>
    <sheet name="Budget" sheetId="4" r:id="rId3"/>
    <sheet name="Variance" sheetId="5" r:id="rId4"/>
    <sheet name="Sheet2" sheetId="206" state="veryHidden" r:id="rId5"/>
    <sheet name="Sheet3" sheetId="207" state="veryHidden" r:id="rId6"/>
    <sheet name="Sheet4" sheetId="208" state="veryHidden" r:id="rId7"/>
    <sheet name="Sheet5" sheetId="209" state="veryHidden" r:id="rId8"/>
    <sheet name="Sheet6" sheetId="210" state="veryHidden" r:id="rId9"/>
    <sheet name="Sheet7" sheetId="211" state="veryHidden" r:id="rId10"/>
    <sheet name="Sheet8" sheetId="212" state="veryHidden" r:id="rId11"/>
    <sheet name="Sheet9" sheetId="213" state="veryHidden" r:id="rId12"/>
    <sheet name="Sheet10" sheetId="214" state="veryHidden" r:id="rId13"/>
  </sheets>
  <definedNames>
    <definedName name="Budget_Name">Options!$C$5</definedName>
    <definedName name="Year">Options!$C$4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5" l="1"/>
  <c r="G13" i="5"/>
  <c r="H13" i="5"/>
  <c r="I13" i="5"/>
  <c r="J13" i="5"/>
  <c r="K13" i="5"/>
  <c r="L13" i="5"/>
  <c r="M13" i="5"/>
  <c r="N13" i="5"/>
  <c r="O13" i="5"/>
  <c r="P13" i="5"/>
  <c r="Q13" i="5"/>
  <c r="R13" i="5"/>
  <c r="R19" i="5" s="1"/>
  <c r="S13" i="5"/>
  <c r="S19" i="5" s="1"/>
  <c r="E14" i="5"/>
  <c r="G14" i="5"/>
  <c r="G19" i="5" s="1"/>
  <c r="H14" i="5"/>
  <c r="I14" i="5"/>
  <c r="J14" i="5"/>
  <c r="K14" i="5"/>
  <c r="L14" i="5"/>
  <c r="M14" i="5"/>
  <c r="N14" i="5"/>
  <c r="O14" i="5"/>
  <c r="P14" i="5"/>
  <c r="Q14" i="5"/>
  <c r="R14" i="5"/>
  <c r="S14" i="5"/>
  <c r="E15" i="5"/>
  <c r="G15" i="5"/>
  <c r="H15" i="5"/>
  <c r="I15" i="5"/>
  <c r="I19" i="5" s="1"/>
  <c r="J15" i="5"/>
  <c r="K15" i="5"/>
  <c r="L15" i="5"/>
  <c r="M15" i="5"/>
  <c r="N15" i="5"/>
  <c r="O15" i="5"/>
  <c r="P15" i="5"/>
  <c r="Q15" i="5"/>
  <c r="Q19" i="5" s="1"/>
  <c r="R15" i="5"/>
  <c r="S15" i="5"/>
  <c r="E16" i="5"/>
  <c r="G16" i="5"/>
  <c r="H16" i="5"/>
  <c r="I16" i="5"/>
  <c r="J16" i="5"/>
  <c r="J19" i="5" s="1"/>
  <c r="K16" i="5"/>
  <c r="L16" i="5"/>
  <c r="M16" i="5"/>
  <c r="N16" i="5"/>
  <c r="O16" i="5"/>
  <c r="P16" i="5"/>
  <c r="P19" i="5" s="1"/>
  <c r="Q16" i="5"/>
  <c r="R16" i="5"/>
  <c r="S16" i="5"/>
  <c r="E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E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E22" i="5"/>
  <c r="G22" i="5"/>
  <c r="G26" i="5" s="1"/>
  <c r="H22" i="5"/>
  <c r="I22" i="5"/>
  <c r="J22" i="5"/>
  <c r="K22" i="5"/>
  <c r="L22" i="5"/>
  <c r="L26" i="5" s="1"/>
  <c r="M22" i="5"/>
  <c r="N22" i="5"/>
  <c r="N26" i="5" s="1"/>
  <c r="O22" i="5"/>
  <c r="O26" i="5" s="1"/>
  <c r="P22" i="5"/>
  <c r="Q22" i="5"/>
  <c r="R22" i="5"/>
  <c r="S22" i="5"/>
  <c r="E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E24" i="5"/>
  <c r="G24" i="5"/>
  <c r="H24" i="5"/>
  <c r="H26" i="5" s="1"/>
  <c r="I24" i="5"/>
  <c r="J24" i="5"/>
  <c r="K24" i="5"/>
  <c r="L24" i="5"/>
  <c r="M24" i="5"/>
  <c r="N24" i="5"/>
  <c r="O24" i="5"/>
  <c r="P24" i="5"/>
  <c r="Q24" i="5"/>
  <c r="R24" i="5"/>
  <c r="S24" i="5"/>
  <c r="E25" i="5"/>
  <c r="G25" i="5"/>
  <c r="H25" i="5"/>
  <c r="I25" i="5"/>
  <c r="J25" i="5"/>
  <c r="J26" i="5" s="1"/>
  <c r="K25" i="5"/>
  <c r="L25" i="5"/>
  <c r="M25" i="5"/>
  <c r="N25" i="5"/>
  <c r="O25" i="5"/>
  <c r="P25" i="5"/>
  <c r="Q25" i="5"/>
  <c r="R25" i="5"/>
  <c r="S25" i="5"/>
  <c r="M26" i="5"/>
  <c r="E31" i="5"/>
  <c r="G31" i="5"/>
  <c r="H31" i="5"/>
  <c r="I31" i="5"/>
  <c r="I38" i="5" s="1"/>
  <c r="J31" i="5"/>
  <c r="K31" i="5"/>
  <c r="L31" i="5"/>
  <c r="M31" i="5"/>
  <c r="N31" i="5"/>
  <c r="O31" i="5"/>
  <c r="P31" i="5"/>
  <c r="Q31" i="5"/>
  <c r="Q38" i="5" s="1"/>
  <c r="R31" i="5"/>
  <c r="S31" i="5"/>
  <c r="E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E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E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E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E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E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E43" i="5"/>
  <c r="G43" i="5"/>
  <c r="H43" i="5"/>
  <c r="I43" i="5"/>
  <c r="J43" i="5"/>
  <c r="K43" i="5"/>
  <c r="L43" i="5"/>
  <c r="M43" i="5"/>
  <c r="N43" i="5"/>
  <c r="O43" i="5"/>
  <c r="P43" i="5"/>
  <c r="Q43" i="5"/>
  <c r="Q49" i="5" s="1"/>
  <c r="R43" i="5"/>
  <c r="S43" i="5"/>
  <c r="E44" i="5"/>
  <c r="G44" i="5"/>
  <c r="H44" i="5"/>
  <c r="I44" i="5"/>
  <c r="J44" i="5"/>
  <c r="K44" i="5"/>
  <c r="K49" i="5" s="1"/>
  <c r="L44" i="5"/>
  <c r="M44" i="5"/>
  <c r="N44" i="5"/>
  <c r="O44" i="5"/>
  <c r="P44" i="5"/>
  <c r="Q44" i="5"/>
  <c r="R44" i="5"/>
  <c r="S44" i="5"/>
  <c r="S49" i="5" s="1"/>
  <c r="E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E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E47" i="5"/>
  <c r="G47" i="5"/>
  <c r="H47" i="5"/>
  <c r="I47" i="5"/>
  <c r="I49" i="5" s="1"/>
  <c r="J47" i="5"/>
  <c r="K47" i="5"/>
  <c r="L47" i="5"/>
  <c r="M47" i="5"/>
  <c r="N47" i="5"/>
  <c r="O47" i="5"/>
  <c r="P47" i="5"/>
  <c r="Q47" i="5"/>
  <c r="R47" i="5"/>
  <c r="S47" i="5"/>
  <c r="E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E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D10" i="1"/>
  <c r="G10" i="1"/>
  <c r="H10" i="1"/>
  <c r="I10" i="1"/>
  <c r="I16" i="1" s="1"/>
  <c r="J10" i="1"/>
  <c r="K10" i="1"/>
  <c r="L10" i="1"/>
  <c r="M10" i="1"/>
  <c r="N10" i="1"/>
  <c r="N16" i="1" s="1"/>
  <c r="O10" i="1"/>
  <c r="P10" i="1"/>
  <c r="Q10" i="1"/>
  <c r="R10" i="1"/>
  <c r="R16" i="1" s="1"/>
  <c r="D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D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D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D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D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F16" i="1"/>
  <c r="J16" i="1"/>
  <c r="L16" i="1"/>
  <c r="D19" i="1"/>
  <c r="F19" i="1"/>
  <c r="G19" i="1"/>
  <c r="G23" i="1" s="1"/>
  <c r="H19" i="1"/>
  <c r="I19" i="1"/>
  <c r="J19" i="1"/>
  <c r="J23" i="1" s="1"/>
  <c r="K19" i="1"/>
  <c r="L19" i="1"/>
  <c r="M19" i="1"/>
  <c r="N19" i="1"/>
  <c r="O19" i="1"/>
  <c r="O23" i="1" s="1"/>
  <c r="P19" i="1"/>
  <c r="P23" i="1" s="1"/>
  <c r="Q19" i="1"/>
  <c r="Q23" i="1" s="1"/>
  <c r="R19" i="1"/>
  <c r="R23" i="1" s="1"/>
  <c r="D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D21" i="1"/>
  <c r="F21" i="1"/>
  <c r="G21" i="1"/>
  <c r="H21" i="1"/>
  <c r="I21" i="1"/>
  <c r="J21" i="1"/>
  <c r="K21" i="1"/>
  <c r="K23" i="1" s="1"/>
  <c r="L21" i="1"/>
  <c r="M21" i="1"/>
  <c r="N21" i="1"/>
  <c r="O21" i="1"/>
  <c r="P21" i="1"/>
  <c r="Q21" i="1"/>
  <c r="R21" i="1"/>
  <c r="D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I23" i="1"/>
  <c r="D28" i="1"/>
  <c r="F28" i="1"/>
  <c r="F35" i="1" s="1"/>
  <c r="G28" i="1"/>
  <c r="H28" i="1"/>
  <c r="I28" i="1"/>
  <c r="J28" i="1"/>
  <c r="K28" i="1"/>
  <c r="K35" i="1" s="1"/>
  <c r="L28" i="1"/>
  <c r="M28" i="1"/>
  <c r="M35" i="1" s="1"/>
  <c r="N28" i="1"/>
  <c r="O28" i="1"/>
  <c r="P28" i="1"/>
  <c r="Q28" i="1"/>
  <c r="R28" i="1"/>
  <c r="D29" i="1"/>
  <c r="F29" i="1"/>
  <c r="G29" i="1"/>
  <c r="H29" i="1"/>
  <c r="H35" i="1" s="1"/>
  <c r="I29" i="1"/>
  <c r="J29" i="1"/>
  <c r="K29" i="1"/>
  <c r="L29" i="1"/>
  <c r="M29" i="1"/>
  <c r="N29" i="1"/>
  <c r="O29" i="1"/>
  <c r="P29" i="1"/>
  <c r="Q29" i="1"/>
  <c r="R29" i="1"/>
  <c r="D30" i="1"/>
  <c r="G30" i="1"/>
  <c r="H30" i="1"/>
  <c r="I30" i="1"/>
  <c r="J30" i="1"/>
  <c r="J35" i="1" s="1"/>
  <c r="K30" i="1"/>
  <c r="L30" i="1"/>
  <c r="M30" i="1"/>
  <c r="N30" i="1"/>
  <c r="O30" i="1"/>
  <c r="P30" i="1"/>
  <c r="Q30" i="1"/>
  <c r="R30" i="1"/>
  <c r="D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D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D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D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D40" i="1"/>
  <c r="F40" i="1"/>
  <c r="G40" i="1"/>
  <c r="G46" i="1" s="1"/>
  <c r="H40" i="1"/>
  <c r="I40" i="1"/>
  <c r="J40" i="1"/>
  <c r="K40" i="1"/>
  <c r="L40" i="1"/>
  <c r="M40" i="1"/>
  <c r="N40" i="1"/>
  <c r="O40" i="1"/>
  <c r="O46" i="1" s="1"/>
  <c r="P40" i="1"/>
  <c r="P46" i="1" s="1"/>
  <c r="Q40" i="1"/>
  <c r="R40" i="1"/>
  <c r="R46" i="1" s="1"/>
  <c r="D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D42" i="1"/>
  <c r="F42" i="1"/>
  <c r="F46" i="1" s="1"/>
  <c r="G42" i="1"/>
  <c r="H42" i="1"/>
  <c r="I42" i="1"/>
  <c r="J42" i="1"/>
  <c r="K42" i="1"/>
  <c r="L42" i="1"/>
  <c r="M42" i="1"/>
  <c r="N42" i="1"/>
  <c r="N46" i="1" s="1"/>
  <c r="O42" i="1"/>
  <c r="P42" i="1"/>
  <c r="Q42" i="1"/>
  <c r="R42" i="1"/>
  <c r="D43" i="1"/>
  <c r="F43" i="1"/>
  <c r="G43" i="1"/>
  <c r="H43" i="1"/>
  <c r="I43" i="1"/>
  <c r="J43" i="1"/>
  <c r="K43" i="1"/>
  <c r="L43" i="1"/>
  <c r="M43" i="1"/>
  <c r="M46" i="1" s="1"/>
  <c r="N43" i="1"/>
  <c r="O43" i="1"/>
  <c r="P43" i="1"/>
  <c r="Q43" i="1"/>
  <c r="R43" i="1"/>
  <c r="D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D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D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D10" i="4"/>
  <c r="F10" i="4"/>
  <c r="G10" i="4"/>
  <c r="H10" i="4"/>
  <c r="I10" i="4"/>
  <c r="J10" i="4"/>
  <c r="K10" i="4"/>
  <c r="K16" i="4" s="1"/>
  <c r="L10" i="4"/>
  <c r="L16" i="4" s="1"/>
  <c r="M10" i="4"/>
  <c r="N10" i="4"/>
  <c r="N16" i="4" s="1"/>
  <c r="O10" i="4"/>
  <c r="P10" i="4"/>
  <c r="Q10" i="4"/>
  <c r="R10" i="4"/>
  <c r="D11" i="4"/>
  <c r="F11" i="4"/>
  <c r="G11" i="4"/>
  <c r="H11" i="4"/>
  <c r="I11" i="4"/>
  <c r="J11" i="4"/>
  <c r="K11" i="4"/>
  <c r="L11" i="4"/>
  <c r="M11" i="4"/>
  <c r="N11" i="4"/>
  <c r="O11" i="4"/>
  <c r="P11" i="4"/>
  <c r="P16" i="4" s="1"/>
  <c r="Q11" i="4"/>
  <c r="R11" i="4"/>
  <c r="D12" i="4"/>
  <c r="F12" i="4"/>
  <c r="G12" i="4"/>
  <c r="H12" i="4"/>
  <c r="I12" i="4"/>
  <c r="J12" i="4"/>
  <c r="J16" i="4" s="1"/>
  <c r="K12" i="4"/>
  <c r="L12" i="4"/>
  <c r="M12" i="4"/>
  <c r="N12" i="4"/>
  <c r="O12" i="4"/>
  <c r="P12" i="4"/>
  <c r="Q12" i="4"/>
  <c r="R12" i="4"/>
  <c r="R16" i="4" s="1"/>
  <c r="D13" i="4"/>
  <c r="F13" i="4"/>
  <c r="G13" i="4"/>
  <c r="H13" i="4"/>
  <c r="I13" i="4"/>
  <c r="I16" i="4" s="1"/>
  <c r="J13" i="4"/>
  <c r="K13" i="4"/>
  <c r="L13" i="4"/>
  <c r="M13" i="4"/>
  <c r="N13" i="4"/>
  <c r="O13" i="4"/>
  <c r="P13" i="4"/>
  <c r="Q13" i="4"/>
  <c r="R13" i="4"/>
  <c r="D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D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D19" i="4"/>
  <c r="F19" i="4"/>
  <c r="F23" i="4" s="1"/>
  <c r="G19" i="4"/>
  <c r="H19" i="4"/>
  <c r="H23" i="4" s="1"/>
  <c r="I19" i="4"/>
  <c r="J19" i="4"/>
  <c r="K19" i="4"/>
  <c r="L19" i="4"/>
  <c r="M19" i="4"/>
  <c r="N19" i="4"/>
  <c r="O19" i="4"/>
  <c r="P19" i="4"/>
  <c r="Q19" i="4"/>
  <c r="R19" i="4"/>
  <c r="D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D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D22" i="4"/>
  <c r="F22" i="4"/>
  <c r="G22" i="4"/>
  <c r="H22" i="4"/>
  <c r="I22" i="4"/>
  <c r="J22" i="4"/>
  <c r="K22" i="4"/>
  <c r="L22" i="4"/>
  <c r="M22" i="4"/>
  <c r="N22" i="4"/>
  <c r="N23" i="4" s="1"/>
  <c r="O22" i="4"/>
  <c r="P22" i="4"/>
  <c r="Q22" i="4"/>
  <c r="R22" i="4"/>
  <c r="D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R35" i="4" s="1"/>
  <c r="D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D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D31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D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D33" i="4"/>
  <c r="F33" i="4"/>
  <c r="G33" i="4"/>
  <c r="H33" i="4"/>
  <c r="I33" i="4"/>
  <c r="J33" i="4"/>
  <c r="K33" i="4"/>
  <c r="L33" i="4"/>
  <c r="M33" i="4"/>
  <c r="N33" i="4"/>
  <c r="O33" i="4"/>
  <c r="P33" i="4"/>
  <c r="Q33" i="4"/>
  <c r="R33" i="4"/>
  <c r="D34" i="4"/>
  <c r="F34" i="4"/>
  <c r="G34" i="4"/>
  <c r="H34" i="4"/>
  <c r="I34" i="4"/>
  <c r="J34" i="4"/>
  <c r="J35" i="4" s="1"/>
  <c r="K34" i="4"/>
  <c r="L34" i="4"/>
  <c r="M34" i="4"/>
  <c r="N34" i="4"/>
  <c r="O34" i="4"/>
  <c r="P34" i="4"/>
  <c r="Q34" i="4"/>
  <c r="R34" i="4"/>
  <c r="D40" i="4"/>
  <c r="F40" i="4"/>
  <c r="G40" i="4"/>
  <c r="H40" i="4"/>
  <c r="I40" i="4"/>
  <c r="J40" i="4"/>
  <c r="K40" i="4"/>
  <c r="K46" i="4" s="1"/>
  <c r="L40" i="4"/>
  <c r="M40" i="4"/>
  <c r="N40" i="4"/>
  <c r="O40" i="4"/>
  <c r="P40" i="4"/>
  <c r="P46" i="4" s="1"/>
  <c r="Q40" i="4"/>
  <c r="R40" i="4"/>
  <c r="R46" i="4" s="1"/>
  <c r="D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D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D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D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D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H46" i="4"/>
  <c r="J46" i="4"/>
  <c r="L46" i="4"/>
  <c r="D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C5" i="2"/>
  <c r="E4" i="4" s="1"/>
  <c r="C4" i="2"/>
  <c r="R6" i="4" s="1"/>
  <c r="R25" i="1" l="1"/>
  <c r="Q46" i="1"/>
  <c r="R26" i="5"/>
  <c r="R28" i="5" s="1"/>
  <c r="R40" i="5" s="1"/>
  <c r="R51" i="5" s="1"/>
  <c r="R55" i="5" s="1"/>
  <c r="G46" i="4"/>
  <c r="M35" i="4"/>
  <c r="I23" i="4"/>
  <c r="G16" i="1"/>
  <c r="G25" i="1" s="1"/>
  <c r="N49" i="5"/>
  <c r="L49" i="5"/>
  <c r="K26" i="5"/>
  <c r="I26" i="5"/>
  <c r="I28" i="5" s="1"/>
  <c r="I40" i="5" s="1"/>
  <c r="I51" i="5" s="1"/>
  <c r="I55" i="5" s="1"/>
  <c r="K16" i="1"/>
  <c r="I35" i="1"/>
  <c r="P26" i="5"/>
  <c r="P28" i="5" s="1"/>
  <c r="P40" i="5" s="1"/>
  <c r="P51" i="5" s="1"/>
  <c r="P55" i="5" s="1"/>
  <c r="I46" i="4"/>
  <c r="O35" i="4"/>
  <c r="K35" i="4"/>
  <c r="K23" i="4"/>
  <c r="G23" i="4"/>
  <c r="R49" i="5"/>
  <c r="P49" i="5"/>
  <c r="H38" i="5"/>
  <c r="R38" i="5"/>
  <c r="M23" i="1"/>
  <c r="H16" i="1"/>
  <c r="H25" i="1" s="1"/>
  <c r="H37" i="1" s="1"/>
  <c r="H48" i="1" s="1"/>
  <c r="H52" i="1" s="1"/>
  <c r="M49" i="5"/>
  <c r="S38" i="5"/>
  <c r="I35" i="4"/>
  <c r="L23" i="1"/>
  <c r="L25" i="1" s="1"/>
  <c r="L37" i="1" s="1"/>
  <c r="L48" i="1" s="1"/>
  <c r="L52" i="1" s="1"/>
  <c r="F46" i="4"/>
  <c r="P35" i="4"/>
  <c r="N35" i="4"/>
  <c r="L35" i="4"/>
  <c r="R23" i="4"/>
  <c r="O49" i="5"/>
  <c r="G38" i="5"/>
  <c r="N25" i="4"/>
  <c r="M16" i="1"/>
  <c r="Q16" i="4"/>
  <c r="H19" i="5"/>
  <c r="J46" i="1"/>
  <c r="N35" i="1"/>
  <c r="O19" i="5"/>
  <c r="M19" i="5"/>
  <c r="M28" i="5" s="1"/>
  <c r="P23" i="4"/>
  <c r="P25" i="4" s="1"/>
  <c r="P37" i="4" s="1"/>
  <c r="P48" i="4" s="1"/>
  <c r="P52" i="4" s="1"/>
  <c r="N19" i="5"/>
  <c r="N28" i="5" s="1"/>
  <c r="N40" i="5" s="1"/>
  <c r="N51" i="5" s="1"/>
  <c r="N55" i="5" s="1"/>
  <c r="L19" i="5"/>
  <c r="L28" i="5" s="1"/>
  <c r="L40" i="5" s="1"/>
  <c r="L51" i="5" s="1"/>
  <c r="L55" i="5" s="1"/>
  <c r="R4" i="1"/>
  <c r="H46" i="1"/>
  <c r="L35" i="1"/>
  <c r="N23" i="1"/>
  <c r="N25" i="1" s="1"/>
  <c r="N37" i="1" s="1"/>
  <c r="N48" i="1" s="1"/>
  <c r="N52" i="1" s="1"/>
  <c r="H23" i="1"/>
  <c r="Q16" i="1"/>
  <c r="K19" i="5"/>
  <c r="M16" i="4"/>
  <c r="G35" i="1"/>
  <c r="F16" i="4"/>
  <c r="F25" i="4" s="1"/>
  <c r="F37" i="4" s="1"/>
  <c r="F48" i="4" s="1"/>
  <c r="F52" i="4" s="1"/>
  <c r="L46" i="1"/>
  <c r="R35" i="1"/>
  <c r="R37" i="1" s="1"/>
  <c r="R48" i="1" s="1"/>
  <c r="R52" i="1" s="1"/>
  <c r="Q28" i="5"/>
  <c r="Q40" i="5" s="1"/>
  <c r="Q51" i="5" s="1"/>
  <c r="Q55" i="5" s="1"/>
  <c r="G16" i="4"/>
  <c r="G25" i="4" s="1"/>
  <c r="G37" i="4" s="1"/>
  <c r="G48" i="4" s="1"/>
  <c r="G52" i="4" s="1"/>
  <c r="Q35" i="1"/>
  <c r="Q23" i="4"/>
  <c r="L38" i="5"/>
  <c r="P16" i="1"/>
  <c r="M38" i="5"/>
  <c r="K38" i="5"/>
  <c r="H16" i="4"/>
  <c r="H25" i="4" s="1"/>
  <c r="P35" i="1"/>
  <c r="R6" i="1"/>
  <c r="K46" i="1"/>
  <c r="O35" i="1"/>
  <c r="R4" i="4"/>
  <c r="O46" i="4"/>
  <c r="G35" i="4"/>
  <c r="O23" i="4"/>
  <c r="H49" i="5"/>
  <c r="P38" i="5"/>
  <c r="J38" i="5"/>
  <c r="F7" i="4"/>
  <c r="F8" i="4" s="1"/>
  <c r="G7" i="4" s="1"/>
  <c r="G8" i="4" s="1"/>
  <c r="H7" i="4" s="1"/>
  <c r="S9" i="5"/>
  <c r="M46" i="4"/>
  <c r="Q35" i="4"/>
  <c r="S26" i="5"/>
  <c r="Q26" i="5"/>
  <c r="F23" i="1"/>
  <c r="O16" i="4"/>
  <c r="J25" i="1"/>
  <c r="I46" i="1"/>
  <c r="Q46" i="4"/>
  <c r="M23" i="4"/>
  <c r="M25" i="4" s="1"/>
  <c r="M37" i="4" s="1"/>
  <c r="M48" i="4" s="1"/>
  <c r="M52" i="4" s="1"/>
  <c r="O16" i="1"/>
  <c r="O25" i="1" s="1"/>
  <c r="J49" i="5"/>
  <c r="N38" i="5"/>
  <c r="G10" i="5"/>
  <c r="G11" i="5" s="1"/>
  <c r="H10" i="5" s="1"/>
  <c r="H11" i="5" s="1"/>
  <c r="I10" i="5" s="1"/>
  <c r="N46" i="4"/>
  <c r="H35" i="4"/>
  <c r="F35" i="4"/>
  <c r="L23" i="4"/>
  <c r="L25" i="4" s="1"/>
  <c r="L37" i="4" s="1"/>
  <c r="L48" i="4" s="1"/>
  <c r="L52" i="4" s="1"/>
  <c r="J23" i="4"/>
  <c r="G49" i="5"/>
  <c r="O38" i="5"/>
  <c r="Q25" i="1"/>
  <c r="Q37" i="1" s="1"/>
  <c r="Q48" i="1" s="1"/>
  <c r="Q52" i="1" s="1"/>
  <c r="I25" i="1"/>
  <c r="I37" i="1" s="1"/>
  <c r="I48" i="1" s="1"/>
  <c r="I52" i="1" s="1"/>
  <c r="S28" i="5"/>
  <c r="S40" i="5" s="1"/>
  <c r="S51" i="5" s="1"/>
  <c r="S55" i="5" s="1"/>
  <c r="K28" i="5"/>
  <c r="K40" i="5" s="1"/>
  <c r="K51" i="5" s="1"/>
  <c r="K55" i="5" s="1"/>
  <c r="Q25" i="4"/>
  <c r="Q37" i="4" s="1"/>
  <c r="Q48" i="4" s="1"/>
  <c r="Q52" i="4" s="1"/>
  <c r="I25" i="4"/>
  <c r="I37" i="4" s="1"/>
  <c r="O25" i="4"/>
  <c r="O37" i="4" s="1"/>
  <c r="O48" i="4" s="1"/>
  <c r="O52" i="4" s="1"/>
  <c r="K25" i="4"/>
  <c r="K37" i="4" s="1"/>
  <c r="K48" i="4" s="1"/>
  <c r="K52" i="4" s="1"/>
  <c r="P25" i="1"/>
  <c r="P37" i="1" s="1"/>
  <c r="P48" i="1" s="1"/>
  <c r="P52" i="1" s="1"/>
  <c r="G28" i="5"/>
  <c r="G40" i="5" s="1"/>
  <c r="G51" i="5" s="1"/>
  <c r="G55" i="5" s="1"/>
  <c r="R25" i="4"/>
  <c r="R37" i="4" s="1"/>
  <c r="R48" i="4" s="1"/>
  <c r="R52" i="4" s="1"/>
  <c r="N37" i="4"/>
  <c r="N48" i="4" s="1"/>
  <c r="N52" i="4" s="1"/>
  <c r="J37" i="1"/>
  <c r="J48" i="1" s="1"/>
  <c r="J52" i="1" s="1"/>
  <c r="O28" i="5"/>
  <c r="O40" i="5" s="1"/>
  <c r="O51" i="5" s="1"/>
  <c r="O55" i="5" s="1"/>
  <c r="F25" i="1"/>
  <c r="F37" i="1" s="1"/>
  <c r="F48" i="1" s="1"/>
  <c r="F52" i="1" s="1"/>
  <c r="M25" i="1"/>
  <c r="M37" i="1" s="1"/>
  <c r="M48" i="1" s="1"/>
  <c r="M52" i="1" s="1"/>
  <c r="K25" i="1"/>
  <c r="K37" i="1" s="1"/>
  <c r="K48" i="1" s="1"/>
  <c r="K52" i="1" s="1"/>
  <c r="J25" i="4"/>
  <c r="J37" i="4" s="1"/>
  <c r="J48" i="4" s="1"/>
  <c r="J52" i="4" s="1"/>
  <c r="J28" i="5"/>
  <c r="J40" i="5" s="1"/>
  <c r="H28" i="5"/>
  <c r="H40" i="5" s="1"/>
  <c r="H37" i="4"/>
  <c r="H48" i="4" s="1"/>
  <c r="H52" i="4" s="1"/>
  <c r="O37" i="1"/>
  <c r="O48" i="1" s="1"/>
  <c r="O52" i="1" s="1"/>
  <c r="G37" i="1"/>
  <c r="G48" i="1" s="1"/>
  <c r="G52" i="1" s="1"/>
  <c r="F7" i="5"/>
  <c r="F6" i="4"/>
  <c r="S7" i="5"/>
  <c r="R7" i="4"/>
  <c r="G9" i="5"/>
  <c r="S10" i="5"/>
  <c r="F7" i="1"/>
  <c r="G6" i="4" l="1"/>
  <c r="H51" i="5"/>
  <c r="H55" i="5" s="1"/>
  <c r="M40" i="5"/>
  <c r="M51" i="5" s="1"/>
  <c r="M55" i="5" s="1"/>
  <c r="J51" i="5"/>
  <c r="J55" i="5" s="1"/>
  <c r="H9" i="5"/>
  <c r="I48" i="4"/>
  <c r="I52" i="4" s="1"/>
  <c r="F6" i="1"/>
  <c r="F8" i="1"/>
  <c r="G7" i="1" s="1"/>
  <c r="R7" i="1"/>
  <c r="H8" i="4"/>
  <c r="I7" i="4" s="1"/>
  <c r="H6" i="4"/>
  <c r="I11" i="5"/>
  <c r="J10" i="5" s="1"/>
  <c r="I9" i="5"/>
  <c r="J11" i="5" l="1"/>
  <c r="K10" i="5" s="1"/>
  <c r="J9" i="5"/>
  <c r="G8" i="1"/>
  <c r="H7" i="1" s="1"/>
  <c r="G6" i="1"/>
  <c r="I6" i="4"/>
  <c r="I8" i="4"/>
  <c r="J7" i="4" s="1"/>
  <c r="J6" i="4" l="1"/>
  <c r="J8" i="4"/>
  <c r="K7" i="4" s="1"/>
  <c r="H8" i="1"/>
  <c r="I7" i="1" s="1"/>
  <c r="H6" i="1"/>
  <c r="K11" i="5"/>
  <c r="L10" i="5" s="1"/>
  <c r="K9" i="5"/>
  <c r="K8" i="4" l="1"/>
  <c r="L7" i="4" s="1"/>
  <c r="K6" i="4"/>
  <c r="L11" i="5"/>
  <c r="M10" i="5" s="1"/>
  <c r="L9" i="5"/>
  <c r="I8" i="1"/>
  <c r="J7" i="1" s="1"/>
  <c r="I6" i="1"/>
  <c r="J6" i="1" l="1"/>
  <c r="J8" i="1"/>
  <c r="K7" i="1" s="1"/>
  <c r="M11" i="5"/>
  <c r="N10" i="5" s="1"/>
  <c r="M9" i="5"/>
  <c r="L8" i="4"/>
  <c r="M7" i="4" s="1"/>
  <c r="L6" i="4"/>
  <c r="K8" i="1" l="1"/>
  <c r="L7" i="1" s="1"/>
  <c r="K6" i="1"/>
  <c r="M8" i="4"/>
  <c r="N7" i="4" s="1"/>
  <c r="M6" i="4"/>
  <c r="N11" i="5"/>
  <c r="O10" i="5" s="1"/>
  <c r="N9" i="5"/>
  <c r="O11" i="5" l="1"/>
  <c r="P10" i="5" s="1"/>
  <c r="O9" i="5"/>
  <c r="N8" i="4"/>
  <c r="O7" i="4" s="1"/>
  <c r="N6" i="4"/>
  <c r="L8" i="1"/>
  <c r="M7" i="1" s="1"/>
  <c r="L6" i="1"/>
  <c r="M6" i="1" l="1"/>
  <c r="M8" i="1"/>
  <c r="N7" i="1" s="1"/>
  <c r="O8" i="4"/>
  <c r="P7" i="4" s="1"/>
  <c r="O6" i="4"/>
  <c r="P11" i="5"/>
  <c r="Q10" i="5" s="1"/>
  <c r="P9" i="5"/>
  <c r="N8" i="1" l="1"/>
  <c r="O7" i="1" s="1"/>
  <c r="N6" i="1"/>
  <c r="Q11" i="5"/>
  <c r="R10" i="5" s="1"/>
  <c r="Q9" i="5"/>
  <c r="P8" i="4"/>
  <c r="Q7" i="4" s="1"/>
  <c r="P6" i="4"/>
  <c r="Q8" i="4" l="1"/>
  <c r="R8" i="4" s="1"/>
  <c r="Q6" i="4"/>
  <c r="R11" i="5"/>
  <c r="S11" i="5" s="1"/>
  <c r="R9" i="5"/>
  <c r="O8" i="1"/>
  <c r="P7" i="1" s="1"/>
  <c r="O6" i="1"/>
  <c r="P8" i="1" l="1"/>
  <c r="Q7" i="1" s="1"/>
  <c r="P6" i="1"/>
  <c r="Q8" i="1" l="1"/>
  <c r="R8" i="1" s="1"/>
  <c r="Q6" i="1"/>
</calcChain>
</file>

<file path=xl/sharedStrings.xml><?xml version="1.0" encoding="utf-8"?>
<sst xmlns="http://schemas.openxmlformats.org/spreadsheetml/2006/main" count="5166" uniqueCount="1329">
  <si>
    <t>Income Statement</t>
  </si>
  <si>
    <t>Title</t>
  </si>
  <si>
    <t>Value</t>
  </si>
  <si>
    <t>Report Options</t>
  </si>
  <si>
    <t>Option</t>
  </si>
  <si>
    <t>Revenue</t>
  </si>
  <si>
    <t>Net Revenue</t>
  </si>
  <si>
    <t>Operating Expenses</t>
  </si>
  <si>
    <t>Total Operating Expenses</t>
  </si>
  <si>
    <t>Net Income Before Taxes</t>
  </si>
  <si>
    <t>Gross Profit</t>
  </si>
  <si>
    <t>Other Income /  Expenses</t>
  </si>
  <si>
    <t>Total Other Income / Expenses</t>
  </si>
  <si>
    <t>Net Income</t>
  </si>
  <si>
    <t>Hide</t>
  </si>
  <si>
    <t>fit</t>
  </si>
  <si>
    <t>Year:</t>
  </si>
  <si>
    <t>Year</t>
  </si>
  <si>
    <t>Min width ----</t>
  </si>
  <si>
    <t>Variance</t>
  </si>
  <si>
    <t>Min width -------</t>
  </si>
  <si>
    <t>Cost of Goods Sold</t>
  </si>
  <si>
    <t>Account Number</t>
  </si>
  <si>
    <t>Total Cost of Goods Sold</t>
  </si>
  <si>
    <t>EBIT</t>
  </si>
  <si>
    <t>Revise account numbers and names in these rows (B10:D49)</t>
  </si>
  <si>
    <t>Budget Name</t>
  </si>
  <si>
    <t>Budget:</t>
  </si>
  <si>
    <t>Key</t>
  </si>
  <si>
    <t>Above</t>
  </si>
  <si>
    <t>Below</t>
  </si>
  <si>
    <t>Change values below as desired</t>
  </si>
  <si>
    <t>Auto+Hide+HideSheet+Values</t>
  </si>
  <si>
    <t>=Year</t>
  </si>
  <si>
    <t>=TEXT(F7,"MMMM")</t>
  </si>
  <si>
    <t>=TEXT(G7,"MMMM")</t>
  </si>
  <si>
    <t>=TEXT(H7,"MMMM")</t>
  </si>
  <si>
    <t>=TEXT(I7,"MMMM")</t>
  </si>
  <si>
    <t>=TEXT(J7,"MMMM")</t>
  </si>
  <si>
    <t>=TEXT(K7,"MMMM")</t>
  </si>
  <si>
    <t>=TEXT(L7,"MMMM")</t>
  </si>
  <si>
    <t>=TEXT(M7,"MMMM")</t>
  </si>
  <si>
    <t>=TEXT(N7,"MMMM")</t>
  </si>
  <si>
    <t>=TEXT(O7,"MMMM")</t>
  </si>
  <si>
    <t>=TEXT(P7,"MMMM")</t>
  </si>
  <si>
    <t>=TEXT(Q7,"MMMM")</t>
  </si>
  <si>
    <t>=DATE(Year,1,1)</t>
  </si>
  <si>
    <t>=F8+1</t>
  </si>
  <si>
    <t>=G8+1</t>
  </si>
  <si>
    <t>=H8+1</t>
  </si>
  <si>
    <t>=I8+1</t>
  </si>
  <si>
    <t>=J8+1</t>
  </si>
  <si>
    <t>=K8+1</t>
  </si>
  <si>
    <t>=L8+1</t>
  </si>
  <si>
    <t>=M8+1</t>
  </si>
  <si>
    <t>=N8+1</t>
  </si>
  <si>
    <t>=O8+1</t>
  </si>
  <si>
    <t>=P8+1</t>
  </si>
  <si>
    <t>=F7</t>
  </si>
  <si>
    <t>=EOMONTH(F7,0)</t>
  </si>
  <si>
    <t>=EOMONTH(G7,0)</t>
  </si>
  <si>
    <t>=EOMONTH(H7,0)</t>
  </si>
  <si>
    <t>=EOMONTH(I7,0)</t>
  </si>
  <si>
    <t>=EOMONTH(J7,0)</t>
  </si>
  <si>
    <t>=EOMONTH(K7,0)</t>
  </si>
  <si>
    <t>=EOMONTH(L7,0)</t>
  </si>
  <si>
    <t>=EOMONTH(M7,0)</t>
  </si>
  <si>
    <t>=EOMONTH(N7,0)</t>
  </si>
  <si>
    <t>=EOMONTH(O7,0)</t>
  </si>
  <si>
    <t>=EOMONTH(P7,0)</t>
  </si>
  <si>
    <t>=EOMONTH(Q7,0)</t>
  </si>
  <si>
    <t>=Q8</t>
  </si>
  <si>
    <t>=NL("First","G/L Account","Name","No.",$B10)</t>
  </si>
  <si>
    <t>=-GL("Balance",$B10,F$7,F$8,,,,,,,,,,"True")</t>
  </si>
  <si>
    <t>=-GL("Balance",$B10,G$7,G$8,,,,,,,,,,"True")</t>
  </si>
  <si>
    <t>=-GL("Balance",$B10,H$7,H$8,,,,,,,,,,"True")</t>
  </si>
  <si>
    <t>=-GL("Balance",$B10,I$7,I$8,,,,,,,,,,"True")</t>
  </si>
  <si>
    <t>=-GL("Balance",$B10,J$7,J$8,,,,,,,,,,"True")</t>
  </si>
  <si>
    <t>=-GL("Balance",$B10,K$7,K$8,,,,,,,,,,"True")</t>
  </si>
  <si>
    <t>=-GL("Balance",$B10,L$7,L$8,,,,,,,,,,"True")</t>
  </si>
  <si>
    <t>=-GL("Balance",$B10,M$7,M$8,,,,,,,,,,"True")</t>
  </si>
  <si>
    <t>=-GL("Balance",$B10,N$7,N$8,,,,,,,,,,"True")</t>
  </si>
  <si>
    <t>=-GL("Balance",$B10,O$7,O$8,,,,,,,,,,"True")</t>
  </si>
  <si>
    <t>=-GL("Balance",$B10,P$7,P$8,,,,,,,,,,"True")</t>
  </si>
  <si>
    <t>=-GL("Balance",$B10,Q$7,Q$8,,,,,,,,,,"True")</t>
  </si>
  <si>
    <t>=-GL("Balance",$B10,R$7,R$8,,,,,,,,,,"True")</t>
  </si>
  <si>
    <t>=NL("First","G/L Account","Name","No.",$B11)</t>
  </si>
  <si>
    <t>=-GL("Balance",$B11,F$7,F$8,,,,,,,,,,"True")</t>
  </si>
  <si>
    <t>=-GL("Balance",$B11,G$7,G$8,,,,,,,,,,"True")</t>
  </si>
  <si>
    <t>=-GL("Balance",$B11,H$7,H$8,,,,,,,,,,"True")</t>
  </si>
  <si>
    <t>=-GL("Balance",$B11,I$7,I$8,,,,,,,,,,"True")</t>
  </si>
  <si>
    <t>=-GL("Balance",$B11,J$7,J$8,,,,,,,,,,"True")</t>
  </si>
  <si>
    <t>=-GL("Balance",$B11,K$7,K$8,,,,,,,,,,"True")</t>
  </si>
  <si>
    <t>=-GL("Balance",$B11,L$7,L$8,,,,,,,,,,"True")</t>
  </si>
  <si>
    <t>=-GL("Balance",$B11,M$7,M$8,,,,,,,,,,"True")</t>
  </si>
  <si>
    <t>=-GL("Balance",$B11,N$7,N$8,,,,,,,,,,"True")</t>
  </si>
  <si>
    <t>=-GL("Balance",$B11,O$7,O$8,,,,,,,,,,"True")</t>
  </si>
  <si>
    <t>=-GL("Balance",$B11,P$7,P$8,,,,,,,,,,"True")</t>
  </si>
  <si>
    <t>=-GL("Balance",$B11,Q$7,Q$8,,,,,,,,,,"True")</t>
  </si>
  <si>
    <t>=-GL("Balance",$B11,R$7,R$8,,,,,,,,,,"True")</t>
  </si>
  <si>
    <t>=NL("First","G/L Account","Name","No.",$B12)</t>
  </si>
  <si>
    <t>=-GL("Balance",$B12,F$7,F$8,,,,,,,,,,"True")</t>
  </si>
  <si>
    <t>=-GL("Balance",$B12,G$7,G$8,,,,,,,,,,"True")</t>
  </si>
  <si>
    <t>=-GL("Balance",$B12,H$7,H$8,,,,,,,,,,"True")</t>
  </si>
  <si>
    <t>=-GL("Balance",$B12,I$7,I$8,,,,,,,,,,"True")</t>
  </si>
  <si>
    <t>=-GL("Balance",$B12,J$7,J$8,,,,,,,,,,"True")</t>
  </si>
  <si>
    <t>=-GL("Balance",$B12,K$7,K$8,,,,,,,,,,"True")</t>
  </si>
  <si>
    <t>=-GL("Balance",$B12,L$7,L$8,,,,,,,,,,"True")</t>
  </si>
  <si>
    <t>=-GL("Balance",$B12,M$7,M$8,,,,,,,,,,"True")</t>
  </si>
  <si>
    <t>=-GL("Balance",$B12,N$7,N$8,,,,,,,,,,"True")</t>
  </si>
  <si>
    <t>=-GL("Balance",$B12,O$7,O$8,,,,,,,,,,"True")</t>
  </si>
  <si>
    <t>=-GL("Balance",$B12,P$7,P$8,,,,,,,,,,"True")</t>
  </si>
  <si>
    <t>=-GL("Balance",$B12,Q$7,Q$8,,,,,,,,,,"True")</t>
  </si>
  <si>
    <t>=-GL("Balance",$B12,R$7,R$8,,,,,,,,,,"True")</t>
  </si>
  <si>
    <t>=NL("First","G/L Account","Name","No.",$B13)</t>
  </si>
  <si>
    <t>=-GL("Balance",$B13,F$7,F$8,,,,,,,,,,"True")</t>
  </si>
  <si>
    <t>=-GL("Balance",$B13,G$7,G$8,,,,,,,,,,"True")</t>
  </si>
  <si>
    <t>=-GL("Balance",$B13,H$7,H$8,,,,,,,,,,"True")</t>
  </si>
  <si>
    <t>=-GL("Balance",$B13,I$7,I$8,,,,,,,,,,"True")</t>
  </si>
  <si>
    <t>=-GL("Balance",$B13,J$7,J$8,,,,,,,,,,"True")</t>
  </si>
  <si>
    <t>=-GL("Balance",$B13,K$7,K$8,,,,,,,,,,"True")</t>
  </si>
  <si>
    <t>=-GL("Balance",$B13,L$7,L$8,,,,,,,,,,"True")</t>
  </si>
  <si>
    <t>=-GL("Balance",$B13,M$7,M$8,,,,,,,,,,"True")</t>
  </si>
  <si>
    <t>=-GL("Balance",$B13,N$7,N$8,,,,,,,,,,"True")</t>
  </si>
  <si>
    <t>=-GL("Balance",$B13,O$7,O$8,,,,,,,,,,"True")</t>
  </si>
  <si>
    <t>=-GL("Balance",$B13,P$7,P$8,,,,,,,,,,"True")</t>
  </si>
  <si>
    <t>=-GL("Balance",$B13,Q$7,Q$8,,,,,,,,,,"True")</t>
  </si>
  <si>
    <t>=-GL("Balance",$B13,R$7,R$8,,,,,,,,,,"True")</t>
  </si>
  <si>
    <t>=NL("First","G/L Account","Name","No.",$B14)</t>
  </si>
  <si>
    <t>=-GL("Balance",$B14,F$7,F$8,,,,,,,,,,"True")</t>
  </si>
  <si>
    <t>=-GL("Balance",$B14,G$7,G$8,,,,,,,,,,"True")</t>
  </si>
  <si>
    <t>=-GL("Balance",$B14,H$7,H$8,,,,,,,,,,"True")</t>
  </si>
  <si>
    <t>=-GL("Balance",$B14,I$7,I$8,,,,,,,,,,"True")</t>
  </si>
  <si>
    <t>=-GL("Balance",$B14,J$7,J$8,,,,,,,,,,"True")</t>
  </si>
  <si>
    <t>=-GL("Balance",$B14,K$7,K$8,,,,,,,,,,"True")</t>
  </si>
  <si>
    <t>=-GL("Balance",$B14,L$7,L$8,,,,,,,,,,"True")</t>
  </si>
  <si>
    <t>=-GL("Balance",$B14,M$7,M$8,,,,,,,,,,"True")</t>
  </si>
  <si>
    <t>=-GL("Balance",$B14,N$7,N$8,,,,,,,,,,"True")</t>
  </si>
  <si>
    <t>=-GL("Balance",$B14,O$7,O$8,,,,,,,,,,"True")</t>
  </si>
  <si>
    <t>=-GL("Balance",$B14,P$7,P$8,,,,,,,,,,"True")</t>
  </si>
  <si>
    <t>=-GL("Balance",$B14,Q$7,Q$8,,,,,,,,,,"True")</t>
  </si>
  <si>
    <t>=-GL("Balance",$B14,R$7,R$8,,,,,,,,,,"True")</t>
  </si>
  <si>
    <t>=NL("First","G/L Account","Name","No.",$B15)</t>
  </si>
  <si>
    <t>=-GL("Balance",$B15,F$7,F$8,,,,,,,,,,"True")</t>
  </si>
  <si>
    <t>=-GL("Balance",$B15,G$7,G$8,,,,,,,,,,"True")</t>
  </si>
  <si>
    <t>=-GL("Balance",$B15,H$7,H$8,,,,,,,,,,"True")</t>
  </si>
  <si>
    <t>=-GL("Balance",$B15,I$7,I$8,,,,,,,,,,"True")</t>
  </si>
  <si>
    <t>=-GL("Balance",$B15,J$7,J$8,,,,,,,,,,"True")</t>
  </si>
  <si>
    <t>=-GL("Balance",$B15,K$7,K$8,,,,,,,,,,"True")</t>
  </si>
  <si>
    <t>=-GL("Balance",$B15,L$7,L$8,,,,,,,,,,"True")</t>
  </si>
  <si>
    <t>=-GL("Balance",$B15,M$7,M$8,,,,,,,,,,"True")</t>
  </si>
  <si>
    <t>=-GL("Balance",$B15,N$7,N$8,,,,,,,,,,"True")</t>
  </si>
  <si>
    <t>=-GL("Balance",$B15,O$7,O$8,,,,,,,,,,"True")</t>
  </si>
  <si>
    <t>=-GL("Balance",$B15,P$7,P$8,,,,,,,,,,"True")</t>
  </si>
  <si>
    <t>=-GL("Balance",$B15,Q$7,Q$8,,,,,,,,,,"True")</t>
  </si>
  <si>
    <t>=-GL("Balance",$B15,R$7,R$8,,,,,,,,,,"True")</t>
  </si>
  <si>
    <t>=NL("First","G/L Account","Name","No.",$B16)</t>
  </si>
  <si>
    <t>=NL("First","G/L Account","Name","No.",$B17)</t>
  </si>
  <si>
    <t>=NL("First","G/L Account","Name","No.",$B18)</t>
  </si>
  <si>
    <t>=NL("First","G/L Account","Name","No.",$B19)</t>
  </si>
  <si>
    <t>=-GL("Balance",$B19,F$7,F$8,,,,,,,,,,"True")</t>
  </si>
  <si>
    <t>=-GL("Balance",$B19,G$7,G$8,,,,,,,,,,"True")</t>
  </si>
  <si>
    <t>=-GL("Balance",$B19,H$7,H$8,,,,,,,,,,"True")</t>
  </si>
  <si>
    <t>=-GL("Balance",$B19,I$7,I$8,,,,,,,,,,"True")</t>
  </si>
  <si>
    <t>=-GL("Balance",$B19,J$7,J$8,,,,,,,,,,"True")</t>
  </si>
  <si>
    <t>=-GL("Balance",$B19,K$7,K$8,,,,,,,,,,"True")</t>
  </si>
  <si>
    <t>=-GL("Balance",$B19,L$7,L$8,,,,,,,,,,"True")</t>
  </si>
  <si>
    <t>=-GL("Balance",$B19,M$7,M$8,,,,,,,,,,"True")</t>
  </si>
  <si>
    <t>=-GL("Balance",$B19,N$7,N$8,,,,,,,,,,"True")</t>
  </si>
  <si>
    <t>=-GL("Balance",$B19,O$7,O$8,,,,,,,,,,"True")</t>
  </si>
  <si>
    <t>=-GL("Balance",$B19,P$7,P$8,,,,,,,,,,"True")</t>
  </si>
  <si>
    <t>=-GL("Balance",$B19,Q$7,Q$8,,,,,,,,,,"True")</t>
  </si>
  <si>
    <t>=-GL("Balance",$B19,R$7,R$8,,,,,,,,,,"True")</t>
  </si>
  <si>
    <t>=NL("First","G/L Account","Name","No.",$B23)</t>
  </si>
  <si>
    <t>=NL("First","G/L Account","Name","No.",$B24)</t>
  </si>
  <si>
    <t>=NL("First","G/L Account","Name","No.",$B25)</t>
  </si>
  <si>
    <t>=NL("First","G/L Account","Name","No.",$B28)</t>
  </si>
  <si>
    <t>=-GL("Balance",$B28,F$7,F$8,,,,,,,,,,"True")</t>
  </si>
  <si>
    <t>=-GL("Balance",$B28,G$7,G$8,,,,,,,,,,"True")</t>
  </si>
  <si>
    <t>=-GL("Balance",$B28,H$7,H$8,,,,,,,,,,"True")</t>
  </si>
  <si>
    <t>=-GL("Balance",$B28,I$7,I$8,,,,,,,,,,"True")</t>
  </si>
  <si>
    <t>=-GL("Balance",$B28,J$7,J$8,,,,,,,,,,"True")</t>
  </si>
  <si>
    <t>=-GL("Balance",$B28,K$7,K$8,,,,,,,,,,"True")</t>
  </si>
  <si>
    <t>=-GL("Balance",$B28,L$7,L$8,,,,,,,,,,"True")</t>
  </si>
  <si>
    <t>=-GL("Balance",$B28,M$7,M$8,,,,,,,,,,"True")</t>
  </si>
  <si>
    <t>=-GL("Balance",$B28,N$7,N$8,,,,,,,,,,"True")</t>
  </si>
  <si>
    <t>=-GL("Balance",$B28,O$7,O$8,,,,,,,,,,"True")</t>
  </si>
  <si>
    <t>=-GL("Balance",$B28,P$7,P$8,,,,,,,,,,"True")</t>
  </si>
  <si>
    <t>=-GL("Balance",$B28,Q$7,Q$8,,,,,,,,,,"True")</t>
  </si>
  <si>
    <t>=-GL("Balance",$B28,R$7,R$8,,,,,,,,,,"True")</t>
  </si>
  <si>
    <t>=NL("First","G/L Account","Name","No.",$B29)</t>
  </si>
  <si>
    <t>=-GL("Balance",$B29,F$7,F$8,,,,,,,,,,"True")</t>
  </si>
  <si>
    <t>=-GL("Balance",$B29,G$7,G$8,,,,,,,,,,"True")</t>
  </si>
  <si>
    <t>=-GL("Balance",$B29,H$7,H$8,,,,,,,,,,"True")</t>
  </si>
  <si>
    <t>=-GL("Balance",$B29,I$7,I$8,,,,,,,,,,"True")</t>
  </si>
  <si>
    <t>=-GL("Balance",$B29,J$7,J$8,,,,,,,,,,"True")</t>
  </si>
  <si>
    <t>=-GL("Balance",$B29,K$7,K$8,,,,,,,,,,"True")</t>
  </si>
  <si>
    <t>=-GL("Balance",$B29,L$7,L$8,,,,,,,,,,"True")</t>
  </si>
  <si>
    <t>=-GL("Balance",$B29,M$7,M$8,,,,,,,,,,"True")</t>
  </si>
  <si>
    <t>=-GL("Balance",$B29,N$7,N$8,,,,,,,,,,"True")</t>
  </si>
  <si>
    <t>=-GL("Balance",$B29,O$7,O$8,,,,,,,,,,"True")</t>
  </si>
  <si>
    <t>=-GL("Balance",$B29,P$7,P$8,,,,,,,,,,"True")</t>
  </si>
  <si>
    <t>=-GL("Balance",$B29,Q$7,Q$8,,,,,,,,,,"True")</t>
  </si>
  <si>
    <t>=-GL("Balance",$B29,R$7,R$8,,,,,,,,,,"True")</t>
  </si>
  <si>
    <t>=NL("First","G/L Account","Name","No.",$B30)</t>
  </si>
  <si>
    <t>=-GL("Balance",$B30,F$7,F$8,,,,,,,,,,"True")</t>
  </si>
  <si>
    <t>=-GL("Balance",$B30,G$7,G$8,,,,,,,,,,"True")</t>
  </si>
  <si>
    <t>=-GL("Balance",$B30,H$7,H$8,,,,,,,,,,"True")</t>
  </si>
  <si>
    <t>=-GL("Balance",$B30,I$7,I$8,,,,,,,,,,"True")</t>
  </si>
  <si>
    <t>=-GL("Balance",$B30,J$7,J$8,,,,,,,,,,"True")</t>
  </si>
  <si>
    <t>=-GL("Balance",$B30,K$7,K$8,,,,,,,,,,"True")</t>
  </si>
  <si>
    <t>=-GL("Balance",$B30,L$7,L$8,,,,,,,,,,"True")</t>
  </si>
  <si>
    <t>=-GL("Balance",$B30,M$7,M$8,,,,,,,,,,"True")</t>
  </si>
  <si>
    <t>=-GL("Balance",$B30,N$7,N$8,,,,,,,,,,"True")</t>
  </si>
  <si>
    <t>=-GL("Balance",$B30,O$7,O$8,,,,,,,,,,"True")</t>
  </si>
  <si>
    <t>=-GL("Balance",$B30,P$7,P$8,,,,,,,,,,"True")</t>
  </si>
  <si>
    <t>=-GL("Balance",$B30,Q$7,Q$8,,,,,,,,,,"True")</t>
  </si>
  <si>
    <t>=-GL("Balance",$B30,R$7,R$8,,,,,,,,,,"True")</t>
  </si>
  <si>
    <t>=NL("First","G/L Account","Name","No.",$B31)</t>
  </si>
  <si>
    <t>=-GL("Balance",$B31,F$7,F$8,,,,,,,,,,"True")</t>
  </si>
  <si>
    <t>=-GL("Balance",$B31,G$7,G$8,,,,,,,,,,"True")</t>
  </si>
  <si>
    <t>=-GL("Balance",$B31,H$7,H$8,,,,,,,,,,"True")</t>
  </si>
  <si>
    <t>=-GL("Balance",$B31,I$7,I$8,,,,,,,,,,"True")</t>
  </si>
  <si>
    <t>=-GL("Balance",$B31,J$7,J$8,,,,,,,,,,"True")</t>
  </si>
  <si>
    <t>=-GL("Balance",$B31,K$7,K$8,,,,,,,,,,"True")</t>
  </si>
  <si>
    <t>=-GL("Balance",$B31,L$7,L$8,,,,,,,,,,"True")</t>
  </si>
  <si>
    <t>=-GL("Balance",$B31,M$7,M$8,,,,,,,,,,"True")</t>
  </si>
  <si>
    <t>=-GL("Balance",$B31,N$7,N$8,,,,,,,,,,"True")</t>
  </si>
  <si>
    <t>=-GL("Balance",$B31,O$7,O$8,,,,,,,,,,"True")</t>
  </si>
  <si>
    <t>=-GL("Balance",$B31,P$7,P$8,,,,,,,,,,"True")</t>
  </si>
  <si>
    <t>=-GL("Balance",$B31,Q$7,Q$8,,,,,,,,,,"True")</t>
  </si>
  <si>
    <t>=-GL("Balance",$B31,R$7,R$8,,,,,,,,,,"True")</t>
  </si>
  <si>
    <t>=NL("First","G/L Account","Name","No.",$B32)</t>
  </si>
  <si>
    <t>=-GL("Balance",$B32,F$7,F$8,,,,,,,,,,"True")</t>
  </si>
  <si>
    <t>=-GL("Balance",$B32,G$7,G$8,,,,,,,,,,"True")</t>
  </si>
  <si>
    <t>=-GL("Balance",$B32,H$7,H$8,,,,,,,,,,"True")</t>
  </si>
  <si>
    <t>=-GL("Balance",$B32,I$7,I$8,,,,,,,,,,"True")</t>
  </si>
  <si>
    <t>=-GL("Balance",$B32,J$7,J$8,,,,,,,,,,"True")</t>
  </si>
  <si>
    <t>=-GL("Balance",$B32,K$7,K$8,,,,,,,,,,"True")</t>
  </si>
  <si>
    <t>=-GL("Balance",$B32,L$7,L$8,,,,,,,,,,"True")</t>
  </si>
  <si>
    <t>=-GL("Balance",$B32,M$7,M$8,,,,,,,,,,"True")</t>
  </si>
  <si>
    <t>=-GL("Balance",$B32,N$7,N$8,,,,,,,,,,"True")</t>
  </si>
  <si>
    <t>=-GL("Balance",$B32,O$7,O$8,,,,,,,,,,"True")</t>
  </si>
  <si>
    <t>=-GL("Balance",$B32,P$7,P$8,,,,,,,,,,"True")</t>
  </si>
  <si>
    <t>=-GL("Balance",$B32,Q$7,Q$8,,,,,,,,,,"True")</t>
  </si>
  <si>
    <t>=-GL("Balance",$B32,R$7,R$8,,,,,,,,,,"True")</t>
  </si>
  <si>
    <t>=NL("First","G/L Account","Name","No.",$B33)</t>
  </si>
  <si>
    <t>=-GL("Balance",$B33,F$7,F$8,,,,,,,,,,"True")</t>
  </si>
  <si>
    <t>=-GL("Balance",$B33,G$7,G$8,,,,,,,,,,"True")</t>
  </si>
  <si>
    <t>=-GL("Balance",$B33,H$7,H$8,,,,,,,,,,"True")</t>
  </si>
  <si>
    <t>=-GL("Balance",$B33,I$7,I$8,,,,,,,,,,"True")</t>
  </si>
  <si>
    <t>=-GL("Balance",$B33,J$7,J$8,,,,,,,,,,"True")</t>
  </si>
  <si>
    <t>=-GL("Balance",$B33,K$7,K$8,,,,,,,,,,"True")</t>
  </si>
  <si>
    <t>=-GL("Balance",$B33,L$7,L$8,,,,,,,,,,"True")</t>
  </si>
  <si>
    <t>=-GL("Balance",$B33,M$7,M$8,,,,,,,,,,"True")</t>
  </si>
  <si>
    <t>=-GL("Balance",$B33,N$7,N$8,,,,,,,,,,"True")</t>
  </si>
  <si>
    <t>=-GL("Balance",$B33,O$7,O$8,,,,,,,,,,"True")</t>
  </si>
  <si>
    <t>=-GL("Balance",$B33,P$7,P$8,,,,,,,,,,"True")</t>
  </si>
  <si>
    <t>=-GL("Balance",$B33,Q$7,Q$8,,,,,,,,,,"True")</t>
  </si>
  <si>
    <t>=-GL("Balance",$B33,R$7,R$8,,,,,,,,,,"True")</t>
  </si>
  <si>
    <t>=NL("First","G/L Account","Name","No.",$B34)</t>
  </si>
  <si>
    <t>=-GL("Balance",$B34,F$7,F$8,,,,,,,,,,"True")</t>
  </si>
  <si>
    <t>=-GL("Balance",$B34,G$7,G$8,,,,,,,,,,"True")</t>
  </si>
  <si>
    <t>=-GL("Balance",$B34,H$7,H$8,,,,,,,,,,"True")</t>
  </si>
  <si>
    <t>=-GL("Balance",$B34,I$7,I$8,,,,,,,,,,"True")</t>
  </si>
  <si>
    <t>=-GL("Balance",$B34,J$7,J$8,,,,,,,,,,"True")</t>
  </si>
  <si>
    <t>=-GL("Balance",$B34,K$7,K$8,,,,,,,,,,"True")</t>
  </si>
  <si>
    <t>=-GL("Balance",$B34,L$7,L$8,,,,,,,,,,"True")</t>
  </si>
  <si>
    <t>=-GL("Balance",$B34,M$7,M$8,,,,,,,,,,"True")</t>
  </si>
  <si>
    <t>=-GL("Balance",$B34,N$7,N$8,,,,,,,,,,"True")</t>
  </si>
  <si>
    <t>=-GL("Balance",$B34,O$7,O$8,,,,,,,,,,"True")</t>
  </si>
  <si>
    <t>=-GL("Balance",$B34,P$7,P$8,,,,,,,,,,"True")</t>
  </si>
  <si>
    <t>=-GL("Balance",$B34,Q$7,Q$8,,,,,,,,,,"True")</t>
  </si>
  <si>
    <t>=-GL("Balance",$B34,R$7,R$8,,,,,,,,,,"True")</t>
  </si>
  <si>
    <t>=NL("First","G/L Account","Name","No.",$B40)</t>
  </si>
  <si>
    <t>=-GL("Balance",$B40,F$7,F$8,,,,,,,,,,"True")</t>
  </si>
  <si>
    <t>=-GL("Balance",$B40,G$7,G$8,,,,,,,,,,"True")</t>
  </si>
  <si>
    <t>=-GL("Balance",$B40,H$7,H$8,,,,,,,,,,"True")</t>
  </si>
  <si>
    <t>=-GL("Balance",$B40,I$7,I$8,,,,,,,,,,"True")</t>
  </si>
  <si>
    <t>=-GL("Balance",$B40,J$7,J$8,,,,,,,,,,"True")</t>
  </si>
  <si>
    <t>=-GL("Balance",$B40,K$7,K$8,,,,,,,,,,"True")</t>
  </si>
  <si>
    <t>=-GL("Balance",$B40,L$7,L$8,,,,,,,,,,"True")</t>
  </si>
  <si>
    <t>=-GL("Balance",$B40,M$7,M$8,,,,,,,,,,"True")</t>
  </si>
  <si>
    <t>=-GL("Balance",$B40,N$7,N$8,,,,,,,,,,"True")</t>
  </si>
  <si>
    <t>=-GL("Balance",$B40,O$7,O$8,,,,,,,,,,"True")</t>
  </si>
  <si>
    <t>=-GL("Balance",$B40,P$7,P$8,,,,,,,,,,"True")</t>
  </si>
  <si>
    <t>=-GL("Balance",$B40,Q$7,Q$8,,,,,,,,,,"True")</t>
  </si>
  <si>
    <t>=-GL("Balance",$B40,R$7,R$8,,,,,,,,,,"True")</t>
  </si>
  <si>
    <t>=NL("First","G/L Account","Name","No.",$B41)</t>
  </si>
  <si>
    <t>=-GL("Balance",$B41,F$7,F$8,,,,,,,,,,"True")</t>
  </si>
  <si>
    <t>=-GL("Balance",$B41,G$7,G$8,,,,,,,,,,"True")</t>
  </si>
  <si>
    <t>=-GL("Balance",$B41,H$7,H$8,,,,,,,,,,"True")</t>
  </si>
  <si>
    <t>=-GL("Balance",$B41,I$7,I$8,,,,,,,,,,"True")</t>
  </si>
  <si>
    <t>=-GL("Balance",$B41,J$7,J$8,,,,,,,,,,"True")</t>
  </si>
  <si>
    <t>=-GL("Balance",$B41,K$7,K$8,,,,,,,,,,"True")</t>
  </si>
  <si>
    <t>=-GL("Balance",$B41,L$7,L$8,,,,,,,,,,"True")</t>
  </si>
  <si>
    <t>=-GL("Balance",$B41,M$7,M$8,,,,,,,,,,"True")</t>
  </si>
  <si>
    <t>=-GL("Balance",$B41,N$7,N$8,,,,,,,,,,"True")</t>
  </si>
  <si>
    <t>=-GL("Balance",$B41,O$7,O$8,,,,,,,,,,"True")</t>
  </si>
  <si>
    <t>=-GL("Balance",$B41,P$7,P$8,,,,,,,,,,"True")</t>
  </si>
  <si>
    <t>=-GL("Balance",$B41,Q$7,Q$8,,,,,,,,,,"True")</t>
  </si>
  <si>
    <t>=-GL("Balance",$B41,R$7,R$8,,,,,,,,,,"True")</t>
  </si>
  <si>
    <t>=NL("First","G/L Account","Name","No.",$B42)</t>
  </si>
  <si>
    <t>=-GL("Balance",$B42,F$7,F$8,,,,,,,,,,"True")</t>
  </si>
  <si>
    <t>=-GL("Balance",$B42,G$7,G$8,,,,,,,,,,"True")</t>
  </si>
  <si>
    <t>=-GL("Balance",$B42,H$7,H$8,,,,,,,,,,"True")</t>
  </si>
  <si>
    <t>=-GL("Balance",$B42,I$7,I$8,,,,,,,,,,"True")</t>
  </si>
  <si>
    <t>=-GL("Balance",$B42,J$7,J$8,,,,,,,,,,"True")</t>
  </si>
  <si>
    <t>=-GL("Balance",$B42,K$7,K$8,,,,,,,,,,"True")</t>
  </si>
  <si>
    <t>=-GL("Balance",$B42,L$7,L$8,,,,,,,,,,"True")</t>
  </si>
  <si>
    <t>=-GL("Balance",$B42,M$7,M$8,,,,,,,,,,"True")</t>
  </si>
  <si>
    <t>=-GL("Balance",$B42,N$7,N$8,,,,,,,,,,"True")</t>
  </si>
  <si>
    <t>=-GL("Balance",$B42,O$7,O$8,,,,,,,,,,"True")</t>
  </si>
  <si>
    <t>=-GL("Balance",$B42,P$7,P$8,,,,,,,,,,"True")</t>
  </si>
  <si>
    <t>=-GL("Balance",$B42,Q$7,Q$8,,,,,,,,,,"True")</t>
  </si>
  <si>
    <t>=-GL("Balance",$B42,R$7,R$8,,,,,,,,,,"True")</t>
  </si>
  <si>
    <t>=NL("First","G/L Account","Name","No.",$B43)</t>
  </si>
  <si>
    <t>=-GL("Balance",$B43,F$7,F$8,,,,,,,,,,"True")</t>
  </si>
  <si>
    <t>=-GL("Balance",$B43,G$7,G$8,,,,,,,,,,"True")</t>
  </si>
  <si>
    <t>=-GL("Balance",$B43,H$7,H$8,,,,,,,,,,"True")</t>
  </si>
  <si>
    <t>=-GL("Balance",$B43,I$7,I$8,,,,,,,,,,"True")</t>
  </si>
  <si>
    <t>=-GL("Balance",$B43,J$7,J$8,,,,,,,,,,"True")</t>
  </si>
  <si>
    <t>=-GL("Balance",$B43,K$7,K$8,,,,,,,,,,"True")</t>
  </si>
  <si>
    <t>=-GL("Balance",$B43,L$7,L$8,,,,,,,,,,"True")</t>
  </si>
  <si>
    <t>=-GL("Balance",$B43,M$7,M$8,,,,,,,,,,"True")</t>
  </si>
  <si>
    <t>=-GL("Balance",$B43,N$7,N$8,,,,,,,,,,"True")</t>
  </si>
  <si>
    <t>=-GL("Balance",$B43,O$7,O$8,,,,,,,,,,"True")</t>
  </si>
  <si>
    <t>=-GL("Balance",$B43,P$7,P$8,,,,,,,,,,"True")</t>
  </si>
  <si>
    <t>=-GL("Balance",$B43,Q$7,Q$8,,,,,,,,,,"True")</t>
  </si>
  <si>
    <t>=-GL("Balance",$B43,R$7,R$8,,,,,,,,,,"True")</t>
  </si>
  <si>
    <t>=NL("First","G/L Account","Name","No.",$B44)</t>
  </si>
  <si>
    <t>=-GL("Balance",$B44,F$7,F$8,,,,,,,,,,"True")</t>
  </si>
  <si>
    <t>=-GL("Balance",$B44,G$7,G$8,,,,,,,,,,"True")</t>
  </si>
  <si>
    <t>=-GL("Balance",$B44,H$7,H$8,,,,,,,,,,"True")</t>
  </si>
  <si>
    <t>=-GL("Balance",$B44,I$7,I$8,,,,,,,,,,"True")</t>
  </si>
  <si>
    <t>=-GL("Balance",$B44,J$7,J$8,,,,,,,,,,"True")</t>
  </si>
  <si>
    <t>=-GL("Balance",$B44,K$7,K$8,,,,,,,,,,"True")</t>
  </si>
  <si>
    <t>=-GL("Balance",$B44,L$7,L$8,,,,,,,,,,"True")</t>
  </si>
  <si>
    <t>=-GL("Balance",$B44,M$7,M$8,,,,,,,,,,"True")</t>
  </si>
  <si>
    <t>=-GL("Balance",$B44,N$7,N$8,,,,,,,,,,"True")</t>
  </si>
  <si>
    <t>=-GL("Balance",$B44,O$7,O$8,,,,,,,,,,"True")</t>
  </si>
  <si>
    <t>=-GL("Balance",$B44,P$7,P$8,,,,,,,,,,"True")</t>
  </si>
  <si>
    <t>=-GL("Balance",$B44,Q$7,Q$8,,,,,,,,,,"True")</t>
  </si>
  <si>
    <t>=-GL("Balance",$B44,R$7,R$8,,,,,,,,,,"True")</t>
  </si>
  <si>
    <t>=NL("First","G/L Account","Name","No.",$B45)</t>
  </si>
  <si>
    <t>=-GL("Balance",$B45,F$7,F$8,,,,,,,,,,"True")</t>
  </si>
  <si>
    <t>=-GL("Balance",$B45,G$7,G$8,,,,,,,,,,"True")</t>
  </si>
  <si>
    <t>=-GL("Balance",$B45,H$7,H$8,,,,,,,,,,"True")</t>
  </si>
  <si>
    <t>=-GL("Balance",$B45,I$7,I$8,,,,,,,,,,"True")</t>
  </si>
  <si>
    <t>=-GL("Balance",$B45,J$7,J$8,,,,,,,,,,"True")</t>
  </si>
  <si>
    <t>=-GL("Balance",$B45,K$7,K$8,,,,,,,,,,"True")</t>
  </si>
  <si>
    <t>=-GL("Balance",$B45,L$7,L$8,,,,,,,,,,"True")</t>
  </si>
  <si>
    <t>=-GL("Balance",$B45,M$7,M$8,,,,,,,,,,"True")</t>
  </si>
  <si>
    <t>=-GL("Balance",$B45,N$7,N$8,,,,,,,,,,"True")</t>
  </si>
  <si>
    <t>=-GL("Balance",$B45,O$7,O$8,,,,,,,,,,"True")</t>
  </si>
  <si>
    <t>=-GL("Balance",$B45,P$7,P$8,,,,,,,,,,"True")</t>
  </si>
  <si>
    <t>=-GL("Balance",$B45,Q$7,Q$8,,,,,,,,,,"True")</t>
  </si>
  <si>
    <t>=-GL("Balance",$B45,R$7,R$8,,,,,,,,,,"True")</t>
  </si>
  <si>
    <t>=NL("First","G/L Account","Name","No.",$B46)</t>
  </si>
  <si>
    <t>=NL("First","G/L Account","Name","No.",$B47)</t>
  </si>
  <si>
    <t>=NL("First","G/L Account","Name","No.",$B48)</t>
  </si>
  <si>
    <t>=NL("First","G/L Account","Name","No.",$B50)</t>
  </si>
  <si>
    <t>=-GL("Balance",$B50,F$7,F$8,,,,,,,,,,"True")</t>
  </si>
  <si>
    <t>=-GL("Balance",$B50,G$7,G$8,,,,,,,,,,"True")</t>
  </si>
  <si>
    <t>=-GL("Balance",$B50,H$7,H$8,,,,,,,,,,"True")</t>
  </si>
  <si>
    <t>=-GL("Balance",$B50,I$7,I$8,,,,,,,,,,"True")</t>
  </si>
  <si>
    <t>=-GL("Balance",$B50,J$7,J$8,,,,,,,,,,"True")</t>
  </si>
  <si>
    <t>=-GL("Balance",$B50,K$7,K$8,,,,,,,,,,"True")</t>
  </si>
  <si>
    <t>=-GL("Balance",$B50,L$7,L$8,,,,,,,,,,"True")</t>
  </si>
  <si>
    <t>=-GL("Balance",$B50,M$7,M$8,,,,,,,,,,"True")</t>
  </si>
  <si>
    <t>=-GL("Balance",$B50,N$7,N$8,,,,,,,,,,"True")</t>
  </si>
  <si>
    <t>=-GL("Balance",$B50,O$7,O$8,,,,,,,,,,"True")</t>
  </si>
  <si>
    <t>=-GL("Balance",$B50,P$7,P$8,,,,,,,,,,"True")</t>
  </si>
  <si>
    <t>=-GL("Balance",$B50,Q$7,Q$8,,,,,,,,,,"True")</t>
  </si>
  <si>
    <t>=-GL("Balance",$B50,R$7,R$8,,,,,,,,,,"True")</t>
  </si>
  <si>
    <t>=NL("First","G/L Account","Name","No.",$B53)</t>
  </si>
  <si>
    <t>=Budget_Name</t>
  </si>
  <si>
    <t>=-GL("Budget",$B10,F$7,F$8,,,,,,,Budget_Name,,,"True")</t>
  </si>
  <si>
    <t>=-GL("Budget",$B10,G$7,G$8,,,,,,,Budget_Name,,,"True")</t>
  </si>
  <si>
    <t>=-GL("Budget",$B10,H$7,H$8,,,,,,,Budget_Name,,,"True")</t>
  </si>
  <si>
    <t>=-GL("Budget",$B10,I$7,I$8,,,,,,,Budget_Name,,,"True")</t>
  </si>
  <si>
    <t>=-GL("Budget",$B10,J$7,J$8,,,,,,,Budget_Name,,,"True")</t>
  </si>
  <si>
    <t>=-GL("Budget",$B10,K$7,K$8,,,,,,,Budget_Name,,,"True")</t>
  </si>
  <si>
    <t>=-GL("Budget",$B10,L$7,L$8,,,,,,,Budget_Name,,,"True")</t>
  </si>
  <si>
    <t>=-GL("Budget",$B10,M$7,M$8,,,,,,,Budget_Name,,,"True")</t>
  </si>
  <si>
    <t>=-GL("Budget",$B10,N$7,N$8,,,,,,,Budget_Name,,,"True")</t>
  </si>
  <si>
    <t>=-GL("Budget",$B10,O$7,O$8,,,,,,,Budget_Name,,,"True")</t>
  </si>
  <si>
    <t>=-GL("Budget",$B10,P$7,P$8,,,,,,,Budget_Name,,,"True")</t>
  </si>
  <si>
    <t>=-GL("Budget",$B10,Q$7,Q$8,,,,,,,Budget_Name,,,"True")</t>
  </si>
  <si>
    <t>=-GL("Budget",$B10,R$7,R$8,,,,,,,Budget_Name,,,"True")</t>
  </si>
  <si>
    <t>=-GL("Budget",$B11,F$7,F$8,,,,,,,Budget_Name,,,"True")</t>
  </si>
  <si>
    <t>=-GL("Budget",$B11,G$7,G$8,,,,,,,Budget_Name,,,"True")</t>
  </si>
  <si>
    <t>=-GL("Budget",$B11,H$7,H$8,,,,,,,Budget_Name,,,"True")</t>
  </si>
  <si>
    <t>=-GL("Budget",$B11,I$7,I$8,,,,,,,Budget_Name,,,"True")</t>
  </si>
  <si>
    <t>=-GL("Budget",$B11,J$7,J$8,,,,,,,Budget_Name,,,"True")</t>
  </si>
  <si>
    <t>=-GL("Budget",$B11,K$7,K$8,,,,,,,Budget_Name,,,"True")</t>
  </si>
  <si>
    <t>=-GL("Budget",$B11,L$7,L$8,,,,,,,Budget_Name,,,"True")</t>
  </si>
  <si>
    <t>=-GL("Budget",$B11,M$7,M$8,,,,,,,Budget_Name,,,"True")</t>
  </si>
  <si>
    <t>=-GL("Budget",$B11,N$7,N$8,,,,,,,Budget_Name,,,"True")</t>
  </si>
  <si>
    <t>=-GL("Budget",$B11,O$7,O$8,,,,,,,Budget_Name,,,"True")</t>
  </si>
  <si>
    <t>=-GL("Budget",$B11,P$7,P$8,,,,,,,Budget_Name,,,"True")</t>
  </si>
  <si>
    <t>=-GL("Budget",$B11,Q$7,Q$8,,,,,,,Budget_Name,,,"True")</t>
  </si>
  <si>
    <t>=-GL("Budget",$B11,R$7,R$8,,,,,,,Budget_Name,,,"True")</t>
  </si>
  <si>
    <t>=-GL("Budget",$B12,F$7,F$8,,,,,,,Budget_Name,,,"True")</t>
  </si>
  <si>
    <t>=-GL("Budget",$B12,G$7,G$8,,,,,,,Budget_Name,,,"True")</t>
  </si>
  <si>
    <t>=-GL("Budget",$B12,H$7,H$8,,,,,,,Budget_Name,,,"True")</t>
  </si>
  <si>
    <t>=-GL("Budget",$B12,I$7,I$8,,,,,,,Budget_Name,,,"True")</t>
  </si>
  <si>
    <t>=-GL("Budget",$B12,J$7,J$8,,,,,,,Budget_Name,,,"True")</t>
  </si>
  <si>
    <t>=-GL("Budget",$B12,K$7,K$8,,,,,,,Budget_Name,,,"True")</t>
  </si>
  <si>
    <t>=-GL("Budget",$B12,L$7,L$8,,,,,,,Budget_Name,,,"True")</t>
  </si>
  <si>
    <t>=-GL("Budget",$B12,M$7,M$8,,,,,,,Budget_Name,,,"True")</t>
  </si>
  <si>
    <t>=-GL("Budget",$B12,N$7,N$8,,,,,,,Budget_Name,,,"True")</t>
  </si>
  <si>
    <t>=-GL("Budget",$B12,O$7,O$8,,,,,,,Budget_Name,,,"True")</t>
  </si>
  <si>
    <t>=-GL("Budget",$B12,P$7,P$8,,,,,,,Budget_Name,,,"True")</t>
  </si>
  <si>
    <t>=-GL("Budget",$B12,Q$7,Q$8,,,,,,,Budget_Name,,,"True")</t>
  </si>
  <si>
    <t>=-GL("Budget",$B12,R$7,R$8,,,,,,,Budget_Name,,,"True")</t>
  </si>
  <si>
    <t>=-GL("Budget",$B13,F$7,F$8,,,,,,,Budget_Name,,,"True")</t>
  </si>
  <si>
    <t>=-GL("Budget",$B13,G$7,G$8,,,,,,,Budget_Name,,,"True")</t>
  </si>
  <si>
    <t>=-GL("Budget",$B13,H$7,H$8,,,,,,,Budget_Name,,,"True")</t>
  </si>
  <si>
    <t>=-GL("Budget",$B13,I$7,I$8,,,,,,,Budget_Name,,,"True")</t>
  </si>
  <si>
    <t>=-GL("Budget",$B13,J$7,J$8,,,,,,,Budget_Name,,,"True")</t>
  </si>
  <si>
    <t>=-GL("Budget",$B13,K$7,K$8,,,,,,,Budget_Name,,,"True")</t>
  </si>
  <si>
    <t>=-GL("Budget",$B13,L$7,L$8,,,,,,,Budget_Name,,,"True")</t>
  </si>
  <si>
    <t>=-GL("Budget",$B13,M$7,M$8,,,,,,,Budget_Name,,,"True")</t>
  </si>
  <si>
    <t>=-GL("Budget",$B13,N$7,N$8,,,,,,,Budget_Name,,,"True")</t>
  </si>
  <si>
    <t>=-GL("Budget",$B13,O$7,O$8,,,,,,,Budget_Name,,,"True")</t>
  </si>
  <si>
    <t>=-GL("Budget",$B13,P$7,P$8,,,,,,,Budget_Name,,,"True")</t>
  </si>
  <si>
    <t>=-GL("Budget",$B13,Q$7,Q$8,,,,,,,Budget_Name,,,"True")</t>
  </si>
  <si>
    <t>=-GL("Budget",$B13,R$7,R$8,,,,,,,Budget_Name,,,"True")</t>
  </si>
  <si>
    <t>=-GL("Budget",$B14,F$7,F$8,,,,,,,Budget_Name,,,"True")</t>
  </si>
  <si>
    <t>=-GL("Budget",$B14,G$7,G$8,,,,,,,Budget_Name,,,"True")</t>
  </si>
  <si>
    <t>=-GL("Budget",$B14,H$7,H$8,,,,,,,Budget_Name,,,"True")</t>
  </si>
  <si>
    <t>=-GL("Budget",$B14,I$7,I$8,,,,,,,Budget_Name,,,"True")</t>
  </si>
  <si>
    <t>=-GL("Budget",$B14,J$7,J$8,,,,,,,Budget_Name,,,"True")</t>
  </si>
  <si>
    <t>=-GL("Budget",$B14,K$7,K$8,,,,,,,Budget_Name,,,"True")</t>
  </si>
  <si>
    <t>=-GL("Budget",$B14,L$7,L$8,,,,,,,Budget_Name,,,"True")</t>
  </si>
  <si>
    <t>=-GL("Budget",$B14,M$7,M$8,,,,,,,Budget_Name,,,"True")</t>
  </si>
  <si>
    <t>=-GL("Budget",$B14,N$7,N$8,,,,,,,Budget_Name,,,"True")</t>
  </si>
  <si>
    <t>=-GL("Budget",$B14,O$7,O$8,,,,,,,Budget_Name,,,"True")</t>
  </si>
  <si>
    <t>=-GL("Budget",$B14,P$7,P$8,,,,,,,Budget_Name,,,"True")</t>
  </si>
  <si>
    <t>=-GL("Budget",$B14,Q$7,Q$8,,,,,,,Budget_Name,,,"True")</t>
  </si>
  <si>
    <t>=-GL("Budget",$B14,R$7,R$8,,,,,,,Budget_Name,,,"True")</t>
  </si>
  <si>
    <t>=-GL("Budget",$B15,F$7,F$8,,,,,,,Budget_Name,,,"True")</t>
  </si>
  <si>
    <t>=-GL("Budget",$B15,G$7,G$8,,,,,,,Budget_Name,,,"True")</t>
  </si>
  <si>
    <t>=-GL("Budget",$B15,H$7,H$8,,,,,,,Budget_Name,,,"True")</t>
  </si>
  <si>
    <t>=-GL("Budget",$B15,I$7,I$8,,,,,,,Budget_Name,,,"True")</t>
  </si>
  <si>
    <t>=-GL("Budget",$B15,J$7,J$8,,,,,,,Budget_Name,,,"True")</t>
  </si>
  <si>
    <t>=-GL("Budget",$B15,K$7,K$8,,,,,,,Budget_Name,,,"True")</t>
  </si>
  <si>
    <t>=-GL("Budget",$B15,L$7,L$8,,,,,,,Budget_Name,,,"True")</t>
  </si>
  <si>
    <t>=-GL("Budget",$B15,M$7,M$8,,,,,,,Budget_Name,,,"True")</t>
  </si>
  <si>
    <t>=-GL("Budget",$B15,N$7,N$8,,,,,,,Budget_Name,,,"True")</t>
  </si>
  <si>
    <t>=-GL("Budget",$B15,O$7,O$8,,,,,,,Budget_Name,,,"True")</t>
  </si>
  <si>
    <t>=-GL("Budget",$B15,P$7,P$8,,,,,,,Budget_Name,,,"True")</t>
  </si>
  <si>
    <t>=-GL("Budget",$B15,Q$7,Q$8,,,,,,,Budget_Name,,,"True")</t>
  </si>
  <si>
    <t>=-GL("Budget",$B15,R$7,R$8,,,,,,,Budget_Name,,,"True")</t>
  </si>
  <si>
    <t>=-GL("Budget",$B19,F$7,F$8,,,,,,,Budget_Name,,,"True")</t>
  </si>
  <si>
    <t>=-GL("Budget",$B19,G$7,G$8,,,,,,,Budget_Name,,,"True")</t>
  </si>
  <si>
    <t>=-GL("Budget",$B19,H$7,H$8,,,,,,,Budget_Name,,,"True")</t>
  </si>
  <si>
    <t>=-GL("Budget",$B19,I$7,I$8,,,,,,,Budget_Name,,,"True")</t>
  </si>
  <si>
    <t>=-GL("Budget",$B19,J$7,J$8,,,,,,,Budget_Name,,,"True")</t>
  </si>
  <si>
    <t>=-GL("Budget",$B19,K$7,K$8,,,,,,,Budget_Name,,,"True")</t>
  </si>
  <si>
    <t>=-GL("Budget",$B19,L$7,L$8,,,,,,,Budget_Name,,,"True")</t>
  </si>
  <si>
    <t>=-GL("Budget",$B19,M$7,M$8,,,,,,,Budget_Name,,,"True")</t>
  </si>
  <si>
    <t>=-GL("Budget",$B19,N$7,N$8,,,,,,,Budget_Name,,,"True")</t>
  </si>
  <si>
    <t>=-GL("Budget",$B19,O$7,O$8,,,,,,,Budget_Name,,,"True")</t>
  </si>
  <si>
    <t>=-GL("Budget",$B19,P$7,P$8,,,,,,,Budget_Name,,,"True")</t>
  </si>
  <si>
    <t>=-GL("Budget",$B19,Q$7,Q$8,,,,,,,Budget_Name,,,"True")</t>
  </si>
  <si>
    <t>=-GL("Budget",$B19,R$7,R$8,,,,,,,Budget_Name,,,"True")</t>
  </si>
  <si>
    <t>=-GL("Budget",$B28,F$7,F$8,,,,,,,Budget_Name,,,"True")</t>
  </si>
  <si>
    <t>=-GL("Budget",$B28,G$7,G$8,,,,,,,Budget_Name,,,"True")</t>
  </si>
  <si>
    <t>=-GL("Budget",$B28,H$7,H$8,,,,,,,Budget_Name,,,"True")</t>
  </si>
  <si>
    <t>=-GL("Budget",$B28,I$7,I$8,,,,,,,Budget_Name,,,"True")</t>
  </si>
  <si>
    <t>=-GL("Budget",$B28,J$7,J$8,,,,,,,Budget_Name,,,"True")</t>
  </si>
  <si>
    <t>=-GL("Budget",$B28,K$7,K$8,,,,,,,Budget_Name,,,"True")</t>
  </si>
  <si>
    <t>=-GL("Budget",$B28,L$7,L$8,,,,,,,Budget_Name,,,"True")</t>
  </si>
  <si>
    <t>=-GL("Budget",$B28,M$7,M$8,,,,,,,Budget_Name,,,"True")</t>
  </si>
  <si>
    <t>=-GL("Budget",$B28,N$7,N$8,,,,,,,Budget_Name,,,"True")</t>
  </si>
  <si>
    <t>=-GL("Budget",$B28,O$7,O$8,,,,,,,Budget_Name,,,"True")</t>
  </si>
  <si>
    <t>=-GL("Budget",$B28,P$7,P$8,,,,,,,Budget_Name,,,"True")</t>
  </si>
  <si>
    <t>=-GL("Budget",$B28,Q$7,Q$8,,,,,,,Budget_Name,,,"True")</t>
  </si>
  <si>
    <t>=-GL("Budget",$B28,R$7,R$8,,,,,,,Budget_Name,,,"True")</t>
  </si>
  <si>
    <t>=-GL("Budget",$B29,F$7,F$8,,,,,,,Budget_Name,,,"True")</t>
  </si>
  <si>
    <t>=-GL("Budget",$B29,G$7,G$8,,,,,,,Budget_Name,,,"True")</t>
  </si>
  <si>
    <t>=-GL("Budget",$B29,H$7,H$8,,,,,,,Budget_Name,,,"True")</t>
  </si>
  <si>
    <t>=-GL("Budget",$B29,I$7,I$8,,,,,,,Budget_Name,,,"True")</t>
  </si>
  <si>
    <t>=-GL("Budget",$B29,J$7,J$8,,,,,,,Budget_Name,,,"True")</t>
  </si>
  <si>
    <t>=-GL("Budget",$B29,K$7,K$8,,,,,,,Budget_Name,,,"True")</t>
  </si>
  <si>
    <t>=-GL("Budget",$B29,L$7,L$8,,,,,,,Budget_Name,,,"True")</t>
  </si>
  <si>
    <t>=-GL("Budget",$B29,M$7,M$8,,,,,,,Budget_Name,,,"True")</t>
  </si>
  <si>
    <t>=-GL("Budget",$B29,N$7,N$8,,,,,,,Budget_Name,,,"True")</t>
  </si>
  <si>
    <t>=-GL("Budget",$B29,O$7,O$8,,,,,,,Budget_Name,,,"True")</t>
  </si>
  <si>
    <t>=-GL("Budget",$B29,P$7,P$8,,,,,,,Budget_Name,,,"True")</t>
  </si>
  <si>
    <t>=-GL("Budget",$B29,Q$7,Q$8,,,,,,,Budget_Name,,,"True")</t>
  </si>
  <si>
    <t>=-GL("Budget",$B29,R$7,R$8,,,,,,,Budget_Name,,,"True")</t>
  </si>
  <si>
    <t>=-GL("Budget",$B30,F$7,F$8,,,,,,,Budget_Name,,,"True")</t>
  </si>
  <si>
    <t>=-GL("Budget",$B30,G$7,G$8,,,,,,,Budget_Name,,,"True")</t>
  </si>
  <si>
    <t>=-GL("Budget",$B30,H$7,H$8,,,,,,,Budget_Name,,,"True")</t>
  </si>
  <si>
    <t>=-GL("Budget",$B30,I$7,I$8,,,,,,,Budget_Name,,,"True")</t>
  </si>
  <si>
    <t>=-GL("Budget",$B30,J$7,J$8,,,,,,,Budget_Name,,,"True")</t>
  </si>
  <si>
    <t>=-GL("Budget",$B30,K$7,K$8,,,,,,,Budget_Name,,,"True")</t>
  </si>
  <si>
    <t>=-GL("Budget",$B30,L$7,L$8,,,,,,,Budget_Name,,,"True")</t>
  </si>
  <si>
    <t>=-GL("Budget",$B30,M$7,M$8,,,,,,,Budget_Name,,,"True")</t>
  </si>
  <si>
    <t>=-GL("Budget",$B30,N$7,N$8,,,,,,,Budget_Name,,,"True")</t>
  </si>
  <si>
    <t>=-GL("Budget",$B30,O$7,O$8,,,,,,,Budget_Name,,,"True")</t>
  </si>
  <si>
    <t>=-GL("Budget",$B30,P$7,P$8,,,,,,,Budget_Name,,,"True")</t>
  </si>
  <si>
    <t>=-GL("Budget",$B30,Q$7,Q$8,,,,,,,Budget_Name,,,"True")</t>
  </si>
  <si>
    <t>=-GL("Budget",$B30,R$7,R$8,,,,,,,Budget_Name,,,"True")</t>
  </si>
  <si>
    <t>=-GL("Budget",$B31,F$7,F$8,,,,,,,Budget_Name,,,"True")</t>
  </si>
  <si>
    <t>=-GL("Budget",$B31,G$7,G$8,,,,,,,Budget_Name,,,"True")</t>
  </si>
  <si>
    <t>=-GL("Budget",$B31,H$7,H$8,,,,,,,Budget_Name,,,"True")</t>
  </si>
  <si>
    <t>=-GL("Budget",$B31,I$7,I$8,,,,,,,Budget_Name,,,"True")</t>
  </si>
  <si>
    <t>=-GL("Budget",$B31,J$7,J$8,,,,,,,Budget_Name,,,"True")</t>
  </si>
  <si>
    <t>=-GL("Budget",$B31,K$7,K$8,,,,,,,Budget_Name,,,"True")</t>
  </si>
  <si>
    <t>=-GL("Budget",$B31,L$7,L$8,,,,,,,Budget_Name,,,"True")</t>
  </si>
  <si>
    <t>=-GL("Budget",$B31,M$7,M$8,,,,,,,Budget_Name,,,"True")</t>
  </si>
  <si>
    <t>=-GL("Budget",$B31,N$7,N$8,,,,,,,Budget_Name,,,"True")</t>
  </si>
  <si>
    <t>=-GL("Budget",$B31,O$7,O$8,,,,,,,Budget_Name,,,"True")</t>
  </si>
  <si>
    <t>=-GL("Budget",$B31,P$7,P$8,,,,,,,Budget_Name,,,"True")</t>
  </si>
  <si>
    <t>=-GL("Budget",$B31,Q$7,Q$8,,,,,,,Budget_Name,,,"True")</t>
  </si>
  <si>
    <t>=-GL("Budget",$B31,R$7,R$8,,,,,,,Budget_Name,,,"True")</t>
  </si>
  <si>
    <t>=-GL("Budget",$B32,F$7,F$8,,,,,,,Budget_Name,,,"True")</t>
  </si>
  <si>
    <t>=-GL("Budget",$B32,G$7,G$8,,,,,,,Budget_Name,,,"True")</t>
  </si>
  <si>
    <t>=-GL("Budget",$B32,H$7,H$8,,,,,,,Budget_Name,,,"True")</t>
  </si>
  <si>
    <t>=-GL("Budget",$B32,I$7,I$8,,,,,,,Budget_Name,,,"True")</t>
  </si>
  <si>
    <t>=-GL("Budget",$B32,J$7,J$8,,,,,,,Budget_Name,,,"True")</t>
  </si>
  <si>
    <t>=-GL("Budget",$B32,K$7,K$8,,,,,,,Budget_Name,,,"True")</t>
  </si>
  <si>
    <t>=-GL("Budget",$B32,L$7,L$8,,,,,,,Budget_Name,,,"True")</t>
  </si>
  <si>
    <t>=-GL("Budget",$B32,M$7,M$8,,,,,,,Budget_Name,,,"True")</t>
  </si>
  <si>
    <t>=-GL("Budget",$B32,N$7,N$8,,,,,,,Budget_Name,,,"True")</t>
  </si>
  <si>
    <t>=-GL("Budget",$B32,O$7,O$8,,,,,,,Budget_Name,,,"True")</t>
  </si>
  <si>
    <t>=-GL("Budget",$B32,P$7,P$8,,,,,,,Budget_Name,,,"True")</t>
  </si>
  <si>
    <t>=-GL("Budget",$B32,Q$7,Q$8,,,,,,,Budget_Name,,,"True")</t>
  </si>
  <si>
    <t>=-GL("Budget",$B32,R$7,R$8,,,,,,,Budget_Name,,,"True")</t>
  </si>
  <si>
    <t>=-GL("Budget",$B33,F$7,F$8,,,,,,,Budget_Name,,,"True")</t>
  </si>
  <si>
    <t>=-GL("Budget",$B33,G$7,G$8,,,,,,,Budget_Name,,,"True")</t>
  </si>
  <si>
    <t>=-GL("Budget",$B33,H$7,H$8,,,,,,,Budget_Name,,,"True")</t>
  </si>
  <si>
    <t>=-GL("Budget",$B33,I$7,I$8,,,,,,,Budget_Name,,,"True")</t>
  </si>
  <si>
    <t>=-GL("Budget",$B33,J$7,J$8,,,,,,,Budget_Name,,,"True")</t>
  </si>
  <si>
    <t>=-GL("Budget",$B33,K$7,K$8,,,,,,,Budget_Name,,,"True")</t>
  </si>
  <si>
    <t>=-GL("Budget",$B33,L$7,L$8,,,,,,,Budget_Name,,,"True")</t>
  </si>
  <si>
    <t>=-GL("Budget",$B33,M$7,M$8,,,,,,,Budget_Name,,,"True")</t>
  </si>
  <si>
    <t>=-GL("Budget",$B33,N$7,N$8,,,,,,,Budget_Name,,,"True")</t>
  </si>
  <si>
    <t>=-GL("Budget",$B33,O$7,O$8,,,,,,,Budget_Name,,,"True")</t>
  </si>
  <si>
    <t>=-GL("Budget",$B33,P$7,P$8,,,,,,,Budget_Name,,,"True")</t>
  </si>
  <si>
    <t>=-GL("Budget",$B33,Q$7,Q$8,,,,,,,Budget_Name,,,"True")</t>
  </si>
  <si>
    <t>=-GL("Budget",$B33,R$7,R$8,,,,,,,Budget_Name,,,"True")</t>
  </si>
  <si>
    <t>=-GL("Budget",$B34,F$7,F$8,,,,,,,Budget_Name,,,"True")</t>
  </si>
  <si>
    <t>=-GL("Budget",$B34,G$7,G$8,,,,,,,Budget_Name,,,"True")</t>
  </si>
  <si>
    <t>=-GL("Budget",$B34,H$7,H$8,,,,,,,Budget_Name,,,"True")</t>
  </si>
  <si>
    <t>=-GL("Budget",$B34,I$7,I$8,,,,,,,Budget_Name,,,"True")</t>
  </si>
  <si>
    <t>=-GL("Budget",$B34,J$7,J$8,,,,,,,Budget_Name,,,"True")</t>
  </si>
  <si>
    <t>=-GL("Budget",$B34,K$7,K$8,,,,,,,Budget_Name,,,"True")</t>
  </si>
  <si>
    <t>=-GL("Budget",$B34,L$7,L$8,,,,,,,Budget_Name,,,"True")</t>
  </si>
  <si>
    <t>=-GL("Budget",$B34,M$7,M$8,,,,,,,Budget_Name,,,"True")</t>
  </si>
  <si>
    <t>=-GL("Budget",$B34,N$7,N$8,,,,,,,Budget_Name,,,"True")</t>
  </si>
  <si>
    <t>=-GL("Budget",$B34,O$7,O$8,,,,,,,Budget_Name,,,"True")</t>
  </si>
  <si>
    <t>=-GL("Budget",$B34,P$7,P$8,,,,,,,Budget_Name,,,"True")</t>
  </si>
  <si>
    <t>=-GL("Budget",$B34,Q$7,Q$8,,,,,,,Budget_Name,,,"True")</t>
  </si>
  <si>
    <t>=-GL("Budget",$B34,R$7,R$8,,,,,,,Budget_Name,,,"True")</t>
  </si>
  <si>
    <t>=-GL("Budget",$B40,F$7,F$8,,,,,,,Budget_Name,,,"True")</t>
  </si>
  <si>
    <t>=-GL("Budget",$B40,G$7,G$8,,,,,,,Budget_Name,,,"True")</t>
  </si>
  <si>
    <t>=-GL("Budget",$B40,H$7,H$8,,,,,,,Budget_Name,,,"True")</t>
  </si>
  <si>
    <t>=-GL("Budget",$B40,I$7,I$8,,,,,,,Budget_Name,,,"True")</t>
  </si>
  <si>
    <t>=-GL("Budget",$B40,J$7,J$8,,,,,,,Budget_Name,,,"True")</t>
  </si>
  <si>
    <t>=-GL("Budget",$B40,K$7,K$8,,,,,,,Budget_Name,,,"True")</t>
  </si>
  <si>
    <t>=-GL("Budget",$B40,L$7,L$8,,,,,,,Budget_Name,,,"True")</t>
  </si>
  <si>
    <t>=-GL("Budget",$B40,M$7,M$8,,,,,,,Budget_Name,,,"True")</t>
  </si>
  <si>
    <t>=-GL("Budget",$B40,N$7,N$8,,,,,,,Budget_Name,,,"True")</t>
  </si>
  <si>
    <t>=-GL("Budget",$B40,O$7,O$8,,,,,,,Budget_Name,,,"True")</t>
  </si>
  <si>
    <t>=-GL("Budget",$B40,P$7,P$8,,,,,,,Budget_Name,,,"True")</t>
  </si>
  <si>
    <t>=-GL("Budget",$B40,Q$7,Q$8,,,,,,,Budget_Name,,,"True")</t>
  </si>
  <si>
    <t>=-GL("Budget",$B40,R$7,R$8,,,,,,,Budget_Name,,,"True")</t>
  </si>
  <si>
    <t>=-GL("Budget",$B41,F$7,F$8,,,,,,,Budget_Name,,,"True")</t>
  </si>
  <si>
    <t>=-GL("Budget",$B41,G$7,G$8,,,,,,,Budget_Name,,,"True")</t>
  </si>
  <si>
    <t>=-GL("Budget",$B41,H$7,H$8,,,,,,,Budget_Name,,,"True")</t>
  </si>
  <si>
    <t>=-GL("Budget",$B41,I$7,I$8,,,,,,,Budget_Name,,,"True")</t>
  </si>
  <si>
    <t>=-GL("Budget",$B41,J$7,J$8,,,,,,,Budget_Name,,,"True")</t>
  </si>
  <si>
    <t>=-GL("Budget",$B41,K$7,K$8,,,,,,,Budget_Name,,,"True")</t>
  </si>
  <si>
    <t>=-GL("Budget",$B41,L$7,L$8,,,,,,,Budget_Name,,,"True")</t>
  </si>
  <si>
    <t>=-GL("Budget",$B41,M$7,M$8,,,,,,,Budget_Name,,,"True")</t>
  </si>
  <si>
    <t>=-GL("Budget",$B41,N$7,N$8,,,,,,,Budget_Name,,,"True")</t>
  </si>
  <si>
    <t>=-GL("Budget",$B41,O$7,O$8,,,,,,,Budget_Name,,,"True")</t>
  </si>
  <si>
    <t>=-GL("Budget",$B41,P$7,P$8,,,,,,,Budget_Name,,,"True")</t>
  </si>
  <si>
    <t>=-GL("Budget",$B41,Q$7,Q$8,,,,,,,Budget_Name,,,"True")</t>
  </si>
  <si>
    <t>=-GL("Budget",$B41,R$7,R$8,,,,,,,Budget_Name,,,"True")</t>
  </si>
  <si>
    <t>=-GL("Budget",$B42,F$7,F$8,,,,,,,Budget_Name,,,"True")</t>
  </si>
  <si>
    <t>=-GL("Budget",$B42,G$7,G$8,,,,,,,Budget_Name,,,"True")</t>
  </si>
  <si>
    <t>=-GL("Budget",$B42,H$7,H$8,,,,,,,Budget_Name,,,"True")</t>
  </si>
  <si>
    <t>=-GL("Budget",$B42,I$7,I$8,,,,,,,Budget_Name,,,"True")</t>
  </si>
  <si>
    <t>=-GL("Budget",$B42,J$7,J$8,,,,,,,Budget_Name,,,"True")</t>
  </si>
  <si>
    <t>=-GL("Budget",$B42,K$7,K$8,,,,,,,Budget_Name,,,"True")</t>
  </si>
  <si>
    <t>=-GL("Budget",$B42,L$7,L$8,,,,,,,Budget_Name,,,"True")</t>
  </si>
  <si>
    <t>=-GL("Budget",$B42,M$7,M$8,,,,,,,Budget_Name,,,"True")</t>
  </si>
  <si>
    <t>=-GL("Budget",$B42,N$7,N$8,,,,,,,Budget_Name,,,"True")</t>
  </si>
  <si>
    <t>=-GL("Budget",$B42,O$7,O$8,,,,,,,Budget_Name,,,"True")</t>
  </si>
  <si>
    <t>=-GL("Budget",$B42,P$7,P$8,,,,,,,Budget_Name,,,"True")</t>
  </si>
  <si>
    <t>=-GL("Budget",$B42,Q$7,Q$8,,,,,,,Budget_Name,,,"True")</t>
  </si>
  <si>
    <t>=-GL("Budget",$B42,R$7,R$8,,,,,,,Budget_Name,,,"True")</t>
  </si>
  <si>
    <t>=-GL("Budget",$B43,F$7,F$8,,,,,,,Budget_Name,,,"True")</t>
  </si>
  <si>
    <t>=-GL("Budget",$B43,G$7,G$8,,,,,,,Budget_Name,,,"True")</t>
  </si>
  <si>
    <t>=-GL("Budget",$B43,H$7,H$8,,,,,,,Budget_Name,,,"True")</t>
  </si>
  <si>
    <t>=-GL("Budget",$B43,I$7,I$8,,,,,,,Budget_Name,,,"True")</t>
  </si>
  <si>
    <t>=-GL("Budget",$B43,J$7,J$8,,,,,,,Budget_Name,,,"True")</t>
  </si>
  <si>
    <t>=-GL("Budget",$B43,K$7,K$8,,,,,,,Budget_Name,,,"True")</t>
  </si>
  <si>
    <t>=-GL("Budget",$B43,L$7,L$8,,,,,,,Budget_Name,,,"True")</t>
  </si>
  <si>
    <t>=-GL("Budget",$B43,M$7,M$8,,,,,,,Budget_Name,,,"True")</t>
  </si>
  <si>
    <t>=-GL("Budget",$B43,N$7,N$8,,,,,,,Budget_Name,,,"True")</t>
  </si>
  <si>
    <t>=-GL("Budget",$B43,O$7,O$8,,,,,,,Budget_Name,,,"True")</t>
  </si>
  <si>
    <t>=-GL("Budget",$B43,P$7,P$8,,,,,,,Budget_Name,,,"True")</t>
  </si>
  <si>
    <t>=-GL("Budget",$B43,Q$7,Q$8,,,,,,,Budget_Name,,,"True")</t>
  </si>
  <si>
    <t>=-GL("Budget",$B43,R$7,R$8,,,,,,,Budget_Name,,,"True")</t>
  </si>
  <si>
    <t>=-GL("Budget",$B44,F$7,F$8,,,,,,,Budget_Name,,,"True")</t>
  </si>
  <si>
    <t>=-GL("Budget",$B44,G$7,G$8,,,,,,,Budget_Name,,,"True")</t>
  </si>
  <si>
    <t>=-GL("Budget",$B44,H$7,H$8,,,,,,,Budget_Name,,,"True")</t>
  </si>
  <si>
    <t>=-GL("Budget",$B44,I$7,I$8,,,,,,,Budget_Name,,,"True")</t>
  </si>
  <si>
    <t>=-GL("Budget",$B44,J$7,J$8,,,,,,,Budget_Name,,,"True")</t>
  </si>
  <si>
    <t>=-GL("Budget",$B44,K$7,K$8,,,,,,,Budget_Name,,,"True")</t>
  </si>
  <si>
    <t>=-GL("Budget",$B44,L$7,L$8,,,,,,,Budget_Name,,,"True")</t>
  </si>
  <si>
    <t>=-GL("Budget",$B44,M$7,M$8,,,,,,,Budget_Name,,,"True")</t>
  </si>
  <si>
    <t>=-GL("Budget",$B44,N$7,N$8,,,,,,,Budget_Name,,,"True")</t>
  </si>
  <si>
    <t>=-GL("Budget",$B44,O$7,O$8,,,,,,,Budget_Name,,,"True")</t>
  </si>
  <si>
    <t>=-GL("Budget",$B44,P$7,P$8,,,,,,,Budget_Name,,,"True")</t>
  </si>
  <si>
    <t>=-GL("Budget",$B44,Q$7,Q$8,,,,,,,Budget_Name,,,"True")</t>
  </si>
  <si>
    <t>=-GL("Budget",$B44,R$7,R$8,,,,,,,Budget_Name,,,"True")</t>
  </si>
  <si>
    <t>=-GL("Budget",$B45,F$7,F$8,,,,,,,Budget_Name,,,"True")</t>
  </si>
  <si>
    <t>=-GL("Budget",$B45,G$7,G$8,,,,,,,Budget_Name,,,"True")</t>
  </si>
  <si>
    <t>=-GL("Budget",$B45,H$7,H$8,,,,,,,Budget_Name,,,"True")</t>
  </si>
  <si>
    <t>=-GL("Budget",$B45,I$7,I$8,,,,,,,Budget_Name,,,"True")</t>
  </si>
  <si>
    <t>=-GL("Budget",$B45,J$7,J$8,,,,,,,Budget_Name,,,"True")</t>
  </si>
  <si>
    <t>=-GL("Budget",$B45,K$7,K$8,,,,,,,Budget_Name,,,"True")</t>
  </si>
  <si>
    <t>=-GL("Budget",$B45,L$7,L$8,,,,,,,Budget_Name,,,"True")</t>
  </si>
  <si>
    <t>=-GL("Budget",$B45,M$7,M$8,,,,,,,Budget_Name,,,"True")</t>
  </si>
  <si>
    <t>=-GL("Budget",$B45,N$7,N$8,,,,,,,Budget_Name,,,"True")</t>
  </si>
  <si>
    <t>=-GL("Budget",$B45,O$7,O$8,,,,,,,Budget_Name,,,"True")</t>
  </si>
  <si>
    <t>=-GL("Budget",$B45,P$7,P$8,,,,,,,Budget_Name,,,"True")</t>
  </si>
  <si>
    <t>=-GL("Budget",$B45,Q$7,Q$8,,,,,,,Budget_Name,,,"True")</t>
  </si>
  <si>
    <t>=-GL("Budget",$B45,R$7,R$8,,,,,,,Budget_Name,,,"True")</t>
  </si>
  <si>
    <t>=-GL("Budget",$B50,F$7,F$8,,,,,,,Budget_Name,,,"True")</t>
  </si>
  <si>
    <t>=-GL("Budget",$B50,G$7,G$8,,,,,,,Budget_Name,,,"True")</t>
  </si>
  <si>
    <t>=-GL("Budget",$B50,H$7,H$8,,,,,,,Budget_Name,,,"True")</t>
  </si>
  <si>
    <t>=-GL("Budget",$B50,I$7,I$8,,,,,,,Budget_Name,,,"True")</t>
  </si>
  <si>
    <t>=-GL("Budget",$B50,J$7,J$8,,,,,,,Budget_Name,,,"True")</t>
  </si>
  <si>
    <t>=-GL("Budget",$B50,K$7,K$8,,,,,,,Budget_Name,,,"True")</t>
  </si>
  <si>
    <t>=-GL("Budget",$B50,L$7,L$8,,,,,,,Budget_Name,,,"True")</t>
  </si>
  <si>
    <t>=-GL("Budget",$B50,M$7,M$8,,,,,,,Budget_Name,,,"True")</t>
  </si>
  <si>
    <t>=-GL("Budget",$B50,N$7,N$8,,,,,,,Budget_Name,,,"True")</t>
  </si>
  <si>
    <t>=-GL("Budget",$B50,O$7,O$8,,,,,,,Budget_Name,,,"True")</t>
  </si>
  <si>
    <t>=-GL("Budget",$B50,P$7,P$8,,,,,,,Budget_Name,,,"True")</t>
  </si>
  <si>
    <t>=-GL("Budget",$B50,Q$7,Q$8,,,,,,,Budget_Name,,,"True")</t>
  </si>
  <si>
    <t>=-GL("Budget",$B50,R$7,R$8,,,,,,,Budget_Name,,,"True")</t>
  </si>
  <si>
    <t>100000</t>
  </si>
  <si>
    <t>50000</t>
  </si>
  <si>
    <t>-50000</t>
  </si>
  <si>
    <t>-100000</t>
  </si>
  <si>
    <t>�</t>
  </si>
  <si>
    <t>44100</t>
  </si>
  <si>
    <t>44200</t>
  </si>
  <si>
    <t>44300</t>
  </si>
  <si>
    <t>45100</t>
  </si>
  <si>
    <t>45200</t>
  </si>
  <si>
    <t>45300</t>
  </si>
  <si>
    <t>=SUM(F10:F15)</t>
  </si>
  <si>
    <t>=SUM(G10:G15)</t>
  </si>
  <si>
    <t>=SUM(H10:H15)</t>
  </si>
  <si>
    <t>=SUM(I10:I15)</t>
  </si>
  <si>
    <t>=SUM(J10:J15)</t>
  </si>
  <si>
    <t>=SUM(K10:K15)</t>
  </si>
  <si>
    <t>=SUM(L10:L15)</t>
  </si>
  <si>
    <t>=SUM(M10:M15)</t>
  </si>
  <si>
    <t>=SUM(N10:N15)</t>
  </si>
  <si>
    <t>=SUM(O10:O15)</t>
  </si>
  <si>
    <t>=SUM(P10:P15)</t>
  </si>
  <si>
    <t>=SUM(Q10:Q15)</t>
  </si>
  <si>
    <t>=SUM(R10:R15)</t>
  </si>
  <si>
    <t>52100</t>
  </si>
  <si>
    <t>52300</t>
  </si>
  <si>
    <t>52400</t>
  </si>
  <si>
    <t>54999</t>
  </si>
  <si>
    <t>=SUM(F19:F22)</t>
  </si>
  <si>
    <t>=SUM(G19:G22)</t>
  </si>
  <si>
    <t>=SUM(H19:H22)</t>
  </si>
  <si>
    <t>=SUM(I19:I22)</t>
  </si>
  <si>
    <t>=SUM(J19:J22)</t>
  </si>
  <si>
    <t>=SUM(K19:K22)</t>
  </si>
  <si>
    <t>=SUM(L19:L22)</t>
  </si>
  <si>
    <t>=SUM(M19:M22)</t>
  </si>
  <si>
    <t>=SUM(N19:N22)</t>
  </si>
  <si>
    <t>=SUM(O19:O22)</t>
  </si>
  <si>
    <t>=SUM(P19:P22)</t>
  </si>
  <si>
    <t>=SUM(Q19:Q22)</t>
  </si>
  <si>
    <t>=SUM(R19:R22)</t>
  </si>
  <si>
    <t>=F16+F23</t>
  </si>
  <si>
    <t>=G16+G23</t>
  </si>
  <si>
    <t>=H16+H23</t>
  </si>
  <si>
    <t>=I16+I23</t>
  </si>
  <si>
    <t>=J16+J23</t>
  </si>
  <si>
    <t>=K16+K23</t>
  </si>
  <si>
    <t>=L16+L23</t>
  </si>
  <si>
    <t>=M16+M23</t>
  </si>
  <si>
    <t>=N16+N23</t>
  </si>
  <si>
    <t>=O16+O23</t>
  </si>
  <si>
    <t>=P16+P23</t>
  </si>
  <si>
    <t>=Q16+Q23</t>
  </si>
  <si>
    <t>=R16+R23</t>
  </si>
  <si>
    <t>65400</t>
  </si>
  <si>
    <t>65900</t>
  </si>
  <si>
    <t>64400</t>
  </si>
  <si>
    <t>61400</t>
  </si>
  <si>
    <t>62950</t>
  </si>
  <si>
    <t>66400</t>
  </si>
  <si>
    <t>67600</t>
  </si>
  <si>
    <t>=SUM(F28:F34)</t>
  </si>
  <si>
    <t>=SUM(G28:G34)</t>
  </si>
  <si>
    <t>=SUM(H28:H34)</t>
  </si>
  <si>
    <t>=SUM(I28:I34)</t>
  </si>
  <si>
    <t>=SUM(J28:J34)</t>
  </si>
  <si>
    <t>=SUM(K28:K34)</t>
  </si>
  <si>
    <t>=SUM(L28:L34)</t>
  </si>
  <si>
    <t>=SUM(M28:M34)</t>
  </si>
  <si>
    <t>=SUM(N28:N34)</t>
  </si>
  <si>
    <t>=SUM(O28:O34)</t>
  </si>
  <si>
    <t>=SUM(P28:P34)</t>
  </si>
  <si>
    <t>=SUM(Q28:Q34)</t>
  </si>
  <si>
    <t>=SUM(R28:R34)</t>
  </si>
  <si>
    <t>=F25+F35</t>
  </si>
  <si>
    <t>=G25+G35</t>
  </si>
  <si>
    <t>=H25+H35</t>
  </si>
  <si>
    <t>=I25+I35</t>
  </si>
  <si>
    <t>=J25+J35</t>
  </si>
  <si>
    <t>=K25+K35</t>
  </si>
  <si>
    <t>=L25+L35</t>
  </si>
  <si>
    <t>=M25+M35</t>
  </si>
  <si>
    <t>=N25+N35</t>
  </si>
  <si>
    <t>=O25+O35</t>
  </si>
  <si>
    <t>=P25+P35</t>
  </si>
  <si>
    <t>=Q25+Q35</t>
  </si>
  <si>
    <t>=R25+R35</t>
  </si>
  <si>
    <t>79950</t>
  </si>
  <si>
    <t>80600</t>
  </si>
  <si>
    <t>80800</t>
  </si>
  <si>
    <t>80900</t>
  </si>
  <si>
    <t>81000</t>
  </si>
  <si>
    <t>81100</t>
  </si>
  <si>
    <t>=SUM(F40:F45)</t>
  </si>
  <si>
    <t>=SUM(G40:G45)</t>
  </si>
  <si>
    <t>=SUM(H40:H45)</t>
  </si>
  <si>
    <t>=SUM(I40:I45)</t>
  </si>
  <si>
    <t>=SUM(J40:J45)</t>
  </si>
  <si>
    <t>=SUM(K40:K45)</t>
  </si>
  <si>
    <t>=SUM(L40:L45)</t>
  </si>
  <si>
    <t>=SUM(M40:M45)</t>
  </si>
  <si>
    <t>=SUM(N40:N45)</t>
  </si>
  <si>
    <t>=SUM(O40:O45)</t>
  </si>
  <si>
    <t>=SUM(P40:P45)</t>
  </si>
  <si>
    <t>=SUM(Q40:Q45)</t>
  </si>
  <si>
    <t>=SUM(R40:R45)</t>
  </si>
  <si>
    <t>=F37+F46</t>
  </si>
  <si>
    <t>=G37+G46</t>
  </si>
  <si>
    <t>=H37+H46</t>
  </si>
  <si>
    <t>=I37+I46</t>
  </si>
  <si>
    <t>=J37+J46</t>
  </si>
  <si>
    <t>=K37+K46</t>
  </si>
  <si>
    <t>=L37+L46</t>
  </si>
  <si>
    <t>=M37+M46</t>
  </si>
  <si>
    <t>=N37+N46</t>
  </si>
  <si>
    <t>=O37+O46</t>
  </si>
  <si>
    <t>=P37+P46</t>
  </si>
  <si>
    <t>=Q37+Q46</t>
  </si>
  <si>
    <t>=R37+R46</t>
  </si>
  <si>
    <t>84100</t>
  </si>
  <si>
    <t>=F48+F50</t>
  </si>
  <si>
    <t>=G48+G50</t>
  </si>
  <si>
    <t>=H48+H50</t>
  </si>
  <si>
    <t>=I48+I50</t>
  </si>
  <si>
    <t>=J48+J50</t>
  </si>
  <si>
    <t>=K48+K50</t>
  </si>
  <si>
    <t>=L48+L50</t>
  </si>
  <si>
    <t>=M48+M50</t>
  </si>
  <si>
    <t>=N48+N50</t>
  </si>
  <si>
    <t>=O48+O50</t>
  </si>
  <si>
    <t>=P48+P50</t>
  </si>
  <si>
    <t>=Q48+Q50</t>
  </si>
  <si>
    <t>=R48+R50</t>
  </si>
  <si>
    <t>Auto+Hide+Values+Formulas=Sheet2,Sheet3+FormulasOnly</t>
  </si>
  <si>
    <t>Auto+Hide+Values+Formulas=Sheet4,Sheet5+FormulasOnly</t>
  </si>
  <si>
    <t>=TEXT(G10,"MMMM")</t>
  </si>
  <si>
    <t>=TEXT(H10,"MMMM")</t>
  </si>
  <si>
    <t>=TEXT(I10,"MMMM")</t>
  </si>
  <si>
    <t>=TEXT(J10,"MMMM")</t>
  </si>
  <si>
    <t>=TEXT(K10,"MMMM")</t>
  </si>
  <si>
    <t>=TEXT(L10,"MMMM")</t>
  </si>
  <si>
    <t>=TEXT(M10,"MMMM")</t>
  </si>
  <si>
    <t>=TEXT(N10,"MMMM")</t>
  </si>
  <si>
    <t>=TEXT(O10,"MMMM")</t>
  </si>
  <si>
    <t>=TEXT(P10,"MMMM")</t>
  </si>
  <si>
    <t>=TEXT(Q10,"MMMM")</t>
  </si>
  <si>
    <t>=TEXT(R10,"MMMM")</t>
  </si>
  <si>
    <t>=G11+1</t>
  </si>
  <si>
    <t>=H11+1</t>
  </si>
  <si>
    <t>=I11+1</t>
  </si>
  <si>
    <t>=J11+1</t>
  </si>
  <si>
    <t>=K11+1</t>
  </si>
  <si>
    <t>=L11+1</t>
  </si>
  <si>
    <t>=M11+1</t>
  </si>
  <si>
    <t>=N11+1</t>
  </si>
  <si>
    <t>=O11+1</t>
  </si>
  <si>
    <t>=P11+1</t>
  </si>
  <si>
    <t>=Q11+1</t>
  </si>
  <si>
    <t>=G10</t>
  </si>
  <si>
    <t>=EOMONTH(G10,0)</t>
  </si>
  <si>
    <t>=EOMONTH(H10,0)</t>
  </si>
  <si>
    <t>=EOMONTH(I10,0)</t>
  </si>
  <si>
    <t>=EOMONTH(J10,0)</t>
  </si>
  <si>
    <t>=EOMONTH(K10,0)</t>
  </si>
  <si>
    <t>=EOMONTH(L10,0)</t>
  </si>
  <si>
    <t>=EOMONTH(M10,0)</t>
  </si>
  <si>
    <t>=EOMONTH(N10,0)</t>
  </si>
  <si>
    <t>=EOMONTH(O10,0)</t>
  </si>
  <si>
    <t>=EOMONTH(P10,0)</t>
  </si>
  <si>
    <t>=EOMONTH(Q10,0)</t>
  </si>
  <si>
    <t>=EOMONTH(R10,0)</t>
  </si>
  <si>
    <t>=R11</t>
  </si>
  <si>
    <t>=SUM(G13:G18)</t>
  </si>
  <si>
    <t>=SUM(H13:H18)</t>
  </si>
  <si>
    <t>=SUM(I13:I18)</t>
  </si>
  <si>
    <t>=SUM(J13:J18)</t>
  </si>
  <si>
    <t>=SUM(K13:K18)</t>
  </si>
  <si>
    <t>=SUM(L13:L18)</t>
  </si>
  <si>
    <t>=SUM(M13:M18)</t>
  </si>
  <si>
    <t>=SUM(N13:N18)</t>
  </si>
  <si>
    <t>=SUM(O13:O18)</t>
  </si>
  <si>
    <t>=SUM(P13:P18)</t>
  </si>
  <si>
    <t>=SUM(Q13:Q18)</t>
  </si>
  <si>
    <t>=SUM(R13:R18)</t>
  </si>
  <si>
    <t>=SUM(S13:S18)</t>
  </si>
  <si>
    <t>=SUM(G22:G25)</t>
  </si>
  <si>
    <t>=SUM(H22:H25)</t>
  </si>
  <si>
    <t>=SUM(I22:I25)</t>
  </si>
  <si>
    <t>=SUM(J22:J25)</t>
  </si>
  <si>
    <t>=SUM(K22:K25)</t>
  </si>
  <si>
    <t>=SUM(L22:L25)</t>
  </si>
  <si>
    <t>=SUM(M22:M25)</t>
  </si>
  <si>
    <t>=SUM(N22:N25)</t>
  </si>
  <si>
    <t>=SUM(O22:O25)</t>
  </si>
  <si>
    <t>=SUM(P22:P25)</t>
  </si>
  <si>
    <t>=SUM(Q22:Q25)</t>
  </si>
  <si>
    <t>=SUM(R22:R25)</t>
  </si>
  <si>
    <t>=SUM(S22:S25)</t>
  </si>
  <si>
    <t>=G19+G26</t>
  </si>
  <si>
    <t>=H19+H26</t>
  </si>
  <si>
    <t>=I19+I26</t>
  </si>
  <si>
    <t>=J19+J26</t>
  </si>
  <si>
    <t>=K19+K26</t>
  </si>
  <si>
    <t>=L19+L26</t>
  </si>
  <si>
    <t>=M19+M26</t>
  </si>
  <si>
    <t>=N19+N26</t>
  </si>
  <si>
    <t>=O19+O26</t>
  </si>
  <si>
    <t>=P19+P26</t>
  </si>
  <si>
    <t>=Q19+Q26</t>
  </si>
  <si>
    <t>=R19+R26</t>
  </si>
  <si>
    <t>=S19+S26</t>
  </si>
  <si>
    <t>=SUM(G31:G37)</t>
  </si>
  <si>
    <t>=SUM(H31:H37)</t>
  </si>
  <si>
    <t>=SUM(I31:I37)</t>
  </si>
  <si>
    <t>=SUM(J31:J37)</t>
  </si>
  <si>
    <t>=SUM(K31:K37)</t>
  </si>
  <si>
    <t>=SUM(L31:L37)</t>
  </si>
  <si>
    <t>=SUM(M31:M37)</t>
  </si>
  <si>
    <t>=SUM(N31:N37)</t>
  </si>
  <si>
    <t>=SUM(O31:O37)</t>
  </si>
  <si>
    <t>=SUM(P31:P37)</t>
  </si>
  <si>
    <t>=SUM(Q31:Q37)</t>
  </si>
  <si>
    <t>=SUM(R31:R37)</t>
  </si>
  <si>
    <t>=SUM(S31:S37)</t>
  </si>
  <si>
    <t>=G28+G38</t>
  </si>
  <si>
    <t>=H28+H38</t>
  </si>
  <si>
    <t>=I28+I38</t>
  </si>
  <si>
    <t>=J28+J38</t>
  </si>
  <si>
    <t>=K28+K38</t>
  </si>
  <si>
    <t>=L28+L38</t>
  </si>
  <si>
    <t>=M28+M38</t>
  </si>
  <si>
    <t>=N28+N38</t>
  </si>
  <si>
    <t>=O28+O38</t>
  </si>
  <si>
    <t>=P28+P38</t>
  </si>
  <si>
    <t>=Q28+Q38</t>
  </si>
  <si>
    <t>=R28+R38</t>
  </si>
  <si>
    <t>=S28+S38</t>
  </si>
  <si>
    <t>=SUM(G43:G48)</t>
  </si>
  <si>
    <t>=SUM(H43:H48)</t>
  </si>
  <si>
    <t>=SUM(I43:I48)</t>
  </si>
  <si>
    <t>=SUM(J43:J48)</t>
  </si>
  <si>
    <t>=SUM(K43:K48)</t>
  </si>
  <si>
    <t>=SUM(L43:L48)</t>
  </si>
  <si>
    <t>=SUM(M43:M48)</t>
  </si>
  <si>
    <t>=SUM(N43:N48)</t>
  </si>
  <si>
    <t>=SUM(O43:O48)</t>
  </si>
  <si>
    <t>=SUM(P43:P48)</t>
  </si>
  <si>
    <t>=SUM(Q43:Q48)</t>
  </si>
  <si>
    <t>=SUM(R43:R48)</t>
  </si>
  <si>
    <t>=SUM(S43:S48)</t>
  </si>
  <si>
    <t>=G40+G49</t>
  </si>
  <si>
    <t>=H40+H49</t>
  </si>
  <si>
    <t>=I40+I49</t>
  </si>
  <si>
    <t>=J40+J49</t>
  </si>
  <si>
    <t>=K40+K49</t>
  </si>
  <si>
    <t>=L40+L49</t>
  </si>
  <si>
    <t>=M40+M49</t>
  </si>
  <si>
    <t>=N40+N49</t>
  </si>
  <si>
    <t>=O40+O49</t>
  </si>
  <si>
    <t>=P40+P49</t>
  </si>
  <si>
    <t>=Q40+Q49</t>
  </si>
  <si>
    <t>=R40+R49</t>
  </si>
  <si>
    <t>=S40+S49</t>
  </si>
  <si>
    <t>=G51+G53</t>
  </si>
  <si>
    <t>=H51+H53</t>
  </si>
  <si>
    <t>=I51+I53</t>
  </si>
  <si>
    <t>=J51+J53</t>
  </si>
  <si>
    <t>=K51+K53</t>
  </si>
  <si>
    <t>=L51+L53</t>
  </si>
  <si>
    <t>=M51+M53</t>
  </si>
  <si>
    <t>=N51+N53</t>
  </si>
  <si>
    <t>=O51+O53</t>
  </si>
  <si>
    <t>=P51+P53</t>
  </si>
  <si>
    <t>=Q51+Q53</t>
  </si>
  <si>
    <t>=R51+R53</t>
  </si>
  <si>
    <t>=S51+S53</t>
  </si>
  <si>
    <t>Auto+Hide+Values+Formulas=Sheet6,Sheet7+FormulasOnly</t>
  </si>
  <si>
    <t>=NL("First","G/L Account","Name","No.",$B20)</t>
  </si>
  <si>
    <t>=-GL("Budget",$B20,F$7,F$8,,,,,,,Budget_Name,,,"True")</t>
  </si>
  <si>
    <t>=-GL("Budget",$B20,G$7,G$8,,,,,,,Budget_Name,,,"True")</t>
  </si>
  <si>
    <t>=-GL("Budget",$B20,H$7,H$8,,,,,,,Budget_Name,,,"True")</t>
  </si>
  <si>
    <t>=-GL("Budget",$B20,I$7,I$8,,,,,,,Budget_Name,,,"True")</t>
  </si>
  <si>
    <t>=-GL("Budget",$B20,J$7,J$8,,,,,,,Budget_Name,,,"True")</t>
  </si>
  <si>
    <t>=-GL("Budget",$B20,K$7,K$8,,,,,,,Budget_Name,,,"True")</t>
  </si>
  <si>
    <t>=-GL("Budget",$B20,L$7,L$8,,,,,,,Budget_Name,,,"True")</t>
  </si>
  <si>
    <t>=-GL("Budget",$B20,M$7,M$8,,,,,,,Budget_Name,,,"True")</t>
  </si>
  <si>
    <t>=-GL("Budget",$B20,N$7,N$8,,,,,,,Budget_Name,,,"True")</t>
  </si>
  <si>
    <t>=-GL("Budget",$B20,O$7,O$8,,,,,,,Budget_Name,,,"True")</t>
  </si>
  <si>
    <t>=-GL("Budget",$B20,P$7,P$8,,,,,,,Budget_Name,,,"True")</t>
  </si>
  <si>
    <t>=-GL("Budget",$B20,Q$7,Q$8,,,,,,,Budget_Name,,,"True")</t>
  </si>
  <si>
    <t>=-GL("Budget",$B20,R$7,R$8,,,,,,,Budget_Name,,,"True")</t>
  </si>
  <si>
    <t>=NL("First","G/L Account","Name","No.",$B21)</t>
  </si>
  <si>
    <t>=-GL("Budget",$B21,F$7,F$8,,,,,,,Budget_Name,,,"True")</t>
  </si>
  <si>
    <t>=-GL("Budget",$B21,G$7,G$8,,,,,,,Budget_Name,,,"True")</t>
  </si>
  <si>
    <t>=-GL("Budget",$B21,H$7,H$8,,,,,,,Budget_Name,,,"True")</t>
  </si>
  <si>
    <t>=-GL("Budget",$B21,I$7,I$8,,,,,,,Budget_Name,,,"True")</t>
  </si>
  <si>
    <t>=-GL("Budget",$B21,J$7,J$8,,,,,,,Budget_Name,,,"True")</t>
  </si>
  <si>
    <t>=-GL("Budget",$B21,K$7,K$8,,,,,,,Budget_Name,,,"True")</t>
  </si>
  <si>
    <t>=-GL("Budget",$B21,L$7,L$8,,,,,,,Budget_Name,,,"True")</t>
  </si>
  <si>
    <t>=-GL("Budget",$B21,M$7,M$8,,,,,,,Budget_Name,,,"True")</t>
  </si>
  <si>
    <t>=-GL("Budget",$B21,N$7,N$8,,,,,,,Budget_Name,,,"True")</t>
  </si>
  <si>
    <t>=-GL("Budget",$B21,O$7,O$8,,,,,,,Budget_Name,,,"True")</t>
  </si>
  <si>
    <t>=-GL("Budget",$B21,P$7,P$8,,,,,,,Budget_Name,,,"True")</t>
  </si>
  <si>
    <t>=-GL("Budget",$B21,Q$7,Q$8,,,,,,,Budget_Name,,,"True")</t>
  </si>
  <si>
    <t>=-GL("Budget",$B21,R$7,R$8,,,,,,,Budget_Name,,,"True")</t>
  </si>
  <si>
    <t>=NL("First","G/L Account","Name","No.",$B22)</t>
  </si>
  <si>
    <t>=-GL("Budget",$B22,F$7,F$8,,,,,,,Budget_Name,,,"True")</t>
  </si>
  <si>
    <t>=-GL("Budget",$B22,G$7,G$8,,,,,,,Budget_Name,,,"True")</t>
  </si>
  <si>
    <t>=-GL("Budget",$B22,H$7,H$8,,,,,,,Budget_Name,,,"True")</t>
  </si>
  <si>
    <t>=-GL("Budget",$B22,I$7,I$8,,,,,,,Budget_Name,,,"True")</t>
  </si>
  <si>
    <t>=-GL("Budget",$B22,J$7,J$8,,,,,,,Budget_Name,,,"True")</t>
  </si>
  <si>
    <t>=-GL("Budget",$B22,K$7,K$8,,,,,,,Budget_Name,,,"True")</t>
  </si>
  <si>
    <t>=-GL("Budget",$B22,L$7,L$8,,,,,,,Budget_Name,,,"True")</t>
  </si>
  <si>
    <t>=-GL("Budget",$B22,M$7,M$8,,,,,,,Budget_Name,,,"True")</t>
  </si>
  <si>
    <t>=-GL("Budget",$B22,N$7,N$8,,,,,,,Budget_Name,,,"True")</t>
  </si>
  <si>
    <t>=-GL("Budget",$B22,O$7,O$8,,,,,,,Budget_Name,,,"True")</t>
  </si>
  <si>
    <t>=-GL("Budget",$B22,P$7,P$8,,,,,,,Budget_Name,,,"True")</t>
  </si>
  <si>
    <t>=-GL("Budget",$B22,Q$7,Q$8,,,,,,,Budget_Name,,,"True")</t>
  </si>
  <si>
    <t>=-GL("Budget",$B22,R$7,R$8,,,,,,,Budget_Name,,,"True")</t>
  </si>
  <si>
    <t>=-GL("Balance",$B20,F$7,F$8,,,,,,,,,,"True")</t>
  </si>
  <si>
    <t>=-GL("Balance",$B20,G$7,G$8,,,,,,,,,,"True")</t>
  </si>
  <si>
    <t>=-GL("Balance",$B20,H$7,H$8,,,,,,,,,,"True")</t>
  </si>
  <si>
    <t>=-GL("Balance",$B20,I$7,I$8,,,,,,,,,,"True")</t>
  </si>
  <si>
    <t>=-GL("Balance",$B20,J$7,J$8,,,,,,,,,,"True")</t>
  </si>
  <si>
    <t>=-GL("Balance",$B20,K$7,K$8,,,,,,,,,,"True")</t>
  </si>
  <si>
    <t>=-GL("Balance",$B20,L$7,L$8,,,,,,,,,,"True")</t>
  </si>
  <si>
    <t>=-GL("Balance",$B20,M$7,M$8,,,,,,,,,,"True")</t>
  </si>
  <si>
    <t>=-GL("Balance",$B20,N$7,N$8,,,,,,,,,,"True")</t>
  </si>
  <si>
    <t>=-GL("Balance",$B20,O$7,O$8,,,,,,,,,,"True")</t>
  </si>
  <si>
    <t>=-GL("Balance",$B20,P$7,P$8,,,,,,,,,,"True")</t>
  </si>
  <si>
    <t>=-GL("Balance",$B20,Q$7,Q$8,,,,,,,,,,"True")</t>
  </si>
  <si>
    <t>=-GL("Balance",$B20,R$7,R$8,,,,,,,,,,"True")</t>
  </si>
  <si>
    <t>=-GL("Balance",$B21,F$7,F$8,,,,,,,,,,"True")</t>
  </si>
  <si>
    <t>=-GL("Balance",$B21,G$7,G$8,,,,,,,,,,"True")</t>
  </si>
  <si>
    <t>=-GL("Balance",$B21,H$7,H$8,,,,,,,,,,"True")</t>
  </si>
  <si>
    <t>=-GL("Balance",$B21,I$7,I$8,,,,,,,,,,"True")</t>
  </si>
  <si>
    <t>=-GL("Balance",$B21,J$7,J$8,,,,,,,,,,"True")</t>
  </si>
  <si>
    <t>=-GL("Balance",$B21,K$7,K$8,,,,,,,,,,"True")</t>
  </si>
  <si>
    <t>=-GL("Balance",$B21,L$7,L$8,,,,,,,,,,"True")</t>
  </si>
  <si>
    <t>=-GL("Balance",$B21,M$7,M$8,,,,,,,,,,"True")</t>
  </si>
  <si>
    <t>=-GL("Balance",$B21,N$7,N$8,,,,,,,,,,"True")</t>
  </si>
  <si>
    <t>=-GL("Balance",$B21,O$7,O$8,,,,,,,,,,"True")</t>
  </si>
  <si>
    <t>=-GL("Balance",$B21,P$7,P$8,,,,,,,,,,"True")</t>
  </si>
  <si>
    <t>=-GL("Balance",$B21,Q$7,Q$8,,,,,,,,,,"True")</t>
  </si>
  <si>
    <t>=-GL("Balance",$B21,R$7,R$8,,,,,,,,,,"True")</t>
  </si>
  <si>
    <t>=-GL("Balance",$B22,F$7,F$8,,,,,,,,,,"True")</t>
  </si>
  <si>
    <t>=-GL("Balance",$B22,G$7,G$8,,,,,,,,,,"True")</t>
  </si>
  <si>
    <t>=-GL("Balance",$B22,H$7,H$8,,,,,,,,,,"True")</t>
  </si>
  <si>
    <t>=-GL("Balance",$B22,I$7,I$8,,,,,,,,,,"True")</t>
  </si>
  <si>
    <t>=-GL("Balance",$B22,J$7,J$8,,,,,,,,,,"True")</t>
  </si>
  <si>
    <t>=-GL("Balance",$B22,K$7,K$8,,,,,,,,,,"True")</t>
  </si>
  <si>
    <t>=-GL("Balance",$B22,L$7,L$8,,,,,,,,,,"True")</t>
  </si>
  <si>
    <t>=-GL("Balance",$B22,M$7,M$8,,,,,,,,,,"True")</t>
  </si>
  <si>
    <t>=-GL("Balance",$B22,N$7,N$8,,,,,,,,,,"True")</t>
  </si>
  <si>
    <t>=-GL("Balance",$B22,O$7,O$8,,,,,,,,,,"True")</t>
  </si>
  <si>
    <t>=-GL("Balance",$B22,P$7,P$8,,,,,,,,,,"True")</t>
  </si>
  <si>
    <t>=-GL("Balance",$B22,Q$7,Q$8,,,,,,,,,,"True")</t>
  </si>
  <si>
    <t>=-GL("Balance",$B22,R$7,R$8,,,,,,,,,,"True")</t>
  </si>
  <si>
    <t>=-GL("Balance",$B13,G$10,G$11,,,,,,,,,,"True")+GL("Budget",$B13,G$10,G$11,,,,,,,Budget_Name,,,"True")</t>
  </si>
  <si>
    <t>=-GL("Balance",$B13,H$10,H$11,,,,,,,,,,"True")+GL("Budget",$B13,H$10,H$11,,,,,,,Budget_Name,,,"True")</t>
  </si>
  <si>
    <t>=-GL("Balance",$B13,I$10,I$11,,,,,,,,,,"True")+GL("Budget",$B13,I$10,I$11,,,,,,,Budget_Name,,,"True")</t>
  </si>
  <si>
    <t>=-GL("Balance",$B13,J$10,J$11,,,,,,,,,,"True")+GL("Budget",$B13,J$10,J$11,,,,,,,Budget_Name,,,"True")</t>
  </si>
  <si>
    <t>=-GL("Balance",$B13,K$10,K$11,,,,,,,,,,"True")+GL("Budget",$B13,K$10,K$11,,,,,,,Budget_Name,,,"True")</t>
  </si>
  <si>
    <t>=-GL("Balance",$B13,L$10,L$11,,,,,,,,,,"True")+GL("Budget",$B13,L$10,L$11,,,,,,,Budget_Name,,,"True")</t>
  </si>
  <si>
    <t>=-GL("Balance",$B13,M$10,M$11,,,,,,,,,,"True")+GL("Budget",$B13,M$10,M$11,,,,,,,Budget_Name,,,"True")</t>
  </si>
  <si>
    <t>=-GL("Balance",$B13,N$10,N$11,,,,,,,,,,"True")+GL("Budget",$B13,N$10,N$11,,,,,,,Budget_Name,,,"True")</t>
  </si>
  <si>
    <t>=-GL("Balance",$B13,O$10,O$11,,,,,,,,,,"True")+GL("Budget",$B13,O$10,O$11,,,,,,,Budget_Name,,,"True")</t>
  </si>
  <si>
    <t>=-GL("Balance",$B13,P$10,P$11,,,,,,,,,,"True")+GL("Budget",$B13,P$10,P$11,,,,,,,Budget_Name,,,"True")</t>
  </si>
  <si>
    <t>=-GL("Balance",$B13,Q$10,Q$11,,,,,,,,,,"True")+GL("Budget",$B13,Q$10,Q$11,,,,,,,Budget_Name,,,"True")</t>
  </si>
  <si>
    <t>=-GL("Balance",$B13,R$10,R$11,,,,,,,,,,"True")+GL("Budget",$B13,R$10,R$11,,,,,,,Budget_Name,,,"True")</t>
  </si>
  <si>
    <t>=-GL("Balance",$B13,S$10,S$11,,,,,,,,,,"True")+GL("Budget",$B13,S$10,S$11,,,,,,,Budget_Name,,,"True")</t>
  </si>
  <si>
    <t>=-GL("Balance",$B14,G$10,G$11,,,,,,,,,,"True")+GL("Budget",$B14,G$10,G$11,,,,,,,Budget_Name,,,"True")</t>
  </si>
  <si>
    <t>=-GL("Balance",$B14,H$10,H$11,,,,,,,,,,"True")+GL("Budget",$B14,H$10,H$11,,,,,,,Budget_Name,,,"True")</t>
  </si>
  <si>
    <t>=-GL("Balance",$B14,I$10,I$11,,,,,,,,,,"True")+GL("Budget",$B14,I$10,I$11,,,,,,,Budget_Name,,,"True")</t>
  </si>
  <si>
    <t>=-GL("Balance",$B14,J$10,J$11,,,,,,,,,,"True")+GL("Budget",$B14,J$10,J$11,,,,,,,Budget_Name,,,"True")</t>
  </si>
  <si>
    <t>=-GL("Balance",$B14,K$10,K$11,,,,,,,,,,"True")+GL("Budget",$B14,K$10,K$11,,,,,,,Budget_Name,,,"True")</t>
  </si>
  <si>
    <t>=-GL("Balance",$B14,L$10,L$11,,,,,,,,,,"True")+GL("Budget",$B14,L$10,L$11,,,,,,,Budget_Name,,,"True")</t>
  </si>
  <si>
    <t>=-GL("Balance",$B14,M$10,M$11,,,,,,,,,,"True")+GL("Budget",$B14,M$10,M$11,,,,,,,Budget_Name,,,"True")</t>
  </si>
  <si>
    <t>=-GL("Balance",$B14,N$10,N$11,,,,,,,,,,"True")+GL("Budget",$B14,N$10,N$11,,,,,,,Budget_Name,,,"True")</t>
  </si>
  <si>
    <t>=-GL("Balance",$B14,O$10,O$11,,,,,,,,,,"True")+GL("Budget",$B14,O$10,O$11,,,,,,,Budget_Name,,,"True")</t>
  </si>
  <si>
    <t>=-GL("Balance",$B14,P$10,P$11,,,,,,,,,,"True")+GL("Budget",$B14,P$10,P$11,,,,,,,Budget_Name,,,"True")</t>
  </si>
  <si>
    <t>=-GL("Balance",$B14,Q$10,Q$11,,,,,,,,,,"True")+GL("Budget",$B14,Q$10,Q$11,,,,,,,Budget_Name,,,"True")</t>
  </si>
  <si>
    <t>=-GL("Balance",$B14,R$10,R$11,,,,,,,,,,"True")+GL("Budget",$B14,R$10,R$11,,,,,,,Budget_Name,,,"True")</t>
  </si>
  <si>
    <t>=-GL("Balance",$B14,S$10,S$11,,,,,,,,,,"True")+GL("Budget",$B14,S$10,S$11,,,,,,,Budget_Name,,,"True")</t>
  </si>
  <si>
    <t>=-GL("Balance",$B15,G$10,G$11,,,,,,,,,,"True")+GL("Budget",$B15,G$10,G$11,,,,,,,Budget_Name,,,"True")</t>
  </si>
  <si>
    <t>=-GL("Balance",$B15,H$10,H$11,,,,,,,,,,"True")+GL("Budget",$B15,H$10,H$11,,,,,,,Budget_Name,,,"True")</t>
  </si>
  <si>
    <t>=-GL("Balance",$B15,I$10,I$11,,,,,,,,,,"True")+GL("Budget",$B15,I$10,I$11,,,,,,,Budget_Name,,,"True")</t>
  </si>
  <si>
    <t>=-GL("Balance",$B15,J$10,J$11,,,,,,,,,,"True")+GL("Budget",$B15,J$10,J$11,,,,,,,Budget_Name,,,"True")</t>
  </si>
  <si>
    <t>=-GL("Balance",$B15,K$10,K$11,,,,,,,,,,"True")+GL("Budget",$B15,K$10,K$11,,,,,,,Budget_Name,,,"True")</t>
  </si>
  <si>
    <t>=-GL("Balance",$B15,L$10,L$11,,,,,,,,,,"True")+GL("Budget",$B15,L$10,L$11,,,,,,,Budget_Name,,,"True")</t>
  </si>
  <si>
    <t>=-GL("Balance",$B15,M$10,M$11,,,,,,,,,,"True")+GL("Budget",$B15,M$10,M$11,,,,,,,Budget_Name,,,"True")</t>
  </si>
  <si>
    <t>=-GL("Balance",$B15,N$10,N$11,,,,,,,,,,"True")+GL("Budget",$B15,N$10,N$11,,,,,,,Budget_Name,,,"True")</t>
  </si>
  <si>
    <t>=-GL("Balance",$B15,O$10,O$11,,,,,,,,,,"True")+GL("Budget",$B15,O$10,O$11,,,,,,,Budget_Name,,,"True")</t>
  </si>
  <si>
    <t>=-GL("Balance",$B15,P$10,P$11,,,,,,,,,,"True")+GL("Budget",$B15,P$10,P$11,,,,,,,Budget_Name,,,"True")</t>
  </si>
  <si>
    <t>=-GL("Balance",$B15,Q$10,Q$11,,,,,,,,,,"True")+GL("Budget",$B15,Q$10,Q$11,,,,,,,Budget_Name,,,"True")</t>
  </si>
  <si>
    <t>=-GL("Balance",$B15,R$10,R$11,,,,,,,,,,"True")+GL("Budget",$B15,R$10,R$11,,,,,,,Budget_Name,,,"True")</t>
  </si>
  <si>
    <t>=-GL("Balance",$B15,S$10,S$11,,,,,,,,,,"True")+GL("Budget",$B15,S$10,S$11,,,,,,,Budget_Name,,,"True")</t>
  </si>
  <si>
    <t>=-GL("Balance",$B16,G$10,G$11,,,,,,,,,,"True")+GL("Budget",$B16,G$10,G$11,,,,,,,Budget_Name,,,"True")</t>
  </si>
  <si>
    <t>=-GL("Balance",$B16,H$10,H$11,,,,,,,,,,"True")+GL("Budget",$B16,H$10,H$11,,,,,,,Budget_Name,,,"True")</t>
  </si>
  <si>
    <t>=-GL("Balance",$B16,I$10,I$11,,,,,,,,,,"True")+GL("Budget",$B16,I$10,I$11,,,,,,,Budget_Name,,,"True")</t>
  </si>
  <si>
    <t>=-GL("Balance",$B16,J$10,J$11,,,,,,,,,,"True")+GL("Budget",$B16,J$10,J$11,,,,,,,Budget_Name,,,"True")</t>
  </si>
  <si>
    <t>=-GL("Balance",$B16,K$10,K$11,,,,,,,,,,"True")+GL("Budget",$B16,K$10,K$11,,,,,,,Budget_Name,,,"True")</t>
  </si>
  <si>
    <t>=-GL("Balance",$B16,L$10,L$11,,,,,,,,,,"True")+GL("Budget",$B16,L$10,L$11,,,,,,,Budget_Name,,,"True")</t>
  </si>
  <si>
    <t>=-GL("Balance",$B16,M$10,M$11,,,,,,,,,,"True")+GL("Budget",$B16,M$10,M$11,,,,,,,Budget_Name,,,"True")</t>
  </si>
  <si>
    <t>=-GL("Balance",$B16,N$10,N$11,,,,,,,,,,"True")+GL("Budget",$B16,N$10,N$11,,,,,,,Budget_Name,,,"True")</t>
  </si>
  <si>
    <t>=-GL("Balance",$B16,O$10,O$11,,,,,,,,,,"True")+GL("Budget",$B16,O$10,O$11,,,,,,,Budget_Name,,,"True")</t>
  </si>
  <si>
    <t>=-GL("Balance",$B16,P$10,P$11,,,,,,,,,,"True")+GL("Budget",$B16,P$10,P$11,,,,,,,Budget_Name,,,"True")</t>
  </si>
  <si>
    <t>=-GL("Balance",$B16,Q$10,Q$11,,,,,,,,,,"True")+GL("Budget",$B16,Q$10,Q$11,,,,,,,Budget_Name,,,"True")</t>
  </si>
  <si>
    <t>=-GL("Balance",$B16,R$10,R$11,,,,,,,,,,"True")+GL("Budget",$B16,R$10,R$11,,,,,,,Budget_Name,,,"True")</t>
  </si>
  <si>
    <t>=-GL("Balance",$B16,S$10,S$11,,,,,,,,,,"True")+GL("Budget",$B16,S$10,S$11,,,,,,,Budget_Name,,,"True")</t>
  </si>
  <si>
    <t>=-GL("Balance",$B17,G$10,G$11,,,,,,,,,,"True")+GL("Budget",$B17,G$10,G$11,,,,,,,Budget_Name,,,"True")</t>
  </si>
  <si>
    <t>=-GL("Balance",$B17,H$10,H$11,,,,,,,,,,"True")+GL("Budget",$B17,H$10,H$11,,,,,,,Budget_Name,,,"True")</t>
  </si>
  <si>
    <t>=-GL("Balance",$B17,I$10,I$11,,,,,,,,,,"True")+GL("Budget",$B17,I$10,I$11,,,,,,,Budget_Name,,,"True")</t>
  </si>
  <si>
    <t>=-GL("Balance",$B17,J$10,J$11,,,,,,,,,,"True")+GL("Budget",$B17,J$10,J$11,,,,,,,Budget_Name,,,"True")</t>
  </si>
  <si>
    <t>=-GL("Balance",$B17,K$10,K$11,,,,,,,,,,"True")+GL("Budget",$B17,K$10,K$11,,,,,,,Budget_Name,,,"True")</t>
  </si>
  <si>
    <t>=-GL("Balance",$B17,L$10,L$11,,,,,,,,,,"True")+GL("Budget",$B17,L$10,L$11,,,,,,,Budget_Name,,,"True")</t>
  </si>
  <si>
    <t>=-GL("Balance",$B17,M$10,M$11,,,,,,,,,,"True")+GL("Budget",$B17,M$10,M$11,,,,,,,Budget_Name,,,"True")</t>
  </si>
  <si>
    <t>=-GL("Balance",$B17,N$10,N$11,,,,,,,,,,"True")+GL("Budget",$B17,N$10,N$11,,,,,,,Budget_Name,,,"True")</t>
  </si>
  <si>
    <t>=-GL("Balance",$B17,O$10,O$11,,,,,,,,,,"True")+GL("Budget",$B17,O$10,O$11,,,,,,,Budget_Name,,,"True")</t>
  </si>
  <si>
    <t>=-GL("Balance",$B17,P$10,P$11,,,,,,,,,,"True")+GL("Budget",$B17,P$10,P$11,,,,,,,Budget_Name,,,"True")</t>
  </si>
  <si>
    <t>=-GL("Balance",$B17,Q$10,Q$11,,,,,,,,,,"True")+GL("Budget",$B17,Q$10,Q$11,,,,,,,Budget_Name,,,"True")</t>
  </si>
  <si>
    <t>=-GL("Balance",$B17,R$10,R$11,,,,,,,,,,"True")+GL("Budget",$B17,R$10,R$11,,,,,,,Budget_Name,,,"True")</t>
  </si>
  <si>
    <t>=-GL("Balance",$B17,S$10,S$11,,,,,,,,,,"True")+GL("Budget",$B17,S$10,S$11,,,,,,,Budget_Name,,,"True")</t>
  </si>
  <si>
    <t>=-GL("Balance",$B18,G$10,G$11,,,,,,,,,,"True")+GL("Budget",$B18,G$10,G$11,,,,,,,Budget_Name,,,"True")</t>
  </si>
  <si>
    <t>=-GL("Balance",$B18,H$10,H$11,,,,,,,,,,"True")+GL("Budget",$B18,H$10,H$11,,,,,,,Budget_Name,,,"True")</t>
  </si>
  <si>
    <t>=-GL("Balance",$B18,I$10,I$11,,,,,,,,,,"True")+GL("Budget",$B18,I$10,I$11,,,,,,,Budget_Name,,,"True")</t>
  </si>
  <si>
    <t>=-GL("Balance",$B18,J$10,J$11,,,,,,,,,,"True")+GL("Budget",$B18,J$10,J$11,,,,,,,Budget_Name,,,"True")</t>
  </si>
  <si>
    <t>=-GL("Balance",$B18,K$10,K$11,,,,,,,,,,"True")+GL("Budget",$B18,K$10,K$11,,,,,,,Budget_Name,,,"True")</t>
  </si>
  <si>
    <t>=-GL("Balance",$B18,L$10,L$11,,,,,,,,,,"True")+GL("Budget",$B18,L$10,L$11,,,,,,,Budget_Name,,,"True")</t>
  </si>
  <si>
    <t>=-GL("Balance",$B18,M$10,M$11,,,,,,,,,,"True")+GL("Budget",$B18,M$10,M$11,,,,,,,Budget_Name,,,"True")</t>
  </si>
  <si>
    <t>=-GL("Balance",$B18,N$10,N$11,,,,,,,,,,"True")+GL("Budget",$B18,N$10,N$11,,,,,,,Budget_Name,,,"True")</t>
  </si>
  <si>
    <t>=-GL("Balance",$B18,O$10,O$11,,,,,,,,,,"True")+GL("Budget",$B18,O$10,O$11,,,,,,,Budget_Name,,,"True")</t>
  </si>
  <si>
    <t>=-GL("Balance",$B18,P$10,P$11,,,,,,,,,,"True")+GL("Budget",$B18,P$10,P$11,,,,,,,Budget_Name,,,"True")</t>
  </si>
  <si>
    <t>=-GL("Balance",$B18,Q$10,Q$11,,,,,,,,,,"True")+GL("Budget",$B18,Q$10,Q$11,,,,,,,Budget_Name,,,"True")</t>
  </si>
  <si>
    <t>=-GL("Balance",$B18,R$10,R$11,,,,,,,,,,"True")+GL("Budget",$B18,R$10,R$11,,,,,,,Budget_Name,,,"True")</t>
  </si>
  <si>
    <t>=-GL("Balance",$B18,S$10,S$11,,,,,,,,,,"True")+GL("Budget",$B18,S$10,S$11,,,,,,,Budget_Name,,,"True")</t>
  </si>
  <si>
    <t>=-GL("Balance",$B22,G$10,G$11,,,,,,,,,,"True")+GL("Budget",$B22,G$10,G$11,,,,,,,Budget_Name,,,"True")</t>
  </si>
  <si>
    <t>=-GL("Balance",$B22,H$10,H$11,,,,,,,,,,"True")+GL("Budget",$B22,H$10,H$11,,,,,,,Budget_Name,,,"True")</t>
  </si>
  <si>
    <t>=-GL("Balance",$B22,I$10,I$11,,,,,,,,,,"True")+GL("Budget",$B22,I$10,I$11,,,,,,,Budget_Name,,,"True")</t>
  </si>
  <si>
    <t>=-GL("Balance",$B22,J$10,J$11,,,,,,,,,,"True")+GL("Budget",$B22,J$10,J$11,,,,,,,Budget_Name,,,"True")</t>
  </si>
  <si>
    <t>=-GL("Balance",$B22,K$10,K$11,,,,,,,,,,"True")+GL("Budget",$B22,K$10,K$11,,,,,,,Budget_Name,,,"True")</t>
  </si>
  <si>
    <t>=-GL("Balance",$B22,L$10,L$11,,,,,,,,,,"True")+GL("Budget",$B22,L$10,L$11,,,,,,,Budget_Name,,,"True")</t>
  </si>
  <si>
    <t>=-GL("Balance",$B22,M$10,M$11,,,,,,,,,,"True")+GL("Budget",$B22,M$10,M$11,,,,,,,Budget_Name,,,"True")</t>
  </si>
  <si>
    <t>=-GL("Balance",$B22,N$10,N$11,,,,,,,,,,"True")+GL("Budget",$B22,N$10,N$11,,,,,,,Budget_Name,,,"True")</t>
  </si>
  <si>
    <t>=-GL("Balance",$B22,O$10,O$11,,,,,,,,,,"True")+GL("Budget",$B22,O$10,O$11,,,,,,,Budget_Name,,,"True")</t>
  </si>
  <si>
    <t>=-GL("Balance",$B22,P$10,P$11,,,,,,,,,,"True")+GL("Budget",$B22,P$10,P$11,,,,,,,Budget_Name,,,"True")</t>
  </si>
  <si>
    <t>=-GL("Balance",$B22,Q$10,Q$11,,,,,,,,,,"True")+GL("Budget",$B22,Q$10,Q$11,,,,,,,Budget_Name,,,"True")</t>
  </si>
  <si>
    <t>=-GL("Balance",$B22,R$10,R$11,,,,,,,,,,"True")+GL("Budget",$B22,R$10,R$11,,,,,,,Budget_Name,,,"True")</t>
  </si>
  <si>
    <t>=-GL("Balance",$B22,S$10,S$11,,,,,,,,,,"True")+GL("Budget",$B22,S$10,S$11,,,,,,,Budget_Name,,,"True")</t>
  </si>
  <si>
    <t>=-GL("Balance",$B23,G$10,G$11,,,,,,,,,,"True")+GL("Budget",$B23,G$10,G$11,,,,,,,Budget_Name,,,"True")</t>
  </si>
  <si>
    <t>=-GL("Balance",$B23,H$10,H$11,,,,,,,,,,"True")+GL("Budget",$B23,H$10,H$11,,,,,,,Budget_Name,,,"True")</t>
  </si>
  <si>
    <t>=-GL("Balance",$B23,I$10,I$11,,,,,,,,,,"True")+GL("Budget",$B23,I$10,I$11,,,,,,,Budget_Name,,,"True")</t>
  </si>
  <si>
    <t>=-GL("Balance",$B23,J$10,J$11,,,,,,,,,,"True")+GL("Budget",$B23,J$10,J$11,,,,,,,Budget_Name,,,"True")</t>
  </si>
  <si>
    <t>=-GL("Balance",$B23,K$10,K$11,,,,,,,,,,"True")+GL("Budget",$B23,K$10,K$11,,,,,,,Budget_Name,,,"True")</t>
  </si>
  <si>
    <t>=-GL("Balance",$B23,L$10,L$11,,,,,,,,,,"True")+GL("Budget",$B23,L$10,L$11,,,,,,,Budget_Name,,,"True")</t>
  </si>
  <si>
    <t>=-GL("Balance",$B23,M$10,M$11,,,,,,,,,,"True")+GL("Budget",$B23,M$10,M$11,,,,,,,Budget_Name,,,"True")</t>
  </si>
  <si>
    <t>=-GL("Balance",$B23,N$10,N$11,,,,,,,,,,"True")+GL("Budget",$B23,N$10,N$11,,,,,,,Budget_Name,,,"True")</t>
  </si>
  <si>
    <t>=-GL("Balance",$B23,O$10,O$11,,,,,,,,,,"True")+GL("Budget",$B23,O$10,O$11,,,,,,,Budget_Name,,,"True")</t>
  </si>
  <si>
    <t>=-GL("Balance",$B23,P$10,P$11,,,,,,,,,,"True")+GL("Budget",$B23,P$10,P$11,,,,,,,Budget_Name,,,"True")</t>
  </si>
  <si>
    <t>=-GL("Balance",$B23,Q$10,Q$11,,,,,,,,,,"True")+GL("Budget",$B23,Q$10,Q$11,,,,,,,Budget_Name,,,"True")</t>
  </si>
  <si>
    <t>=-GL("Balance",$B23,R$10,R$11,,,,,,,,,,"True")+GL("Budget",$B23,R$10,R$11,,,,,,,Budget_Name,,,"True")</t>
  </si>
  <si>
    <t>=-GL("Balance",$B23,S$10,S$11,,,,,,,,,,"True")+GL("Budget",$B23,S$10,S$11,,,,,,,Budget_Name,,,"True")</t>
  </si>
  <si>
    <t>=-GL("Balance",$B24,G$10,G$11,,,,,,,,,,"True")+GL("Budget",$B24,G$10,G$11,,,,,,,Budget_Name,,,"True")</t>
  </si>
  <si>
    <t>=-GL("Balance",$B24,H$10,H$11,,,,,,,,,,"True")+GL("Budget",$B24,H$10,H$11,,,,,,,Budget_Name,,,"True")</t>
  </si>
  <si>
    <t>=-GL("Balance",$B24,I$10,I$11,,,,,,,,,,"True")+GL("Budget",$B24,I$10,I$11,,,,,,,Budget_Name,,,"True")</t>
  </si>
  <si>
    <t>=-GL("Balance",$B24,J$10,J$11,,,,,,,,,,"True")+GL("Budget",$B24,J$10,J$11,,,,,,,Budget_Name,,,"True")</t>
  </si>
  <si>
    <t>=-GL("Balance",$B24,K$10,K$11,,,,,,,,,,"True")+GL("Budget",$B24,K$10,K$11,,,,,,,Budget_Name,,,"True")</t>
  </si>
  <si>
    <t>=-GL("Balance",$B24,L$10,L$11,,,,,,,,,,"True")+GL("Budget",$B24,L$10,L$11,,,,,,,Budget_Name,,,"True")</t>
  </si>
  <si>
    <t>=-GL("Balance",$B24,M$10,M$11,,,,,,,,,,"True")+GL("Budget",$B24,M$10,M$11,,,,,,,Budget_Name,,,"True")</t>
  </si>
  <si>
    <t>=-GL("Balance",$B24,N$10,N$11,,,,,,,,,,"True")+GL("Budget",$B24,N$10,N$11,,,,,,,Budget_Name,,,"True")</t>
  </si>
  <si>
    <t>=-GL("Balance",$B24,O$10,O$11,,,,,,,,,,"True")+GL("Budget",$B24,O$10,O$11,,,,,,,Budget_Name,,,"True")</t>
  </si>
  <si>
    <t>=-GL("Balance",$B24,P$10,P$11,,,,,,,,,,"True")+GL("Budget",$B24,P$10,P$11,,,,,,,Budget_Name,,,"True")</t>
  </si>
  <si>
    <t>=-GL("Balance",$B24,Q$10,Q$11,,,,,,,,,,"True")+GL("Budget",$B24,Q$10,Q$11,,,,,,,Budget_Name,,,"True")</t>
  </si>
  <si>
    <t>=-GL("Balance",$B24,R$10,R$11,,,,,,,,,,"True")+GL("Budget",$B24,R$10,R$11,,,,,,,Budget_Name,,,"True")</t>
  </si>
  <si>
    <t>=-GL("Balance",$B24,S$10,S$11,,,,,,,,,,"True")+GL("Budget",$B24,S$10,S$11,,,,,,,Budget_Name,,,"True")</t>
  </si>
  <si>
    <t>=-GL("Balance",$B25,G$10,G$11,,,,,,,,,,"True")+GL("Budget",$B25,G$10,G$11,,,,,,,Budget_Name,,,"True")</t>
  </si>
  <si>
    <t>=-GL("Balance",$B25,H$10,H$11,,,,,,,,,,"True")+GL("Budget",$B25,H$10,H$11,,,,,,,Budget_Name,,,"True")</t>
  </si>
  <si>
    <t>=-GL("Balance",$B25,I$10,I$11,,,,,,,,,,"True")+GL("Budget",$B25,I$10,I$11,,,,,,,Budget_Name,,,"True")</t>
  </si>
  <si>
    <t>=-GL("Balance",$B25,J$10,J$11,,,,,,,,,,"True")+GL("Budget",$B25,J$10,J$11,,,,,,,Budget_Name,,,"True")</t>
  </si>
  <si>
    <t>=-GL("Balance",$B25,K$10,K$11,,,,,,,,,,"True")+GL("Budget",$B25,K$10,K$11,,,,,,,Budget_Name,,,"True")</t>
  </si>
  <si>
    <t>=-GL("Balance",$B25,L$10,L$11,,,,,,,,,,"True")+GL("Budget",$B25,L$10,L$11,,,,,,,Budget_Name,,,"True")</t>
  </si>
  <si>
    <t>=-GL("Balance",$B25,M$10,M$11,,,,,,,,,,"True")+GL("Budget",$B25,M$10,M$11,,,,,,,Budget_Name,,,"True")</t>
  </si>
  <si>
    <t>=-GL("Balance",$B25,N$10,N$11,,,,,,,,,,"True")+GL("Budget",$B25,N$10,N$11,,,,,,,Budget_Name,,,"True")</t>
  </si>
  <si>
    <t>=-GL("Balance",$B25,O$10,O$11,,,,,,,,,,"True")+GL("Budget",$B25,O$10,O$11,,,,,,,Budget_Name,,,"True")</t>
  </si>
  <si>
    <t>=-GL("Balance",$B25,P$10,P$11,,,,,,,,,,"True")+GL("Budget",$B25,P$10,P$11,,,,,,,Budget_Name,,,"True")</t>
  </si>
  <si>
    <t>=-GL("Balance",$B25,Q$10,Q$11,,,,,,,,,,"True")+GL("Budget",$B25,Q$10,Q$11,,,,,,,Budget_Name,,,"True")</t>
  </si>
  <si>
    <t>=-GL("Balance",$B25,R$10,R$11,,,,,,,,,,"True")+GL("Budget",$B25,R$10,R$11,,,,,,,Budget_Name,,,"True")</t>
  </si>
  <si>
    <t>=-GL("Balance",$B25,S$10,S$11,,,,,,,,,,"True")+GL("Budget",$B25,S$10,S$11,,,,,,,Budget_Name,,,"True")</t>
  </si>
  <si>
    <t>=-GL("Balance",$B31,G$10,G$11,,,,,,,,,,"True")+GL("Budget",$B31,G$10,G$11,,,,,,,Budget_Name,,,"True")</t>
  </si>
  <si>
    <t>=-GL("Balance",$B31,H$10,H$11,,,,,,,,,,"True")+GL("Budget",$B31,H$10,H$11,,,,,,,Budget_Name,,,"True")</t>
  </si>
  <si>
    <t>=-GL("Balance",$B31,I$10,I$11,,,,,,,,,,"True")+GL("Budget",$B31,I$10,I$11,,,,,,,Budget_Name,,,"True")</t>
  </si>
  <si>
    <t>=-GL("Balance",$B31,J$10,J$11,,,,,,,,,,"True")+GL("Budget",$B31,J$10,J$11,,,,,,,Budget_Name,,,"True")</t>
  </si>
  <si>
    <t>=-GL("Balance",$B31,K$10,K$11,,,,,,,,,,"True")+GL("Budget",$B31,K$10,K$11,,,,,,,Budget_Name,,,"True")</t>
  </si>
  <si>
    <t>=-GL("Balance",$B31,L$10,L$11,,,,,,,,,,"True")+GL("Budget",$B31,L$10,L$11,,,,,,,Budget_Name,,,"True")</t>
  </si>
  <si>
    <t>=-GL("Balance",$B31,M$10,M$11,,,,,,,,,,"True")+GL("Budget",$B31,M$10,M$11,,,,,,,Budget_Name,,,"True")</t>
  </si>
  <si>
    <t>=-GL("Balance",$B31,N$10,N$11,,,,,,,,,,"True")+GL("Budget",$B31,N$10,N$11,,,,,,,Budget_Name,,,"True")</t>
  </si>
  <si>
    <t>=-GL("Balance",$B31,O$10,O$11,,,,,,,,,,"True")+GL("Budget",$B31,O$10,O$11,,,,,,,Budget_Name,,,"True")</t>
  </si>
  <si>
    <t>=-GL("Balance",$B31,P$10,P$11,,,,,,,,,,"True")+GL("Budget",$B31,P$10,P$11,,,,,,,Budget_Name,,,"True")</t>
  </si>
  <si>
    <t>=-GL("Balance",$B31,Q$10,Q$11,,,,,,,,,,"True")+GL("Budget",$B31,Q$10,Q$11,,,,,,,Budget_Name,,,"True")</t>
  </si>
  <si>
    <t>=-GL("Balance",$B31,R$10,R$11,,,,,,,,,,"True")+GL("Budget",$B31,R$10,R$11,,,,,,,Budget_Name,,,"True")</t>
  </si>
  <si>
    <t>=-GL("Balance",$B31,S$10,S$11,,,,,,,,,,"True")+GL("Budget",$B31,S$10,S$11,,,,,,,Budget_Name,,,"True")</t>
  </si>
  <si>
    <t>=-GL("Balance",$B32,G$10,G$11,,,,,,,,,,"True")+GL("Budget",$B32,G$10,G$11,,,,,,,Budget_Name,,,"True")</t>
  </si>
  <si>
    <t>=-GL("Balance",$B32,H$10,H$11,,,,,,,,,,"True")+GL("Budget",$B32,H$10,H$11,,,,,,,Budget_Name,,,"True")</t>
  </si>
  <si>
    <t>=-GL("Balance",$B32,I$10,I$11,,,,,,,,,,"True")+GL("Budget",$B32,I$10,I$11,,,,,,,Budget_Name,,,"True")</t>
  </si>
  <si>
    <t>=-GL("Balance",$B32,J$10,J$11,,,,,,,,,,"True")+GL("Budget",$B32,J$10,J$11,,,,,,,Budget_Name,,,"True")</t>
  </si>
  <si>
    <t>=-GL("Balance",$B32,K$10,K$11,,,,,,,,,,"True")+GL("Budget",$B32,K$10,K$11,,,,,,,Budget_Name,,,"True")</t>
  </si>
  <si>
    <t>=-GL("Balance",$B32,L$10,L$11,,,,,,,,,,"True")+GL("Budget",$B32,L$10,L$11,,,,,,,Budget_Name,,,"True")</t>
  </si>
  <si>
    <t>=-GL("Balance",$B32,M$10,M$11,,,,,,,,,,"True")+GL("Budget",$B32,M$10,M$11,,,,,,,Budget_Name,,,"True")</t>
  </si>
  <si>
    <t>=-GL("Balance",$B32,N$10,N$11,,,,,,,,,,"True")+GL("Budget",$B32,N$10,N$11,,,,,,,Budget_Name,,,"True")</t>
  </si>
  <si>
    <t>=-GL("Balance",$B32,O$10,O$11,,,,,,,,,,"True")+GL("Budget",$B32,O$10,O$11,,,,,,,Budget_Name,,,"True")</t>
  </si>
  <si>
    <t>=-GL("Balance",$B32,P$10,P$11,,,,,,,,,,"True")+GL("Budget",$B32,P$10,P$11,,,,,,,Budget_Name,,,"True")</t>
  </si>
  <si>
    <t>=-GL("Balance",$B32,Q$10,Q$11,,,,,,,,,,"True")+GL("Budget",$B32,Q$10,Q$11,,,,,,,Budget_Name,,,"True")</t>
  </si>
  <si>
    <t>=-GL("Balance",$B32,R$10,R$11,,,,,,,,,,"True")+GL("Budget",$B32,R$10,R$11,,,,,,,Budget_Name,,,"True")</t>
  </si>
  <si>
    <t>=-GL("Balance",$B32,S$10,S$11,,,,,,,,,,"True")+GL("Budget",$B32,S$10,S$11,,,,,,,Budget_Name,,,"True")</t>
  </si>
  <si>
    <t>=-GL("Balance",$B33,G$10,G$11,,,,,,,,,,"True")+GL("Budget",$B33,G$10,G$11,,,,,,,Budget_Name,,,"True")</t>
  </si>
  <si>
    <t>=-GL("Balance",$B33,H$10,H$11,,,,,,,,,,"True")+GL("Budget",$B33,H$10,H$11,,,,,,,Budget_Name,,,"True")</t>
  </si>
  <si>
    <t>=-GL("Balance",$B33,I$10,I$11,,,,,,,,,,"True")+GL("Budget",$B33,I$10,I$11,,,,,,,Budget_Name,,,"True")</t>
  </si>
  <si>
    <t>=-GL("Balance",$B33,J$10,J$11,,,,,,,,,,"True")+GL("Budget",$B33,J$10,J$11,,,,,,,Budget_Name,,,"True")</t>
  </si>
  <si>
    <t>=-GL("Balance",$B33,K$10,K$11,,,,,,,,,,"True")+GL("Budget",$B33,K$10,K$11,,,,,,,Budget_Name,,,"True")</t>
  </si>
  <si>
    <t>=-GL("Balance",$B33,L$10,L$11,,,,,,,,,,"True")+GL("Budget",$B33,L$10,L$11,,,,,,,Budget_Name,,,"True")</t>
  </si>
  <si>
    <t>=-GL("Balance",$B33,M$10,M$11,,,,,,,,,,"True")+GL("Budget",$B33,M$10,M$11,,,,,,,Budget_Name,,,"True")</t>
  </si>
  <si>
    <t>=-GL("Balance",$B33,N$10,N$11,,,,,,,,,,"True")+GL("Budget",$B33,N$10,N$11,,,,,,,Budget_Name,,,"True")</t>
  </si>
  <si>
    <t>=-GL("Balance",$B33,O$10,O$11,,,,,,,,,,"True")+GL("Budget",$B33,O$10,O$11,,,,,,,Budget_Name,,,"True")</t>
  </si>
  <si>
    <t>=-GL("Balance",$B33,P$10,P$11,,,,,,,,,,"True")+GL("Budget",$B33,P$10,P$11,,,,,,,Budget_Name,,,"True")</t>
  </si>
  <si>
    <t>=-GL("Balance",$B33,Q$10,Q$11,,,,,,,,,,"True")+GL("Budget",$B33,Q$10,Q$11,,,,,,,Budget_Name,,,"True")</t>
  </si>
  <si>
    <t>=-GL("Balance",$B33,R$10,R$11,,,,,,,,,,"True")+GL("Budget",$B33,R$10,R$11,,,,,,,Budget_Name,,,"True")</t>
  </si>
  <si>
    <t>=-GL("Balance",$B33,S$10,S$11,,,,,,,,,,"True")+GL("Budget",$B33,S$10,S$11,,,,,,,Budget_Name,,,"True")</t>
  </si>
  <si>
    <t>=-GL("Balance",$B34,G$10,G$11,,,,,,,,,,"True")+GL("Budget",$B34,G$10,G$11,,,,,,,Budget_Name,,,"True")</t>
  </si>
  <si>
    <t>=-GL("Balance",$B34,H$10,H$11,,,,,,,,,,"True")+GL("Budget",$B34,H$10,H$11,,,,,,,Budget_Name,,,"True")</t>
  </si>
  <si>
    <t>=-GL("Balance",$B34,I$10,I$11,,,,,,,,,,"True")+GL("Budget",$B34,I$10,I$11,,,,,,,Budget_Name,,,"True")</t>
  </si>
  <si>
    <t>=-GL("Balance",$B34,J$10,J$11,,,,,,,,,,"True")+GL("Budget",$B34,J$10,J$11,,,,,,,Budget_Name,,,"True")</t>
  </si>
  <si>
    <t>=-GL("Balance",$B34,K$10,K$11,,,,,,,,,,"True")+GL("Budget",$B34,K$10,K$11,,,,,,,Budget_Name,,,"True")</t>
  </si>
  <si>
    <t>=-GL("Balance",$B34,L$10,L$11,,,,,,,,,,"True")+GL("Budget",$B34,L$10,L$11,,,,,,,Budget_Name,,,"True")</t>
  </si>
  <si>
    <t>=-GL("Balance",$B34,M$10,M$11,,,,,,,,,,"True")+GL("Budget",$B34,M$10,M$11,,,,,,,Budget_Name,,,"True")</t>
  </si>
  <si>
    <t>=-GL("Balance",$B34,N$10,N$11,,,,,,,,,,"True")+GL("Budget",$B34,N$10,N$11,,,,,,,Budget_Name,,,"True")</t>
  </si>
  <si>
    <t>=-GL("Balance",$B34,O$10,O$11,,,,,,,,,,"True")+GL("Budget",$B34,O$10,O$11,,,,,,,Budget_Name,,,"True")</t>
  </si>
  <si>
    <t>=-GL("Balance",$B34,P$10,P$11,,,,,,,,,,"True")+GL("Budget",$B34,P$10,P$11,,,,,,,Budget_Name,,,"True")</t>
  </si>
  <si>
    <t>=-GL("Balance",$B34,Q$10,Q$11,,,,,,,,,,"True")+GL("Budget",$B34,Q$10,Q$11,,,,,,,Budget_Name,,,"True")</t>
  </si>
  <si>
    <t>=-GL("Balance",$B34,R$10,R$11,,,,,,,,,,"True")+GL("Budget",$B34,R$10,R$11,,,,,,,Budget_Name,,,"True")</t>
  </si>
  <si>
    <t>=-GL("Balance",$B34,S$10,S$11,,,,,,,,,,"True")+GL("Budget",$B34,S$10,S$11,,,,,,,Budget_Name,,,"True")</t>
  </si>
  <si>
    <t>=NL("First","G/L Account","Name","No.",$B35)</t>
  </si>
  <si>
    <t>=-GL("Balance",$B35,G$10,G$11,,,,,,,,,,"True")+GL("Budget",$B35,G$10,G$11,,,,,,,Budget_Name,,,"True")</t>
  </si>
  <si>
    <t>=-GL("Balance",$B35,H$10,H$11,,,,,,,,,,"True")+GL("Budget",$B35,H$10,H$11,,,,,,,Budget_Name,,,"True")</t>
  </si>
  <si>
    <t>=-GL("Balance",$B35,I$10,I$11,,,,,,,,,,"True")+GL("Budget",$B35,I$10,I$11,,,,,,,Budget_Name,,,"True")</t>
  </si>
  <si>
    <t>=-GL("Balance",$B35,J$10,J$11,,,,,,,,,,"True")+GL("Budget",$B35,J$10,J$11,,,,,,,Budget_Name,,,"True")</t>
  </si>
  <si>
    <t>=-GL("Balance",$B35,K$10,K$11,,,,,,,,,,"True")+GL("Budget",$B35,K$10,K$11,,,,,,,Budget_Name,,,"True")</t>
  </si>
  <si>
    <t>=-GL("Balance",$B35,L$10,L$11,,,,,,,,,,"True")+GL("Budget",$B35,L$10,L$11,,,,,,,Budget_Name,,,"True")</t>
  </si>
  <si>
    <t>=-GL("Balance",$B35,M$10,M$11,,,,,,,,,,"True")+GL("Budget",$B35,M$10,M$11,,,,,,,Budget_Name,,,"True")</t>
  </si>
  <si>
    <t>=-GL("Balance",$B35,N$10,N$11,,,,,,,,,,"True")+GL("Budget",$B35,N$10,N$11,,,,,,,Budget_Name,,,"True")</t>
  </si>
  <si>
    <t>=-GL("Balance",$B35,O$10,O$11,,,,,,,,,,"True")+GL("Budget",$B35,O$10,O$11,,,,,,,Budget_Name,,,"True")</t>
  </si>
  <si>
    <t>=-GL("Balance",$B35,P$10,P$11,,,,,,,,,,"True")+GL("Budget",$B35,P$10,P$11,,,,,,,Budget_Name,,,"True")</t>
  </si>
  <si>
    <t>=-GL("Balance",$B35,Q$10,Q$11,,,,,,,,,,"True")+GL("Budget",$B35,Q$10,Q$11,,,,,,,Budget_Name,,,"True")</t>
  </si>
  <si>
    <t>=-GL("Balance",$B35,R$10,R$11,,,,,,,,,,"True")+GL("Budget",$B35,R$10,R$11,,,,,,,Budget_Name,,,"True")</t>
  </si>
  <si>
    <t>=-GL("Balance",$B35,S$10,S$11,,,,,,,,,,"True")+GL("Budget",$B35,S$10,S$11,,,,,,,Budget_Name,,,"True")</t>
  </si>
  <si>
    <t>=NL("First","G/L Account","Name","No.",$B36)</t>
  </si>
  <si>
    <t>=-GL("Balance",$B36,G$10,G$11,,,,,,,,,,"True")+GL("Budget",$B36,G$10,G$11,,,,,,,Budget_Name,,,"True")</t>
  </si>
  <si>
    <t>=-GL("Balance",$B36,H$10,H$11,,,,,,,,,,"True")+GL("Budget",$B36,H$10,H$11,,,,,,,Budget_Name,,,"True")</t>
  </si>
  <si>
    <t>=-GL("Balance",$B36,I$10,I$11,,,,,,,,,,"True")+GL("Budget",$B36,I$10,I$11,,,,,,,Budget_Name,,,"True")</t>
  </si>
  <si>
    <t>=-GL("Balance",$B36,J$10,J$11,,,,,,,,,,"True")+GL("Budget",$B36,J$10,J$11,,,,,,,Budget_Name,,,"True")</t>
  </si>
  <si>
    <t>=-GL("Balance",$B36,K$10,K$11,,,,,,,,,,"True")+GL("Budget",$B36,K$10,K$11,,,,,,,Budget_Name,,,"True")</t>
  </si>
  <si>
    <t>=-GL("Balance",$B36,L$10,L$11,,,,,,,,,,"True")+GL("Budget",$B36,L$10,L$11,,,,,,,Budget_Name,,,"True")</t>
  </si>
  <si>
    <t>=-GL("Balance",$B36,M$10,M$11,,,,,,,,,,"True")+GL("Budget",$B36,M$10,M$11,,,,,,,Budget_Name,,,"True")</t>
  </si>
  <si>
    <t>=-GL("Balance",$B36,N$10,N$11,,,,,,,,,,"True")+GL("Budget",$B36,N$10,N$11,,,,,,,Budget_Name,,,"True")</t>
  </si>
  <si>
    <t>=-GL("Balance",$B36,O$10,O$11,,,,,,,,,,"True")+GL("Budget",$B36,O$10,O$11,,,,,,,Budget_Name,,,"True")</t>
  </si>
  <si>
    <t>=-GL("Balance",$B36,P$10,P$11,,,,,,,,,,"True")+GL("Budget",$B36,P$10,P$11,,,,,,,Budget_Name,,,"True")</t>
  </si>
  <si>
    <t>=-GL("Balance",$B36,Q$10,Q$11,,,,,,,,,,"True")+GL("Budget",$B36,Q$10,Q$11,,,,,,,Budget_Name,,,"True")</t>
  </si>
  <si>
    <t>=-GL("Balance",$B36,R$10,R$11,,,,,,,,,,"True")+GL("Budget",$B36,R$10,R$11,,,,,,,Budget_Name,,,"True")</t>
  </si>
  <si>
    <t>=-GL("Balance",$B36,S$10,S$11,,,,,,,,,,"True")+GL("Budget",$B36,S$10,S$11,,,,,,,Budget_Name,,,"True")</t>
  </si>
  <si>
    <t>=NL("First","G/L Account","Name","No.",$B37)</t>
  </si>
  <si>
    <t>=-GL("Balance",$B37,G$10,G$11,,,,,,,,,,"True")+GL("Budget",$B37,G$10,G$11,,,,,,,Budget_Name,,,"True")</t>
  </si>
  <si>
    <t>=-GL("Balance",$B37,H$10,H$11,,,,,,,,,,"True")+GL("Budget",$B37,H$10,H$11,,,,,,,Budget_Name,,,"True")</t>
  </si>
  <si>
    <t>=-GL("Balance",$B37,I$10,I$11,,,,,,,,,,"True")+GL("Budget",$B37,I$10,I$11,,,,,,,Budget_Name,,,"True")</t>
  </si>
  <si>
    <t>=-GL("Balance",$B37,J$10,J$11,,,,,,,,,,"True")+GL("Budget",$B37,J$10,J$11,,,,,,,Budget_Name,,,"True")</t>
  </si>
  <si>
    <t>=-GL("Balance",$B37,K$10,K$11,,,,,,,,,,"True")+GL("Budget",$B37,K$10,K$11,,,,,,,Budget_Name,,,"True")</t>
  </si>
  <si>
    <t>=-GL("Balance",$B37,L$10,L$11,,,,,,,,,,"True")+GL("Budget",$B37,L$10,L$11,,,,,,,Budget_Name,,,"True")</t>
  </si>
  <si>
    <t>=-GL("Balance",$B37,M$10,M$11,,,,,,,,,,"True")+GL("Budget",$B37,M$10,M$11,,,,,,,Budget_Name,,,"True")</t>
  </si>
  <si>
    <t>=-GL("Balance",$B37,N$10,N$11,,,,,,,,,,"True")+GL("Budget",$B37,N$10,N$11,,,,,,,Budget_Name,,,"True")</t>
  </si>
  <si>
    <t>=-GL("Balance",$B37,O$10,O$11,,,,,,,,,,"True")+GL("Budget",$B37,O$10,O$11,,,,,,,Budget_Name,,,"True")</t>
  </si>
  <si>
    <t>=-GL("Balance",$B37,P$10,P$11,,,,,,,,,,"True")+GL("Budget",$B37,P$10,P$11,,,,,,,Budget_Name,,,"True")</t>
  </si>
  <si>
    <t>=-GL("Balance",$B37,Q$10,Q$11,,,,,,,,,,"True")+GL("Budget",$B37,Q$10,Q$11,,,,,,,Budget_Name,,,"True")</t>
  </si>
  <si>
    <t>=-GL("Balance",$B37,R$10,R$11,,,,,,,,,,"True")+GL("Budget",$B37,R$10,R$11,,,,,,,Budget_Name,,,"True")</t>
  </si>
  <si>
    <t>=-GL("Balance",$B37,S$10,S$11,,,,,,,,,,"True")+GL("Budget",$B37,S$10,S$11,,,,,,,Budget_Name,,,"True")</t>
  </si>
  <si>
    <t>=-GL("Balance",$B43,G$10,G$11,,,,,,,,,,"True")+GL("Budget",$B43,G$10,G$11,,,,,,,Budget_Name,,,"True")</t>
  </si>
  <si>
    <t>=-GL("Balance",$B43,H$10,H$11,,,,,,,,,,"True")+GL("Budget",$B43,H$10,H$11,,,,,,,Budget_Name,,,"True")</t>
  </si>
  <si>
    <t>=-GL("Balance",$B43,I$10,I$11,,,,,,,,,,"True")+GL("Budget",$B43,I$10,I$11,,,,,,,Budget_Name,,,"True")</t>
  </si>
  <si>
    <t>=-GL("Balance",$B43,J$10,J$11,,,,,,,,,,"True")+GL("Budget",$B43,J$10,J$11,,,,,,,Budget_Name,,,"True")</t>
  </si>
  <si>
    <t>=-GL("Balance",$B43,K$10,K$11,,,,,,,,,,"True")+GL("Budget",$B43,K$10,K$11,,,,,,,Budget_Name,,,"True")</t>
  </si>
  <si>
    <t>=-GL("Balance",$B43,L$10,L$11,,,,,,,,,,"True")+GL("Budget",$B43,L$10,L$11,,,,,,,Budget_Name,,,"True")</t>
  </si>
  <si>
    <t>=-GL("Balance",$B43,M$10,M$11,,,,,,,,,,"True")+GL("Budget",$B43,M$10,M$11,,,,,,,Budget_Name,,,"True")</t>
  </si>
  <si>
    <t>=-GL("Balance",$B43,N$10,N$11,,,,,,,,,,"True")+GL("Budget",$B43,N$10,N$11,,,,,,,Budget_Name,,,"True")</t>
  </si>
  <si>
    <t>=-GL("Balance",$B43,O$10,O$11,,,,,,,,,,"True")+GL("Budget",$B43,O$10,O$11,,,,,,,Budget_Name,,,"True")</t>
  </si>
  <si>
    <t>=-GL("Balance",$B43,P$10,P$11,,,,,,,,,,"True")+GL("Budget",$B43,P$10,P$11,,,,,,,Budget_Name,,,"True")</t>
  </si>
  <si>
    <t>=-GL("Balance",$B43,Q$10,Q$11,,,,,,,,,,"True")+GL("Budget",$B43,Q$10,Q$11,,,,,,,Budget_Name,,,"True")</t>
  </si>
  <si>
    <t>=-GL("Balance",$B43,R$10,R$11,,,,,,,,,,"True")+GL("Budget",$B43,R$10,R$11,,,,,,,Budget_Name,,,"True")</t>
  </si>
  <si>
    <t>=-GL("Balance",$B43,S$10,S$11,,,,,,,,,,"True")+GL("Budget",$B43,S$10,S$11,,,,,,,Budget_Name,,,"True")</t>
  </si>
  <si>
    <t>=-GL("Balance",$B44,G$10,G$11,,,,,,,,,,"True")+GL("Budget",$B44,G$10,G$11,,,,,,,Budget_Name,,,"True")</t>
  </si>
  <si>
    <t>=-GL("Balance",$B44,H$10,H$11,,,,,,,,,,"True")+GL("Budget",$B44,H$10,H$11,,,,,,,Budget_Name,,,"True")</t>
  </si>
  <si>
    <t>=-GL("Balance",$B44,I$10,I$11,,,,,,,,,,"True")+GL("Budget",$B44,I$10,I$11,,,,,,,Budget_Name,,,"True")</t>
  </si>
  <si>
    <t>=-GL("Balance",$B44,J$10,J$11,,,,,,,,,,"True")+GL("Budget",$B44,J$10,J$11,,,,,,,Budget_Name,,,"True")</t>
  </si>
  <si>
    <t>=-GL("Balance",$B44,K$10,K$11,,,,,,,,,,"True")+GL("Budget",$B44,K$10,K$11,,,,,,,Budget_Name,,,"True")</t>
  </si>
  <si>
    <t>=-GL("Balance",$B44,L$10,L$11,,,,,,,,,,"True")+GL("Budget",$B44,L$10,L$11,,,,,,,Budget_Name,,,"True")</t>
  </si>
  <si>
    <t>=-GL("Balance",$B44,M$10,M$11,,,,,,,,,,"True")+GL("Budget",$B44,M$10,M$11,,,,,,,Budget_Name,,,"True")</t>
  </si>
  <si>
    <t>=-GL("Balance",$B44,N$10,N$11,,,,,,,,,,"True")+GL("Budget",$B44,N$10,N$11,,,,,,,Budget_Name,,,"True")</t>
  </si>
  <si>
    <t>=-GL("Balance",$B44,O$10,O$11,,,,,,,,,,"True")+GL("Budget",$B44,O$10,O$11,,,,,,,Budget_Name,,,"True")</t>
  </si>
  <si>
    <t>=-GL("Balance",$B44,P$10,P$11,,,,,,,,,,"True")+GL("Budget",$B44,P$10,P$11,,,,,,,Budget_Name,,,"True")</t>
  </si>
  <si>
    <t>=-GL("Balance",$B44,Q$10,Q$11,,,,,,,,,,"True")+GL("Budget",$B44,Q$10,Q$11,,,,,,,Budget_Name,,,"True")</t>
  </si>
  <si>
    <t>=-GL("Balance",$B44,R$10,R$11,,,,,,,,,,"True")+GL("Budget",$B44,R$10,R$11,,,,,,,Budget_Name,,,"True")</t>
  </si>
  <si>
    <t>=-GL("Balance",$B44,S$10,S$11,,,,,,,,,,"True")+GL("Budget",$B44,S$10,S$11,,,,,,,Budget_Name,,,"True")</t>
  </si>
  <si>
    <t>=-GL("Balance",$B45,G$10,G$11,,,,,,,,,,"True")+GL("Budget",$B45,G$10,G$11,,,,,,,Budget_Name,,,"True")</t>
  </si>
  <si>
    <t>=-GL("Balance",$B45,H$10,H$11,,,,,,,,,,"True")+GL("Budget",$B45,H$10,H$11,,,,,,,Budget_Name,,,"True")</t>
  </si>
  <si>
    <t>=-GL("Balance",$B45,I$10,I$11,,,,,,,,,,"True")+GL("Budget",$B45,I$10,I$11,,,,,,,Budget_Name,,,"True")</t>
  </si>
  <si>
    <t>=-GL("Balance",$B45,J$10,J$11,,,,,,,,,,"True")+GL("Budget",$B45,J$10,J$11,,,,,,,Budget_Name,,,"True")</t>
  </si>
  <si>
    <t>=-GL("Balance",$B45,K$10,K$11,,,,,,,,,,"True")+GL("Budget",$B45,K$10,K$11,,,,,,,Budget_Name,,,"True")</t>
  </si>
  <si>
    <t>=-GL("Balance",$B45,L$10,L$11,,,,,,,,,,"True")+GL("Budget",$B45,L$10,L$11,,,,,,,Budget_Name,,,"True")</t>
  </si>
  <si>
    <t>=-GL("Balance",$B45,M$10,M$11,,,,,,,,,,"True")+GL("Budget",$B45,M$10,M$11,,,,,,,Budget_Name,,,"True")</t>
  </si>
  <si>
    <t>=-GL("Balance",$B45,N$10,N$11,,,,,,,,,,"True")+GL("Budget",$B45,N$10,N$11,,,,,,,Budget_Name,,,"True")</t>
  </si>
  <si>
    <t>=-GL("Balance",$B45,O$10,O$11,,,,,,,,,,"True")+GL("Budget",$B45,O$10,O$11,,,,,,,Budget_Name,,,"True")</t>
  </si>
  <si>
    <t>=-GL("Balance",$B45,P$10,P$11,,,,,,,,,,"True")+GL("Budget",$B45,P$10,P$11,,,,,,,Budget_Name,,,"True")</t>
  </si>
  <si>
    <t>=-GL("Balance",$B45,Q$10,Q$11,,,,,,,,,,"True")+GL("Budget",$B45,Q$10,Q$11,,,,,,,Budget_Name,,,"True")</t>
  </si>
  <si>
    <t>=-GL("Balance",$B45,R$10,R$11,,,,,,,,,,"True")+GL("Budget",$B45,R$10,R$11,,,,,,,Budget_Name,,,"True")</t>
  </si>
  <si>
    <t>=-GL("Balance",$B45,S$10,S$11,,,,,,,,,,"True")+GL("Budget",$B45,S$10,S$11,,,,,,,Budget_Name,,,"True")</t>
  </si>
  <si>
    <t>=-GL("Balance",$B46,G$10,G$11,,,,,,,,,,"True")+GL("Budget",$B46,G$10,G$11,,,,,,,Budget_Name,,,"True")</t>
  </si>
  <si>
    <t>=-GL("Balance",$B46,H$10,H$11,,,,,,,,,,"True")+GL("Budget",$B46,H$10,H$11,,,,,,,Budget_Name,,,"True")</t>
  </si>
  <si>
    <t>=-GL("Balance",$B46,I$10,I$11,,,,,,,,,,"True")+GL("Budget",$B46,I$10,I$11,,,,,,,Budget_Name,,,"True")</t>
  </si>
  <si>
    <t>=-GL("Balance",$B46,J$10,J$11,,,,,,,,,,"True")+GL("Budget",$B46,J$10,J$11,,,,,,,Budget_Name,,,"True")</t>
  </si>
  <si>
    <t>=-GL("Balance",$B46,K$10,K$11,,,,,,,,,,"True")+GL("Budget",$B46,K$10,K$11,,,,,,,Budget_Name,,,"True")</t>
  </si>
  <si>
    <t>=-GL("Balance",$B46,L$10,L$11,,,,,,,,,,"True")+GL("Budget",$B46,L$10,L$11,,,,,,,Budget_Name,,,"True")</t>
  </si>
  <si>
    <t>=-GL("Balance",$B46,M$10,M$11,,,,,,,,,,"True")+GL("Budget",$B46,M$10,M$11,,,,,,,Budget_Name,,,"True")</t>
  </si>
  <si>
    <t>=-GL("Balance",$B46,N$10,N$11,,,,,,,,,,"True")+GL("Budget",$B46,N$10,N$11,,,,,,,Budget_Name,,,"True")</t>
  </si>
  <si>
    <t>=-GL("Balance",$B46,O$10,O$11,,,,,,,,,,"True")+GL("Budget",$B46,O$10,O$11,,,,,,,Budget_Name,,,"True")</t>
  </si>
  <si>
    <t>=-GL("Balance",$B46,P$10,P$11,,,,,,,,,,"True")+GL("Budget",$B46,P$10,P$11,,,,,,,Budget_Name,,,"True")</t>
  </si>
  <si>
    <t>=-GL("Balance",$B46,Q$10,Q$11,,,,,,,,,,"True")+GL("Budget",$B46,Q$10,Q$11,,,,,,,Budget_Name,,,"True")</t>
  </si>
  <si>
    <t>=-GL("Balance",$B46,R$10,R$11,,,,,,,,,,"True")+GL("Budget",$B46,R$10,R$11,,,,,,,Budget_Name,,,"True")</t>
  </si>
  <si>
    <t>=-GL("Balance",$B46,S$10,S$11,,,,,,,,,,"True")+GL("Budget",$B46,S$10,S$11,,,,,,,Budget_Name,,,"True")</t>
  </si>
  <si>
    <t>=-GL("Balance",$B47,G$10,G$11,,,,,,,,,,"True")+GL("Budget",$B47,G$10,G$11,,,,,,,Budget_Name,,,"True")</t>
  </si>
  <si>
    <t>=-GL("Balance",$B47,H$10,H$11,,,,,,,,,,"True")+GL("Budget",$B47,H$10,H$11,,,,,,,Budget_Name,,,"True")</t>
  </si>
  <si>
    <t>=-GL("Balance",$B47,I$10,I$11,,,,,,,,,,"True")+GL("Budget",$B47,I$10,I$11,,,,,,,Budget_Name,,,"True")</t>
  </si>
  <si>
    <t>=-GL("Balance",$B47,J$10,J$11,,,,,,,,,,"True")+GL("Budget",$B47,J$10,J$11,,,,,,,Budget_Name,,,"True")</t>
  </si>
  <si>
    <t>=-GL("Balance",$B47,K$10,K$11,,,,,,,,,,"True")+GL("Budget",$B47,K$10,K$11,,,,,,,Budget_Name,,,"True")</t>
  </si>
  <si>
    <t>=-GL("Balance",$B47,L$10,L$11,,,,,,,,,,"True")+GL("Budget",$B47,L$10,L$11,,,,,,,Budget_Name,,,"True")</t>
  </si>
  <si>
    <t>=-GL("Balance",$B47,M$10,M$11,,,,,,,,,,"True")+GL("Budget",$B47,M$10,M$11,,,,,,,Budget_Name,,,"True")</t>
  </si>
  <si>
    <t>=-GL("Balance",$B47,N$10,N$11,,,,,,,,,,"True")+GL("Budget",$B47,N$10,N$11,,,,,,,Budget_Name,,,"True")</t>
  </si>
  <si>
    <t>=-GL("Balance",$B47,O$10,O$11,,,,,,,,,,"True")+GL("Budget",$B47,O$10,O$11,,,,,,,Budget_Name,,,"True")</t>
  </si>
  <si>
    <t>=-GL("Balance",$B47,P$10,P$11,,,,,,,,,,"True")+GL("Budget",$B47,P$10,P$11,,,,,,,Budget_Name,,,"True")</t>
  </si>
  <si>
    <t>=-GL("Balance",$B47,Q$10,Q$11,,,,,,,,,,"True")+GL("Budget",$B47,Q$10,Q$11,,,,,,,Budget_Name,,,"True")</t>
  </si>
  <si>
    <t>=-GL("Balance",$B47,R$10,R$11,,,,,,,,,,"True")+GL("Budget",$B47,R$10,R$11,,,,,,,Budget_Name,,,"True")</t>
  </si>
  <si>
    <t>=-GL("Balance",$B47,S$10,S$11,,,,,,,,,,"True")+GL("Budget",$B47,S$10,S$11,,,,,,,Budget_Name,,,"True")</t>
  </si>
  <si>
    <t>=-GL("Balance",$B48,G$10,G$11,,,,,,,,,,"True")+GL("Budget",$B48,G$10,G$11,,,,,,,Budget_Name,,,"True")</t>
  </si>
  <si>
    <t>=-GL("Balance",$B48,H$10,H$11,,,,,,,,,,"True")+GL("Budget",$B48,H$10,H$11,,,,,,,Budget_Name,,,"True")</t>
  </si>
  <si>
    <t>=-GL("Balance",$B48,I$10,I$11,,,,,,,,,,"True")+GL("Budget",$B48,I$10,I$11,,,,,,,Budget_Name,,,"True")</t>
  </si>
  <si>
    <t>=-GL("Balance",$B48,J$10,J$11,,,,,,,,,,"True")+GL("Budget",$B48,J$10,J$11,,,,,,,Budget_Name,,,"True")</t>
  </si>
  <si>
    <t>=-GL("Balance",$B48,K$10,K$11,,,,,,,,,,"True")+GL("Budget",$B48,K$10,K$11,,,,,,,Budget_Name,,,"True")</t>
  </si>
  <si>
    <t>=-GL("Balance",$B48,L$10,L$11,,,,,,,,,,"True")+GL("Budget",$B48,L$10,L$11,,,,,,,Budget_Name,,,"True")</t>
  </si>
  <si>
    <t>=-GL("Balance",$B48,M$10,M$11,,,,,,,,,,"True")+GL("Budget",$B48,M$10,M$11,,,,,,,Budget_Name,,,"True")</t>
  </si>
  <si>
    <t>=-GL("Balance",$B48,N$10,N$11,,,,,,,,,,"True")+GL("Budget",$B48,N$10,N$11,,,,,,,Budget_Name,,,"True")</t>
  </si>
  <si>
    <t>=-GL("Balance",$B48,O$10,O$11,,,,,,,,,,"True")+GL("Budget",$B48,O$10,O$11,,,,,,,Budget_Name,,,"True")</t>
  </si>
  <si>
    <t>=-GL("Balance",$B48,P$10,P$11,,,,,,,,,,"True")+GL("Budget",$B48,P$10,P$11,,,,,,,Budget_Name,,,"True")</t>
  </si>
  <si>
    <t>=-GL("Balance",$B48,Q$10,Q$11,,,,,,,,,,"True")+GL("Budget",$B48,Q$10,Q$11,,,,,,,Budget_Name,,,"True")</t>
  </si>
  <si>
    <t>=-GL("Balance",$B48,R$10,R$11,,,,,,,,,,"True")+GL("Budget",$B48,R$10,R$11,,,,,,,Budget_Name,,,"True")</t>
  </si>
  <si>
    <t>=-GL("Balance",$B48,S$10,S$11,,,,,,,,,,"True")+GL("Budget",$B48,S$10,S$11,,,,,,,Budget_Name,,,"True")</t>
  </si>
  <si>
    <t>=-GL("Balance",$B53,G$10,G$11,,,,,,,,,,"True")+GL("Budget",$B53,G$10,G$11,,,,,,,Budget_Name,,,"True")</t>
  </si>
  <si>
    <t>=-GL("Balance",$B53,H$10,H$11,,,,,,,,,,"True")+GL("Budget",$B53,H$10,H$11,,,,,,,Budget_Name,,,"True")</t>
  </si>
  <si>
    <t>=-GL("Balance",$B53,I$10,I$11,,,,,,,,,,"True")+GL("Budget",$B53,I$10,I$11,,,,,,,Budget_Name,,,"True")</t>
  </si>
  <si>
    <t>=-GL("Balance",$B53,J$10,J$11,,,,,,,,,,"True")+GL("Budget",$B53,J$10,J$11,,,,,,,Budget_Name,,,"True")</t>
  </si>
  <si>
    <t>=-GL("Balance",$B53,K$10,K$11,,,,,,,,,,"True")+GL("Budget",$B53,K$10,K$11,,,,,,,Budget_Name,,,"True")</t>
  </si>
  <si>
    <t>=-GL("Balance",$B53,L$10,L$11,,,,,,,,,,"True")+GL("Budget",$B53,L$10,L$11,,,,,,,Budget_Name,,,"True")</t>
  </si>
  <si>
    <t>=-GL("Balance",$B53,M$10,M$11,,,,,,,,,,"True")+GL("Budget",$B53,M$10,M$11,,,,,,,Budget_Name,,,"True")</t>
  </si>
  <si>
    <t>=-GL("Balance",$B53,N$10,N$11,,,,,,,,,,"True")+GL("Budget",$B53,N$10,N$11,,,,,,,Budget_Name,,,"True")</t>
  </si>
  <si>
    <t>=-GL("Balance",$B53,O$10,O$11,,,,,,,,,,"True")+GL("Budget",$B53,O$10,O$11,,,,,,,Budget_Name,,,"True")</t>
  </si>
  <si>
    <t>=-GL("Balance",$B53,P$10,P$11,,,,,,,,,,"True")+GL("Budget",$B53,P$10,P$11,,,,,,,Budget_Name,,,"True")</t>
  </si>
  <si>
    <t>=-GL("Balance",$B53,Q$10,Q$11,,,,,,,,,,"True")+GL("Budget",$B53,Q$10,Q$11,,,,,,,Budget_Name,,,"True")</t>
  </si>
  <si>
    <t>=-GL("Balance",$B53,R$10,R$11,,,,,,,,,,"True")+GL("Budget",$B53,R$10,R$11,,,,,,,Budget_Name,,,"True")</t>
  </si>
  <si>
    <t>=-GL("Balance",$B53,S$10,S$11,,,,,,,,,,"True")+GL("Budget",$B53,S$10,S$11,,,,,,,Budget_Name,,,"True")</t>
  </si>
  <si>
    <t>Auto+Hide+Values+Formulas=Sheet8,Sheet2,Sheet3</t>
  </si>
  <si>
    <t>Auto+Hide+Values+Formulas=Sheet8,Sheet2,Sheet3+FormulasOnly</t>
  </si>
  <si>
    <t>Auto+Hide+Values+Formulas=Sheet9,Sheet4,Sheet5</t>
  </si>
  <si>
    <t>Auto+Hide+Values+Formulas=Sheet9,Sheet4,Sheet5+FormulasOnly</t>
  </si>
  <si>
    <t>Auto+Hide+Values+Formulas=Sheet10,Sheet6,Sheet7</t>
  </si>
  <si>
    <t>Auto+Hide+Values+Formulas=Sheet10,Sheet6,Sheet7+FormulasOnly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</si>
</sst>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* #,##0.00_);_(* \(#,##0.00\);_(* &quot;-&quot;??_);_(@_)"/>
    <numFmt numFmtId="165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A6A6A6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808080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color theme="5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/>
      </left>
      <right style="thin">
        <color theme="4"/>
      </right>
      <top style="thin">
        <color theme="4" tint="-0.249977111117893"/>
      </top>
      <bottom style="thin">
        <color theme="4"/>
      </bottom>
      <diagonal/>
    </border>
    <border>
      <left/>
      <right/>
      <top style="thin">
        <color theme="4" tint="-0.249977111117893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 tint="-0.249977111117893"/>
      </top>
      <bottom/>
      <diagonal/>
    </border>
    <border>
      <left/>
      <right/>
      <top style="thin">
        <color theme="4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3" fillId="4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6" fillId="2" borderId="0" xfId="0" applyFont="1" applyFill="1" applyAlignment="1">
      <alignment horizontal="center"/>
    </xf>
    <xf numFmtId="14" fontId="8" fillId="0" borderId="0" xfId="0" applyNumberFormat="1" applyFont="1" applyAlignment="1">
      <alignment horizontal="center"/>
    </xf>
    <xf numFmtId="165" fontId="0" fillId="0" borderId="0" xfId="1" applyNumberFormat="1" applyFont="1"/>
    <xf numFmtId="0" fontId="11" fillId="0" borderId="0" xfId="0" applyFont="1"/>
    <xf numFmtId="0" fontId="2" fillId="0" borderId="0" xfId="2"/>
    <xf numFmtId="0" fontId="12" fillId="2" borderId="0" xfId="0" applyFont="1" applyFill="1" applyAlignment="1">
      <alignment horizontal="center"/>
    </xf>
    <xf numFmtId="14" fontId="4" fillId="0" borderId="3" xfId="0" applyNumberFormat="1" applyFont="1" applyBorder="1"/>
    <xf numFmtId="165" fontId="4" fillId="0" borderId="3" xfId="1" applyNumberFormat="1" applyFont="1" applyBorder="1"/>
    <xf numFmtId="0" fontId="6" fillId="2" borderId="9" xfId="0" applyFont="1" applyFill="1" applyBorder="1" applyAlignment="1">
      <alignment horizontal="center"/>
    </xf>
    <xf numFmtId="14" fontId="8" fillId="0" borderId="9" xfId="0" applyNumberFormat="1" applyFont="1" applyBorder="1" applyAlignment="1">
      <alignment horizontal="center"/>
    </xf>
    <xf numFmtId="165" fontId="0" fillId="0" borderId="0" xfId="1" applyNumberFormat="1" applyFont="1" applyBorder="1"/>
    <xf numFmtId="0" fontId="10" fillId="3" borderId="4" xfId="4" applyFont="1" applyFill="1" applyBorder="1"/>
    <xf numFmtId="165" fontId="10" fillId="3" borderId="2" xfId="4" applyNumberFormat="1" applyFont="1" applyFill="1"/>
    <xf numFmtId="165" fontId="10" fillId="3" borderId="4" xfId="4" applyNumberFormat="1" applyFont="1" applyFill="1" applyBorder="1"/>
    <xf numFmtId="0" fontId="0" fillId="0" borderId="10" xfId="0" applyBorder="1"/>
    <xf numFmtId="0" fontId="12" fillId="2" borderId="0" xfId="0" applyFont="1" applyFill="1"/>
    <xf numFmtId="0" fontId="4" fillId="0" borderId="3" xfId="0" applyFont="1" applyBorder="1"/>
    <xf numFmtId="0" fontId="0" fillId="0" borderId="3" xfId="0" applyBorder="1"/>
    <xf numFmtId="165" fontId="0" fillId="0" borderId="0" xfId="1" applyNumberFormat="1" applyFont="1" applyFill="1" applyBorder="1"/>
    <xf numFmtId="165" fontId="0" fillId="0" borderId="0" xfId="1" applyNumberFormat="1" applyFont="1" applyFill="1"/>
    <xf numFmtId="165" fontId="4" fillId="0" borderId="3" xfId="1" applyNumberFormat="1" applyFont="1" applyFill="1" applyBorder="1"/>
    <xf numFmtId="0" fontId="4" fillId="0" borderId="8" xfId="0" applyFont="1" applyBorder="1"/>
    <xf numFmtId="165" fontId="4" fillId="0" borderId="7" xfId="0" applyNumberFormat="1" applyFont="1" applyBorder="1"/>
    <xf numFmtId="165" fontId="4" fillId="0" borderId="8" xfId="0" applyNumberFormat="1" applyFont="1" applyBorder="1"/>
    <xf numFmtId="165" fontId="4" fillId="0" borderId="0" xfId="0" applyNumberFormat="1" applyFont="1"/>
    <xf numFmtId="165" fontId="4" fillId="0" borderId="3" xfId="0" applyNumberFormat="1" applyFont="1" applyBorder="1"/>
    <xf numFmtId="0" fontId="3" fillId="0" borderId="3" xfId="3" applyFill="1" applyBorder="1"/>
    <xf numFmtId="0" fontId="9" fillId="0" borderId="6" xfId="3" applyFont="1" applyFill="1" applyBorder="1"/>
    <xf numFmtId="165" fontId="4" fillId="0" borderId="5" xfId="0" applyNumberFormat="1" applyFont="1" applyBorder="1"/>
    <xf numFmtId="165" fontId="4" fillId="0" borderId="6" xfId="0" applyNumberFormat="1" applyFont="1" applyBorder="1"/>
    <xf numFmtId="0" fontId="9" fillId="0" borderId="3" xfId="3" applyFont="1" applyFill="1" applyBorder="1"/>
    <xf numFmtId="0" fontId="9" fillId="0" borderId="11" xfId="3" applyFont="1" applyFill="1" applyBorder="1"/>
    <xf numFmtId="165" fontId="4" fillId="0" borderId="12" xfId="0" applyNumberFormat="1" applyFont="1" applyBorder="1"/>
    <xf numFmtId="165" fontId="4" fillId="0" borderId="11" xfId="0" applyNumberFormat="1" applyFont="1" applyBorder="1"/>
    <xf numFmtId="0" fontId="3" fillId="0" borderId="13" xfId="3" applyFill="1" applyBorder="1"/>
    <xf numFmtId="0" fontId="0" fillId="0" borderId="14" xfId="0" applyBorder="1"/>
    <xf numFmtId="0" fontId="4" fillId="0" borderId="13" xfId="0" applyFont="1" applyBorder="1"/>
    <xf numFmtId="0" fontId="11" fillId="0" borderId="0" xfId="0" applyFont="1" applyAlignment="1">
      <alignment horizontal="left"/>
    </xf>
    <xf numFmtId="0" fontId="17" fillId="5" borderId="0" xfId="10" applyFont="1" applyFill="1" applyAlignment="1">
      <alignment vertical="top" wrapText="1"/>
    </xf>
    <xf numFmtId="0" fontId="17" fillId="6" borderId="15" xfId="10" applyFont="1" applyFill="1" applyBorder="1" applyAlignment="1">
      <alignment vertical="top" wrapText="1"/>
    </xf>
    <xf numFmtId="0" fontId="0" fillId="7" borderId="16" xfId="0" applyFill="1" applyBorder="1" applyAlignment="1">
      <alignment horizontal="center"/>
    </xf>
    <xf numFmtId="0" fontId="0" fillId="0" borderId="18" xfId="0" applyBorder="1" applyAlignment="1">
      <alignment horizontal="right"/>
    </xf>
    <xf numFmtId="3" fontId="0" fillId="0" borderId="19" xfId="0" applyNumberFormat="1" applyBorder="1"/>
    <xf numFmtId="0" fontId="0" fillId="0" borderId="20" xfId="0" applyBorder="1" applyAlignment="1">
      <alignment horizontal="right"/>
    </xf>
    <xf numFmtId="3" fontId="0" fillId="0" borderId="21" xfId="0" applyNumberFormat="1" applyBorder="1"/>
    <xf numFmtId="0" fontId="0" fillId="0" borderId="0" xfId="0" quotePrefix="1"/>
    <xf numFmtId="0" fontId="0" fillId="7" borderId="17" xfId="0" applyFill="1" applyBorder="1" applyAlignment="1">
      <alignment horizontal="center" wrapText="1"/>
    </xf>
    <xf numFmtId="0" fontId="13" fillId="4" borderId="0" xfId="5" applyNumberFormat="1" applyAlignment="1">
      <alignment horizontal="center"/>
    </xf>
  </cellXfs>
  <cellStyles count="13">
    <cellStyle name="Accent1" xfId="5" builtinId="29"/>
    <cellStyle name="Comma" xfId="1" builtinId="3"/>
    <cellStyle name="Comma 2" xfId="7" xr:uid="{00000000-0005-0000-0000-000002000000}"/>
    <cellStyle name="Heading 2" xfId="3" builtinId="17"/>
    <cellStyle name="Hyperlink 2" xfId="8" xr:uid="{00000000-0005-0000-0000-000005000000}"/>
    <cellStyle name="Hyperlink 3" xfId="12" xr:uid="{00000000-0005-0000-0000-000006000000}"/>
    <cellStyle name="Normal" xfId="0" builtinId="0"/>
    <cellStyle name="Normal 2" xfId="9" xr:uid="{00000000-0005-0000-0000-000008000000}"/>
    <cellStyle name="Normal 2 2" xfId="10" xr:uid="{00000000-0005-0000-0000-000009000000}"/>
    <cellStyle name="Normal 2 3" xfId="11" xr:uid="{00000000-0005-0000-0000-00000A000000}"/>
    <cellStyle name="Normal 2 4" xfId="6" xr:uid="{00000000-0005-0000-0000-00000B000000}"/>
    <cellStyle name="Title" xfId="2" builtinId="15"/>
    <cellStyle name="Total" xfId="4" builtinId="25"/>
  </cellStyles>
  <dxfs count="11"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border>
        <bottom style="thin">
          <color theme="0" tint="-0.14993743705557422"/>
        </bottom>
      </border>
    </dxf>
    <dxf>
      <font>
        <b/>
        <color theme="1"/>
      </font>
    </dxf>
    <dxf>
      <border>
        <top style="thin">
          <color theme="4"/>
        </top>
        <bottom style="medium">
          <color theme="0" tint="-0.14996795556505021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  <border>
        <left style="thin">
          <color theme="0" tint="-0.249977111117893"/>
        </left>
        <right style="thin">
          <color theme="0" tint="-0.249977111117893"/>
        </right>
        <bottom style="medium">
          <color theme="0" tint="-0.249977111117893"/>
        </bottom>
      </border>
    </dxf>
    <dxf>
      <border>
        <bottom style="thin">
          <color theme="0" tint="-0.14996795556505021"/>
        </bottom>
      </border>
    </dxf>
    <dxf>
      <border>
        <bottom style="thin">
          <color theme="0" tint="-0.14996795556505021"/>
        </bottom>
      </border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39997558519241921"/>
        </top>
      </border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</dxfs>
  <tableStyles count="1" defaultTableStyle="TableStyleMedium2" defaultPivotStyle="PivotStyleLight16">
    <tableStyle name="PivotStyleLight16 2" table="0" count="11" xr9:uid="{00000000-0011-0000-FFFF-FFFF00000000}">
      <tableStyleElement type="headerRow" dxfId="10"/>
      <tableStyleElement type="totalRow" dxfId="9"/>
      <tableStyleElement type="firstRowStripe" dxfId="8"/>
      <tableStyleElement type="secondRowStripe" dxfId="7"/>
      <tableStyleElement type="firstColumnStripe" dxfId="6"/>
      <tableStyleElement type="firstSubtotalColumn" dxfId="5"/>
      <tableStyleElement type="firstSubtotalRow" dxfId="4"/>
      <tableStyleElement type="secondSubtotalRow" dxfId="3"/>
      <tableStyleElement type="first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topLeftCell="B2" workbookViewId="0"/>
  </sheetViews>
  <sheetFormatPr defaultRowHeight="14.5" x14ac:dyDescent="0.35"/>
  <cols>
    <col min="1" max="1" width="28.26953125" hidden="1" customWidth="1"/>
    <col min="2" max="2" width="13.1796875" bestFit="1" customWidth="1"/>
    <col min="3" max="3" width="10.7265625" bestFit="1" customWidth="1"/>
  </cols>
  <sheetData>
    <row r="1" spans="1:4" hidden="1" x14ac:dyDescent="0.35">
      <c r="A1" s="1" t="s">
        <v>32</v>
      </c>
      <c r="B1" s="1" t="s">
        <v>1</v>
      </c>
      <c r="C1" s="2" t="s">
        <v>2</v>
      </c>
      <c r="D1" s="1"/>
    </row>
    <row r="2" spans="1:4" x14ac:dyDescent="0.35">
      <c r="A2" s="1"/>
      <c r="B2" s="1"/>
      <c r="C2" s="2"/>
      <c r="D2" s="1"/>
    </row>
    <row r="3" spans="1:4" x14ac:dyDescent="0.35">
      <c r="A3" s="1"/>
      <c r="B3" s="52" t="s">
        <v>3</v>
      </c>
      <c r="C3" s="52"/>
    </row>
    <row r="4" spans="1:4" x14ac:dyDescent="0.35">
      <c r="A4" s="1" t="s">
        <v>4</v>
      </c>
      <c r="B4" s="4" t="s">
        <v>17</v>
      </c>
      <c r="C4" t="str">
        <f>"2018"</f>
        <v>2018</v>
      </c>
    </row>
    <row r="5" spans="1:4" x14ac:dyDescent="0.35">
      <c r="A5" t="s">
        <v>4</v>
      </c>
      <c r="B5" t="s">
        <v>26</v>
      </c>
      <c r="C5" t="str">
        <f>"2018"</f>
        <v>2018</v>
      </c>
    </row>
  </sheetData>
  <mergeCells count="1">
    <mergeCell ref="B3:C3"/>
  </mergeCell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55"/>
  <sheetViews>
    <sheetView workbookViewId="0"/>
  </sheetViews>
  <sheetFormatPr defaultRowHeight="14.5" x14ac:dyDescent="0.35"/>
  <sheetData>
    <row r="1" spans="1:19" x14ac:dyDescent="0.35">
      <c r="A1" s="50" t="s">
        <v>926</v>
      </c>
      <c r="B1" s="50" t="s">
        <v>14</v>
      </c>
      <c r="C1" s="50" t="s">
        <v>14</v>
      </c>
      <c r="E1" s="50" t="s">
        <v>15</v>
      </c>
      <c r="G1" s="50" t="s">
        <v>15</v>
      </c>
      <c r="H1" s="50" t="s">
        <v>15</v>
      </c>
      <c r="I1" s="50" t="s">
        <v>15</v>
      </c>
      <c r="J1" s="50" t="s">
        <v>15</v>
      </c>
      <c r="K1" s="50" t="s">
        <v>15</v>
      </c>
      <c r="L1" s="50" t="s">
        <v>15</v>
      </c>
      <c r="M1" s="50" t="s">
        <v>15</v>
      </c>
      <c r="N1" s="50" t="s">
        <v>15</v>
      </c>
      <c r="O1" s="50" t="s">
        <v>15</v>
      </c>
      <c r="P1" s="50" t="s">
        <v>15</v>
      </c>
      <c r="Q1" s="50" t="s">
        <v>15</v>
      </c>
      <c r="R1" s="50" t="s">
        <v>15</v>
      </c>
      <c r="S1" s="50" t="s">
        <v>15</v>
      </c>
    </row>
    <row r="2" spans="1:19" x14ac:dyDescent="0.35">
      <c r="A2" s="50" t="s">
        <v>14</v>
      </c>
      <c r="B2" s="50" t="s">
        <v>28</v>
      </c>
      <c r="C2" s="50" t="s">
        <v>31</v>
      </c>
      <c r="G2" s="50" t="s">
        <v>18</v>
      </c>
      <c r="H2" s="50" t="s">
        <v>18</v>
      </c>
      <c r="I2" s="50" t="s">
        <v>18</v>
      </c>
      <c r="J2" s="50" t="s">
        <v>18</v>
      </c>
      <c r="K2" s="50" t="s">
        <v>18</v>
      </c>
      <c r="L2" s="50" t="s">
        <v>18</v>
      </c>
      <c r="M2" s="50" t="s">
        <v>18</v>
      </c>
      <c r="N2" s="50" t="s">
        <v>18</v>
      </c>
      <c r="O2" s="50" t="s">
        <v>18</v>
      </c>
      <c r="P2" s="50" t="s">
        <v>18</v>
      </c>
      <c r="Q2" s="50" t="s">
        <v>18</v>
      </c>
      <c r="R2" s="50" t="s">
        <v>18</v>
      </c>
      <c r="S2" s="50" t="s">
        <v>20</v>
      </c>
    </row>
    <row r="3" spans="1:19" x14ac:dyDescent="0.35">
      <c r="B3" s="50" t="s">
        <v>29</v>
      </c>
      <c r="C3" s="50" t="s">
        <v>650</v>
      </c>
    </row>
    <row r="4" spans="1:19" x14ac:dyDescent="0.35">
      <c r="B4" s="50" t="s">
        <v>29</v>
      </c>
      <c r="C4" s="50" t="s">
        <v>651</v>
      </c>
    </row>
    <row r="5" spans="1:19" x14ac:dyDescent="0.35">
      <c r="B5" s="50" t="s">
        <v>30</v>
      </c>
      <c r="C5" s="50" t="s">
        <v>652</v>
      </c>
    </row>
    <row r="6" spans="1:19" x14ac:dyDescent="0.35">
      <c r="B6" s="50" t="s">
        <v>30</v>
      </c>
      <c r="C6" s="50" t="s">
        <v>653</v>
      </c>
    </row>
    <row r="7" spans="1:19" x14ac:dyDescent="0.35">
      <c r="E7" s="50" t="s">
        <v>19</v>
      </c>
      <c r="F7" s="50" t="s">
        <v>376</v>
      </c>
      <c r="R7" s="50" t="s">
        <v>16</v>
      </c>
      <c r="S7" s="50" t="s">
        <v>33</v>
      </c>
    </row>
    <row r="9" spans="1:19" x14ac:dyDescent="0.35">
      <c r="G9" s="50" t="s">
        <v>785</v>
      </c>
      <c r="H9" s="50" t="s">
        <v>786</v>
      </c>
      <c r="I9" s="50" t="s">
        <v>787</v>
      </c>
      <c r="J9" s="50" t="s">
        <v>788</v>
      </c>
      <c r="K9" s="50" t="s">
        <v>789</v>
      </c>
      <c r="L9" s="50" t="s">
        <v>790</v>
      </c>
      <c r="M9" s="50" t="s">
        <v>791</v>
      </c>
      <c r="N9" s="50" t="s">
        <v>792</v>
      </c>
      <c r="O9" s="50" t="s">
        <v>793</v>
      </c>
      <c r="P9" s="50" t="s">
        <v>794</v>
      </c>
      <c r="Q9" s="50" t="s">
        <v>795</v>
      </c>
      <c r="R9" s="50" t="s">
        <v>796</v>
      </c>
      <c r="S9" s="50" t="s">
        <v>33</v>
      </c>
    </row>
    <row r="10" spans="1:19" x14ac:dyDescent="0.35">
      <c r="A10" s="50" t="s">
        <v>14</v>
      </c>
      <c r="B10" s="50" t="s">
        <v>25</v>
      </c>
      <c r="G10" s="50" t="s">
        <v>46</v>
      </c>
      <c r="H10" s="50" t="s">
        <v>797</v>
      </c>
      <c r="I10" s="50" t="s">
        <v>798</v>
      </c>
      <c r="J10" s="50" t="s">
        <v>799</v>
      </c>
      <c r="K10" s="50" t="s">
        <v>800</v>
      </c>
      <c r="L10" s="50" t="s">
        <v>801</v>
      </c>
      <c r="M10" s="50" t="s">
        <v>802</v>
      </c>
      <c r="N10" s="50" t="s">
        <v>803</v>
      </c>
      <c r="O10" s="50" t="s">
        <v>804</v>
      </c>
      <c r="P10" s="50" t="s">
        <v>805</v>
      </c>
      <c r="Q10" s="50" t="s">
        <v>806</v>
      </c>
      <c r="R10" s="50" t="s">
        <v>807</v>
      </c>
      <c r="S10" s="50" t="s">
        <v>808</v>
      </c>
    </row>
    <row r="11" spans="1:19" x14ac:dyDescent="0.35">
      <c r="A11" s="50" t="s">
        <v>14</v>
      </c>
      <c r="G11" s="50" t="s">
        <v>809</v>
      </c>
      <c r="H11" s="50" t="s">
        <v>810</v>
      </c>
      <c r="I11" s="50" t="s">
        <v>811</v>
      </c>
      <c r="J11" s="50" t="s">
        <v>812</v>
      </c>
      <c r="K11" s="50" t="s">
        <v>813</v>
      </c>
      <c r="L11" s="50" t="s">
        <v>814</v>
      </c>
      <c r="M11" s="50" t="s">
        <v>815</v>
      </c>
      <c r="N11" s="50" t="s">
        <v>816</v>
      </c>
      <c r="O11" s="50" t="s">
        <v>817</v>
      </c>
      <c r="P11" s="50" t="s">
        <v>818</v>
      </c>
      <c r="Q11" s="50" t="s">
        <v>819</v>
      </c>
      <c r="R11" s="50" t="s">
        <v>820</v>
      </c>
      <c r="S11" s="50" t="s">
        <v>821</v>
      </c>
    </row>
    <row r="12" spans="1:19" x14ac:dyDescent="0.35">
      <c r="B12" s="50" t="s">
        <v>22</v>
      </c>
      <c r="E12" s="50" t="s">
        <v>5</v>
      </c>
    </row>
    <row r="13" spans="1:19" x14ac:dyDescent="0.35">
      <c r="B13" s="50" t="s">
        <v>655</v>
      </c>
      <c r="E13" s="50" t="s">
        <v>654</v>
      </c>
      <c r="G13" s="50" t="s">
        <v>654</v>
      </c>
      <c r="H13" s="50" t="s">
        <v>654</v>
      </c>
      <c r="I13" s="50" t="s">
        <v>654</v>
      </c>
      <c r="J13" s="50" t="s">
        <v>654</v>
      </c>
      <c r="K13" s="50" t="s">
        <v>654</v>
      </c>
      <c r="L13" s="50" t="s">
        <v>654</v>
      </c>
      <c r="M13" s="50" t="s">
        <v>654</v>
      </c>
      <c r="N13" s="50" t="s">
        <v>654</v>
      </c>
      <c r="O13" s="50" t="s">
        <v>654</v>
      </c>
      <c r="P13" s="50" t="s">
        <v>654</v>
      </c>
      <c r="Q13" s="50" t="s">
        <v>654</v>
      </c>
      <c r="R13" s="50" t="s">
        <v>654</v>
      </c>
      <c r="S13" s="50" t="s">
        <v>654</v>
      </c>
    </row>
    <row r="14" spans="1:19" x14ac:dyDescent="0.35">
      <c r="B14" s="50" t="s">
        <v>656</v>
      </c>
      <c r="E14" s="50" t="s">
        <v>654</v>
      </c>
      <c r="G14" s="50" t="s">
        <v>654</v>
      </c>
      <c r="H14" s="50" t="s">
        <v>654</v>
      </c>
      <c r="I14" s="50" t="s">
        <v>654</v>
      </c>
      <c r="J14" s="50" t="s">
        <v>654</v>
      </c>
      <c r="K14" s="50" t="s">
        <v>654</v>
      </c>
      <c r="L14" s="50" t="s">
        <v>654</v>
      </c>
      <c r="M14" s="50" t="s">
        <v>654</v>
      </c>
      <c r="N14" s="50" t="s">
        <v>654</v>
      </c>
      <c r="O14" s="50" t="s">
        <v>654</v>
      </c>
      <c r="P14" s="50" t="s">
        <v>654</v>
      </c>
      <c r="Q14" s="50" t="s">
        <v>654</v>
      </c>
      <c r="R14" s="50" t="s">
        <v>654</v>
      </c>
      <c r="S14" s="50" t="s">
        <v>654</v>
      </c>
    </row>
    <row r="15" spans="1:19" x14ac:dyDescent="0.35">
      <c r="B15" s="50" t="s">
        <v>657</v>
      </c>
      <c r="E15" s="50" t="s">
        <v>654</v>
      </c>
      <c r="G15" s="50" t="s">
        <v>654</v>
      </c>
      <c r="H15" s="50" t="s">
        <v>654</v>
      </c>
      <c r="I15" s="50" t="s">
        <v>654</v>
      </c>
      <c r="J15" s="50" t="s">
        <v>654</v>
      </c>
      <c r="K15" s="50" t="s">
        <v>654</v>
      </c>
      <c r="L15" s="50" t="s">
        <v>654</v>
      </c>
      <c r="M15" s="50" t="s">
        <v>654</v>
      </c>
      <c r="N15" s="50" t="s">
        <v>654</v>
      </c>
      <c r="O15" s="50" t="s">
        <v>654</v>
      </c>
      <c r="P15" s="50" t="s">
        <v>654</v>
      </c>
      <c r="Q15" s="50" t="s">
        <v>654</v>
      </c>
      <c r="R15" s="50" t="s">
        <v>654</v>
      </c>
      <c r="S15" s="50" t="s">
        <v>654</v>
      </c>
    </row>
    <row r="16" spans="1:19" x14ac:dyDescent="0.35">
      <c r="B16" s="50" t="s">
        <v>658</v>
      </c>
      <c r="E16" s="50" t="s">
        <v>654</v>
      </c>
      <c r="G16" s="50" t="s">
        <v>654</v>
      </c>
      <c r="H16" s="50" t="s">
        <v>654</v>
      </c>
      <c r="I16" s="50" t="s">
        <v>654</v>
      </c>
      <c r="J16" s="50" t="s">
        <v>654</v>
      </c>
      <c r="K16" s="50" t="s">
        <v>654</v>
      </c>
      <c r="L16" s="50" t="s">
        <v>654</v>
      </c>
      <c r="M16" s="50" t="s">
        <v>654</v>
      </c>
      <c r="N16" s="50" t="s">
        <v>654</v>
      </c>
      <c r="O16" s="50" t="s">
        <v>654</v>
      </c>
      <c r="P16" s="50" t="s">
        <v>654</v>
      </c>
      <c r="Q16" s="50" t="s">
        <v>654</v>
      </c>
      <c r="R16" s="50" t="s">
        <v>654</v>
      </c>
      <c r="S16" s="50" t="s">
        <v>654</v>
      </c>
    </row>
    <row r="17" spans="2:19" x14ac:dyDescent="0.35">
      <c r="B17" s="50" t="s">
        <v>659</v>
      </c>
      <c r="E17" s="50" t="s">
        <v>654</v>
      </c>
      <c r="G17" s="50" t="s">
        <v>654</v>
      </c>
      <c r="H17" s="50" t="s">
        <v>654</v>
      </c>
      <c r="I17" s="50" t="s">
        <v>654</v>
      </c>
      <c r="J17" s="50" t="s">
        <v>654</v>
      </c>
      <c r="K17" s="50" t="s">
        <v>654</v>
      </c>
      <c r="L17" s="50" t="s">
        <v>654</v>
      </c>
      <c r="M17" s="50" t="s">
        <v>654</v>
      </c>
      <c r="N17" s="50" t="s">
        <v>654</v>
      </c>
      <c r="O17" s="50" t="s">
        <v>654</v>
      </c>
      <c r="P17" s="50" t="s">
        <v>654</v>
      </c>
      <c r="Q17" s="50" t="s">
        <v>654</v>
      </c>
      <c r="R17" s="50" t="s">
        <v>654</v>
      </c>
      <c r="S17" s="50" t="s">
        <v>654</v>
      </c>
    </row>
    <row r="18" spans="2:19" x14ac:dyDescent="0.35">
      <c r="B18" s="50" t="s">
        <v>660</v>
      </c>
      <c r="E18" s="50" t="s">
        <v>654</v>
      </c>
      <c r="G18" s="50" t="s">
        <v>654</v>
      </c>
      <c r="H18" s="50" t="s">
        <v>654</v>
      </c>
      <c r="I18" s="50" t="s">
        <v>654</v>
      </c>
      <c r="J18" s="50" t="s">
        <v>654</v>
      </c>
      <c r="K18" s="50" t="s">
        <v>654</v>
      </c>
      <c r="L18" s="50" t="s">
        <v>654</v>
      </c>
      <c r="M18" s="50" t="s">
        <v>654</v>
      </c>
      <c r="N18" s="50" t="s">
        <v>654</v>
      </c>
      <c r="O18" s="50" t="s">
        <v>654</v>
      </c>
      <c r="P18" s="50" t="s">
        <v>654</v>
      </c>
      <c r="Q18" s="50" t="s">
        <v>654</v>
      </c>
      <c r="R18" s="50" t="s">
        <v>654</v>
      </c>
      <c r="S18" s="50" t="s">
        <v>654</v>
      </c>
    </row>
    <row r="19" spans="2:19" x14ac:dyDescent="0.35">
      <c r="E19" s="50" t="s">
        <v>6</v>
      </c>
      <c r="G19" s="50" t="s">
        <v>822</v>
      </c>
      <c r="H19" s="50" t="s">
        <v>823</v>
      </c>
      <c r="I19" s="50" t="s">
        <v>824</v>
      </c>
      <c r="J19" s="50" t="s">
        <v>825</v>
      </c>
      <c r="K19" s="50" t="s">
        <v>826</v>
      </c>
      <c r="L19" s="50" t="s">
        <v>827</v>
      </c>
      <c r="M19" s="50" t="s">
        <v>828</v>
      </c>
      <c r="N19" s="50" t="s">
        <v>829</v>
      </c>
      <c r="O19" s="50" t="s">
        <v>830</v>
      </c>
      <c r="P19" s="50" t="s">
        <v>831</v>
      </c>
      <c r="Q19" s="50" t="s">
        <v>832</v>
      </c>
      <c r="R19" s="50" t="s">
        <v>833</v>
      </c>
      <c r="S19" s="50" t="s">
        <v>834</v>
      </c>
    </row>
    <row r="21" spans="2:19" x14ac:dyDescent="0.35">
      <c r="E21" s="50" t="s">
        <v>21</v>
      </c>
    </row>
    <row r="22" spans="2:19" x14ac:dyDescent="0.35">
      <c r="B22" s="50" t="s">
        <v>674</v>
      </c>
      <c r="E22" s="50" t="s">
        <v>654</v>
      </c>
      <c r="G22" s="50" t="s">
        <v>654</v>
      </c>
      <c r="H22" s="50" t="s">
        <v>654</v>
      </c>
      <c r="I22" s="50" t="s">
        <v>654</v>
      </c>
      <c r="J22" s="50" t="s">
        <v>654</v>
      </c>
      <c r="K22" s="50" t="s">
        <v>654</v>
      </c>
      <c r="L22" s="50" t="s">
        <v>654</v>
      </c>
      <c r="M22" s="50" t="s">
        <v>654</v>
      </c>
      <c r="N22" s="50" t="s">
        <v>654</v>
      </c>
      <c r="O22" s="50" t="s">
        <v>654</v>
      </c>
      <c r="P22" s="50" t="s">
        <v>654</v>
      </c>
      <c r="Q22" s="50" t="s">
        <v>654</v>
      </c>
      <c r="R22" s="50" t="s">
        <v>654</v>
      </c>
      <c r="S22" s="50" t="s">
        <v>654</v>
      </c>
    </row>
    <row r="23" spans="2:19" x14ac:dyDescent="0.35">
      <c r="B23" s="50" t="s">
        <v>675</v>
      </c>
      <c r="E23" s="50" t="s">
        <v>654</v>
      </c>
      <c r="G23" s="50" t="s">
        <v>654</v>
      </c>
      <c r="H23" s="50" t="s">
        <v>654</v>
      </c>
      <c r="I23" s="50" t="s">
        <v>654</v>
      </c>
      <c r="J23" s="50" t="s">
        <v>654</v>
      </c>
      <c r="K23" s="50" t="s">
        <v>654</v>
      </c>
      <c r="L23" s="50" t="s">
        <v>654</v>
      </c>
      <c r="M23" s="50" t="s">
        <v>654</v>
      </c>
      <c r="N23" s="50" t="s">
        <v>654</v>
      </c>
      <c r="O23" s="50" t="s">
        <v>654</v>
      </c>
      <c r="P23" s="50" t="s">
        <v>654</v>
      </c>
      <c r="Q23" s="50" t="s">
        <v>654</v>
      </c>
      <c r="R23" s="50" t="s">
        <v>654</v>
      </c>
      <c r="S23" s="50" t="s">
        <v>654</v>
      </c>
    </row>
    <row r="24" spans="2:19" x14ac:dyDescent="0.35">
      <c r="B24" s="50" t="s">
        <v>676</v>
      </c>
      <c r="E24" s="50" t="s">
        <v>654</v>
      </c>
      <c r="G24" s="50" t="s">
        <v>654</v>
      </c>
      <c r="H24" s="50" t="s">
        <v>654</v>
      </c>
      <c r="I24" s="50" t="s">
        <v>654</v>
      </c>
      <c r="J24" s="50" t="s">
        <v>654</v>
      </c>
      <c r="K24" s="50" t="s">
        <v>654</v>
      </c>
      <c r="L24" s="50" t="s">
        <v>654</v>
      </c>
      <c r="M24" s="50" t="s">
        <v>654</v>
      </c>
      <c r="N24" s="50" t="s">
        <v>654</v>
      </c>
      <c r="O24" s="50" t="s">
        <v>654</v>
      </c>
      <c r="P24" s="50" t="s">
        <v>654</v>
      </c>
      <c r="Q24" s="50" t="s">
        <v>654</v>
      </c>
      <c r="R24" s="50" t="s">
        <v>654</v>
      </c>
      <c r="S24" s="50" t="s">
        <v>654</v>
      </c>
    </row>
    <row r="25" spans="2:19" x14ac:dyDescent="0.35">
      <c r="B25" s="50" t="s">
        <v>677</v>
      </c>
      <c r="E25" s="50" t="s">
        <v>654</v>
      </c>
      <c r="G25" s="50" t="s">
        <v>654</v>
      </c>
      <c r="H25" s="50" t="s">
        <v>654</v>
      </c>
      <c r="I25" s="50" t="s">
        <v>654</v>
      </c>
      <c r="J25" s="50" t="s">
        <v>654</v>
      </c>
      <c r="K25" s="50" t="s">
        <v>654</v>
      </c>
      <c r="L25" s="50" t="s">
        <v>654</v>
      </c>
      <c r="M25" s="50" t="s">
        <v>654</v>
      </c>
      <c r="N25" s="50" t="s">
        <v>654</v>
      </c>
      <c r="O25" s="50" t="s">
        <v>654</v>
      </c>
      <c r="P25" s="50" t="s">
        <v>654</v>
      </c>
      <c r="Q25" s="50" t="s">
        <v>654</v>
      </c>
      <c r="R25" s="50" t="s">
        <v>654</v>
      </c>
      <c r="S25" s="50" t="s">
        <v>654</v>
      </c>
    </row>
    <row r="26" spans="2:19" x14ac:dyDescent="0.35">
      <c r="E26" s="50" t="s">
        <v>23</v>
      </c>
      <c r="G26" s="50" t="s">
        <v>835</v>
      </c>
      <c r="H26" s="50" t="s">
        <v>836</v>
      </c>
      <c r="I26" s="50" t="s">
        <v>837</v>
      </c>
      <c r="J26" s="50" t="s">
        <v>838</v>
      </c>
      <c r="K26" s="50" t="s">
        <v>839</v>
      </c>
      <c r="L26" s="50" t="s">
        <v>840</v>
      </c>
      <c r="M26" s="50" t="s">
        <v>841</v>
      </c>
      <c r="N26" s="50" t="s">
        <v>842</v>
      </c>
      <c r="O26" s="50" t="s">
        <v>843</v>
      </c>
      <c r="P26" s="50" t="s">
        <v>844</v>
      </c>
      <c r="Q26" s="50" t="s">
        <v>845</v>
      </c>
      <c r="R26" s="50" t="s">
        <v>846</v>
      </c>
      <c r="S26" s="50" t="s">
        <v>847</v>
      </c>
    </row>
    <row r="28" spans="2:19" x14ac:dyDescent="0.35">
      <c r="E28" s="50" t="s">
        <v>10</v>
      </c>
      <c r="G28" s="50" t="s">
        <v>848</v>
      </c>
      <c r="H28" s="50" t="s">
        <v>849</v>
      </c>
      <c r="I28" s="50" t="s">
        <v>850</v>
      </c>
      <c r="J28" s="50" t="s">
        <v>851</v>
      </c>
      <c r="K28" s="50" t="s">
        <v>852</v>
      </c>
      <c r="L28" s="50" t="s">
        <v>853</v>
      </c>
      <c r="M28" s="50" t="s">
        <v>854</v>
      </c>
      <c r="N28" s="50" t="s">
        <v>855</v>
      </c>
      <c r="O28" s="50" t="s">
        <v>856</v>
      </c>
      <c r="P28" s="50" t="s">
        <v>857</v>
      </c>
      <c r="Q28" s="50" t="s">
        <v>858</v>
      </c>
      <c r="R28" s="50" t="s">
        <v>859</v>
      </c>
      <c r="S28" s="50" t="s">
        <v>860</v>
      </c>
    </row>
    <row r="30" spans="2:19" x14ac:dyDescent="0.35">
      <c r="E30" s="50" t="s">
        <v>7</v>
      </c>
    </row>
    <row r="31" spans="2:19" x14ac:dyDescent="0.35">
      <c r="B31" s="50" t="s">
        <v>704</v>
      </c>
      <c r="E31" s="50" t="s">
        <v>654</v>
      </c>
      <c r="G31" s="50" t="s">
        <v>654</v>
      </c>
      <c r="H31" s="50" t="s">
        <v>654</v>
      </c>
      <c r="I31" s="50" t="s">
        <v>654</v>
      </c>
      <c r="J31" s="50" t="s">
        <v>654</v>
      </c>
      <c r="K31" s="50" t="s">
        <v>654</v>
      </c>
      <c r="L31" s="50" t="s">
        <v>654</v>
      </c>
      <c r="M31" s="50" t="s">
        <v>654</v>
      </c>
      <c r="N31" s="50" t="s">
        <v>654</v>
      </c>
      <c r="O31" s="50" t="s">
        <v>654</v>
      </c>
      <c r="P31" s="50" t="s">
        <v>654</v>
      </c>
      <c r="Q31" s="50" t="s">
        <v>654</v>
      </c>
      <c r="R31" s="50" t="s">
        <v>654</v>
      </c>
      <c r="S31" s="50" t="s">
        <v>654</v>
      </c>
    </row>
    <row r="32" spans="2:19" x14ac:dyDescent="0.35">
      <c r="B32" s="50" t="s">
        <v>705</v>
      </c>
      <c r="E32" s="50" t="s">
        <v>654</v>
      </c>
      <c r="G32" s="50" t="s">
        <v>654</v>
      </c>
      <c r="H32" s="50" t="s">
        <v>654</v>
      </c>
      <c r="I32" s="50" t="s">
        <v>654</v>
      </c>
      <c r="J32" s="50" t="s">
        <v>654</v>
      </c>
      <c r="K32" s="50" t="s">
        <v>654</v>
      </c>
      <c r="L32" s="50" t="s">
        <v>654</v>
      </c>
      <c r="M32" s="50" t="s">
        <v>654</v>
      </c>
      <c r="N32" s="50" t="s">
        <v>654</v>
      </c>
      <c r="O32" s="50" t="s">
        <v>654</v>
      </c>
      <c r="P32" s="50" t="s">
        <v>654</v>
      </c>
      <c r="Q32" s="50" t="s">
        <v>654</v>
      </c>
      <c r="R32" s="50" t="s">
        <v>654</v>
      </c>
      <c r="S32" s="50" t="s">
        <v>654</v>
      </c>
    </row>
    <row r="33" spans="2:19" x14ac:dyDescent="0.35">
      <c r="B33" s="50" t="s">
        <v>706</v>
      </c>
      <c r="E33" s="50" t="s">
        <v>654</v>
      </c>
      <c r="G33" s="50" t="s">
        <v>654</v>
      </c>
      <c r="H33" s="50" t="s">
        <v>654</v>
      </c>
      <c r="I33" s="50" t="s">
        <v>654</v>
      </c>
      <c r="J33" s="50" t="s">
        <v>654</v>
      </c>
      <c r="K33" s="50" t="s">
        <v>654</v>
      </c>
      <c r="L33" s="50" t="s">
        <v>654</v>
      </c>
      <c r="M33" s="50" t="s">
        <v>654</v>
      </c>
      <c r="N33" s="50" t="s">
        <v>654</v>
      </c>
      <c r="O33" s="50" t="s">
        <v>654</v>
      </c>
      <c r="P33" s="50" t="s">
        <v>654</v>
      </c>
      <c r="Q33" s="50" t="s">
        <v>654</v>
      </c>
      <c r="R33" s="50" t="s">
        <v>654</v>
      </c>
      <c r="S33" s="50" t="s">
        <v>654</v>
      </c>
    </row>
    <row r="34" spans="2:19" x14ac:dyDescent="0.35">
      <c r="B34" s="50" t="s">
        <v>707</v>
      </c>
      <c r="E34" s="50" t="s">
        <v>654</v>
      </c>
      <c r="G34" s="50" t="s">
        <v>654</v>
      </c>
      <c r="H34" s="50" t="s">
        <v>654</v>
      </c>
      <c r="I34" s="50" t="s">
        <v>654</v>
      </c>
      <c r="J34" s="50" t="s">
        <v>654</v>
      </c>
      <c r="K34" s="50" t="s">
        <v>654</v>
      </c>
      <c r="L34" s="50" t="s">
        <v>654</v>
      </c>
      <c r="M34" s="50" t="s">
        <v>654</v>
      </c>
      <c r="N34" s="50" t="s">
        <v>654</v>
      </c>
      <c r="O34" s="50" t="s">
        <v>654</v>
      </c>
      <c r="P34" s="50" t="s">
        <v>654</v>
      </c>
      <c r="Q34" s="50" t="s">
        <v>654</v>
      </c>
      <c r="R34" s="50" t="s">
        <v>654</v>
      </c>
      <c r="S34" s="50" t="s">
        <v>654</v>
      </c>
    </row>
    <row r="35" spans="2:19" x14ac:dyDescent="0.35">
      <c r="B35" s="50" t="s">
        <v>708</v>
      </c>
      <c r="E35" s="50" t="s">
        <v>654</v>
      </c>
      <c r="G35" s="50" t="s">
        <v>654</v>
      </c>
      <c r="H35" s="50" t="s">
        <v>654</v>
      </c>
      <c r="I35" s="50" t="s">
        <v>654</v>
      </c>
      <c r="J35" s="50" t="s">
        <v>654</v>
      </c>
      <c r="K35" s="50" t="s">
        <v>654</v>
      </c>
      <c r="L35" s="50" t="s">
        <v>654</v>
      </c>
      <c r="M35" s="50" t="s">
        <v>654</v>
      </c>
      <c r="N35" s="50" t="s">
        <v>654</v>
      </c>
      <c r="O35" s="50" t="s">
        <v>654</v>
      </c>
      <c r="P35" s="50" t="s">
        <v>654</v>
      </c>
      <c r="Q35" s="50" t="s">
        <v>654</v>
      </c>
      <c r="R35" s="50" t="s">
        <v>654</v>
      </c>
      <c r="S35" s="50" t="s">
        <v>654</v>
      </c>
    </row>
    <row r="36" spans="2:19" x14ac:dyDescent="0.35">
      <c r="B36" s="50" t="s">
        <v>709</v>
      </c>
      <c r="E36" s="50" t="s">
        <v>654</v>
      </c>
      <c r="G36" s="50" t="s">
        <v>654</v>
      </c>
      <c r="H36" s="50" t="s">
        <v>654</v>
      </c>
      <c r="I36" s="50" t="s">
        <v>654</v>
      </c>
      <c r="J36" s="50" t="s">
        <v>654</v>
      </c>
      <c r="K36" s="50" t="s">
        <v>654</v>
      </c>
      <c r="L36" s="50" t="s">
        <v>654</v>
      </c>
      <c r="M36" s="50" t="s">
        <v>654</v>
      </c>
      <c r="N36" s="50" t="s">
        <v>654</v>
      </c>
      <c r="O36" s="50" t="s">
        <v>654</v>
      </c>
      <c r="P36" s="50" t="s">
        <v>654</v>
      </c>
      <c r="Q36" s="50" t="s">
        <v>654</v>
      </c>
      <c r="R36" s="50" t="s">
        <v>654</v>
      </c>
      <c r="S36" s="50" t="s">
        <v>654</v>
      </c>
    </row>
    <row r="37" spans="2:19" x14ac:dyDescent="0.35">
      <c r="B37" s="50" t="s">
        <v>710</v>
      </c>
      <c r="E37" s="50" t="s">
        <v>654</v>
      </c>
      <c r="G37" s="50" t="s">
        <v>654</v>
      </c>
      <c r="H37" s="50" t="s">
        <v>654</v>
      </c>
      <c r="I37" s="50" t="s">
        <v>654</v>
      </c>
      <c r="J37" s="50" t="s">
        <v>654</v>
      </c>
      <c r="K37" s="50" t="s">
        <v>654</v>
      </c>
      <c r="L37" s="50" t="s">
        <v>654</v>
      </c>
      <c r="M37" s="50" t="s">
        <v>654</v>
      </c>
      <c r="N37" s="50" t="s">
        <v>654</v>
      </c>
      <c r="O37" s="50" t="s">
        <v>654</v>
      </c>
      <c r="P37" s="50" t="s">
        <v>654</v>
      </c>
      <c r="Q37" s="50" t="s">
        <v>654</v>
      </c>
      <c r="R37" s="50" t="s">
        <v>654</v>
      </c>
      <c r="S37" s="50" t="s">
        <v>654</v>
      </c>
    </row>
    <row r="38" spans="2:19" x14ac:dyDescent="0.35">
      <c r="E38" s="50" t="s">
        <v>8</v>
      </c>
      <c r="G38" s="50" t="s">
        <v>861</v>
      </c>
      <c r="H38" s="50" t="s">
        <v>862</v>
      </c>
      <c r="I38" s="50" t="s">
        <v>863</v>
      </c>
      <c r="J38" s="50" t="s">
        <v>864</v>
      </c>
      <c r="K38" s="50" t="s">
        <v>865</v>
      </c>
      <c r="L38" s="50" t="s">
        <v>866</v>
      </c>
      <c r="M38" s="50" t="s">
        <v>867</v>
      </c>
      <c r="N38" s="50" t="s">
        <v>868</v>
      </c>
      <c r="O38" s="50" t="s">
        <v>869</v>
      </c>
      <c r="P38" s="50" t="s">
        <v>870</v>
      </c>
      <c r="Q38" s="50" t="s">
        <v>871</v>
      </c>
      <c r="R38" s="50" t="s">
        <v>872</v>
      </c>
      <c r="S38" s="50" t="s">
        <v>873</v>
      </c>
    </row>
    <row r="40" spans="2:19" x14ac:dyDescent="0.35">
      <c r="E40" s="50" t="s">
        <v>24</v>
      </c>
      <c r="G40" s="50" t="s">
        <v>874</v>
      </c>
      <c r="H40" s="50" t="s">
        <v>875</v>
      </c>
      <c r="I40" s="50" t="s">
        <v>876</v>
      </c>
      <c r="J40" s="50" t="s">
        <v>877</v>
      </c>
      <c r="K40" s="50" t="s">
        <v>878</v>
      </c>
      <c r="L40" s="50" t="s">
        <v>879</v>
      </c>
      <c r="M40" s="50" t="s">
        <v>880</v>
      </c>
      <c r="N40" s="50" t="s">
        <v>881</v>
      </c>
      <c r="O40" s="50" t="s">
        <v>882</v>
      </c>
      <c r="P40" s="50" t="s">
        <v>883</v>
      </c>
      <c r="Q40" s="50" t="s">
        <v>884</v>
      </c>
      <c r="R40" s="50" t="s">
        <v>885</v>
      </c>
      <c r="S40" s="50" t="s">
        <v>886</v>
      </c>
    </row>
    <row r="42" spans="2:19" x14ac:dyDescent="0.35">
      <c r="E42" s="50" t="s">
        <v>11</v>
      </c>
    </row>
    <row r="43" spans="2:19" x14ac:dyDescent="0.35">
      <c r="B43" s="50" t="s">
        <v>737</v>
      </c>
      <c r="E43" s="50" t="s">
        <v>654</v>
      </c>
      <c r="G43" s="50" t="s">
        <v>654</v>
      </c>
      <c r="H43" s="50" t="s">
        <v>654</v>
      </c>
      <c r="I43" s="50" t="s">
        <v>654</v>
      </c>
      <c r="J43" s="50" t="s">
        <v>654</v>
      </c>
      <c r="K43" s="50" t="s">
        <v>654</v>
      </c>
      <c r="L43" s="50" t="s">
        <v>654</v>
      </c>
      <c r="M43" s="50" t="s">
        <v>654</v>
      </c>
      <c r="N43" s="50" t="s">
        <v>654</v>
      </c>
      <c r="O43" s="50" t="s">
        <v>654</v>
      </c>
      <c r="P43" s="50" t="s">
        <v>654</v>
      </c>
      <c r="Q43" s="50" t="s">
        <v>654</v>
      </c>
      <c r="R43" s="50" t="s">
        <v>654</v>
      </c>
      <c r="S43" s="50" t="s">
        <v>654</v>
      </c>
    </row>
    <row r="44" spans="2:19" x14ac:dyDescent="0.35">
      <c r="B44" s="50" t="s">
        <v>738</v>
      </c>
      <c r="E44" s="50" t="s">
        <v>654</v>
      </c>
      <c r="G44" s="50" t="s">
        <v>654</v>
      </c>
      <c r="H44" s="50" t="s">
        <v>654</v>
      </c>
      <c r="I44" s="50" t="s">
        <v>654</v>
      </c>
      <c r="J44" s="50" t="s">
        <v>654</v>
      </c>
      <c r="K44" s="50" t="s">
        <v>654</v>
      </c>
      <c r="L44" s="50" t="s">
        <v>654</v>
      </c>
      <c r="M44" s="50" t="s">
        <v>654</v>
      </c>
      <c r="N44" s="50" t="s">
        <v>654</v>
      </c>
      <c r="O44" s="50" t="s">
        <v>654</v>
      </c>
      <c r="P44" s="50" t="s">
        <v>654</v>
      </c>
      <c r="Q44" s="50" t="s">
        <v>654</v>
      </c>
      <c r="R44" s="50" t="s">
        <v>654</v>
      </c>
      <c r="S44" s="50" t="s">
        <v>654</v>
      </c>
    </row>
    <row r="45" spans="2:19" x14ac:dyDescent="0.35">
      <c r="B45" s="50" t="s">
        <v>739</v>
      </c>
      <c r="E45" s="50" t="s">
        <v>654</v>
      </c>
      <c r="G45" s="50" t="s">
        <v>654</v>
      </c>
      <c r="H45" s="50" t="s">
        <v>654</v>
      </c>
      <c r="I45" s="50" t="s">
        <v>654</v>
      </c>
      <c r="J45" s="50" t="s">
        <v>654</v>
      </c>
      <c r="K45" s="50" t="s">
        <v>654</v>
      </c>
      <c r="L45" s="50" t="s">
        <v>654</v>
      </c>
      <c r="M45" s="50" t="s">
        <v>654</v>
      </c>
      <c r="N45" s="50" t="s">
        <v>654</v>
      </c>
      <c r="O45" s="50" t="s">
        <v>654</v>
      </c>
      <c r="P45" s="50" t="s">
        <v>654</v>
      </c>
      <c r="Q45" s="50" t="s">
        <v>654</v>
      </c>
      <c r="R45" s="50" t="s">
        <v>654</v>
      </c>
      <c r="S45" s="50" t="s">
        <v>654</v>
      </c>
    </row>
    <row r="46" spans="2:19" x14ac:dyDescent="0.35">
      <c r="B46" s="50" t="s">
        <v>740</v>
      </c>
      <c r="E46" s="50" t="s">
        <v>654</v>
      </c>
      <c r="G46" s="50" t="s">
        <v>654</v>
      </c>
      <c r="H46" s="50" t="s">
        <v>654</v>
      </c>
      <c r="I46" s="50" t="s">
        <v>654</v>
      </c>
      <c r="J46" s="50" t="s">
        <v>654</v>
      </c>
      <c r="K46" s="50" t="s">
        <v>654</v>
      </c>
      <c r="L46" s="50" t="s">
        <v>654</v>
      </c>
      <c r="M46" s="50" t="s">
        <v>654</v>
      </c>
      <c r="N46" s="50" t="s">
        <v>654</v>
      </c>
      <c r="O46" s="50" t="s">
        <v>654</v>
      </c>
      <c r="P46" s="50" t="s">
        <v>654</v>
      </c>
      <c r="Q46" s="50" t="s">
        <v>654</v>
      </c>
      <c r="R46" s="50" t="s">
        <v>654</v>
      </c>
      <c r="S46" s="50" t="s">
        <v>654</v>
      </c>
    </row>
    <row r="47" spans="2:19" x14ac:dyDescent="0.35">
      <c r="B47" s="50" t="s">
        <v>741</v>
      </c>
      <c r="E47" s="50" t="s">
        <v>654</v>
      </c>
      <c r="G47" s="50" t="s">
        <v>654</v>
      </c>
      <c r="H47" s="50" t="s">
        <v>654</v>
      </c>
      <c r="I47" s="50" t="s">
        <v>654</v>
      </c>
      <c r="J47" s="50" t="s">
        <v>654</v>
      </c>
      <c r="K47" s="50" t="s">
        <v>654</v>
      </c>
      <c r="L47" s="50" t="s">
        <v>654</v>
      </c>
      <c r="M47" s="50" t="s">
        <v>654</v>
      </c>
      <c r="N47" s="50" t="s">
        <v>654</v>
      </c>
      <c r="O47" s="50" t="s">
        <v>654</v>
      </c>
      <c r="P47" s="50" t="s">
        <v>654</v>
      </c>
      <c r="Q47" s="50" t="s">
        <v>654</v>
      </c>
      <c r="R47" s="50" t="s">
        <v>654</v>
      </c>
      <c r="S47" s="50" t="s">
        <v>654</v>
      </c>
    </row>
    <row r="48" spans="2:19" x14ac:dyDescent="0.35">
      <c r="B48" s="50" t="s">
        <v>742</v>
      </c>
      <c r="E48" s="50" t="s">
        <v>654</v>
      </c>
      <c r="G48" s="50" t="s">
        <v>654</v>
      </c>
      <c r="H48" s="50" t="s">
        <v>654</v>
      </c>
      <c r="I48" s="50" t="s">
        <v>654</v>
      </c>
      <c r="J48" s="50" t="s">
        <v>654</v>
      </c>
      <c r="K48" s="50" t="s">
        <v>654</v>
      </c>
      <c r="L48" s="50" t="s">
        <v>654</v>
      </c>
      <c r="M48" s="50" t="s">
        <v>654</v>
      </c>
      <c r="N48" s="50" t="s">
        <v>654</v>
      </c>
      <c r="O48" s="50" t="s">
        <v>654</v>
      </c>
      <c r="P48" s="50" t="s">
        <v>654</v>
      </c>
      <c r="Q48" s="50" t="s">
        <v>654</v>
      </c>
      <c r="R48" s="50" t="s">
        <v>654</v>
      </c>
      <c r="S48" s="50" t="s">
        <v>654</v>
      </c>
    </row>
    <row r="49" spans="2:19" x14ac:dyDescent="0.35">
      <c r="E49" s="50" t="s">
        <v>12</v>
      </c>
      <c r="G49" s="50" t="s">
        <v>887</v>
      </c>
      <c r="H49" s="50" t="s">
        <v>888</v>
      </c>
      <c r="I49" s="50" t="s">
        <v>889</v>
      </c>
      <c r="J49" s="50" t="s">
        <v>890</v>
      </c>
      <c r="K49" s="50" t="s">
        <v>891</v>
      </c>
      <c r="L49" s="50" t="s">
        <v>892</v>
      </c>
      <c r="M49" s="50" t="s">
        <v>893</v>
      </c>
      <c r="N49" s="50" t="s">
        <v>894</v>
      </c>
      <c r="O49" s="50" t="s">
        <v>895</v>
      </c>
      <c r="P49" s="50" t="s">
        <v>896</v>
      </c>
      <c r="Q49" s="50" t="s">
        <v>897</v>
      </c>
      <c r="R49" s="50" t="s">
        <v>898</v>
      </c>
      <c r="S49" s="50" t="s">
        <v>899</v>
      </c>
    </row>
    <row r="51" spans="2:19" x14ac:dyDescent="0.35">
      <c r="E51" s="50" t="s">
        <v>9</v>
      </c>
      <c r="G51" s="50" t="s">
        <v>900</v>
      </c>
      <c r="H51" s="50" t="s">
        <v>901</v>
      </c>
      <c r="I51" s="50" t="s">
        <v>902</v>
      </c>
      <c r="J51" s="50" t="s">
        <v>903</v>
      </c>
      <c r="K51" s="50" t="s">
        <v>904</v>
      </c>
      <c r="L51" s="50" t="s">
        <v>905</v>
      </c>
      <c r="M51" s="50" t="s">
        <v>906</v>
      </c>
      <c r="N51" s="50" t="s">
        <v>907</v>
      </c>
      <c r="O51" s="50" t="s">
        <v>908</v>
      </c>
      <c r="P51" s="50" t="s">
        <v>909</v>
      </c>
      <c r="Q51" s="50" t="s">
        <v>910</v>
      </c>
      <c r="R51" s="50" t="s">
        <v>911</v>
      </c>
      <c r="S51" s="50" t="s">
        <v>912</v>
      </c>
    </row>
    <row r="53" spans="2:19" x14ac:dyDescent="0.35">
      <c r="B53" s="50" t="s">
        <v>769</v>
      </c>
      <c r="E53" s="50" t="s">
        <v>654</v>
      </c>
      <c r="G53" s="50" t="s">
        <v>654</v>
      </c>
      <c r="H53" s="50" t="s">
        <v>654</v>
      </c>
      <c r="I53" s="50" t="s">
        <v>654</v>
      </c>
      <c r="J53" s="50" t="s">
        <v>654</v>
      </c>
      <c r="K53" s="50" t="s">
        <v>654</v>
      </c>
      <c r="L53" s="50" t="s">
        <v>654</v>
      </c>
      <c r="M53" s="50" t="s">
        <v>654</v>
      </c>
      <c r="N53" s="50" t="s">
        <v>654</v>
      </c>
      <c r="O53" s="50" t="s">
        <v>654</v>
      </c>
      <c r="P53" s="50" t="s">
        <v>654</v>
      </c>
      <c r="Q53" s="50" t="s">
        <v>654</v>
      </c>
      <c r="R53" s="50" t="s">
        <v>654</v>
      </c>
      <c r="S53" s="50" t="s">
        <v>654</v>
      </c>
    </row>
    <row r="55" spans="2:19" x14ac:dyDescent="0.35">
      <c r="E55" s="50" t="s">
        <v>13</v>
      </c>
      <c r="G55" s="50" t="s">
        <v>913</v>
      </c>
      <c r="H55" s="50" t="s">
        <v>914</v>
      </c>
      <c r="I55" s="50" t="s">
        <v>915</v>
      </c>
      <c r="J55" s="50" t="s">
        <v>916</v>
      </c>
      <c r="K55" s="50" t="s">
        <v>917</v>
      </c>
      <c r="L55" s="50" t="s">
        <v>918</v>
      </c>
      <c r="M55" s="50" t="s">
        <v>919</v>
      </c>
      <c r="N55" s="50" t="s">
        <v>920</v>
      </c>
      <c r="O55" s="50" t="s">
        <v>921</v>
      </c>
      <c r="P55" s="50" t="s">
        <v>922</v>
      </c>
      <c r="Q55" s="50" t="s">
        <v>923</v>
      </c>
      <c r="R55" s="50" t="s">
        <v>924</v>
      </c>
      <c r="S55" s="50" t="s">
        <v>925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52"/>
  <sheetViews>
    <sheetView workbookViewId="0"/>
  </sheetViews>
  <sheetFormatPr defaultRowHeight="14.5" x14ac:dyDescent="0.35"/>
  <sheetData>
    <row r="1" spans="1:18" x14ac:dyDescent="0.35">
      <c r="A1" s="50" t="s">
        <v>1324</v>
      </c>
      <c r="B1" s="50" t="s">
        <v>14</v>
      </c>
      <c r="D1" s="50" t="s">
        <v>15</v>
      </c>
      <c r="F1" s="50" t="s">
        <v>15</v>
      </c>
      <c r="G1" s="50" t="s">
        <v>15</v>
      </c>
      <c r="H1" s="50" t="s">
        <v>15</v>
      </c>
      <c r="I1" s="50" t="s">
        <v>15</v>
      </c>
      <c r="J1" s="50" t="s">
        <v>15</v>
      </c>
      <c r="K1" s="50" t="s">
        <v>15</v>
      </c>
      <c r="L1" s="50" t="s">
        <v>15</v>
      </c>
      <c r="M1" s="50" t="s">
        <v>15</v>
      </c>
      <c r="N1" s="50" t="s">
        <v>15</v>
      </c>
      <c r="O1" s="50" t="s">
        <v>15</v>
      </c>
      <c r="P1" s="50" t="s">
        <v>15</v>
      </c>
      <c r="Q1" s="50" t="s">
        <v>15</v>
      </c>
      <c r="R1" s="50" t="s">
        <v>15</v>
      </c>
    </row>
    <row r="2" spans="1:18" x14ac:dyDescent="0.35">
      <c r="A2" s="50" t="s">
        <v>14</v>
      </c>
      <c r="F2" s="50" t="s">
        <v>18</v>
      </c>
      <c r="G2" s="50" t="s">
        <v>18</v>
      </c>
      <c r="H2" s="50" t="s">
        <v>18</v>
      </c>
      <c r="I2" s="50" t="s">
        <v>18</v>
      </c>
      <c r="J2" s="50" t="s">
        <v>18</v>
      </c>
      <c r="K2" s="50" t="s">
        <v>18</v>
      </c>
      <c r="L2" s="50" t="s">
        <v>18</v>
      </c>
      <c r="M2" s="50" t="s">
        <v>18</v>
      </c>
      <c r="N2" s="50" t="s">
        <v>18</v>
      </c>
      <c r="O2" s="50" t="s">
        <v>18</v>
      </c>
      <c r="P2" s="50" t="s">
        <v>18</v>
      </c>
      <c r="Q2" s="50" t="s">
        <v>18</v>
      </c>
      <c r="R2" s="50" t="s">
        <v>20</v>
      </c>
    </row>
    <row r="4" spans="1:18" x14ac:dyDescent="0.35">
      <c r="D4" s="50" t="s">
        <v>0</v>
      </c>
      <c r="Q4" s="50" t="s">
        <v>16</v>
      </c>
      <c r="R4" s="50" t="s">
        <v>33</v>
      </c>
    </row>
    <row r="6" spans="1:18" x14ac:dyDescent="0.35">
      <c r="F6" s="50" t="s">
        <v>34</v>
      </c>
      <c r="G6" s="50" t="s">
        <v>35</v>
      </c>
      <c r="H6" s="50" t="s">
        <v>36</v>
      </c>
      <c r="I6" s="50" t="s">
        <v>37</v>
      </c>
      <c r="J6" s="50" t="s">
        <v>38</v>
      </c>
      <c r="K6" s="50" t="s">
        <v>39</v>
      </c>
      <c r="L6" s="50" t="s">
        <v>40</v>
      </c>
      <c r="M6" s="50" t="s">
        <v>41</v>
      </c>
      <c r="N6" s="50" t="s">
        <v>42</v>
      </c>
      <c r="O6" s="50" t="s">
        <v>43</v>
      </c>
      <c r="P6" s="50" t="s">
        <v>44</v>
      </c>
      <c r="Q6" s="50" t="s">
        <v>45</v>
      </c>
      <c r="R6" s="50" t="s">
        <v>33</v>
      </c>
    </row>
    <row r="7" spans="1:18" x14ac:dyDescent="0.35">
      <c r="A7" s="50" t="s">
        <v>14</v>
      </c>
      <c r="B7" s="50" t="s">
        <v>25</v>
      </c>
      <c r="F7" s="50" t="s">
        <v>46</v>
      </c>
      <c r="G7" s="50" t="s">
        <v>47</v>
      </c>
      <c r="H7" s="50" t="s">
        <v>48</v>
      </c>
      <c r="I7" s="50" t="s">
        <v>49</v>
      </c>
      <c r="J7" s="50" t="s">
        <v>50</v>
      </c>
      <c r="K7" s="50" t="s">
        <v>51</v>
      </c>
      <c r="L7" s="50" t="s">
        <v>52</v>
      </c>
      <c r="M7" s="50" t="s">
        <v>53</v>
      </c>
      <c r="N7" s="50" t="s">
        <v>54</v>
      </c>
      <c r="O7" s="50" t="s">
        <v>55</v>
      </c>
      <c r="P7" s="50" t="s">
        <v>56</v>
      </c>
      <c r="Q7" s="50" t="s">
        <v>57</v>
      </c>
      <c r="R7" s="50" t="s">
        <v>58</v>
      </c>
    </row>
    <row r="8" spans="1:18" x14ac:dyDescent="0.35">
      <c r="A8" s="50" t="s">
        <v>14</v>
      </c>
      <c r="F8" s="50" t="s">
        <v>59</v>
      </c>
      <c r="G8" s="50" t="s">
        <v>60</v>
      </c>
      <c r="H8" s="50" t="s">
        <v>61</v>
      </c>
      <c r="I8" s="50" t="s">
        <v>62</v>
      </c>
      <c r="J8" s="50" t="s">
        <v>63</v>
      </c>
      <c r="K8" s="50" t="s">
        <v>64</v>
      </c>
      <c r="L8" s="50" t="s">
        <v>65</v>
      </c>
      <c r="M8" s="50" t="s">
        <v>66</v>
      </c>
      <c r="N8" s="50" t="s">
        <v>67</v>
      </c>
      <c r="O8" s="50" t="s">
        <v>68</v>
      </c>
      <c r="P8" s="50" t="s">
        <v>69</v>
      </c>
      <c r="Q8" s="50" t="s">
        <v>70</v>
      </c>
      <c r="R8" s="50" t="s">
        <v>71</v>
      </c>
    </row>
    <row r="9" spans="1:18" x14ac:dyDescent="0.35">
      <c r="B9" s="50" t="s">
        <v>22</v>
      </c>
      <c r="D9" s="50" t="s">
        <v>5</v>
      </c>
    </row>
    <row r="10" spans="1:18" x14ac:dyDescent="0.35">
      <c r="B10" s="50" t="s">
        <v>655</v>
      </c>
      <c r="D10" s="50" t="s">
        <v>72</v>
      </c>
      <c r="F10" s="50" t="s">
        <v>73</v>
      </c>
      <c r="G10" s="50" t="s">
        <v>74</v>
      </c>
      <c r="H10" s="50" t="s">
        <v>75</v>
      </c>
      <c r="I10" s="50" t="s">
        <v>76</v>
      </c>
      <c r="J10" s="50" t="s">
        <v>77</v>
      </c>
      <c r="K10" s="50" t="s">
        <v>78</v>
      </c>
      <c r="L10" s="50" t="s">
        <v>79</v>
      </c>
      <c r="M10" s="50" t="s">
        <v>80</v>
      </c>
      <c r="N10" s="50" t="s">
        <v>81</v>
      </c>
      <c r="O10" s="50" t="s">
        <v>82</v>
      </c>
      <c r="P10" s="50" t="s">
        <v>83</v>
      </c>
      <c r="Q10" s="50" t="s">
        <v>84</v>
      </c>
      <c r="R10" s="50" t="s">
        <v>85</v>
      </c>
    </row>
    <row r="11" spans="1:18" x14ac:dyDescent="0.35">
      <c r="B11" s="50" t="s">
        <v>656</v>
      </c>
      <c r="D11" s="50" t="s">
        <v>86</v>
      </c>
      <c r="F11" s="50" t="s">
        <v>87</v>
      </c>
      <c r="G11" s="50" t="s">
        <v>88</v>
      </c>
      <c r="H11" s="50" t="s">
        <v>89</v>
      </c>
      <c r="I11" s="50" t="s">
        <v>90</v>
      </c>
      <c r="J11" s="50" t="s">
        <v>91</v>
      </c>
      <c r="K11" s="50" t="s">
        <v>92</v>
      </c>
      <c r="L11" s="50" t="s">
        <v>93</v>
      </c>
      <c r="M11" s="50" t="s">
        <v>94</v>
      </c>
      <c r="N11" s="50" t="s">
        <v>95</v>
      </c>
      <c r="O11" s="50" t="s">
        <v>96</v>
      </c>
      <c r="P11" s="50" t="s">
        <v>97</v>
      </c>
      <c r="Q11" s="50" t="s">
        <v>98</v>
      </c>
      <c r="R11" s="50" t="s">
        <v>99</v>
      </c>
    </row>
    <row r="12" spans="1:18" x14ac:dyDescent="0.35">
      <c r="B12" s="50" t="s">
        <v>657</v>
      </c>
      <c r="D12" s="50" t="s">
        <v>100</v>
      </c>
      <c r="F12" s="50" t="s">
        <v>101</v>
      </c>
      <c r="G12" s="50" t="s">
        <v>102</v>
      </c>
      <c r="H12" s="50" t="s">
        <v>103</v>
      </c>
      <c r="I12" s="50" t="s">
        <v>104</v>
      </c>
      <c r="J12" s="50" t="s">
        <v>105</v>
      </c>
      <c r="K12" s="50" t="s">
        <v>106</v>
      </c>
      <c r="L12" s="50" t="s">
        <v>107</v>
      </c>
      <c r="M12" s="50" t="s">
        <v>108</v>
      </c>
      <c r="N12" s="50" t="s">
        <v>109</v>
      </c>
      <c r="O12" s="50" t="s">
        <v>110</v>
      </c>
      <c r="P12" s="50" t="s">
        <v>111</v>
      </c>
      <c r="Q12" s="50" t="s">
        <v>112</v>
      </c>
      <c r="R12" s="50" t="s">
        <v>113</v>
      </c>
    </row>
    <row r="13" spans="1:18" x14ac:dyDescent="0.35">
      <c r="B13" s="50" t="s">
        <v>658</v>
      </c>
      <c r="D13" s="50" t="s">
        <v>114</v>
      </c>
      <c r="F13" s="50" t="s">
        <v>115</v>
      </c>
      <c r="G13" s="50" t="s">
        <v>116</v>
      </c>
      <c r="H13" s="50" t="s">
        <v>117</v>
      </c>
      <c r="I13" s="50" t="s">
        <v>118</v>
      </c>
      <c r="J13" s="50" t="s">
        <v>119</v>
      </c>
      <c r="K13" s="50" t="s">
        <v>120</v>
      </c>
      <c r="L13" s="50" t="s">
        <v>121</v>
      </c>
      <c r="M13" s="50" t="s">
        <v>122</v>
      </c>
      <c r="N13" s="50" t="s">
        <v>123</v>
      </c>
      <c r="O13" s="50" t="s">
        <v>124</v>
      </c>
      <c r="P13" s="50" t="s">
        <v>125</v>
      </c>
      <c r="Q13" s="50" t="s">
        <v>126</v>
      </c>
      <c r="R13" s="50" t="s">
        <v>127</v>
      </c>
    </row>
    <row r="14" spans="1:18" x14ac:dyDescent="0.35">
      <c r="B14" s="50" t="s">
        <v>659</v>
      </c>
      <c r="D14" s="50" t="s">
        <v>128</v>
      </c>
      <c r="F14" s="50" t="s">
        <v>129</v>
      </c>
      <c r="G14" s="50" t="s">
        <v>130</v>
      </c>
      <c r="H14" s="50" t="s">
        <v>131</v>
      </c>
      <c r="I14" s="50" t="s">
        <v>132</v>
      </c>
      <c r="J14" s="50" t="s">
        <v>133</v>
      </c>
      <c r="K14" s="50" t="s">
        <v>134</v>
      </c>
      <c r="L14" s="50" t="s">
        <v>135</v>
      </c>
      <c r="M14" s="50" t="s">
        <v>136</v>
      </c>
      <c r="N14" s="50" t="s">
        <v>137</v>
      </c>
      <c r="O14" s="50" t="s">
        <v>138</v>
      </c>
      <c r="P14" s="50" t="s">
        <v>139</v>
      </c>
      <c r="Q14" s="50" t="s">
        <v>140</v>
      </c>
      <c r="R14" s="50" t="s">
        <v>141</v>
      </c>
    </row>
    <row r="15" spans="1:18" x14ac:dyDescent="0.35">
      <c r="B15" s="50" t="s">
        <v>660</v>
      </c>
      <c r="D15" s="50" t="s">
        <v>142</v>
      </c>
      <c r="F15" s="50" t="s">
        <v>143</v>
      </c>
      <c r="G15" s="50" t="s">
        <v>144</v>
      </c>
      <c r="H15" s="50" t="s">
        <v>145</v>
      </c>
      <c r="I15" s="50" t="s">
        <v>146</v>
      </c>
      <c r="J15" s="50" t="s">
        <v>147</v>
      </c>
      <c r="K15" s="50" t="s">
        <v>148</v>
      </c>
      <c r="L15" s="50" t="s">
        <v>149</v>
      </c>
      <c r="M15" s="50" t="s">
        <v>150</v>
      </c>
      <c r="N15" s="50" t="s">
        <v>151</v>
      </c>
      <c r="O15" s="50" t="s">
        <v>152</v>
      </c>
      <c r="P15" s="50" t="s">
        <v>153</v>
      </c>
      <c r="Q15" s="50" t="s">
        <v>154</v>
      </c>
      <c r="R15" s="50" t="s">
        <v>155</v>
      </c>
    </row>
    <row r="16" spans="1:18" x14ac:dyDescent="0.35">
      <c r="D16" s="50" t="s">
        <v>6</v>
      </c>
      <c r="F16" s="50" t="s">
        <v>661</v>
      </c>
      <c r="G16" s="50" t="s">
        <v>662</v>
      </c>
      <c r="H16" s="50" t="s">
        <v>663</v>
      </c>
      <c r="I16" s="50" t="s">
        <v>664</v>
      </c>
      <c r="J16" s="50" t="s">
        <v>665</v>
      </c>
      <c r="K16" s="50" t="s">
        <v>666</v>
      </c>
      <c r="L16" s="50" t="s">
        <v>667</v>
      </c>
      <c r="M16" s="50" t="s">
        <v>668</v>
      </c>
      <c r="N16" s="50" t="s">
        <v>669</v>
      </c>
      <c r="O16" s="50" t="s">
        <v>670</v>
      </c>
      <c r="P16" s="50" t="s">
        <v>671</v>
      </c>
      <c r="Q16" s="50" t="s">
        <v>672</v>
      </c>
      <c r="R16" s="50" t="s">
        <v>673</v>
      </c>
    </row>
    <row r="18" spans="2:18" x14ac:dyDescent="0.35">
      <c r="D18" s="50" t="s">
        <v>21</v>
      </c>
    </row>
    <row r="19" spans="2:18" x14ac:dyDescent="0.35">
      <c r="B19" s="50" t="s">
        <v>674</v>
      </c>
      <c r="D19" s="50" t="s">
        <v>159</v>
      </c>
      <c r="F19" s="50" t="s">
        <v>160</v>
      </c>
      <c r="G19" s="50" t="s">
        <v>161</v>
      </c>
      <c r="H19" s="50" t="s">
        <v>162</v>
      </c>
      <c r="I19" s="50" t="s">
        <v>163</v>
      </c>
      <c r="J19" s="50" t="s">
        <v>164</v>
      </c>
      <c r="K19" s="50" t="s">
        <v>165</v>
      </c>
      <c r="L19" s="50" t="s">
        <v>166</v>
      </c>
      <c r="M19" s="50" t="s">
        <v>167</v>
      </c>
      <c r="N19" s="50" t="s">
        <v>168</v>
      </c>
      <c r="O19" s="50" t="s">
        <v>169</v>
      </c>
      <c r="P19" s="50" t="s">
        <v>170</v>
      </c>
      <c r="Q19" s="50" t="s">
        <v>171</v>
      </c>
      <c r="R19" s="50" t="s">
        <v>172</v>
      </c>
    </row>
    <row r="20" spans="2:18" x14ac:dyDescent="0.35">
      <c r="B20" s="50" t="s">
        <v>675</v>
      </c>
      <c r="D20" s="50" t="s">
        <v>927</v>
      </c>
      <c r="F20" s="50" t="s">
        <v>969</v>
      </c>
      <c r="G20" s="50" t="s">
        <v>970</v>
      </c>
      <c r="H20" s="50" t="s">
        <v>971</v>
      </c>
      <c r="I20" s="50" t="s">
        <v>972</v>
      </c>
      <c r="J20" s="50" t="s">
        <v>973</v>
      </c>
      <c r="K20" s="50" t="s">
        <v>974</v>
      </c>
      <c r="L20" s="50" t="s">
        <v>975</v>
      </c>
      <c r="M20" s="50" t="s">
        <v>976</v>
      </c>
      <c r="N20" s="50" t="s">
        <v>977</v>
      </c>
      <c r="O20" s="50" t="s">
        <v>978</v>
      </c>
      <c r="P20" s="50" t="s">
        <v>979</v>
      </c>
      <c r="Q20" s="50" t="s">
        <v>980</v>
      </c>
      <c r="R20" s="50" t="s">
        <v>981</v>
      </c>
    </row>
    <row r="21" spans="2:18" x14ac:dyDescent="0.35">
      <c r="B21" s="50" t="s">
        <v>676</v>
      </c>
      <c r="D21" s="50" t="s">
        <v>941</v>
      </c>
      <c r="F21" s="50" t="s">
        <v>982</v>
      </c>
      <c r="G21" s="50" t="s">
        <v>983</v>
      </c>
      <c r="H21" s="50" t="s">
        <v>984</v>
      </c>
      <c r="I21" s="50" t="s">
        <v>985</v>
      </c>
      <c r="J21" s="50" t="s">
        <v>986</v>
      </c>
      <c r="K21" s="50" t="s">
        <v>987</v>
      </c>
      <c r="L21" s="50" t="s">
        <v>988</v>
      </c>
      <c r="M21" s="50" t="s">
        <v>989</v>
      </c>
      <c r="N21" s="50" t="s">
        <v>990</v>
      </c>
      <c r="O21" s="50" t="s">
        <v>991</v>
      </c>
      <c r="P21" s="50" t="s">
        <v>992</v>
      </c>
      <c r="Q21" s="50" t="s">
        <v>993</v>
      </c>
      <c r="R21" s="50" t="s">
        <v>994</v>
      </c>
    </row>
    <row r="22" spans="2:18" x14ac:dyDescent="0.35">
      <c r="B22" s="50" t="s">
        <v>677</v>
      </c>
      <c r="D22" s="50" t="s">
        <v>955</v>
      </c>
      <c r="F22" s="50" t="s">
        <v>995</v>
      </c>
      <c r="G22" s="50" t="s">
        <v>996</v>
      </c>
      <c r="H22" s="50" t="s">
        <v>997</v>
      </c>
      <c r="I22" s="50" t="s">
        <v>998</v>
      </c>
      <c r="J22" s="50" t="s">
        <v>999</v>
      </c>
      <c r="K22" s="50" t="s">
        <v>1000</v>
      </c>
      <c r="L22" s="50" t="s">
        <v>1001</v>
      </c>
      <c r="M22" s="50" t="s">
        <v>1002</v>
      </c>
      <c r="N22" s="50" t="s">
        <v>1003</v>
      </c>
      <c r="O22" s="50" t="s">
        <v>1004</v>
      </c>
      <c r="P22" s="50" t="s">
        <v>1005</v>
      </c>
      <c r="Q22" s="50" t="s">
        <v>1006</v>
      </c>
      <c r="R22" s="50" t="s">
        <v>1007</v>
      </c>
    </row>
    <row r="23" spans="2:18" x14ac:dyDescent="0.35">
      <c r="D23" s="50" t="s">
        <v>23</v>
      </c>
      <c r="F23" s="50" t="s">
        <v>678</v>
      </c>
      <c r="G23" s="50" t="s">
        <v>679</v>
      </c>
      <c r="H23" s="50" t="s">
        <v>680</v>
      </c>
      <c r="I23" s="50" t="s">
        <v>681</v>
      </c>
      <c r="J23" s="50" t="s">
        <v>682</v>
      </c>
      <c r="K23" s="50" t="s">
        <v>683</v>
      </c>
      <c r="L23" s="50" t="s">
        <v>684</v>
      </c>
      <c r="M23" s="50" t="s">
        <v>685</v>
      </c>
      <c r="N23" s="50" t="s">
        <v>686</v>
      </c>
      <c r="O23" s="50" t="s">
        <v>687</v>
      </c>
      <c r="P23" s="50" t="s">
        <v>688</v>
      </c>
      <c r="Q23" s="50" t="s">
        <v>689</v>
      </c>
      <c r="R23" s="50" t="s">
        <v>690</v>
      </c>
    </row>
    <row r="25" spans="2:18" x14ac:dyDescent="0.35">
      <c r="D25" s="50" t="s">
        <v>10</v>
      </c>
      <c r="F25" s="50" t="s">
        <v>691</v>
      </c>
      <c r="G25" s="50" t="s">
        <v>692</v>
      </c>
      <c r="H25" s="50" t="s">
        <v>693</v>
      </c>
      <c r="I25" s="50" t="s">
        <v>694</v>
      </c>
      <c r="J25" s="50" t="s">
        <v>695</v>
      </c>
      <c r="K25" s="50" t="s">
        <v>696</v>
      </c>
      <c r="L25" s="50" t="s">
        <v>697</v>
      </c>
      <c r="M25" s="50" t="s">
        <v>698</v>
      </c>
      <c r="N25" s="50" t="s">
        <v>699</v>
      </c>
      <c r="O25" s="50" t="s">
        <v>700</v>
      </c>
      <c r="P25" s="50" t="s">
        <v>701</v>
      </c>
      <c r="Q25" s="50" t="s">
        <v>702</v>
      </c>
      <c r="R25" s="50" t="s">
        <v>703</v>
      </c>
    </row>
    <row r="27" spans="2:18" x14ac:dyDescent="0.35">
      <c r="D27" s="50" t="s">
        <v>7</v>
      </c>
    </row>
    <row r="28" spans="2:18" x14ac:dyDescent="0.35">
      <c r="B28" s="50" t="s">
        <v>704</v>
      </c>
      <c r="D28" s="50" t="s">
        <v>176</v>
      </c>
      <c r="F28" s="50" t="s">
        <v>177</v>
      </c>
      <c r="G28" s="50" t="s">
        <v>178</v>
      </c>
      <c r="H28" s="50" t="s">
        <v>179</v>
      </c>
      <c r="I28" s="50" t="s">
        <v>180</v>
      </c>
      <c r="J28" s="50" t="s">
        <v>181</v>
      </c>
      <c r="K28" s="50" t="s">
        <v>182</v>
      </c>
      <c r="L28" s="50" t="s">
        <v>183</v>
      </c>
      <c r="M28" s="50" t="s">
        <v>184</v>
      </c>
      <c r="N28" s="50" t="s">
        <v>185</v>
      </c>
      <c r="O28" s="50" t="s">
        <v>186</v>
      </c>
      <c r="P28" s="50" t="s">
        <v>187</v>
      </c>
      <c r="Q28" s="50" t="s">
        <v>188</v>
      </c>
      <c r="R28" s="50" t="s">
        <v>189</v>
      </c>
    </row>
    <row r="29" spans="2:18" x14ac:dyDescent="0.35">
      <c r="B29" s="50" t="s">
        <v>705</v>
      </c>
      <c r="D29" s="50" t="s">
        <v>190</v>
      </c>
      <c r="F29" s="50" t="s">
        <v>191</v>
      </c>
      <c r="G29" s="50" t="s">
        <v>192</v>
      </c>
      <c r="H29" s="50" t="s">
        <v>193</v>
      </c>
      <c r="I29" s="50" t="s">
        <v>194</v>
      </c>
      <c r="J29" s="50" t="s">
        <v>195</v>
      </c>
      <c r="K29" s="50" t="s">
        <v>196</v>
      </c>
      <c r="L29" s="50" t="s">
        <v>197</v>
      </c>
      <c r="M29" s="50" t="s">
        <v>198</v>
      </c>
      <c r="N29" s="50" t="s">
        <v>199</v>
      </c>
      <c r="O29" s="50" t="s">
        <v>200</v>
      </c>
      <c r="P29" s="50" t="s">
        <v>201</v>
      </c>
      <c r="Q29" s="50" t="s">
        <v>202</v>
      </c>
      <c r="R29" s="50" t="s">
        <v>203</v>
      </c>
    </row>
    <row r="30" spans="2:18" x14ac:dyDescent="0.35">
      <c r="B30" s="50" t="s">
        <v>706</v>
      </c>
      <c r="D30" s="50" t="s">
        <v>204</v>
      </c>
      <c r="F30" s="50" t="s">
        <v>205</v>
      </c>
      <c r="G30" s="50" t="s">
        <v>206</v>
      </c>
      <c r="H30" s="50" t="s">
        <v>207</v>
      </c>
      <c r="I30" s="50" t="s">
        <v>208</v>
      </c>
      <c r="J30" s="50" t="s">
        <v>209</v>
      </c>
      <c r="K30" s="50" t="s">
        <v>210</v>
      </c>
      <c r="L30" s="50" t="s">
        <v>211</v>
      </c>
      <c r="M30" s="50" t="s">
        <v>212</v>
      </c>
      <c r="N30" s="50" t="s">
        <v>213</v>
      </c>
      <c r="O30" s="50" t="s">
        <v>214</v>
      </c>
      <c r="P30" s="50" t="s">
        <v>215</v>
      </c>
      <c r="Q30" s="50" t="s">
        <v>216</v>
      </c>
      <c r="R30" s="50" t="s">
        <v>217</v>
      </c>
    </row>
    <row r="31" spans="2:18" x14ac:dyDescent="0.35">
      <c r="B31" s="50" t="s">
        <v>707</v>
      </c>
      <c r="D31" s="50" t="s">
        <v>218</v>
      </c>
      <c r="F31" s="50" t="s">
        <v>219</v>
      </c>
      <c r="G31" s="50" t="s">
        <v>220</v>
      </c>
      <c r="H31" s="50" t="s">
        <v>221</v>
      </c>
      <c r="I31" s="50" t="s">
        <v>222</v>
      </c>
      <c r="J31" s="50" t="s">
        <v>223</v>
      </c>
      <c r="K31" s="50" t="s">
        <v>224</v>
      </c>
      <c r="L31" s="50" t="s">
        <v>225</v>
      </c>
      <c r="M31" s="50" t="s">
        <v>226</v>
      </c>
      <c r="N31" s="50" t="s">
        <v>227</v>
      </c>
      <c r="O31" s="50" t="s">
        <v>228</v>
      </c>
      <c r="P31" s="50" t="s">
        <v>229</v>
      </c>
      <c r="Q31" s="50" t="s">
        <v>230</v>
      </c>
      <c r="R31" s="50" t="s">
        <v>231</v>
      </c>
    </row>
    <row r="32" spans="2:18" x14ac:dyDescent="0.35">
      <c r="B32" s="50" t="s">
        <v>708</v>
      </c>
      <c r="D32" s="50" t="s">
        <v>232</v>
      </c>
      <c r="F32" s="50" t="s">
        <v>233</v>
      </c>
      <c r="G32" s="50" t="s">
        <v>234</v>
      </c>
      <c r="H32" s="50" t="s">
        <v>235</v>
      </c>
      <c r="I32" s="50" t="s">
        <v>236</v>
      </c>
      <c r="J32" s="50" t="s">
        <v>237</v>
      </c>
      <c r="K32" s="50" t="s">
        <v>238</v>
      </c>
      <c r="L32" s="50" t="s">
        <v>239</v>
      </c>
      <c r="M32" s="50" t="s">
        <v>240</v>
      </c>
      <c r="N32" s="50" t="s">
        <v>241</v>
      </c>
      <c r="O32" s="50" t="s">
        <v>242</v>
      </c>
      <c r="P32" s="50" t="s">
        <v>243</v>
      </c>
      <c r="Q32" s="50" t="s">
        <v>244</v>
      </c>
      <c r="R32" s="50" t="s">
        <v>245</v>
      </c>
    </row>
    <row r="33" spans="2:18" x14ac:dyDescent="0.35">
      <c r="B33" s="50" t="s">
        <v>709</v>
      </c>
      <c r="D33" s="50" t="s">
        <v>246</v>
      </c>
      <c r="F33" s="50" t="s">
        <v>247</v>
      </c>
      <c r="G33" s="50" t="s">
        <v>248</v>
      </c>
      <c r="H33" s="50" t="s">
        <v>249</v>
      </c>
      <c r="I33" s="50" t="s">
        <v>250</v>
      </c>
      <c r="J33" s="50" t="s">
        <v>251</v>
      </c>
      <c r="K33" s="50" t="s">
        <v>252</v>
      </c>
      <c r="L33" s="50" t="s">
        <v>253</v>
      </c>
      <c r="M33" s="50" t="s">
        <v>254</v>
      </c>
      <c r="N33" s="50" t="s">
        <v>255</v>
      </c>
      <c r="O33" s="50" t="s">
        <v>256</v>
      </c>
      <c r="P33" s="50" t="s">
        <v>257</v>
      </c>
      <c r="Q33" s="50" t="s">
        <v>258</v>
      </c>
      <c r="R33" s="50" t="s">
        <v>259</v>
      </c>
    </row>
    <row r="34" spans="2:18" x14ac:dyDescent="0.35">
      <c r="B34" s="50" t="s">
        <v>710</v>
      </c>
      <c r="D34" s="50" t="s">
        <v>260</v>
      </c>
      <c r="F34" s="50" t="s">
        <v>261</v>
      </c>
      <c r="G34" s="50" t="s">
        <v>262</v>
      </c>
      <c r="H34" s="50" t="s">
        <v>263</v>
      </c>
      <c r="I34" s="50" t="s">
        <v>264</v>
      </c>
      <c r="J34" s="50" t="s">
        <v>265</v>
      </c>
      <c r="K34" s="50" t="s">
        <v>266</v>
      </c>
      <c r="L34" s="50" t="s">
        <v>267</v>
      </c>
      <c r="M34" s="50" t="s">
        <v>268</v>
      </c>
      <c r="N34" s="50" t="s">
        <v>269</v>
      </c>
      <c r="O34" s="50" t="s">
        <v>270</v>
      </c>
      <c r="P34" s="50" t="s">
        <v>271</v>
      </c>
      <c r="Q34" s="50" t="s">
        <v>272</v>
      </c>
      <c r="R34" s="50" t="s">
        <v>273</v>
      </c>
    </row>
    <row r="35" spans="2:18" x14ac:dyDescent="0.35">
      <c r="D35" s="50" t="s">
        <v>8</v>
      </c>
      <c r="F35" s="50" t="s">
        <v>711</v>
      </c>
      <c r="G35" s="50" t="s">
        <v>712</v>
      </c>
      <c r="H35" s="50" t="s">
        <v>713</v>
      </c>
      <c r="I35" s="50" t="s">
        <v>714</v>
      </c>
      <c r="J35" s="50" t="s">
        <v>715</v>
      </c>
      <c r="K35" s="50" t="s">
        <v>716</v>
      </c>
      <c r="L35" s="50" t="s">
        <v>717</v>
      </c>
      <c r="M35" s="50" t="s">
        <v>718</v>
      </c>
      <c r="N35" s="50" t="s">
        <v>719</v>
      </c>
      <c r="O35" s="50" t="s">
        <v>720</v>
      </c>
      <c r="P35" s="50" t="s">
        <v>721</v>
      </c>
      <c r="Q35" s="50" t="s">
        <v>722</v>
      </c>
      <c r="R35" s="50" t="s">
        <v>723</v>
      </c>
    </row>
    <row r="37" spans="2:18" x14ac:dyDescent="0.35">
      <c r="D37" s="50" t="s">
        <v>24</v>
      </c>
      <c r="F37" s="50" t="s">
        <v>724</v>
      </c>
      <c r="G37" s="50" t="s">
        <v>725</v>
      </c>
      <c r="H37" s="50" t="s">
        <v>726</v>
      </c>
      <c r="I37" s="50" t="s">
        <v>727</v>
      </c>
      <c r="J37" s="50" t="s">
        <v>728</v>
      </c>
      <c r="K37" s="50" t="s">
        <v>729</v>
      </c>
      <c r="L37" s="50" t="s">
        <v>730</v>
      </c>
      <c r="M37" s="50" t="s">
        <v>731</v>
      </c>
      <c r="N37" s="50" t="s">
        <v>732</v>
      </c>
      <c r="O37" s="50" t="s">
        <v>733</v>
      </c>
      <c r="P37" s="50" t="s">
        <v>734</v>
      </c>
      <c r="Q37" s="50" t="s">
        <v>735</v>
      </c>
      <c r="R37" s="50" t="s">
        <v>736</v>
      </c>
    </row>
    <row r="39" spans="2:18" x14ac:dyDescent="0.35">
      <c r="D39" s="50" t="s">
        <v>11</v>
      </c>
    </row>
    <row r="40" spans="2:18" x14ac:dyDescent="0.35">
      <c r="B40" s="50" t="s">
        <v>737</v>
      </c>
      <c r="D40" s="50" t="s">
        <v>274</v>
      </c>
      <c r="F40" s="50" t="s">
        <v>275</v>
      </c>
      <c r="G40" s="50" t="s">
        <v>276</v>
      </c>
      <c r="H40" s="50" t="s">
        <v>277</v>
      </c>
      <c r="I40" s="50" t="s">
        <v>278</v>
      </c>
      <c r="J40" s="50" t="s">
        <v>279</v>
      </c>
      <c r="K40" s="50" t="s">
        <v>280</v>
      </c>
      <c r="L40" s="50" t="s">
        <v>281</v>
      </c>
      <c r="M40" s="50" t="s">
        <v>282</v>
      </c>
      <c r="N40" s="50" t="s">
        <v>283</v>
      </c>
      <c r="O40" s="50" t="s">
        <v>284</v>
      </c>
      <c r="P40" s="50" t="s">
        <v>285</v>
      </c>
      <c r="Q40" s="50" t="s">
        <v>286</v>
      </c>
      <c r="R40" s="50" t="s">
        <v>287</v>
      </c>
    </row>
    <row r="41" spans="2:18" x14ac:dyDescent="0.35">
      <c r="B41" s="50" t="s">
        <v>738</v>
      </c>
      <c r="D41" s="50" t="s">
        <v>288</v>
      </c>
      <c r="F41" s="50" t="s">
        <v>289</v>
      </c>
      <c r="G41" s="50" t="s">
        <v>290</v>
      </c>
      <c r="H41" s="50" t="s">
        <v>291</v>
      </c>
      <c r="I41" s="50" t="s">
        <v>292</v>
      </c>
      <c r="J41" s="50" t="s">
        <v>293</v>
      </c>
      <c r="K41" s="50" t="s">
        <v>294</v>
      </c>
      <c r="L41" s="50" t="s">
        <v>295</v>
      </c>
      <c r="M41" s="50" t="s">
        <v>296</v>
      </c>
      <c r="N41" s="50" t="s">
        <v>297</v>
      </c>
      <c r="O41" s="50" t="s">
        <v>298</v>
      </c>
      <c r="P41" s="50" t="s">
        <v>299</v>
      </c>
      <c r="Q41" s="50" t="s">
        <v>300</v>
      </c>
      <c r="R41" s="50" t="s">
        <v>301</v>
      </c>
    </row>
    <row r="42" spans="2:18" x14ac:dyDescent="0.35">
      <c r="B42" s="50" t="s">
        <v>739</v>
      </c>
      <c r="D42" s="50" t="s">
        <v>302</v>
      </c>
      <c r="F42" s="50" t="s">
        <v>303</v>
      </c>
      <c r="G42" s="50" t="s">
        <v>304</v>
      </c>
      <c r="H42" s="50" t="s">
        <v>305</v>
      </c>
      <c r="I42" s="50" t="s">
        <v>306</v>
      </c>
      <c r="J42" s="50" t="s">
        <v>307</v>
      </c>
      <c r="K42" s="50" t="s">
        <v>308</v>
      </c>
      <c r="L42" s="50" t="s">
        <v>309</v>
      </c>
      <c r="M42" s="50" t="s">
        <v>310</v>
      </c>
      <c r="N42" s="50" t="s">
        <v>311</v>
      </c>
      <c r="O42" s="50" t="s">
        <v>312</v>
      </c>
      <c r="P42" s="50" t="s">
        <v>313</v>
      </c>
      <c r="Q42" s="50" t="s">
        <v>314</v>
      </c>
      <c r="R42" s="50" t="s">
        <v>315</v>
      </c>
    </row>
    <row r="43" spans="2:18" x14ac:dyDescent="0.35">
      <c r="B43" s="50" t="s">
        <v>740</v>
      </c>
      <c r="D43" s="50" t="s">
        <v>316</v>
      </c>
      <c r="F43" s="50" t="s">
        <v>317</v>
      </c>
      <c r="G43" s="50" t="s">
        <v>318</v>
      </c>
      <c r="H43" s="50" t="s">
        <v>319</v>
      </c>
      <c r="I43" s="50" t="s">
        <v>320</v>
      </c>
      <c r="J43" s="50" t="s">
        <v>321</v>
      </c>
      <c r="K43" s="50" t="s">
        <v>322</v>
      </c>
      <c r="L43" s="50" t="s">
        <v>323</v>
      </c>
      <c r="M43" s="50" t="s">
        <v>324</v>
      </c>
      <c r="N43" s="50" t="s">
        <v>325</v>
      </c>
      <c r="O43" s="50" t="s">
        <v>326</v>
      </c>
      <c r="P43" s="50" t="s">
        <v>327</v>
      </c>
      <c r="Q43" s="50" t="s">
        <v>328</v>
      </c>
      <c r="R43" s="50" t="s">
        <v>329</v>
      </c>
    </row>
    <row r="44" spans="2:18" x14ac:dyDescent="0.35">
      <c r="B44" s="50" t="s">
        <v>741</v>
      </c>
      <c r="D44" s="50" t="s">
        <v>330</v>
      </c>
      <c r="F44" s="50" t="s">
        <v>331</v>
      </c>
      <c r="G44" s="50" t="s">
        <v>332</v>
      </c>
      <c r="H44" s="50" t="s">
        <v>333</v>
      </c>
      <c r="I44" s="50" t="s">
        <v>334</v>
      </c>
      <c r="J44" s="50" t="s">
        <v>335</v>
      </c>
      <c r="K44" s="50" t="s">
        <v>336</v>
      </c>
      <c r="L44" s="50" t="s">
        <v>337</v>
      </c>
      <c r="M44" s="50" t="s">
        <v>338</v>
      </c>
      <c r="N44" s="50" t="s">
        <v>339</v>
      </c>
      <c r="O44" s="50" t="s">
        <v>340</v>
      </c>
      <c r="P44" s="50" t="s">
        <v>341</v>
      </c>
      <c r="Q44" s="50" t="s">
        <v>342</v>
      </c>
      <c r="R44" s="50" t="s">
        <v>343</v>
      </c>
    </row>
    <row r="45" spans="2:18" x14ac:dyDescent="0.35">
      <c r="B45" s="50" t="s">
        <v>742</v>
      </c>
      <c r="D45" s="50" t="s">
        <v>344</v>
      </c>
      <c r="F45" s="50" t="s">
        <v>345</v>
      </c>
      <c r="G45" s="50" t="s">
        <v>346</v>
      </c>
      <c r="H45" s="50" t="s">
        <v>347</v>
      </c>
      <c r="I45" s="50" t="s">
        <v>348</v>
      </c>
      <c r="J45" s="50" t="s">
        <v>349</v>
      </c>
      <c r="K45" s="50" t="s">
        <v>350</v>
      </c>
      <c r="L45" s="50" t="s">
        <v>351</v>
      </c>
      <c r="M45" s="50" t="s">
        <v>352</v>
      </c>
      <c r="N45" s="50" t="s">
        <v>353</v>
      </c>
      <c r="O45" s="50" t="s">
        <v>354</v>
      </c>
      <c r="P45" s="50" t="s">
        <v>355</v>
      </c>
      <c r="Q45" s="50" t="s">
        <v>356</v>
      </c>
      <c r="R45" s="50" t="s">
        <v>357</v>
      </c>
    </row>
    <row r="46" spans="2:18" x14ac:dyDescent="0.35">
      <c r="D46" s="50" t="s">
        <v>12</v>
      </c>
      <c r="F46" s="50" t="s">
        <v>743</v>
      </c>
      <c r="G46" s="50" t="s">
        <v>744</v>
      </c>
      <c r="H46" s="50" t="s">
        <v>745</v>
      </c>
      <c r="I46" s="50" t="s">
        <v>746</v>
      </c>
      <c r="J46" s="50" t="s">
        <v>747</v>
      </c>
      <c r="K46" s="50" t="s">
        <v>748</v>
      </c>
      <c r="L46" s="50" t="s">
        <v>749</v>
      </c>
      <c r="M46" s="50" t="s">
        <v>750</v>
      </c>
      <c r="N46" s="50" t="s">
        <v>751</v>
      </c>
      <c r="O46" s="50" t="s">
        <v>752</v>
      </c>
      <c r="P46" s="50" t="s">
        <v>753</v>
      </c>
      <c r="Q46" s="50" t="s">
        <v>754</v>
      </c>
      <c r="R46" s="50" t="s">
        <v>755</v>
      </c>
    </row>
    <row r="48" spans="2:18" x14ac:dyDescent="0.35">
      <c r="D48" s="50" t="s">
        <v>9</v>
      </c>
      <c r="F48" s="50" t="s">
        <v>756</v>
      </c>
      <c r="G48" s="50" t="s">
        <v>757</v>
      </c>
      <c r="H48" s="50" t="s">
        <v>758</v>
      </c>
      <c r="I48" s="50" t="s">
        <v>759</v>
      </c>
      <c r="J48" s="50" t="s">
        <v>760</v>
      </c>
      <c r="K48" s="50" t="s">
        <v>761</v>
      </c>
      <c r="L48" s="50" t="s">
        <v>762</v>
      </c>
      <c r="M48" s="50" t="s">
        <v>763</v>
      </c>
      <c r="N48" s="50" t="s">
        <v>764</v>
      </c>
      <c r="O48" s="50" t="s">
        <v>765</v>
      </c>
      <c r="P48" s="50" t="s">
        <v>766</v>
      </c>
      <c r="Q48" s="50" t="s">
        <v>767</v>
      </c>
      <c r="R48" s="50" t="s">
        <v>768</v>
      </c>
    </row>
    <row r="50" spans="2:18" x14ac:dyDescent="0.35">
      <c r="B50" s="50" t="s">
        <v>769</v>
      </c>
      <c r="D50" s="50" t="s">
        <v>361</v>
      </c>
      <c r="F50" s="50" t="s">
        <v>362</v>
      </c>
      <c r="G50" s="50" t="s">
        <v>363</v>
      </c>
      <c r="H50" s="50" t="s">
        <v>364</v>
      </c>
      <c r="I50" s="50" t="s">
        <v>365</v>
      </c>
      <c r="J50" s="50" t="s">
        <v>366</v>
      </c>
      <c r="K50" s="50" t="s">
        <v>367</v>
      </c>
      <c r="L50" s="50" t="s">
        <v>368</v>
      </c>
      <c r="M50" s="50" t="s">
        <v>369</v>
      </c>
      <c r="N50" s="50" t="s">
        <v>370</v>
      </c>
      <c r="O50" s="50" t="s">
        <v>371</v>
      </c>
      <c r="P50" s="50" t="s">
        <v>372</v>
      </c>
      <c r="Q50" s="50" t="s">
        <v>373</v>
      </c>
      <c r="R50" s="50" t="s">
        <v>374</v>
      </c>
    </row>
    <row r="52" spans="2:18" x14ac:dyDescent="0.35">
      <c r="D52" s="50" t="s">
        <v>13</v>
      </c>
      <c r="F52" s="50" t="s">
        <v>770</v>
      </c>
      <c r="G52" s="50" t="s">
        <v>771</v>
      </c>
      <c r="H52" s="50" t="s">
        <v>772</v>
      </c>
      <c r="I52" s="50" t="s">
        <v>773</v>
      </c>
      <c r="J52" s="50" t="s">
        <v>774</v>
      </c>
      <c r="K52" s="50" t="s">
        <v>775</v>
      </c>
      <c r="L52" s="50" t="s">
        <v>776</v>
      </c>
      <c r="M52" s="50" t="s">
        <v>777</v>
      </c>
      <c r="N52" s="50" t="s">
        <v>778</v>
      </c>
      <c r="O52" s="50" t="s">
        <v>779</v>
      </c>
      <c r="P52" s="50" t="s">
        <v>780</v>
      </c>
      <c r="Q52" s="50" t="s">
        <v>781</v>
      </c>
      <c r="R52" s="50" t="s">
        <v>782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52"/>
  <sheetViews>
    <sheetView workbookViewId="0"/>
  </sheetViews>
  <sheetFormatPr defaultRowHeight="14.5" x14ac:dyDescent="0.35"/>
  <sheetData>
    <row r="1" spans="1:18" x14ac:dyDescent="0.35">
      <c r="A1" s="50" t="s">
        <v>1326</v>
      </c>
      <c r="B1" s="50" t="s">
        <v>14</v>
      </c>
      <c r="D1" s="50" t="s">
        <v>15</v>
      </c>
      <c r="F1" s="50" t="s">
        <v>15</v>
      </c>
      <c r="G1" s="50" t="s">
        <v>15</v>
      </c>
      <c r="H1" s="50" t="s">
        <v>15</v>
      </c>
      <c r="I1" s="50" t="s">
        <v>15</v>
      </c>
      <c r="J1" s="50" t="s">
        <v>15</v>
      </c>
      <c r="K1" s="50" t="s">
        <v>15</v>
      </c>
      <c r="L1" s="50" t="s">
        <v>15</v>
      </c>
      <c r="M1" s="50" t="s">
        <v>15</v>
      </c>
      <c r="N1" s="50" t="s">
        <v>15</v>
      </c>
      <c r="O1" s="50" t="s">
        <v>15</v>
      </c>
      <c r="P1" s="50" t="s">
        <v>15</v>
      </c>
      <c r="Q1" s="50" t="s">
        <v>15</v>
      </c>
      <c r="R1" s="50" t="s">
        <v>15</v>
      </c>
    </row>
    <row r="2" spans="1:18" x14ac:dyDescent="0.35">
      <c r="A2" s="50" t="s">
        <v>14</v>
      </c>
      <c r="F2" s="50" t="s">
        <v>18</v>
      </c>
      <c r="G2" s="50" t="s">
        <v>18</v>
      </c>
      <c r="H2" s="50" t="s">
        <v>18</v>
      </c>
      <c r="I2" s="50" t="s">
        <v>18</v>
      </c>
      <c r="J2" s="50" t="s">
        <v>18</v>
      </c>
      <c r="K2" s="50" t="s">
        <v>18</v>
      </c>
      <c r="L2" s="50" t="s">
        <v>18</v>
      </c>
      <c r="M2" s="50" t="s">
        <v>18</v>
      </c>
      <c r="N2" s="50" t="s">
        <v>18</v>
      </c>
      <c r="O2" s="50" t="s">
        <v>18</v>
      </c>
      <c r="P2" s="50" t="s">
        <v>18</v>
      </c>
      <c r="Q2" s="50" t="s">
        <v>18</v>
      </c>
      <c r="R2" s="50" t="s">
        <v>20</v>
      </c>
    </row>
    <row r="4" spans="1:18" x14ac:dyDescent="0.35">
      <c r="D4" s="50" t="s">
        <v>27</v>
      </c>
      <c r="E4" s="50" t="s">
        <v>376</v>
      </c>
      <c r="Q4" s="50" t="s">
        <v>16</v>
      </c>
      <c r="R4" s="50" t="s">
        <v>33</v>
      </c>
    </row>
    <row r="6" spans="1:18" x14ac:dyDescent="0.35">
      <c r="F6" s="50" t="s">
        <v>34</v>
      </c>
      <c r="G6" s="50" t="s">
        <v>35</v>
      </c>
      <c r="H6" s="50" t="s">
        <v>36</v>
      </c>
      <c r="I6" s="50" t="s">
        <v>37</v>
      </c>
      <c r="J6" s="50" t="s">
        <v>38</v>
      </c>
      <c r="K6" s="50" t="s">
        <v>39</v>
      </c>
      <c r="L6" s="50" t="s">
        <v>40</v>
      </c>
      <c r="M6" s="50" t="s">
        <v>41</v>
      </c>
      <c r="N6" s="50" t="s">
        <v>42</v>
      </c>
      <c r="O6" s="50" t="s">
        <v>43</v>
      </c>
      <c r="P6" s="50" t="s">
        <v>44</v>
      </c>
      <c r="Q6" s="50" t="s">
        <v>45</v>
      </c>
      <c r="R6" s="50" t="s">
        <v>33</v>
      </c>
    </row>
    <row r="7" spans="1:18" x14ac:dyDescent="0.35">
      <c r="A7" s="50" t="s">
        <v>14</v>
      </c>
      <c r="B7" s="50" t="s">
        <v>25</v>
      </c>
      <c r="F7" s="50" t="s">
        <v>46</v>
      </c>
      <c r="G7" s="50" t="s">
        <v>47</v>
      </c>
      <c r="H7" s="50" t="s">
        <v>48</v>
      </c>
      <c r="I7" s="50" t="s">
        <v>49</v>
      </c>
      <c r="J7" s="50" t="s">
        <v>50</v>
      </c>
      <c r="K7" s="50" t="s">
        <v>51</v>
      </c>
      <c r="L7" s="50" t="s">
        <v>52</v>
      </c>
      <c r="M7" s="50" t="s">
        <v>53</v>
      </c>
      <c r="N7" s="50" t="s">
        <v>54</v>
      </c>
      <c r="O7" s="50" t="s">
        <v>55</v>
      </c>
      <c r="P7" s="50" t="s">
        <v>56</v>
      </c>
      <c r="Q7" s="50" t="s">
        <v>57</v>
      </c>
      <c r="R7" s="50" t="s">
        <v>58</v>
      </c>
    </row>
    <row r="8" spans="1:18" x14ac:dyDescent="0.35">
      <c r="A8" s="50" t="s">
        <v>14</v>
      </c>
      <c r="F8" s="50" t="s">
        <v>59</v>
      </c>
      <c r="G8" s="50" t="s">
        <v>60</v>
      </c>
      <c r="H8" s="50" t="s">
        <v>61</v>
      </c>
      <c r="I8" s="50" t="s">
        <v>62</v>
      </c>
      <c r="J8" s="50" t="s">
        <v>63</v>
      </c>
      <c r="K8" s="50" t="s">
        <v>64</v>
      </c>
      <c r="L8" s="50" t="s">
        <v>65</v>
      </c>
      <c r="M8" s="50" t="s">
        <v>66</v>
      </c>
      <c r="N8" s="50" t="s">
        <v>67</v>
      </c>
      <c r="O8" s="50" t="s">
        <v>68</v>
      </c>
      <c r="P8" s="50" t="s">
        <v>69</v>
      </c>
      <c r="Q8" s="50" t="s">
        <v>70</v>
      </c>
      <c r="R8" s="50" t="s">
        <v>71</v>
      </c>
    </row>
    <row r="9" spans="1:18" x14ac:dyDescent="0.35">
      <c r="B9" s="50" t="s">
        <v>22</v>
      </c>
      <c r="D9" s="50" t="s">
        <v>5</v>
      </c>
    </row>
    <row r="10" spans="1:18" x14ac:dyDescent="0.35">
      <c r="B10" s="50" t="s">
        <v>655</v>
      </c>
      <c r="D10" s="50" t="s">
        <v>72</v>
      </c>
      <c r="F10" s="50" t="s">
        <v>377</v>
      </c>
      <c r="G10" s="50" t="s">
        <v>378</v>
      </c>
      <c r="H10" s="50" t="s">
        <v>379</v>
      </c>
      <c r="I10" s="50" t="s">
        <v>380</v>
      </c>
      <c r="J10" s="50" t="s">
        <v>381</v>
      </c>
      <c r="K10" s="50" t="s">
        <v>382</v>
      </c>
      <c r="L10" s="50" t="s">
        <v>383</v>
      </c>
      <c r="M10" s="50" t="s">
        <v>384</v>
      </c>
      <c r="N10" s="50" t="s">
        <v>385</v>
      </c>
      <c r="O10" s="50" t="s">
        <v>386</v>
      </c>
      <c r="P10" s="50" t="s">
        <v>387</v>
      </c>
      <c r="Q10" s="50" t="s">
        <v>388</v>
      </c>
      <c r="R10" s="50" t="s">
        <v>389</v>
      </c>
    </row>
    <row r="11" spans="1:18" x14ac:dyDescent="0.35">
      <c r="B11" s="50" t="s">
        <v>656</v>
      </c>
      <c r="D11" s="50" t="s">
        <v>86</v>
      </c>
      <c r="F11" s="50" t="s">
        <v>390</v>
      </c>
      <c r="G11" s="50" t="s">
        <v>391</v>
      </c>
      <c r="H11" s="50" t="s">
        <v>392</v>
      </c>
      <c r="I11" s="50" t="s">
        <v>393</v>
      </c>
      <c r="J11" s="50" t="s">
        <v>394</v>
      </c>
      <c r="K11" s="50" t="s">
        <v>395</v>
      </c>
      <c r="L11" s="50" t="s">
        <v>396</v>
      </c>
      <c r="M11" s="50" t="s">
        <v>397</v>
      </c>
      <c r="N11" s="50" t="s">
        <v>398</v>
      </c>
      <c r="O11" s="50" t="s">
        <v>399</v>
      </c>
      <c r="P11" s="50" t="s">
        <v>400</v>
      </c>
      <c r="Q11" s="50" t="s">
        <v>401</v>
      </c>
      <c r="R11" s="50" t="s">
        <v>402</v>
      </c>
    </row>
    <row r="12" spans="1:18" x14ac:dyDescent="0.35">
      <c r="B12" s="50" t="s">
        <v>657</v>
      </c>
      <c r="D12" s="50" t="s">
        <v>100</v>
      </c>
      <c r="F12" s="50" t="s">
        <v>403</v>
      </c>
      <c r="G12" s="50" t="s">
        <v>404</v>
      </c>
      <c r="H12" s="50" t="s">
        <v>405</v>
      </c>
      <c r="I12" s="50" t="s">
        <v>406</v>
      </c>
      <c r="J12" s="50" t="s">
        <v>407</v>
      </c>
      <c r="K12" s="50" t="s">
        <v>408</v>
      </c>
      <c r="L12" s="50" t="s">
        <v>409</v>
      </c>
      <c r="M12" s="50" t="s">
        <v>410</v>
      </c>
      <c r="N12" s="50" t="s">
        <v>411</v>
      </c>
      <c r="O12" s="50" t="s">
        <v>412</v>
      </c>
      <c r="P12" s="50" t="s">
        <v>413</v>
      </c>
      <c r="Q12" s="50" t="s">
        <v>414</v>
      </c>
      <c r="R12" s="50" t="s">
        <v>415</v>
      </c>
    </row>
    <row r="13" spans="1:18" x14ac:dyDescent="0.35">
      <c r="B13" s="50" t="s">
        <v>658</v>
      </c>
      <c r="D13" s="50" t="s">
        <v>114</v>
      </c>
      <c r="F13" s="50" t="s">
        <v>416</v>
      </c>
      <c r="G13" s="50" t="s">
        <v>417</v>
      </c>
      <c r="H13" s="50" t="s">
        <v>418</v>
      </c>
      <c r="I13" s="50" t="s">
        <v>419</v>
      </c>
      <c r="J13" s="50" t="s">
        <v>420</v>
      </c>
      <c r="K13" s="50" t="s">
        <v>421</v>
      </c>
      <c r="L13" s="50" t="s">
        <v>422</v>
      </c>
      <c r="M13" s="50" t="s">
        <v>423</v>
      </c>
      <c r="N13" s="50" t="s">
        <v>424</v>
      </c>
      <c r="O13" s="50" t="s">
        <v>425</v>
      </c>
      <c r="P13" s="50" t="s">
        <v>426</v>
      </c>
      <c r="Q13" s="50" t="s">
        <v>427</v>
      </c>
      <c r="R13" s="50" t="s">
        <v>428</v>
      </c>
    </row>
    <row r="14" spans="1:18" x14ac:dyDescent="0.35">
      <c r="B14" s="50" t="s">
        <v>659</v>
      </c>
      <c r="D14" s="50" t="s">
        <v>128</v>
      </c>
      <c r="F14" s="50" t="s">
        <v>429</v>
      </c>
      <c r="G14" s="50" t="s">
        <v>430</v>
      </c>
      <c r="H14" s="50" t="s">
        <v>431</v>
      </c>
      <c r="I14" s="50" t="s">
        <v>432</v>
      </c>
      <c r="J14" s="50" t="s">
        <v>433</v>
      </c>
      <c r="K14" s="50" t="s">
        <v>434</v>
      </c>
      <c r="L14" s="50" t="s">
        <v>435</v>
      </c>
      <c r="M14" s="50" t="s">
        <v>436</v>
      </c>
      <c r="N14" s="50" t="s">
        <v>437</v>
      </c>
      <c r="O14" s="50" t="s">
        <v>438</v>
      </c>
      <c r="P14" s="50" t="s">
        <v>439</v>
      </c>
      <c r="Q14" s="50" t="s">
        <v>440</v>
      </c>
      <c r="R14" s="50" t="s">
        <v>441</v>
      </c>
    </row>
    <row r="15" spans="1:18" x14ac:dyDescent="0.35">
      <c r="B15" s="50" t="s">
        <v>660</v>
      </c>
      <c r="D15" s="50" t="s">
        <v>142</v>
      </c>
      <c r="F15" s="50" t="s">
        <v>442</v>
      </c>
      <c r="G15" s="50" t="s">
        <v>443</v>
      </c>
      <c r="H15" s="50" t="s">
        <v>444</v>
      </c>
      <c r="I15" s="50" t="s">
        <v>445</v>
      </c>
      <c r="J15" s="50" t="s">
        <v>446</v>
      </c>
      <c r="K15" s="50" t="s">
        <v>447</v>
      </c>
      <c r="L15" s="50" t="s">
        <v>448</v>
      </c>
      <c r="M15" s="50" t="s">
        <v>449</v>
      </c>
      <c r="N15" s="50" t="s">
        <v>450</v>
      </c>
      <c r="O15" s="50" t="s">
        <v>451</v>
      </c>
      <c r="P15" s="50" t="s">
        <v>452</v>
      </c>
      <c r="Q15" s="50" t="s">
        <v>453</v>
      </c>
      <c r="R15" s="50" t="s">
        <v>454</v>
      </c>
    </row>
    <row r="16" spans="1:18" x14ac:dyDescent="0.35">
      <c r="D16" s="50" t="s">
        <v>6</v>
      </c>
      <c r="F16" s="50" t="s">
        <v>661</v>
      </c>
      <c r="G16" s="50" t="s">
        <v>662</v>
      </c>
      <c r="H16" s="50" t="s">
        <v>663</v>
      </c>
      <c r="I16" s="50" t="s">
        <v>664</v>
      </c>
      <c r="J16" s="50" t="s">
        <v>665</v>
      </c>
      <c r="K16" s="50" t="s">
        <v>666</v>
      </c>
      <c r="L16" s="50" t="s">
        <v>667</v>
      </c>
      <c r="M16" s="50" t="s">
        <v>668</v>
      </c>
      <c r="N16" s="50" t="s">
        <v>669</v>
      </c>
      <c r="O16" s="50" t="s">
        <v>670</v>
      </c>
      <c r="P16" s="50" t="s">
        <v>671</v>
      </c>
      <c r="Q16" s="50" t="s">
        <v>672</v>
      </c>
      <c r="R16" s="50" t="s">
        <v>673</v>
      </c>
    </row>
    <row r="18" spans="2:18" x14ac:dyDescent="0.35">
      <c r="D18" s="50" t="s">
        <v>21</v>
      </c>
    </row>
    <row r="19" spans="2:18" x14ac:dyDescent="0.35">
      <c r="B19" s="50" t="s">
        <v>674</v>
      </c>
      <c r="D19" s="50" t="s">
        <v>159</v>
      </c>
      <c r="F19" s="50" t="s">
        <v>455</v>
      </c>
      <c r="G19" s="50" t="s">
        <v>456</v>
      </c>
      <c r="H19" s="50" t="s">
        <v>457</v>
      </c>
      <c r="I19" s="50" t="s">
        <v>458</v>
      </c>
      <c r="J19" s="50" t="s">
        <v>459</v>
      </c>
      <c r="K19" s="50" t="s">
        <v>460</v>
      </c>
      <c r="L19" s="50" t="s">
        <v>461</v>
      </c>
      <c r="M19" s="50" t="s">
        <v>462</v>
      </c>
      <c r="N19" s="50" t="s">
        <v>463</v>
      </c>
      <c r="O19" s="50" t="s">
        <v>464</v>
      </c>
      <c r="P19" s="50" t="s">
        <v>465</v>
      </c>
      <c r="Q19" s="50" t="s">
        <v>466</v>
      </c>
      <c r="R19" s="50" t="s">
        <v>467</v>
      </c>
    </row>
    <row r="20" spans="2:18" x14ac:dyDescent="0.35">
      <c r="B20" s="50" t="s">
        <v>675</v>
      </c>
      <c r="D20" s="50" t="s">
        <v>927</v>
      </c>
      <c r="F20" s="50" t="s">
        <v>928</v>
      </c>
      <c r="G20" s="50" t="s">
        <v>929</v>
      </c>
      <c r="H20" s="50" t="s">
        <v>930</v>
      </c>
      <c r="I20" s="50" t="s">
        <v>931</v>
      </c>
      <c r="J20" s="50" t="s">
        <v>932</v>
      </c>
      <c r="K20" s="50" t="s">
        <v>933</v>
      </c>
      <c r="L20" s="50" t="s">
        <v>934</v>
      </c>
      <c r="M20" s="50" t="s">
        <v>935</v>
      </c>
      <c r="N20" s="50" t="s">
        <v>936</v>
      </c>
      <c r="O20" s="50" t="s">
        <v>937</v>
      </c>
      <c r="P20" s="50" t="s">
        <v>938</v>
      </c>
      <c r="Q20" s="50" t="s">
        <v>939</v>
      </c>
      <c r="R20" s="50" t="s">
        <v>940</v>
      </c>
    </row>
    <row r="21" spans="2:18" x14ac:dyDescent="0.35">
      <c r="B21" s="50" t="s">
        <v>676</v>
      </c>
      <c r="D21" s="50" t="s">
        <v>941</v>
      </c>
      <c r="F21" s="50" t="s">
        <v>942</v>
      </c>
      <c r="G21" s="50" t="s">
        <v>943</v>
      </c>
      <c r="H21" s="50" t="s">
        <v>944</v>
      </c>
      <c r="I21" s="50" t="s">
        <v>945</v>
      </c>
      <c r="J21" s="50" t="s">
        <v>946</v>
      </c>
      <c r="K21" s="50" t="s">
        <v>947</v>
      </c>
      <c r="L21" s="50" t="s">
        <v>948</v>
      </c>
      <c r="M21" s="50" t="s">
        <v>949</v>
      </c>
      <c r="N21" s="50" t="s">
        <v>950</v>
      </c>
      <c r="O21" s="50" t="s">
        <v>951</v>
      </c>
      <c r="P21" s="50" t="s">
        <v>952</v>
      </c>
      <c r="Q21" s="50" t="s">
        <v>953</v>
      </c>
      <c r="R21" s="50" t="s">
        <v>954</v>
      </c>
    </row>
    <row r="22" spans="2:18" x14ac:dyDescent="0.35">
      <c r="B22" s="50" t="s">
        <v>677</v>
      </c>
      <c r="D22" s="50" t="s">
        <v>955</v>
      </c>
      <c r="F22" s="50" t="s">
        <v>956</v>
      </c>
      <c r="G22" s="50" t="s">
        <v>957</v>
      </c>
      <c r="H22" s="50" t="s">
        <v>958</v>
      </c>
      <c r="I22" s="50" t="s">
        <v>959</v>
      </c>
      <c r="J22" s="50" t="s">
        <v>960</v>
      </c>
      <c r="K22" s="50" t="s">
        <v>961</v>
      </c>
      <c r="L22" s="50" t="s">
        <v>962</v>
      </c>
      <c r="M22" s="50" t="s">
        <v>963</v>
      </c>
      <c r="N22" s="50" t="s">
        <v>964</v>
      </c>
      <c r="O22" s="50" t="s">
        <v>965</v>
      </c>
      <c r="P22" s="50" t="s">
        <v>966</v>
      </c>
      <c r="Q22" s="50" t="s">
        <v>967</v>
      </c>
      <c r="R22" s="50" t="s">
        <v>968</v>
      </c>
    </row>
    <row r="23" spans="2:18" x14ac:dyDescent="0.35">
      <c r="D23" s="50" t="s">
        <v>23</v>
      </c>
      <c r="F23" s="50" t="s">
        <v>678</v>
      </c>
      <c r="G23" s="50" t="s">
        <v>679</v>
      </c>
      <c r="H23" s="50" t="s">
        <v>680</v>
      </c>
      <c r="I23" s="50" t="s">
        <v>681</v>
      </c>
      <c r="J23" s="50" t="s">
        <v>682</v>
      </c>
      <c r="K23" s="50" t="s">
        <v>683</v>
      </c>
      <c r="L23" s="50" t="s">
        <v>684</v>
      </c>
      <c r="M23" s="50" t="s">
        <v>685</v>
      </c>
      <c r="N23" s="50" t="s">
        <v>686</v>
      </c>
      <c r="O23" s="50" t="s">
        <v>687</v>
      </c>
      <c r="P23" s="50" t="s">
        <v>688</v>
      </c>
      <c r="Q23" s="50" t="s">
        <v>689</v>
      </c>
      <c r="R23" s="50" t="s">
        <v>690</v>
      </c>
    </row>
    <row r="25" spans="2:18" x14ac:dyDescent="0.35">
      <c r="D25" s="50" t="s">
        <v>10</v>
      </c>
      <c r="F25" s="50" t="s">
        <v>691</v>
      </c>
      <c r="G25" s="50" t="s">
        <v>692</v>
      </c>
      <c r="H25" s="50" t="s">
        <v>693</v>
      </c>
      <c r="I25" s="50" t="s">
        <v>694</v>
      </c>
      <c r="J25" s="50" t="s">
        <v>695</v>
      </c>
      <c r="K25" s="50" t="s">
        <v>696</v>
      </c>
      <c r="L25" s="50" t="s">
        <v>697</v>
      </c>
      <c r="M25" s="50" t="s">
        <v>698</v>
      </c>
      <c r="N25" s="50" t="s">
        <v>699</v>
      </c>
      <c r="O25" s="50" t="s">
        <v>700</v>
      </c>
      <c r="P25" s="50" t="s">
        <v>701</v>
      </c>
      <c r="Q25" s="50" t="s">
        <v>702</v>
      </c>
      <c r="R25" s="50" t="s">
        <v>703</v>
      </c>
    </row>
    <row r="27" spans="2:18" x14ac:dyDescent="0.35">
      <c r="D27" s="50" t="s">
        <v>7</v>
      </c>
    </row>
    <row r="28" spans="2:18" x14ac:dyDescent="0.35">
      <c r="B28" s="50" t="s">
        <v>704</v>
      </c>
      <c r="D28" s="50" t="s">
        <v>176</v>
      </c>
      <c r="F28" s="50" t="s">
        <v>468</v>
      </c>
      <c r="G28" s="50" t="s">
        <v>469</v>
      </c>
      <c r="H28" s="50" t="s">
        <v>470</v>
      </c>
      <c r="I28" s="50" t="s">
        <v>471</v>
      </c>
      <c r="J28" s="50" t="s">
        <v>472</v>
      </c>
      <c r="K28" s="50" t="s">
        <v>473</v>
      </c>
      <c r="L28" s="50" t="s">
        <v>474</v>
      </c>
      <c r="M28" s="50" t="s">
        <v>475</v>
      </c>
      <c r="N28" s="50" t="s">
        <v>476</v>
      </c>
      <c r="O28" s="50" t="s">
        <v>477</v>
      </c>
      <c r="P28" s="50" t="s">
        <v>478</v>
      </c>
      <c r="Q28" s="50" t="s">
        <v>479</v>
      </c>
      <c r="R28" s="50" t="s">
        <v>480</v>
      </c>
    </row>
    <row r="29" spans="2:18" x14ac:dyDescent="0.35">
      <c r="B29" s="50" t="s">
        <v>705</v>
      </c>
      <c r="D29" s="50" t="s">
        <v>190</v>
      </c>
      <c r="F29" s="50" t="s">
        <v>481</v>
      </c>
      <c r="G29" s="50" t="s">
        <v>482</v>
      </c>
      <c r="H29" s="50" t="s">
        <v>483</v>
      </c>
      <c r="I29" s="50" t="s">
        <v>484</v>
      </c>
      <c r="J29" s="50" t="s">
        <v>485</v>
      </c>
      <c r="K29" s="50" t="s">
        <v>486</v>
      </c>
      <c r="L29" s="50" t="s">
        <v>487</v>
      </c>
      <c r="M29" s="50" t="s">
        <v>488</v>
      </c>
      <c r="N29" s="50" t="s">
        <v>489</v>
      </c>
      <c r="O29" s="50" t="s">
        <v>490</v>
      </c>
      <c r="P29" s="50" t="s">
        <v>491</v>
      </c>
      <c r="Q29" s="50" t="s">
        <v>492</v>
      </c>
      <c r="R29" s="50" t="s">
        <v>493</v>
      </c>
    </row>
    <row r="30" spans="2:18" x14ac:dyDescent="0.35">
      <c r="B30" s="50" t="s">
        <v>706</v>
      </c>
      <c r="D30" s="50" t="s">
        <v>204</v>
      </c>
      <c r="F30" s="50" t="s">
        <v>494</v>
      </c>
      <c r="G30" s="50" t="s">
        <v>495</v>
      </c>
      <c r="H30" s="50" t="s">
        <v>496</v>
      </c>
      <c r="I30" s="50" t="s">
        <v>497</v>
      </c>
      <c r="J30" s="50" t="s">
        <v>498</v>
      </c>
      <c r="K30" s="50" t="s">
        <v>499</v>
      </c>
      <c r="L30" s="50" t="s">
        <v>500</v>
      </c>
      <c r="M30" s="50" t="s">
        <v>501</v>
      </c>
      <c r="N30" s="50" t="s">
        <v>502</v>
      </c>
      <c r="O30" s="50" t="s">
        <v>503</v>
      </c>
      <c r="P30" s="50" t="s">
        <v>504</v>
      </c>
      <c r="Q30" s="50" t="s">
        <v>505</v>
      </c>
      <c r="R30" s="50" t="s">
        <v>506</v>
      </c>
    </row>
    <row r="31" spans="2:18" x14ac:dyDescent="0.35">
      <c r="B31" s="50" t="s">
        <v>707</v>
      </c>
      <c r="D31" s="50" t="s">
        <v>218</v>
      </c>
      <c r="F31" s="50" t="s">
        <v>507</v>
      </c>
      <c r="G31" s="50" t="s">
        <v>508</v>
      </c>
      <c r="H31" s="50" t="s">
        <v>509</v>
      </c>
      <c r="I31" s="50" t="s">
        <v>510</v>
      </c>
      <c r="J31" s="50" t="s">
        <v>511</v>
      </c>
      <c r="K31" s="50" t="s">
        <v>512</v>
      </c>
      <c r="L31" s="50" t="s">
        <v>513</v>
      </c>
      <c r="M31" s="50" t="s">
        <v>514</v>
      </c>
      <c r="N31" s="50" t="s">
        <v>515</v>
      </c>
      <c r="O31" s="50" t="s">
        <v>516</v>
      </c>
      <c r="P31" s="50" t="s">
        <v>517</v>
      </c>
      <c r="Q31" s="50" t="s">
        <v>518</v>
      </c>
      <c r="R31" s="50" t="s">
        <v>519</v>
      </c>
    </row>
    <row r="32" spans="2:18" x14ac:dyDescent="0.35">
      <c r="B32" s="50" t="s">
        <v>708</v>
      </c>
      <c r="D32" s="50" t="s">
        <v>232</v>
      </c>
      <c r="F32" s="50" t="s">
        <v>520</v>
      </c>
      <c r="G32" s="50" t="s">
        <v>521</v>
      </c>
      <c r="H32" s="50" t="s">
        <v>522</v>
      </c>
      <c r="I32" s="50" t="s">
        <v>523</v>
      </c>
      <c r="J32" s="50" t="s">
        <v>524</v>
      </c>
      <c r="K32" s="50" t="s">
        <v>525</v>
      </c>
      <c r="L32" s="50" t="s">
        <v>526</v>
      </c>
      <c r="M32" s="50" t="s">
        <v>527</v>
      </c>
      <c r="N32" s="50" t="s">
        <v>528</v>
      </c>
      <c r="O32" s="50" t="s">
        <v>529</v>
      </c>
      <c r="P32" s="50" t="s">
        <v>530</v>
      </c>
      <c r="Q32" s="50" t="s">
        <v>531</v>
      </c>
      <c r="R32" s="50" t="s">
        <v>532</v>
      </c>
    </row>
    <row r="33" spans="2:18" x14ac:dyDescent="0.35">
      <c r="B33" s="50" t="s">
        <v>709</v>
      </c>
      <c r="D33" s="50" t="s">
        <v>246</v>
      </c>
      <c r="F33" s="50" t="s">
        <v>533</v>
      </c>
      <c r="G33" s="50" t="s">
        <v>534</v>
      </c>
      <c r="H33" s="50" t="s">
        <v>535</v>
      </c>
      <c r="I33" s="50" t="s">
        <v>536</v>
      </c>
      <c r="J33" s="50" t="s">
        <v>537</v>
      </c>
      <c r="K33" s="50" t="s">
        <v>538</v>
      </c>
      <c r="L33" s="50" t="s">
        <v>539</v>
      </c>
      <c r="M33" s="50" t="s">
        <v>540</v>
      </c>
      <c r="N33" s="50" t="s">
        <v>541</v>
      </c>
      <c r="O33" s="50" t="s">
        <v>542</v>
      </c>
      <c r="P33" s="50" t="s">
        <v>543</v>
      </c>
      <c r="Q33" s="50" t="s">
        <v>544</v>
      </c>
      <c r="R33" s="50" t="s">
        <v>545</v>
      </c>
    </row>
    <row r="34" spans="2:18" x14ac:dyDescent="0.35">
      <c r="B34" s="50" t="s">
        <v>710</v>
      </c>
      <c r="D34" s="50" t="s">
        <v>260</v>
      </c>
      <c r="F34" s="50" t="s">
        <v>546</v>
      </c>
      <c r="G34" s="50" t="s">
        <v>547</v>
      </c>
      <c r="H34" s="50" t="s">
        <v>548</v>
      </c>
      <c r="I34" s="50" t="s">
        <v>549</v>
      </c>
      <c r="J34" s="50" t="s">
        <v>550</v>
      </c>
      <c r="K34" s="50" t="s">
        <v>551</v>
      </c>
      <c r="L34" s="50" t="s">
        <v>552</v>
      </c>
      <c r="M34" s="50" t="s">
        <v>553</v>
      </c>
      <c r="N34" s="50" t="s">
        <v>554</v>
      </c>
      <c r="O34" s="50" t="s">
        <v>555</v>
      </c>
      <c r="P34" s="50" t="s">
        <v>556</v>
      </c>
      <c r="Q34" s="50" t="s">
        <v>557</v>
      </c>
      <c r="R34" s="50" t="s">
        <v>558</v>
      </c>
    </row>
    <row r="35" spans="2:18" x14ac:dyDescent="0.35">
      <c r="D35" s="50" t="s">
        <v>8</v>
      </c>
      <c r="F35" s="50" t="s">
        <v>711</v>
      </c>
      <c r="G35" s="50" t="s">
        <v>712</v>
      </c>
      <c r="H35" s="50" t="s">
        <v>713</v>
      </c>
      <c r="I35" s="50" t="s">
        <v>714</v>
      </c>
      <c r="J35" s="50" t="s">
        <v>715</v>
      </c>
      <c r="K35" s="50" t="s">
        <v>716</v>
      </c>
      <c r="L35" s="50" t="s">
        <v>717</v>
      </c>
      <c r="M35" s="50" t="s">
        <v>718</v>
      </c>
      <c r="N35" s="50" t="s">
        <v>719</v>
      </c>
      <c r="O35" s="50" t="s">
        <v>720</v>
      </c>
      <c r="P35" s="50" t="s">
        <v>721</v>
      </c>
      <c r="Q35" s="50" t="s">
        <v>722</v>
      </c>
      <c r="R35" s="50" t="s">
        <v>723</v>
      </c>
    </row>
    <row r="37" spans="2:18" x14ac:dyDescent="0.35">
      <c r="D37" s="50" t="s">
        <v>24</v>
      </c>
      <c r="F37" s="50" t="s">
        <v>724</v>
      </c>
      <c r="G37" s="50" t="s">
        <v>725</v>
      </c>
      <c r="H37" s="50" t="s">
        <v>726</v>
      </c>
      <c r="I37" s="50" t="s">
        <v>727</v>
      </c>
      <c r="J37" s="50" t="s">
        <v>728</v>
      </c>
      <c r="K37" s="50" t="s">
        <v>729</v>
      </c>
      <c r="L37" s="50" t="s">
        <v>730</v>
      </c>
      <c r="M37" s="50" t="s">
        <v>731</v>
      </c>
      <c r="N37" s="50" t="s">
        <v>732</v>
      </c>
      <c r="O37" s="50" t="s">
        <v>733</v>
      </c>
      <c r="P37" s="50" t="s">
        <v>734</v>
      </c>
      <c r="Q37" s="50" t="s">
        <v>735</v>
      </c>
      <c r="R37" s="50" t="s">
        <v>736</v>
      </c>
    </row>
    <row r="39" spans="2:18" x14ac:dyDescent="0.35">
      <c r="D39" s="50" t="s">
        <v>11</v>
      </c>
    </row>
    <row r="40" spans="2:18" x14ac:dyDescent="0.35">
      <c r="B40" s="50" t="s">
        <v>737</v>
      </c>
      <c r="D40" s="50" t="s">
        <v>274</v>
      </c>
      <c r="F40" s="50" t="s">
        <v>559</v>
      </c>
      <c r="G40" s="50" t="s">
        <v>560</v>
      </c>
      <c r="H40" s="50" t="s">
        <v>561</v>
      </c>
      <c r="I40" s="50" t="s">
        <v>562</v>
      </c>
      <c r="J40" s="50" t="s">
        <v>563</v>
      </c>
      <c r="K40" s="50" t="s">
        <v>564</v>
      </c>
      <c r="L40" s="50" t="s">
        <v>565</v>
      </c>
      <c r="M40" s="50" t="s">
        <v>566</v>
      </c>
      <c r="N40" s="50" t="s">
        <v>567</v>
      </c>
      <c r="O40" s="50" t="s">
        <v>568</v>
      </c>
      <c r="P40" s="50" t="s">
        <v>569</v>
      </c>
      <c r="Q40" s="50" t="s">
        <v>570</v>
      </c>
      <c r="R40" s="50" t="s">
        <v>571</v>
      </c>
    </row>
    <row r="41" spans="2:18" x14ac:dyDescent="0.35">
      <c r="B41" s="50" t="s">
        <v>738</v>
      </c>
      <c r="D41" s="50" t="s">
        <v>288</v>
      </c>
      <c r="F41" s="50" t="s">
        <v>572</v>
      </c>
      <c r="G41" s="50" t="s">
        <v>573</v>
      </c>
      <c r="H41" s="50" t="s">
        <v>574</v>
      </c>
      <c r="I41" s="50" t="s">
        <v>575</v>
      </c>
      <c r="J41" s="50" t="s">
        <v>576</v>
      </c>
      <c r="K41" s="50" t="s">
        <v>577</v>
      </c>
      <c r="L41" s="50" t="s">
        <v>578</v>
      </c>
      <c r="M41" s="50" t="s">
        <v>579</v>
      </c>
      <c r="N41" s="50" t="s">
        <v>580</v>
      </c>
      <c r="O41" s="50" t="s">
        <v>581</v>
      </c>
      <c r="P41" s="50" t="s">
        <v>582</v>
      </c>
      <c r="Q41" s="50" t="s">
        <v>583</v>
      </c>
      <c r="R41" s="50" t="s">
        <v>584</v>
      </c>
    </row>
    <row r="42" spans="2:18" x14ac:dyDescent="0.35">
      <c r="B42" s="50" t="s">
        <v>739</v>
      </c>
      <c r="D42" s="50" t="s">
        <v>302</v>
      </c>
      <c r="F42" s="50" t="s">
        <v>585</v>
      </c>
      <c r="G42" s="50" t="s">
        <v>586</v>
      </c>
      <c r="H42" s="50" t="s">
        <v>587</v>
      </c>
      <c r="I42" s="50" t="s">
        <v>588</v>
      </c>
      <c r="J42" s="50" t="s">
        <v>589</v>
      </c>
      <c r="K42" s="50" t="s">
        <v>590</v>
      </c>
      <c r="L42" s="50" t="s">
        <v>591</v>
      </c>
      <c r="M42" s="50" t="s">
        <v>592</v>
      </c>
      <c r="N42" s="50" t="s">
        <v>593</v>
      </c>
      <c r="O42" s="50" t="s">
        <v>594</v>
      </c>
      <c r="P42" s="50" t="s">
        <v>595</v>
      </c>
      <c r="Q42" s="50" t="s">
        <v>596</v>
      </c>
      <c r="R42" s="50" t="s">
        <v>597</v>
      </c>
    </row>
    <row r="43" spans="2:18" x14ac:dyDescent="0.35">
      <c r="B43" s="50" t="s">
        <v>740</v>
      </c>
      <c r="D43" s="50" t="s">
        <v>316</v>
      </c>
      <c r="F43" s="50" t="s">
        <v>598</v>
      </c>
      <c r="G43" s="50" t="s">
        <v>599</v>
      </c>
      <c r="H43" s="50" t="s">
        <v>600</v>
      </c>
      <c r="I43" s="50" t="s">
        <v>601</v>
      </c>
      <c r="J43" s="50" t="s">
        <v>602</v>
      </c>
      <c r="K43" s="50" t="s">
        <v>603</v>
      </c>
      <c r="L43" s="50" t="s">
        <v>604</v>
      </c>
      <c r="M43" s="50" t="s">
        <v>605</v>
      </c>
      <c r="N43" s="50" t="s">
        <v>606</v>
      </c>
      <c r="O43" s="50" t="s">
        <v>607</v>
      </c>
      <c r="P43" s="50" t="s">
        <v>608</v>
      </c>
      <c r="Q43" s="50" t="s">
        <v>609</v>
      </c>
      <c r="R43" s="50" t="s">
        <v>610</v>
      </c>
    </row>
    <row r="44" spans="2:18" x14ac:dyDescent="0.35">
      <c r="B44" s="50" t="s">
        <v>741</v>
      </c>
      <c r="D44" s="50" t="s">
        <v>330</v>
      </c>
      <c r="F44" s="50" t="s">
        <v>611</v>
      </c>
      <c r="G44" s="50" t="s">
        <v>612</v>
      </c>
      <c r="H44" s="50" t="s">
        <v>613</v>
      </c>
      <c r="I44" s="50" t="s">
        <v>614</v>
      </c>
      <c r="J44" s="50" t="s">
        <v>615</v>
      </c>
      <c r="K44" s="50" t="s">
        <v>616</v>
      </c>
      <c r="L44" s="50" t="s">
        <v>617</v>
      </c>
      <c r="M44" s="50" t="s">
        <v>618</v>
      </c>
      <c r="N44" s="50" t="s">
        <v>619</v>
      </c>
      <c r="O44" s="50" t="s">
        <v>620</v>
      </c>
      <c r="P44" s="50" t="s">
        <v>621</v>
      </c>
      <c r="Q44" s="50" t="s">
        <v>622</v>
      </c>
      <c r="R44" s="50" t="s">
        <v>623</v>
      </c>
    </row>
    <row r="45" spans="2:18" x14ac:dyDescent="0.35">
      <c r="B45" s="50" t="s">
        <v>742</v>
      </c>
      <c r="D45" s="50" t="s">
        <v>344</v>
      </c>
      <c r="F45" s="50" t="s">
        <v>624</v>
      </c>
      <c r="G45" s="50" t="s">
        <v>625</v>
      </c>
      <c r="H45" s="50" t="s">
        <v>626</v>
      </c>
      <c r="I45" s="50" t="s">
        <v>627</v>
      </c>
      <c r="J45" s="50" t="s">
        <v>628</v>
      </c>
      <c r="K45" s="50" t="s">
        <v>629</v>
      </c>
      <c r="L45" s="50" t="s">
        <v>630</v>
      </c>
      <c r="M45" s="50" t="s">
        <v>631</v>
      </c>
      <c r="N45" s="50" t="s">
        <v>632</v>
      </c>
      <c r="O45" s="50" t="s">
        <v>633</v>
      </c>
      <c r="P45" s="50" t="s">
        <v>634</v>
      </c>
      <c r="Q45" s="50" t="s">
        <v>635</v>
      </c>
      <c r="R45" s="50" t="s">
        <v>636</v>
      </c>
    </row>
    <row r="46" spans="2:18" x14ac:dyDescent="0.35">
      <c r="D46" s="50" t="s">
        <v>12</v>
      </c>
      <c r="F46" s="50" t="s">
        <v>743</v>
      </c>
      <c r="G46" s="50" t="s">
        <v>744</v>
      </c>
      <c r="H46" s="50" t="s">
        <v>745</v>
      </c>
      <c r="I46" s="50" t="s">
        <v>746</v>
      </c>
      <c r="J46" s="50" t="s">
        <v>747</v>
      </c>
      <c r="K46" s="50" t="s">
        <v>748</v>
      </c>
      <c r="L46" s="50" t="s">
        <v>749</v>
      </c>
      <c r="M46" s="50" t="s">
        <v>750</v>
      </c>
      <c r="N46" s="50" t="s">
        <v>751</v>
      </c>
      <c r="O46" s="50" t="s">
        <v>752</v>
      </c>
      <c r="P46" s="50" t="s">
        <v>753</v>
      </c>
      <c r="Q46" s="50" t="s">
        <v>754</v>
      </c>
      <c r="R46" s="50" t="s">
        <v>755</v>
      </c>
    </row>
    <row r="48" spans="2:18" x14ac:dyDescent="0.35">
      <c r="D48" s="50" t="s">
        <v>9</v>
      </c>
      <c r="F48" s="50" t="s">
        <v>756</v>
      </c>
      <c r="G48" s="50" t="s">
        <v>757</v>
      </c>
      <c r="H48" s="50" t="s">
        <v>758</v>
      </c>
      <c r="I48" s="50" t="s">
        <v>759</v>
      </c>
      <c r="J48" s="50" t="s">
        <v>760</v>
      </c>
      <c r="K48" s="50" t="s">
        <v>761</v>
      </c>
      <c r="L48" s="50" t="s">
        <v>762</v>
      </c>
      <c r="M48" s="50" t="s">
        <v>763</v>
      </c>
      <c r="N48" s="50" t="s">
        <v>764</v>
      </c>
      <c r="O48" s="50" t="s">
        <v>765</v>
      </c>
      <c r="P48" s="50" t="s">
        <v>766</v>
      </c>
      <c r="Q48" s="50" t="s">
        <v>767</v>
      </c>
      <c r="R48" s="50" t="s">
        <v>768</v>
      </c>
    </row>
    <row r="50" spans="2:18" x14ac:dyDescent="0.35">
      <c r="B50" s="50" t="s">
        <v>769</v>
      </c>
      <c r="D50" s="50" t="s">
        <v>361</v>
      </c>
      <c r="F50" s="50" t="s">
        <v>637</v>
      </c>
      <c r="G50" s="50" t="s">
        <v>638</v>
      </c>
      <c r="H50" s="50" t="s">
        <v>639</v>
      </c>
      <c r="I50" s="50" t="s">
        <v>640</v>
      </c>
      <c r="J50" s="50" t="s">
        <v>641</v>
      </c>
      <c r="K50" s="50" t="s">
        <v>642</v>
      </c>
      <c r="L50" s="50" t="s">
        <v>643</v>
      </c>
      <c r="M50" s="50" t="s">
        <v>644</v>
      </c>
      <c r="N50" s="50" t="s">
        <v>645</v>
      </c>
      <c r="O50" s="50" t="s">
        <v>646</v>
      </c>
      <c r="P50" s="50" t="s">
        <v>647</v>
      </c>
      <c r="Q50" s="50" t="s">
        <v>648</v>
      </c>
      <c r="R50" s="50" t="s">
        <v>649</v>
      </c>
    </row>
    <row r="52" spans="2:18" x14ac:dyDescent="0.35">
      <c r="D52" s="50" t="s">
        <v>13</v>
      </c>
      <c r="F52" s="50" t="s">
        <v>770</v>
      </c>
      <c r="G52" s="50" t="s">
        <v>771</v>
      </c>
      <c r="H52" s="50" t="s">
        <v>772</v>
      </c>
      <c r="I52" s="50" t="s">
        <v>773</v>
      </c>
      <c r="J52" s="50" t="s">
        <v>774</v>
      </c>
      <c r="K52" s="50" t="s">
        <v>775</v>
      </c>
      <c r="L52" s="50" t="s">
        <v>776</v>
      </c>
      <c r="M52" s="50" t="s">
        <v>777</v>
      </c>
      <c r="N52" s="50" t="s">
        <v>778</v>
      </c>
      <c r="O52" s="50" t="s">
        <v>779</v>
      </c>
      <c r="P52" s="50" t="s">
        <v>780</v>
      </c>
      <c r="Q52" s="50" t="s">
        <v>781</v>
      </c>
      <c r="R52" s="50" t="s">
        <v>782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55"/>
  <sheetViews>
    <sheetView workbookViewId="0"/>
  </sheetViews>
  <sheetFormatPr defaultRowHeight="14.5" x14ac:dyDescent="0.35"/>
  <sheetData>
    <row r="1" spans="1:19" x14ac:dyDescent="0.35">
      <c r="A1" s="50" t="s">
        <v>1328</v>
      </c>
      <c r="B1" s="50" t="s">
        <v>14</v>
      </c>
      <c r="C1" s="50" t="s">
        <v>14</v>
      </c>
      <c r="E1" s="50" t="s">
        <v>15</v>
      </c>
      <c r="G1" s="50" t="s">
        <v>15</v>
      </c>
      <c r="H1" s="50" t="s">
        <v>15</v>
      </c>
      <c r="I1" s="50" t="s">
        <v>15</v>
      </c>
      <c r="J1" s="50" t="s">
        <v>15</v>
      </c>
      <c r="K1" s="50" t="s">
        <v>15</v>
      </c>
      <c r="L1" s="50" t="s">
        <v>15</v>
      </c>
      <c r="M1" s="50" t="s">
        <v>15</v>
      </c>
      <c r="N1" s="50" t="s">
        <v>15</v>
      </c>
      <c r="O1" s="50" t="s">
        <v>15</v>
      </c>
      <c r="P1" s="50" t="s">
        <v>15</v>
      </c>
      <c r="Q1" s="50" t="s">
        <v>15</v>
      </c>
      <c r="R1" s="50" t="s">
        <v>15</v>
      </c>
      <c r="S1" s="50" t="s">
        <v>15</v>
      </c>
    </row>
    <row r="2" spans="1:19" x14ac:dyDescent="0.35">
      <c r="A2" s="50" t="s">
        <v>14</v>
      </c>
      <c r="B2" s="50" t="s">
        <v>28</v>
      </c>
      <c r="C2" s="50" t="s">
        <v>31</v>
      </c>
      <c r="G2" s="50" t="s">
        <v>18</v>
      </c>
      <c r="H2" s="50" t="s">
        <v>18</v>
      </c>
      <c r="I2" s="50" t="s">
        <v>18</v>
      </c>
      <c r="J2" s="50" t="s">
        <v>18</v>
      </c>
      <c r="K2" s="50" t="s">
        <v>18</v>
      </c>
      <c r="L2" s="50" t="s">
        <v>18</v>
      </c>
      <c r="M2" s="50" t="s">
        <v>18</v>
      </c>
      <c r="N2" s="50" t="s">
        <v>18</v>
      </c>
      <c r="O2" s="50" t="s">
        <v>18</v>
      </c>
      <c r="P2" s="50" t="s">
        <v>18</v>
      </c>
      <c r="Q2" s="50" t="s">
        <v>18</v>
      </c>
      <c r="R2" s="50" t="s">
        <v>18</v>
      </c>
      <c r="S2" s="50" t="s">
        <v>20</v>
      </c>
    </row>
    <row r="3" spans="1:19" x14ac:dyDescent="0.35">
      <c r="B3" s="50" t="s">
        <v>29</v>
      </c>
      <c r="C3" s="50" t="s">
        <v>650</v>
      </c>
    </row>
    <row r="4" spans="1:19" x14ac:dyDescent="0.35">
      <c r="B4" s="50" t="s">
        <v>29</v>
      </c>
      <c r="C4" s="50" t="s">
        <v>651</v>
      </c>
    </row>
    <row r="5" spans="1:19" x14ac:dyDescent="0.35">
      <c r="B5" s="50" t="s">
        <v>30</v>
      </c>
      <c r="C5" s="50" t="s">
        <v>652</v>
      </c>
    </row>
    <row r="6" spans="1:19" x14ac:dyDescent="0.35">
      <c r="B6" s="50" t="s">
        <v>30</v>
      </c>
      <c r="C6" s="50" t="s">
        <v>653</v>
      </c>
    </row>
    <row r="7" spans="1:19" x14ac:dyDescent="0.35">
      <c r="E7" s="50" t="s">
        <v>19</v>
      </c>
      <c r="F7" s="50" t="s">
        <v>376</v>
      </c>
      <c r="R7" s="50" t="s">
        <v>16</v>
      </c>
      <c r="S7" s="50" t="s">
        <v>33</v>
      </c>
    </row>
    <row r="9" spans="1:19" x14ac:dyDescent="0.35">
      <c r="G9" s="50" t="s">
        <v>785</v>
      </c>
      <c r="H9" s="50" t="s">
        <v>786</v>
      </c>
      <c r="I9" s="50" t="s">
        <v>787</v>
      </c>
      <c r="J9" s="50" t="s">
        <v>788</v>
      </c>
      <c r="K9" s="50" t="s">
        <v>789</v>
      </c>
      <c r="L9" s="50" t="s">
        <v>790</v>
      </c>
      <c r="M9" s="50" t="s">
        <v>791</v>
      </c>
      <c r="N9" s="50" t="s">
        <v>792</v>
      </c>
      <c r="O9" s="50" t="s">
        <v>793</v>
      </c>
      <c r="P9" s="50" t="s">
        <v>794</v>
      </c>
      <c r="Q9" s="50" t="s">
        <v>795</v>
      </c>
      <c r="R9" s="50" t="s">
        <v>796</v>
      </c>
      <c r="S9" s="50" t="s">
        <v>33</v>
      </c>
    </row>
    <row r="10" spans="1:19" x14ac:dyDescent="0.35">
      <c r="A10" s="50" t="s">
        <v>14</v>
      </c>
      <c r="B10" s="50" t="s">
        <v>25</v>
      </c>
      <c r="G10" s="50" t="s">
        <v>46</v>
      </c>
      <c r="H10" s="50" t="s">
        <v>797</v>
      </c>
      <c r="I10" s="50" t="s">
        <v>798</v>
      </c>
      <c r="J10" s="50" t="s">
        <v>799</v>
      </c>
      <c r="K10" s="50" t="s">
        <v>800</v>
      </c>
      <c r="L10" s="50" t="s">
        <v>801</v>
      </c>
      <c r="M10" s="50" t="s">
        <v>802</v>
      </c>
      <c r="N10" s="50" t="s">
        <v>803</v>
      </c>
      <c r="O10" s="50" t="s">
        <v>804</v>
      </c>
      <c r="P10" s="50" t="s">
        <v>805</v>
      </c>
      <c r="Q10" s="50" t="s">
        <v>806</v>
      </c>
      <c r="R10" s="50" t="s">
        <v>807</v>
      </c>
      <c r="S10" s="50" t="s">
        <v>808</v>
      </c>
    </row>
    <row r="11" spans="1:19" x14ac:dyDescent="0.35">
      <c r="A11" s="50" t="s">
        <v>14</v>
      </c>
      <c r="G11" s="50" t="s">
        <v>809</v>
      </c>
      <c r="H11" s="50" t="s">
        <v>810</v>
      </c>
      <c r="I11" s="50" t="s">
        <v>811</v>
      </c>
      <c r="J11" s="50" t="s">
        <v>812</v>
      </c>
      <c r="K11" s="50" t="s">
        <v>813</v>
      </c>
      <c r="L11" s="50" t="s">
        <v>814</v>
      </c>
      <c r="M11" s="50" t="s">
        <v>815</v>
      </c>
      <c r="N11" s="50" t="s">
        <v>816</v>
      </c>
      <c r="O11" s="50" t="s">
        <v>817</v>
      </c>
      <c r="P11" s="50" t="s">
        <v>818</v>
      </c>
      <c r="Q11" s="50" t="s">
        <v>819</v>
      </c>
      <c r="R11" s="50" t="s">
        <v>820</v>
      </c>
      <c r="S11" s="50" t="s">
        <v>821</v>
      </c>
    </row>
    <row r="12" spans="1:19" x14ac:dyDescent="0.35">
      <c r="B12" s="50" t="s">
        <v>22</v>
      </c>
      <c r="E12" s="50" t="s">
        <v>5</v>
      </c>
    </row>
    <row r="13" spans="1:19" x14ac:dyDescent="0.35">
      <c r="B13" s="50" t="s">
        <v>655</v>
      </c>
      <c r="E13" s="50" t="s">
        <v>114</v>
      </c>
      <c r="G13" s="50" t="s">
        <v>1008</v>
      </c>
      <c r="H13" s="50" t="s">
        <v>1009</v>
      </c>
      <c r="I13" s="50" t="s">
        <v>1010</v>
      </c>
      <c r="J13" s="50" t="s">
        <v>1011</v>
      </c>
      <c r="K13" s="50" t="s">
        <v>1012</v>
      </c>
      <c r="L13" s="50" t="s">
        <v>1013</v>
      </c>
      <c r="M13" s="50" t="s">
        <v>1014</v>
      </c>
      <c r="N13" s="50" t="s">
        <v>1015</v>
      </c>
      <c r="O13" s="50" t="s">
        <v>1016</v>
      </c>
      <c r="P13" s="50" t="s">
        <v>1017</v>
      </c>
      <c r="Q13" s="50" t="s">
        <v>1018</v>
      </c>
      <c r="R13" s="50" t="s">
        <v>1019</v>
      </c>
      <c r="S13" s="50" t="s">
        <v>1020</v>
      </c>
    </row>
    <row r="14" spans="1:19" x14ac:dyDescent="0.35">
      <c r="B14" s="50" t="s">
        <v>656</v>
      </c>
      <c r="E14" s="50" t="s">
        <v>128</v>
      </c>
      <c r="G14" s="50" t="s">
        <v>1021</v>
      </c>
      <c r="H14" s="50" t="s">
        <v>1022</v>
      </c>
      <c r="I14" s="50" t="s">
        <v>1023</v>
      </c>
      <c r="J14" s="50" t="s">
        <v>1024</v>
      </c>
      <c r="K14" s="50" t="s">
        <v>1025</v>
      </c>
      <c r="L14" s="50" t="s">
        <v>1026</v>
      </c>
      <c r="M14" s="50" t="s">
        <v>1027</v>
      </c>
      <c r="N14" s="50" t="s">
        <v>1028</v>
      </c>
      <c r="O14" s="50" t="s">
        <v>1029</v>
      </c>
      <c r="P14" s="50" t="s">
        <v>1030</v>
      </c>
      <c r="Q14" s="50" t="s">
        <v>1031</v>
      </c>
      <c r="R14" s="50" t="s">
        <v>1032</v>
      </c>
      <c r="S14" s="50" t="s">
        <v>1033</v>
      </c>
    </row>
    <row r="15" spans="1:19" x14ac:dyDescent="0.35">
      <c r="B15" s="50" t="s">
        <v>657</v>
      </c>
      <c r="E15" s="50" t="s">
        <v>142</v>
      </c>
      <c r="G15" s="50" t="s">
        <v>1034</v>
      </c>
      <c r="H15" s="50" t="s">
        <v>1035</v>
      </c>
      <c r="I15" s="50" t="s">
        <v>1036</v>
      </c>
      <c r="J15" s="50" t="s">
        <v>1037</v>
      </c>
      <c r="K15" s="50" t="s">
        <v>1038</v>
      </c>
      <c r="L15" s="50" t="s">
        <v>1039</v>
      </c>
      <c r="M15" s="50" t="s">
        <v>1040</v>
      </c>
      <c r="N15" s="50" t="s">
        <v>1041</v>
      </c>
      <c r="O15" s="50" t="s">
        <v>1042</v>
      </c>
      <c r="P15" s="50" t="s">
        <v>1043</v>
      </c>
      <c r="Q15" s="50" t="s">
        <v>1044</v>
      </c>
      <c r="R15" s="50" t="s">
        <v>1045</v>
      </c>
      <c r="S15" s="50" t="s">
        <v>1046</v>
      </c>
    </row>
    <row r="16" spans="1:19" x14ac:dyDescent="0.35">
      <c r="B16" s="50" t="s">
        <v>658</v>
      </c>
      <c r="E16" s="50" t="s">
        <v>156</v>
      </c>
      <c r="G16" s="50" t="s">
        <v>1047</v>
      </c>
      <c r="H16" s="50" t="s">
        <v>1048</v>
      </c>
      <c r="I16" s="50" t="s">
        <v>1049</v>
      </c>
      <c r="J16" s="50" t="s">
        <v>1050</v>
      </c>
      <c r="K16" s="50" t="s">
        <v>1051</v>
      </c>
      <c r="L16" s="50" t="s">
        <v>1052</v>
      </c>
      <c r="M16" s="50" t="s">
        <v>1053</v>
      </c>
      <c r="N16" s="50" t="s">
        <v>1054</v>
      </c>
      <c r="O16" s="50" t="s">
        <v>1055</v>
      </c>
      <c r="P16" s="50" t="s">
        <v>1056</v>
      </c>
      <c r="Q16" s="50" t="s">
        <v>1057</v>
      </c>
      <c r="R16" s="50" t="s">
        <v>1058</v>
      </c>
      <c r="S16" s="50" t="s">
        <v>1059</v>
      </c>
    </row>
    <row r="17" spans="2:19" x14ac:dyDescent="0.35">
      <c r="B17" s="50" t="s">
        <v>659</v>
      </c>
      <c r="E17" s="50" t="s">
        <v>157</v>
      </c>
      <c r="G17" s="50" t="s">
        <v>1060</v>
      </c>
      <c r="H17" s="50" t="s">
        <v>1061</v>
      </c>
      <c r="I17" s="50" t="s">
        <v>1062</v>
      </c>
      <c r="J17" s="50" t="s">
        <v>1063</v>
      </c>
      <c r="K17" s="50" t="s">
        <v>1064</v>
      </c>
      <c r="L17" s="50" t="s">
        <v>1065</v>
      </c>
      <c r="M17" s="50" t="s">
        <v>1066</v>
      </c>
      <c r="N17" s="50" t="s">
        <v>1067</v>
      </c>
      <c r="O17" s="50" t="s">
        <v>1068</v>
      </c>
      <c r="P17" s="50" t="s">
        <v>1069</v>
      </c>
      <c r="Q17" s="50" t="s">
        <v>1070</v>
      </c>
      <c r="R17" s="50" t="s">
        <v>1071</v>
      </c>
      <c r="S17" s="50" t="s">
        <v>1072</v>
      </c>
    </row>
    <row r="18" spans="2:19" x14ac:dyDescent="0.35">
      <c r="B18" s="50" t="s">
        <v>660</v>
      </c>
      <c r="E18" s="50" t="s">
        <v>158</v>
      </c>
      <c r="G18" s="50" t="s">
        <v>1073</v>
      </c>
      <c r="H18" s="50" t="s">
        <v>1074</v>
      </c>
      <c r="I18" s="50" t="s">
        <v>1075</v>
      </c>
      <c r="J18" s="50" t="s">
        <v>1076</v>
      </c>
      <c r="K18" s="50" t="s">
        <v>1077</v>
      </c>
      <c r="L18" s="50" t="s">
        <v>1078</v>
      </c>
      <c r="M18" s="50" t="s">
        <v>1079</v>
      </c>
      <c r="N18" s="50" t="s">
        <v>1080</v>
      </c>
      <c r="O18" s="50" t="s">
        <v>1081</v>
      </c>
      <c r="P18" s="50" t="s">
        <v>1082</v>
      </c>
      <c r="Q18" s="50" t="s">
        <v>1083</v>
      </c>
      <c r="R18" s="50" t="s">
        <v>1084</v>
      </c>
      <c r="S18" s="50" t="s">
        <v>1085</v>
      </c>
    </row>
    <row r="19" spans="2:19" x14ac:dyDescent="0.35">
      <c r="E19" s="50" t="s">
        <v>6</v>
      </c>
      <c r="G19" s="50" t="s">
        <v>822</v>
      </c>
      <c r="H19" s="50" t="s">
        <v>823</v>
      </c>
      <c r="I19" s="50" t="s">
        <v>824</v>
      </c>
      <c r="J19" s="50" t="s">
        <v>825</v>
      </c>
      <c r="K19" s="50" t="s">
        <v>826</v>
      </c>
      <c r="L19" s="50" t="s">
        <v>827</v>
      </c>
      <c r="M19" s="50" t="s">
        <v>828</v>
      </c>
      <c r="N19" s="50" t="s">
        <v>829</v>
      </c>
      <c r="O19" s="50" t="s">
        <v>830</v>
      </c>
      <c r="P19" s="50" t="s">
        <v>831</v>
      </c>
      <c r="Q19" s="50" t="s">
        <v>832</v>
      </c>
      <c r="R19" s="50" t="s">
        <v>833</v>
      </c>
      <c r="S19" s="50" t="s">
        <v>834</v>
      </c>
    </row>
    <row r="21" spans="2:19" x14ac:dyDescent="0.35">
      <c r="E21" s="50" t="s">
        <v>21</v>
      </c>
    </row>
    <row r="22" spans="2:19" x14ac:dyDescent="0.35">
      <c r="B22" s="50" t="s">
        <v>674</v>
      </c>
      <c r="E22" s="50" t="s">
        <v>955</v>
      </c>
      <c r="G22" s="50" t="s">
        <v>1086</v>
      </c>
      <c r="H22" s="50" t="s">
        <v>1087</v>
      </c>
      <c r="I22" s="50" t="s">
        <v>1088</v>
      </c>
      <c r="J22" s="50" t="s">
        <v>1089</v>
      </c>
      <c r="K22" s="50" t="s">
        <v>1090</v>
      </c>
      <c r="L22" s="50" t="s">
        <v>1091</v>
      </c>
      <c r="M22" s="50" t="s">
        <v>1092</v>
      </c>
      <c r="N22" s="50" t="s">
        <v>1093</v>
      </c>
      <c r="O22" s="50" t="s">
        <v>1094</v>
      </c>
      <c r="P22" s="50" t="s">
        <v>1095</v>
      </c>
      <c r="Q22" s="50" t="s">
        <v>1096</v>
      </c>
      <c r="R22" s="50" t="s">
        <v>1097</v>
      </c>
      <c r="S22" s="50" t="s">
        <v>1098</v>
      </c>
    </row>
    <row r="23" spans="2:19" x14ac:dyDescent="0.35">
      <c r="B23" s="50" t="s">
        <v>675</v>
      </c>
      <c r="E23" s="50" t="s">
        <v>173</v>
      </c>
      <c r="G23" s="50" t="s">
        <v>1099</v>
      </c>
      <c r="H23" s="50" t="s">
        <v>1100</v>
      </c>
      <c r="I23" s="50" t="s">
        <v>1101</v>
      </c>
      <c r="J23" s="50" t="s">
        <v>1102</v>
      </c>
      <c r="K23" s="50" t="s">
        <v>1103</v>
      </c>
      <c r="L23" s="50" t="s">
        <v>1104</v>
      </c>
      <c r="M23" s="50" t="s">
        <v>1105</v>
      </c>
      <c r="N23" s="50" t="s">
        <v>1106</v>
      </c>
      <c r="O23" s="50" t="s">
        <v>1107</v>
      </c>
      <c r="P23" s="50" t="s">
        <v>1108</v>
      </c>
      <c r="Q23" s="50" t="s">
        <v>1109</v>
      </c>
      <c r="R23" s="50" t="s">
        <v>1110</v>
      </c>
      <c r="S23" s="50" t="s">
        <v>1111</v>
      </c>
    </row>
    <row r="24" spans="2:19" x14ac:dyDescent="0.35">
      <c r="B24" s="50" t="s">
        <v>676</v>
      </c>
      <c r="E24" s="50" t="s">
        <v>174</v>
      </c>
      <c r="G24" s="50" t="s">
        <v>1112</v>
      </c>
      <c r="H24" s="50" t="s">
        <v>1113</v>
      </c>
      <c r="I24" s="50" t="s">
        <v>1114</v>
      </c>
      <c r="J24" s="50" t="s">
        <v>1115</v>
      </c>
      <c r="K24" s="50" t="s">
        <v>1116</v>
      </c>
      <c r="L24" s="50" t="s">
        <v>1117</v>
      </c>
      <c r="M24" s="50" t="s">
        <v>1118</v>
      </c>
      <c r="N24" s="50" t="s">
        <v>1119</v>
      </c>
      <c r="O24" s="50" t="s">
        <v>1120</v>
      </c>
      <c r="P24" s="50" t="s">
        <v>1121</v>
      </c>
      <c r="Q24" s="50" t="s">
        <v>1122</v>
      </c>
      <c r="R24" s="50" t="s">
        <v>1123</v>
      </c>
      <c r="S24" s="50" t="s">
        <v>1124</v>
      </c>
    </row>
    <row r="25" spans="2:19" x14ac:dyDescent="0.35">
      <c r="B25" s="50" t="s">
        <v>677</v>
      </c>
      <c r="E25" s="50" t="s">
        <v>175</v>
      </c>
      <c r="G25" s="50" t="s">
        <v>1125</v>
      </c>
      <c r="H25" s="50" t="s">
        <v>1126</v>
      </c>
      <c r="I25" s="50" t="s">
        <v>1127</v>
      </c>
      <c r="J25" s="50" t="s">
        <v>1128</v>
      </c>
      <c r="K25" s="50" t="s">
        <v>1129</v>
      </c>
      <c r="L25" s="50" t="s">
        <v>1130</v>
      </c>
      <c r="M25" s="50" t="s">
        <v>1131</v>
      </c>
      <c r="N25" s="50" t="s">
        <v>1132</v>
      </c>
      <c r="O25" s="50" t="s">
        <v>1133</v>
      </c>
      <c r="P25" s="50" t="s">
        <v>1134</v>
      </c>
      <c r="Q25" s="50" t="s">
        <v>1135</v>
      </c>
      <c r="R25" s="50" t="s">
        <v>1136</v>
      </c>
      <c r="S25" s="50" t="s">
        <v>1137</v>
      </c>
    </row>
    <row r="26" spans="2:19" x14ac:dyDescent="0.35">
      <c r="E26" s="50" t="s">
        <v>23</v>
      </c>
      <c r="G26" s="50" t="s">
        <v>835</v>
      </c>
      <c r="H26" s="50" t="s">
        <v>836</v>
      </c>
      <c r="I26" s="50" t="s">
        <v>837</v>
      </c>
      <c r="J26" s="50" t="s">
        <v>838</v>
      </c>
      <c r="K26" s="50" t="s">
        <v>839</v>
      </c>
      <c r="L26" s="50" t="s">
        <v>840</v>
      </c>
      <c r="M26" s="50" t="s">
        <v>841</v>
      </c>
      <c r="N26" s="50" t="s">
        <v>842</v>
      </c>
      <c r="O26" s="50" t="s">
        <v>843</v>
      </c>
      <c r="P26" s="50" t="s">
        <v>844</v>
      </c>
      <c r="Q26" s="50" t="s">
        <v>845</v>
      </c>
      <c r="R26" s="50" t="s">
        <v>846</v>
      </c>
      <c r="S26" s="50" t="s">
        <v>847</v>
      </c>
    </row>
    <row r="28" spans="2:19" x14ac:dyDescent="0.35">
      <c r="E28" s="50" t="s">
        <v>10</v>
      </c>
      <c r="G28" s="50" t="s">
        <v>848</v>
      </c>
      <c r="H28" s="50" t="s">
        <v>849</v>
      </c>
      <c r="I28" s="50" t="s">
        <v>850</v>
      </c>
      <c r="J28" s="50" t="s">
        <v>851</v>
      </c>
      <c r="K28" s="50" t="s">
        <v>852</v>
      </c>
      <c r="L28" s="50" t="s">
        <v>853</v>
      </c>
      <c r="M28" s="50" t="s">
        <v>854</v>
      </c>
      <c r="N28" s="50" t="s">
        <v>855</v>
      </c>
      <c r="O28" s="50" t="s">
        <v>856</v>
      </c>
      <c r="P28" s="50" t="s">
        <v>857</v>
      </c>
      <c r="Q28" s="50" t="s">
        <v>858</v>
      </c>
      <c r="R28" s="50" t="s">
        <v>859</v>
      </c>
      <c r="S28" s="50" t="s">
        <v>860</v>
      </c>
    </row>
    <row r="30" spans="2:19" x14ac:dyDescent="0.35">
      <c r="E30" s="50" t="s">
        <v>7</v>
      </c>
    </row>
    <row r="31" spans="2:19" x14ac:dyDescent="0.35">
      <c r="B31" s="50" t="s">
        <v>704</v>
      </c>
      <c r="E31" s="50" t="s">
        <v>218</v>
      </c>
      <c r="G31" s="50" t="s">
        <v>1138</v>
      </c>
      <c r="H31" s="50" t="s">
        <v>1139</v>
      </c>
      <c r="I31" s="50" t="s">
        <v>1140</v>
      </c>
      <c r="J31" s="50" t="s">
        <v>1141</v>
      </c>
      <c r="K31" s="50" t="s">
        <v>1142</v>
      </c>
      <c r="L31" s="50" t="s">
        <v>1143</v>
      </c>
      <c r="M31" s="50" t="s">
        <v>1144</v>
      </c>
      <c r="N31" s="50" t="s">
        <v>1145</v>
      </c>
      <c r="O31" s="50" t="s">
        <v>1146</v>
      </c>
      <c r="P31" s="50" t="s">
        <v>1147</v>
      </c>
      <c r="Q31" s="50" t="s">
        <v>1148</v>
      </c>
      <c r="R31" s="50" t="s">
        <v>1149</v>
      </c>
      <c r="S31" s="50" t="s">
        <v>1150</v>
      </c>
    </row>
    <row r="32" spans="2:19" x14ac:dyDescent="0.35">
      <c r="B32" s="50" t="s">
        <v>705</v>
      </c>
      <c r="E32" s="50" t="s">
        <v>232</v>
      </c>
      <c r="G32" s="50" t="s">
        <v>1151</v>
      </c>
      <c r="H32" s="50" t="s">
        <v>1152</v>
      </c>
      <c r="I32" s="50" t="s">
        <v>1153</v>
      </c>
      <c r="J32" s="50" t="s">
        <v>1154</v>
      </c>
      <c r="K32" s="50" t="s">
        <v>1155</v>
      </c>
      <c r="L32" s="50" t="s">
        <v>1156</v>
      </c>
      <c r="M32" s="50" t="s">
        <v>1157</v>
      </c>
      <c r="N32" s="50" t="s">
        <v>1158</v>
      </c>
      <c r="O32" s="50" t="s">
        <v>1159</v>
      </c>
      <c r="P32" s="50" t="s">
        <v>1160</v>
      </c>
      <c r="Q32" s="50" t="s">
        <v>1161</v>
      </c>
      <c r="R32" s="50" t="s">
        <v>1162</v>
      </c>
      <c r="S32" s="50" t="s">
        <v>1163</v>
      </c>
    </row>
    <row r="33" spans="2:19" x14ac:dyDescent="0.35">
      <c r="B33" s="50" t="s">
        <v>706</v>
      </c>
      <c r="E33" s="50" t="s">
        <v>246</v>
      </c>
      <c r="G33" s="50" t="s">
        <v>1164</v>
      </c>
      <c r="H33" s="50" t="s">
        <v>1165</v>
      </c>
      <c r="I33" s="50" t="s">
        <v>1166</v>
      </c>
      <c r="J33" s="50" t="s">
        <v>1167</v>
      </c>
      <c r="K33" s="50" t="s">
        <v>1168</v>
      </c>
      <c r="L33" s="50" t="s">
        <v>1169</v>
      </c>
      <c r="M33" s="50" t="s">
        <v>1170</v>
      </c>
      <c r="N33" s="50" t="s">
        <v>1171</v>
      </c>
      <c r="O33" s="50" t="s">
        <v>1172</v>
      </c>
      <c r="P33" s="50" t="s">
        <v>1173</v>
      </c>
      <c r="Q33" s="50" t="s">
        <v>1174</v>
      </c>
      <c r="R33" s="50" t="s">
        <v>1175</v>
      </c>
      <c r="S33" s="50" t="s">
        <v>1176</v>
      </c>
    </row>
    <row r="34" spans="2:19" x14ac:dyDescent="0.35">
      <c r="B34" s="50" t="s">
        <v>707</v>
      </c>
      <c r="E34" s="50" t="s">
        <v>260</v>
      </c>
      <c r="G34" s="50" t="s">
        <v>1177</v>
      </c>
      <c r="H34" s="50" t="s">
        <v>1178</v>
      </c>
      <c r="I34" s="50" t="s">
        <v>1179</v>
      </c>
      <c r="J34" s="50" t="s">
        <v>1180</v>
      </c>
      <c r="K34" s="50" t="s">
        <v>1181</v>
      </c>
      <c r="L34" s="50" t="s">
        <v>1182</v>
      </c>
      <c r="M34" s="50" t="s">
        <v>1183</v>
      </c>
      <c r="N34" s="50" t="s">
        <v>1184</v>
      </c>
      <c r="O34" s="50" t="s">
        <v>1185</v>
      </c>
      <c r="P34" s="50" t="s">
        <v>1186</v>
      </c>
      <c r="Q34" s="50" t="s">
        <v>1187</v>
      </c>
      <c r="R34" s="50" t="s">
        <v>1188</v>
      </c>
      <c r="S34" s="50" t="s">
        <v>1189</v>
      </c>
    </row>
    <row r="35" spans="2:19" x14ac:dyDescent="0.35">
      <c r="B35" s="50" t="s">
        <v>708</v>
      </c>
      <c r="E35" s="50" t="s">
        <v>1190</v>
      </c>
      <c r="G35" s="50" t="s">
        <v>1191</v>
      </c>
      <c r="H35" s="50" t="s">
        <v>1192</v>
      </c>
      <c r="I35" s="50" t="s">
        <v>1193</v>
      </c>
      <c r="J35" s="50" t="s">
        <v>1194</v>
      </c>
      <c r="K35" s="50" t="s">
        <v>1195</v>
      </c>
      <c r="L35" s="50" t="s">
        <v>1196</v>
      </c>
      <c r="M35" s="50" t="s">
        <v>1197</v>
      </c>
      <c r="N35" s="50" t="s">
        <v>1198</v>
      </c>
      <c r="O35" s="50" t="s">
        <v>1199</v>
      </c>
      <c r="P35" s="50" t="s">
        <v>1200</v>
      </c>
      <c r="Q35" s="50" t="s">
        <v>1201</v>
      </c>
      <c r="R35" s="50" t="s">
        <v>1202</v>
      </c>
      <c r="S35" s="50" t="s">
        <v>1203</v>
      </c>
    </row>
    <row r="36" spans="2:19" x14ac:dyDescent="0.35">
      <c r="B36" s="50" t="s">
        <v>709</v>
      </c>
      <c r="E36" s="50" t="s">
        <v>1204</v>
      </c>
      <c r="G36" s="50" t="s">
        <v>1205</v>
      </c>
      <c r="H36" s="50" t="s">
        <v>1206</v>
      </c>
      <c r="I36" s="50" t="s">
        <v>1207</v>
      </c>
      <c r="J36" s="50" t="s">
        <v>1208</v>
      </c>
      <c r="K36" s="50" t="s">
        <v>1209</v>
      </c>
      <c r="L36" s="50" t="s">
        <v>1210</v>
      </c>
      <c r="M36" s="50" t="s">
        <v>1211</v>
      </c>
      <c r="N36" s="50" t="s">
        <v>1212</v>
      </c>
      <c r="O36" s="50" t="s">
        <v>1213</v>
      </c>
      <c r="P36" s="50" t="s">
        <v>1214</v>
      </c>
      <c r="Q36" s="50" t="s">
        <v>1215</v>
      </c>
      <c r="R36" s="50" t="s">
        <v>1216</v>
      </c>
      <c r="S36" s="50" t="s">
        <v>1217</v>
      </c>
    </row>
    <row r="37" spans="2:19" x14ac:dyDescent="0.35">
      <c r="B37" s="50" t="s">
        <v>710</v>
      </c>
      <c r="E37" s="50" t="s">
        <v>1218</v>
      </c>
      <c r="G37" s="50" t="s">
        <v>1219</v>
      </c>
      <c r="H37" s="50" t="s">
        <v>1220</v>
      </c>
      <c r="I37" s="50" t="s">
        <v>1221</v>
      </c>
      <c r="J37" s="50" t="s">
        <v>1222</v>
      </c>
      <c r="K37" s="50" t="s">
        <v>1223</v>
      </c>
      <c r="L37" s="50" t="s">
        <v>1224</v>
      </c>
      <c r="M37" s="50" t="s">
        <v>1225</v>
      </c>
      <c r="N37" s="50" t="s">
        <v>1226</v>
      </c>
      <c r="O37" s="50" t="s">
        <v>1227</v>
      </c>
      <c r="P37" s="50" t="s">
        <v>1228</v>
      </c>
      <c r="Q37" s="50" t="s">
        <v>1229</v>
      </c>
      <c r="R37" s="50" t="s">
        <v>1230</v>
      </c>
      <c r="S37" s="50" t="s">
        <v>1231</v>
      </c>
    </row>
    <row r="38" spans="2:19" x14ac:dyDescent="0.35">
      <c r="E38" s="50" t="s">
        <v>8</v>
      </c>
      <c r="G38" s="50" t="s">
        <v>861</v>
      </c>
      <c r="H38" s="50" t="s">
        <v>862</v>
      </c>
      <c r="I38" s="50" t="s">
        <v>863</v>
      </c>
      <c r="J38" s="50" t="s">
        <v>864</v>
      </c>
      <c r="K38" s="50" t="s">
        <v>865</v>
      </c>
      <c r="L38" s="50" t="s">
        <v>866</v>
      </c>
      <c r="M38" s="50" t="s">
        <v>867</v>
      </c>
      <c r="N38" s="50" t="s">
        <v>868</v>
      </c>
      <c r="O38" s="50" t="s">
        <v>869</v>
      </c>
      <c r="P38" s="50" t="s">
        <v>870</v>
      </c>
      <c r="Q38" s="50" t="s">
        <v>871</v>
      </c>
      <c r="R38" s="50" t="s">
        <v>872</v>
      </c>
      <c r="S38" s="50" t="s">
        <v>873</v>
      </c>
    </row>
    <row r="40" spans="2:19" x14ac:dyDescent="0.35">
      <c r="E40" s="50" t="s">
        <v>24</v>
      </c>
      <c r="G40" s="50" t="s">
        <v>874</v>
      </c>
      <c r="H40" s="50" t="s">
        <v>875</v>
      </c>
      <c r="I40" s="50" t="s">
        <v>876</v>
      </c>
      <c r="J40" s="50" t="s">
        <v>877</v>
      </c>
      <c r="K40" s="50" t="s">
        <v>878</v>
      </c>
      <c r="L40" s="50" t="s">
        <v>879</v>
      </c>
      <c r="M40" s="50" t="s">
        <v>880</v>
      </c>
      <c r="N40" s="50" t="s">
        <v>881</v>
      </c>
      <c r="O40" s="50" t="s">
        <v>882</v>
      </c>
      <c r="P40" s="50" t="s">
        <v>883</v>
      </c>
      <c r="Q40" s="50" t="s">
        <v>884</v>
      </c>
      <c r="R40" s="50" t="s">
        <v>885</v>
      </c>
      <c r="S40" s="50" t="s">
        <v>886</v>
      </c>
    </row>
    <row r="42" spans="2:19" x14ac:dyDescent="0.35">
      <c r="E42" s="50" t="s">
        <v>11</v>
      </c>
    </row>
    <row r="43" spans="2:19" x14ac:dyDescent="0.35">
      <c r="B43" s="50" t="s">
        <v>737</v>
      </c>
      <c r="E43" s="50" t="s">
        <v>316</v>
      </c>
      <c r="G43" s="50" t="s">
        <v>1232</v>
      </c>
      <c r="H43" s="50" t="s">
        <v>1233</v>
      </c>
      <c r="I43" s="50" t="s">
        <v>1234</v>
      </c>
      <c r="J43" s="50" t="s">
        <v>1235</v>
      </c>
      <c r="K43" s="50" t="s">
        <v>1236</v>
      </c>
      <c r="L43" s="50" t="s">
        <v>1237</v>
      </c>
      <c r="M43" s="50" t="s">
        <v>1238</v>
      </c>
      <c r="N43" s="50" t="s">
        <v>1239</v>
      </c>
      <c r="O43" s="50" t="s">
        <v>1240</v>
      </c>
      <c r="P43" s="50" t="s">
        <v>1241</v>
      </c>
      <c r="Q43" s="50" t="s">
        <v>1242</v>
      </c>
      <c r="R43" s="50" t="s">
        <v>1243</v>
      </c>
      <c r="S43" s="50" t="s">
        <v>1244</v>
      </c>
    </row>
    <row r="44" spans="2:19" x14ac:dyDescent="0.35">
      <c r="B44" s="50" t="s">
        <v>738</v>
      </c>
      <c r="E44" s="50" t="s">
        <v>330</v>
      </c>
      <c r="G44" s="50" t="s">
        <v>1245</v>
      </c>
      <c r="H44" s="50" t="s">
        <v>1246</v>
      </c>
      <c r="I44" s="50" t="s">
        <v>1247</v>
      </c>
      <c r="J44" s="50" t="s">
        <v>1248</v>
      </c>
      <c r="K44" s="50" t="s">
        <v>1249</v>
      </c>
      <c r="L44" s="50" t="s">
        <v>1250</v>
      </c>
      <c r="M44" s="50" t="s">
        <v>1251</v>
      </c>
      <c r="N44" s="50" t="s">
        <v>1252</v>
      </c>
      <c r="O44" s="50" t="s">
        <v>1253</v>
      </c>
      <c r="P44" s="50" t="s">
        <v>1254</v>
      </c>
      <c r="Q44" s="50" t="s">
        <v>1255</v>
      </c>
      <c r="R44" s="50" t="s">
        <v>1256</v>
      </c>
      <c r="S44" s="50" t="s">
        <v>1257</v>
      </c>
    </row>
    <row r="45" spans="2:19" x14ac:dyDescent="0.35">
      <c r="B45" s="50" t="s">
        <v>739</v>
      </c>
      <c r="E45" s="50" t="s">
        <v>344</v>
      </c>
      <c r="G45" s="50" t="s">
        <v>1258</v>
      </c>
      <c r="H45" s="50" t="s">
        <v>1259</v>
      </c>
      <c r="I45" s="50" t="s">
        <v>1260</v>
      </c>
      <c r="J45" s="50" t="s">
        <v>1261</v>
      </c>
      <c r="K45" s="50" t="s">
        <v>1262</v>
      </c>
      <c r="L45" s="50" t="s">
        <v>1263</v>
      </c>
      <c r="M45" s="50" t="s">
        <v>1264</v>
      </c>
      <c r="N45" s="50" t="s">
        <v>1265</v>
      </c>
      <c r="O45" s="50" t="s">
        <v>1266</v>
      </c>
      <c r="P45" s="50" t="s">
        <v>1267</v>
      </c>
      <c r="Q45" s="50" t="s">
        <v>1268</v>
      </c>
      <c r="R45" s="50" t="s">
        <v>1269</v>
      </c>
      <c r="S45" s="50" t="s">
        <v>1270</v>
      </c>
    </row>
    <row r="46" spans="2:19" x14ac:dyDescent="0.35">
      <c r="B46" s="50" t="s">
        <v>740</v>
      </c>
      <c r="E46" s="50" t="s">
        <v>358</v>
      </c>
      <c r="G46" s="50" t="s">
        <v>1271</v>
      </c>
      <c r="H46" s="50" t="s">
        <v>1272</v>
      </c>
      <c r="I46" s="50" t="s">
        <v>1273</v>
      </c>
      <c r="J46" s="50" t="s">
        <v>1274</v>
      </c>
      <c r="K46" s="50" t="s">
        <v>1275</v>
      </c>
      <c r="L46" s="50" t="s">
        <v>1276</v>
      </c>
      <c r="M46" s="50" t="s">
        <v>1277</v>
      </c>
      <c r="N46" s="50" t="s">
        <v>1278</v>
      </c>
      <c r="O46" s="50" t="s">
        <v>1279</v>
      </c>
      <c r="P46" s="50" t="s">
        <v>1280</v>
      </c>
      <c r="Q46" s="50" t="s">
        <v>1281</v>
      </c>
      <c r="R46" s="50" t="s">
        <v>1282</v>
      </c>
      <c r="S46" s="50" t="s">
        <v>1283</v>
      </c>
    </row>
    <row r="47" spans="2:19" x14ac:dyDescent="0.35">
      <c r="B47" s="50" t="s">
        <v>741</v>
      </c>
      <c r="E47" s="50" t="s">
        <v>359</v>
      </c>
      <c r="G47" s="50" t="s">
        <v>1284</v>
      </c>
      <c r="H47" s="50" t="s">
        <v>1285</v>
      </c>
      <c r="I47" s="50" t="s">
        <v>1286</v>
      </c>
      <c r="J47" s="50" t="s">
        <v>1287</v>
      </c>
      <c r="K47" s="50" t="s">
        <v>1288</v>
      </c>
      <c r="L47" s="50" t="s">
        <v>1289</v>
      </c>
      <c r="M47" s="50" t="s">
        <v>1290</v>
      </c>
      <c r="N47" s="50" t="s">
        <v>1291</v>
      </c>
      <c r="O47" s="50" t="s">
        <v>1292</v>
      </c>
      <c r="P47" s="50" t="s">
        <v>1293</v>
      </c>
      <c r="Q47" s="50" t="s">
        <v>1294</v>
      </c>
      <c r="R47" s="50" t="s">
        <v>1295</v>
      </c>
      <c r="S47" s="50" t="s">
        <v>1296</v>
      </c>
    </row>
    <row r="48" spans="2:19" x14ac:dyDescent="0.35">
      <c r="B48" s="50" t="s">
        <v>742</v>
      </c>
      <c r="E48" s="50" t="s">
        <v>360</v>
      </c>
      <c r="G48" s="50" t="s">
        <v>1297</v>
      </c>
      <c r="H48" s="50" t="s">
        <v>1298</v>
      </c>
      <c r="I48" s="50" t="s">
        <v>1299</v>
      </c>
      <c r="J48" s="50" t="s">
        <v>1300</v>
      </c>
      <c r="K48" s="50" t="s">
        <v>1301</v>
      </c>
      <c r="L48" s="50" t="s">
        <v>1302</v>
      </c>
      <c r="M48" s="50" t="s">
        <v>1303</v>
      </c>
      <c r="N48" s="50" t="s">
        <v>1304</v>
      </c>
      <c r="O48" s="50" t="s">
        <v>1305</v>
      </c>
      <c r="P48" s="50" t="s">
        <v>1306</v>
      </c>
      <c r="Q48" s="50" t="s">
        <v>1307</v>
      </c>
      <c r="R48" s="50" t="s">
        <v>1308</v>
      </c>
      <c r="S48" s="50" t="s">
        <v>1309</v>
      </c>
    </row>
    <row r="49" spans="2:19" x14ac:dyDescent="0.35">
      <c r="E49" s="50" t="s">
        <v>12</v>
      </c>
      <c r="G49" s="50" t="s">
        <v>887</v>
      </c>
      <c r="H49" s="50" t="s">
        <v>888</v>
      </c>
      <c r="I49" s="50" t="s">
        <v>889</v>
      </c>
      <c r="J49" s="50" t="s">
        <v>890</v>
      </c>
      <c r="K49" s="50" t="s">
        <v>891</v>
      </c>
      <c r="L49" s="50" t="s">
        <v>892</v>
      </c>
      <c r="M49" s="50" t="s">
        <v>893</v>
      </c>
      <c r="N49" s="50" t="s">
        <v>894</v>
      </c>
      <c r="O49" s="50" t="s">
        <v>895</v>
      </c>
      <c r="P49" s="50" t="s">
        <v>896</v>
      </c>
      <c r="Q49" s="50" t="s">
        <v>897</v>
      </c>
      <c r="R49" s="50" t="s">
        <v>898</v>
      </c>
      <c r="S49" s="50" t="s">
        <v>899</v>
      </c>
    </row>
    <row r="51" spans="2:19" x14ac:dyDescent="0.35">
      <c r="E51" s="50" t="s">
        <v>9</v>
      </c>
      <c r="G51" s="50" t="s">
        <v>900</v>
      </c>
      <c r="H51" s="50" t="s">
        <v>901</v>
      </c>
      <c r="I51" s="50" t="s">
        <v>902</v>
      </c>
      <c r="J51" s="50" t="s">
        <v>903</v>
      </c>
      <c r="K51" s="50" t="s">
        <v>904</v>
      </c>
      <c r="L51" s="50" t="s">
        <v>905</v>
      </c>
      <c r="M51" s="50" t="s">
        <v>906</v>
      </c>
      <c r="N51" s="50" t="s">
        <v>907</v>
      </c>
      <c r="O51" s="50" t="s">
        <v>908</v>
      </c>
      <c r="P51" s="50" t="s">
        <v>909</v>
      </c>
      <c r="Q51" s="50" t="s">
        <v>910</v>
      </c>
      <c r="R51" s="50" t="s">
        <v>911</v>
      </c>
      <c r="S51" s="50" t="s">
        <v>912</v>
      </c>
    </row>
    <row r="53" spans="2:19" x14ac:dyDescent="0.35">
      <c r="B53" s="50" t="s">
        <v>769</v>
      </c>
      <c r="E53" s="50" t="s">
        <v>375</v>
      </c>
      <c r="G53" s="50" t="s">
        <v>1310</v>
      </c>
      <c r="H53" s="50" t="s">
        <v>1311</v>
      </c>
      <c r="I53" s="50" t="s">
        <v>1312</v>
      </c>
      <c r="J53" s="50" t="s">
        <v>1313</v>
      </c>
      <c r="K53" s="50" t="s">
        <v>1314</v>
      </c>
      <c r="L53" s="50" t="s">
        <v>1315</v>
      </c>
      <c r="M53" s="50" t="s">
        <v>1316</v>
      </c>
      <c r="N53" s="50" t="s">
        <v>1317</v>
      </c>
      <c r="O53" s="50" t="s">
        <v>1318</v>
      </c>
      <c r="P53" s="50" t="s">
        <v>1319</v>
      </c>
      <c r="Q53" s="50" t="s">
        <v>1320</v>
      </c>
      <c r="R53" s="50" t="s">
        <v>1321</v>
      </c>
      <c r="S53" s="50" t="s">
        <v>1322</v>
      </c>
    </row>
    <row r="55" spans="2:19" x14ac:dyDescent="0.35">
      <c r="E55" s="50" t="s">
        <v>13</v>
      </c>
      <c r="G55" s="50" t="s">
        <v>913</v>
      </c>
      <c r="H55" s="50" t="s">
        <v>914</v>
      </c>
      <c r="I55" s="50" t="s">
        <v>915</v>
      </c>
      <c r="J55" s="50" t="s">
        <v>916</v>
      </c>
      <c r="K55" s="50" t="s">
        <v>917</v>
      </c>
      <c r="L55" s="50" t="s">
        <v>918</v>
      </c>
      <c r="M55" s="50" t="s">
        <v>919</v>
      </c>
      <c r="N55" s="50" t="s">
        <v>920</v>
      </c>
      <c r="O55" s="50" t="s">
        <v>921</v>
      </c>
      <c r="P55" s="50" t="s">
        <v>922</v>
      </c>
      <c r="Q55" s="50" t="s">
        <v>923</v>
      </c>
      <c r="R55" s="50" t="s">
        <v>924</v>
      </c>
      <c r="S55" s="50" t="s">
        <v>925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54"/>
  <sheetViews>
    <sheetView showGridLines="0" topLeftCell="C3" zoomScale="55" zoomScaleNormal="55" workbookViewId="0">
      <selection activeCell="H4" sqref="H4"/>
    </sheetView>
  </sheetViews>
  <sheetFormatPr defaultRowHeight="14.5" x14ac:dyDescent="0.35"/>
  <cols>
    <col min="1" max="1" width="9.1796875" hidden="1" customWidth="1"/>
    <col min="2" max="2" width="25.7265625" style="8" hidden="1" customWidth="1"/>
    <col min="3" max="3" width="5.81640625" customWidth="1"/>
    <col min="4" max="4" width="37.1796875" bestFit="1" customWidth="1"/>
    <col min="5" max="5" width="20.7265625" customWidth="1"/>
    <col min="6" max="14" width="14.54296875" bestFit="1" customWidth="1"/>
    <col min="15" max="15" width="14.453125" bestFit="1" customWidth="1"/>
    <col min="16" max="16" width="14.54296875" bestFit="1" customWidth="1"/>
    <col min="17" max="17" width="15.453125" bestFit="1" customWidth="1"/>
    <col min="18" max="18" width="17.7265625" style="3" bestFit="1" customWidth="1"/>
  </cols>
  <sheetData>
    <row r="1" spans="1:20" s="8" customFormat="1" hidden="1" x14ac:dyDescent="0.35">
      <c r="A1" s="8" t="s">
        <v>1323</v>
      </c>
      <c r="B1" s="8" t="s">
        <v>14</v>
      </c>
      <c r="D1" s="8" t="s">
        <v>15</v>
      </c>
      <c r="F1" s="8" t="s">
        <v>15</v>
      </c>
      <c r="G1" s="8" t="s">
        <v>15</v>
      </c>
      <c r="H1" s="8" t="s">
        <v>15</v>
      </c>
      <c r="I1" s="8" t="s">
        <v>15</v>
      </c>
      <c r="J1" s="8" t="s">
        <v>15</v>
      </c>
      <c r="K1" s="8" t="s">
        <v>15</v>
      </c>
      <c r="L1" s="8" t="s">
        <v>15</v>
      </c>
      <c r="M1" s="8" t="s">
        <v>15</v>
      </c>
      <c r="N1" s="8" t="s">
        <v>15</v>
      </c>
      <c r="O1" s="8" t="s">
        <v>15</v>
      </c>
      <c r="P1" s="8" t="s">
        <v>15</v>
      </c>
      <c r="Q1" s="8" t="s">
        <v>15</v>
      </c>
      <c r="R1" s="8" t="s">
        <v>15</v>
      </c>
    </row>
    <row r="2" spans="1:20" s="8" customFormat="1" ht="15" hidden="1" customHeight="1" x14ac:dyDescent="0.35">
      <c r="A2" s="8" t="s">
        <v>14</v>
      </c>
      <c r="F2" s="8" t="s">
        <v>18</v>
      </c>
      <c r="G2" s="8" t="s">
        <v>18</v>
      </c>
      <c r="H2" s="8" t="s">
        <v>18</v>
      </c>
      <c r="I2" s="8" t="s">
        <v>18</v>
      </c>
      <c r="J2" s="8" t="s">
        <v>18</v>
      </c>
      <c r="K2" s="8" t="s">
        <v>18</v>
      </c>
      <c r="L2" s="8" t="s">
        <v>18</v>
      </c>
      <c r="M2" s="8" t="s">
        <v>18</v>
      </c>
      <c r="N2" s="8" t="s">
        <v>18</v>
      </c>
      <c r="O2" s="8" t="s">
        <v>18</v>
      </c>
      <c r="P2" s="8" t="s">
        <v>18</v>
      </c>
      <c r="Q2" s="8" t="s">
        <v>18</v>
      </c>
      <c r="R2" s="8" t="s">
        <v>20</v>
      </c>
    </row>
    <row r="4" spans="1:20" ht="22.5" x14ac:dyDescent="0.45">
      <c r="D4" s="9" t="s">
        <v>0</v>
      </c>
      <c r="Q4" s="9" t="s">
        <v>16</v>
      </c>
      <c r="R4" s="9" t="str">
        <f>Year</f>
        <v>2018</v>
      </c>
      <c r="T4" s="3"/>
    </row>
    <row r="5" spans="1:20" x14ac:dyDescent="0.35">
      <c r="B5" s="43"/>
    </row>
    <row r="6" spans="1:20" ht="18.75" customHeight="1" x14ac:dyDescent="0.45">
      <c r="B6" s="43"/>
      <c r="E6" s="20"/>
      <c r="F6" s="13" t="str">
        <f t="shared" ref="F6:Q6" si="0">TEXT(F7,"MMMM")</f>
        <v>January</v>
      </c>
      <c r="G6" s="5" t="str">
        <f t="shared" si="0"/>
        <v>February</v>
      </c>
      <c r="H6" s="5" t="str">
        <f t="shared" si="0"/>
        <v>March</v>
      </c>
      <c r="I6" s="5" t="str">
        <f t="shared" si="0"/>
        <v>April</v>
      </c>
      <c r="J6" s="5" t="str">
        <f t="shared" si="0"/>
        <v>May</v>
      </c>
      <c r="K6" s="5" t="str">
        <f t="shared" si="0"/>
        <v>June</v>
      </c>
      <c r="L6" s="5" t="str">
        <f t="shared" si="0"/>
        <v>July</v>
      </c>
      <c r="M6" s="5" t="str">
        <f t="shared" si="0"/>
        <v>August</v>
      </c>
      <c r="N6" s="5" t="str">
        <f t="shared" si="0"/>
        <v>September</v>
      </c>
      <c r="O6" s="5" t="str">
        <f t="shared" si="0"/>
        <v>October</v>
      </c>
      <c r="P6" s="5" t="str">
        <f t="shared" si="0"/>
        <v>November</v>
      </c>
      <c r="Q6" s="5" t="str">
        <f t="shared" si="0"/>
        <v>December</v>
      </c>
      <c r="R6" s="10" t="str">
        <f>Year</f>
        <v>2018</v>
      </c>
    </row>
    <row r="7" spans="1:20" ht="37.5" hidden="1" x14ac:dyDescent="0.35">
      <c r="A7" t="s">
        <v>14</v>
      </c>
      <c r="B7" s="44" t="s">
        <v>25</v>
      </c>
      <c r="E7" s="19"/>
      <c r="F7" s="14">
        <f>DATE(Year,1,1)</f>
        <v>43101</v>
      </c>
      <c r="G7" s="6">
        <f t="shared" ref="G7:Q7" si="1">F8+1</f>
        <v>43132</v>
      </c>
      <c r="H7" s="6">
        <f t="shared" si="1"/>
        <v>43160</v>
      </c>
      <c r="I7" s="6">
        <f t="shared" si="1"/>
        <v>43191</v>
      </c>
      <c r="J7" s="6">
        <f t="shared" si="1"/>
        <v>43221</v>
      </c>
      <c r="K7" s="6">
        <f t="shared" si="1"/>
        <v>43252</v>
      </c>
      <c r="L7" s="6">
        <f t="shared" si="1"/>
        <v>43282</v>
      </c>
      <c r="M7" s="6">
        <f t="shared" si="1"/>
        <v>43313</v>
      </c>
      <c r="N7" s="6">
        <f t="shared" si="1"/>
        <v>43344</v>
      </c>
      <c r="O7" s="6">
        <f t="shared" si="1"/>
        <v>43374</v>
      </c>
      <c r="P7" s="6">
        <f t="shared" si="1"/>
        <v>43405</v>
      </c>
      <c r="Q7" s="6">
        <f t="shared" si="1"/>
        <v>43435</v>
      </c>
      <c r="R7" s="11">
        <f>F7</f>
        <v>43101</v>
      </c>
    </row>
    <row r="8" spans="1:20" hidden="1" x14ac:dyDescent="0.35">
      <c r="A8" t="s">
        <v>14</v>
      </c>
      <c r="B8" s="43"/>
      <c r="E8" s="19"/>
      <c r="F8" s="14">
        <f t="shared" ref="F8:Q8" si="2">EOMONTH(F7,0)</f>
        <v>43131</v>
      </c>
      <c r="G8" s="6">
        <f t="shared" si="2"/>
        <v>43159</v>
      </c>
      <c r="H8" s="6">
        <f t="shared" si="2"/>
        <v>43190</v>
      </c>
      <c r="I8" s="6">
        <f t="shared" si="2"/>
        <v>43220</v>
      </c>
      <c r="J8" s="6">
        <f t="shared" si="2"/>
        <v>43251</v>
      </c>
      <c r="K8" s="6">
        <f t="shared" si="2"/>
        <v>43281</v>
      </c>
      <c r="L8" s="6">
        <f t="shared" si="2"/>
        <v>43312</v>
      </c>
      <c r="M8" s="6">
        <f t="shared" si="2"/>
        <v>43343</v>
      </c>
      <c r="N8" s="6">
        <f t="shared" si="2"/>
        <v>43373</v>
      </c>
      <c r="O8" s="6">
        <f t="shared" si="2"/>
        <v>43404</v>
      </c>
      <c r="P8" s="6">
        <f t="shared" si="2"/>
        <v>43434</v>
      </c>
      <c r="Q8" s="6">
        <f t="shared" si="2"/>
        <v>43465</v>
      </c>
      <c r="R8" s="11">
        <f>Q8</f>
        <v>43465</v>
      </c>
    </row>
    <row r="9" spans="1:20" ht="17" x14ac:dyDescent="0.4">
      <c r="B9" s="42" t="s">
        <v>22</v>
      </c>
      <c r="D9" s="39" t="s">
        <v>5</v>
      </c>
      <c r="E9" s="39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1"/>
    </row>
    <row r="10" spans="1:20" x14ac:dyDescent="0.35">
      <c r="B10" s="42">
        <v>44100</v>
      </c>
      <c r="D10" s="22" t="str">
        <f>"Sales, Retail - North America"</f>
        <v>Sales, Retail - North America</v>
      </c>
      <c r="E10" s="22"/>
      <c r="F10" s="23">
        <v>1106653.81</v>
      </c>
      <c r="G10" s="24">
        <f>991937.87</f>
        <v>991937.87</v>
      </c>
      <c r="H10" s="24">
        <f>928364.02</f>
        <v>928364.02</v>
      </c>
      <c r="I10" s="24">
        <f>1127014.01</f>
        <v>1127014.01</v>
      </c>
      <c r="J10" s="24">
        <f>1081003.83</f>
        <v>1081003.83</v>
      </c>
      <c r="K10" s="24">
        <f>1345287.61</f>
        <v>1345287.61</v>
      </c>
      <c r="L10" s="24">
        <f>1294360.59</f>
        <v>1294360.5900000001</v>
      </c>
      <c r="M10" s="24">
        <f>1194672.79</f>
        <v>1194672.79</v>
      </c>
      <c r="N10" s="24">
        <f>1220989.37</f>
        <v>1220989.3700000001</v>
      </c>
      <c r="O10" s="24">
        <f>1339805.06</f>
        <v>1339805.06</v>
      </c>
      <c r="P10" s="24">
        <f>1489601.87</f>
        <v>1489601.87</v>
      </c>
      <c r="Q10" s="24">
        <f>1517569.42</f>
        <v>1517569.42</v>
      </c>
      <c r="R10" s="25">
        <f>14637260.25</f>
        <v>14637260.25</v>
      </c>
    </row>
    <row r="11" spans="1:20" x14ac:dyDescent="0.35">
      <c r="B11" s="42">
        <v>44200</v>
      </c>
      <c r="D11" s="22" t="str">
        <f>"Sales, Retail - EU"</f>
        <v>Sales, Retail - EU</v>
      </c>
      <c r="E11" s="22"/>
      <c r="F11" s="23">
        <f>455841.95</f>
        <v>455841.95</v>
      </c>
      <c r="G11" s="24">
        <f>415068.54</f>
        <v>415068.54</v>
      </c>
      <c r="H11" s="24">
        <f>456033.26</f>
        <v>456033.26</v>
      </c>
      <c r="I11" s="24">
        <f>408758.39</f>
        <v>408758.39</v>
      </c>
      <c r="J11" s="24">
        <f>463220.54</f>
        <v>463220.54</v>
      </c>
      <c r="K11" s="24">
        <f>440938.92</f>
        <v>440938.92</v>
      </c>
      <c r="L11" s="24">
        <f>515364.39</f>
        <v>515364.39</v>
      </c>
      <c r="M11" s="24">
        <f>452007.42</f>
        <v>452007.42</v>
      </c>
      <c r="N11" s="24">
        <f>428058.87</f>
        <v>428058.87</v>
      </c>
      <c r="O11" s="24">
        <f>642943.43</f>
        <v>642943.43000000005</v>
      </c>
      <c r="P11" s="24">
        <f>597956.62</f>
        <v>597956.62</v>
      </c>
      <c r="Q11" s="24">
        <f>487315.17</f>
        <v>487315.17</v>
      </c>
      <c r="R11" s="25">
        <f>5763507.5</f>
        <v>5763507.5</v>
      </c>
    </row>
    <row r="12" spans="1:20" x14ac:dyDescent="0.35">
      <c r="B12" s="42">
        <v>44300</v>
      </c>
      <c r="D12" s="22" t="str">
        <f>"Sales, Retail - Other"</f>
        <v>Sales, Retail - Other</v>
      </c>
      <c r="E12" s="22"/>
      <c r="F12" s="23">
        <f>0</f>
        <v>0</v>
      </c>
      <c r="G12" s="24">
        <f>0</f>
        <v>0</v>
      </c>
      <c r="H12" s="24">
        <f>0</f>
        <v>0</v>
      </c>
      <c r="I12" s="24">
        <f>0</f>
        <v>0</v>
      </c>
      <c r="J12" s="24">
        <f>0</f>
        <v>0</v>
      </c>
      <c r="K12" s="24">
        <f>0</f>
        <v>0</v>
      </c>
      <c r="L12" s="24">
        <f>0</f>
        <v>0</v>
      </c>
      <c r="M12" s="24">
        <f>0</f>
        <v>0</v>
      </c>
      <c r="N12" s="24">
        <f>0</f>
        <v>0</v>
      </c>
      <c r="O12" s="24">
        <f>0</f>
        <v>0</v>
      </c>
      <c r="P12" s="24">
        <f>0</f>
        <v>0</v>
      </c>
      <c r="Q12" s="24">
        <f>0</f>
        <v>0</v>
      </c>
      <c r="R12" s="25">
        <f>0</f>
        <v>0</v>
      </c>
    </row>
    <row r="13" spans="1:20" x14ac:dyDescent="0.35">
      <c r="B13" s="42">
        <v>45100</v>
      </c>
      <c r="D13" s="22" t="str">
        <f>"Discounts, Retail - North Amer"</f>
        <v>Discounts, Retail - North Amer</v>
      </c>
      <c r="E13" s="22"/>
      <c r="F13" s="23">
        <f>-31728.45</f>
        <v>-31728.45</v>
      </c>
      <c r="G13" s="24">
        <f>-32950.95</f>
        <v>-32950.949999999997</v>
      </c>
      <c r="H13" s="24">
        <f>-27947.94</f>
        <v>-27947.94</v>
      </c>
      <c r="I13" s="24">
        <f>-35765.75</f>
        <v>-35765.75</v>
      </c>
      <c r="J13" s="24">
        <f>-32338.54</f>
        <v>-32338.54</v>
      </c>
      <c r="K13" s="24">
        <f>-45044.88</f>
        <v>-45044.88</v>
      </c>
      <c r="L13" s="24">
        <f>-41394.2</f>
        <v>-41394.199999999997</v>
      </c>
      <c r="M13" s="24">
        <f>-43831.86</f>
        <v>-43831.86</v>
      </c>
      <c r="N13" s="24">
        <f>-47373.72</f>
        <v>-47373.72</v>
      </c>
      <c r="O13" s="24">
        <f>-49729.55</f>
        <v>-49729.55</v>
      </c>
      <c r="P13" s="24">
        <f>-56276.72</f>
        <v>-56276.72</v>
      </c>
      <c r="Q13" s="24">
        <f>-58632.63</f>
        <v>-58632.63</v>
      </c>
      <c r="R13" s="25">
        <f>-503015.19</f>
        <v>-503015.19</v>
      </c>
    </row>
    <row r="14" spans="1:20" x14ac:dyDescent="0.35">
      <c r="B14" s="42">
        <v>45200</v>
      </c>
      <c r="D14" s="22" t="str">
        <f>"Discounts, Retail - EU"</f>
        <v>Discounts, Retail - EU</v>
      </c>
      <c r="E14" s="22"/>
      <c r="F14" s="23">
        <f>-10066.87</f>
        <v>-10066.870000000001</v>
      </c>
      <c r="G14" s="24">
        <f>-11421.59</f>
        <v>-11421.59</v>
      </c>
      <c r="H14" s="24">
        <f>-14095.94</f>
        <v>-14095.94</v>
      </c>
      <c r="I14" s="24">
        <f>-13119.47</f>
        <v>-13119.47</v>
      </c>
      <c r="J14" s="24">
        <f>-12333.11</f>
        <v>-12333.11</v>
      </c>
      <c r="K14" s="24">
        <f>-15632.5</f>
        <v>-15632.5</v>
      </c>
      <c r="L14" s="24">
        <f>-15131.19</f>
        <v>-15131.19</v>
      </c>
      <c r="M14" s="24">
        <f>-14340.18</f>
        <v>-14340.18</v>
      </c>
      <c r="N14" s="24">
        <f>-12710.23</f>
        <v>-12710.23</v>
      </c>
      <c r="O14" s="24">
        <f>-20643.59</f>
        <v>-20643.59</v>
      </c>
      <c r="P14" s="24">
        <f>-18089.59</f>
        <v>-18089.59</v>
      </c>
      <c r="Q14" s="24">
        <f>-18168.82</f>
        <v>-18168.82</v>
      </c>
      <c r="R14" s="25">
        <f>-175753.08</f>
        <v>-175753.08</v>
      </c>
    </row>
    <row r="15" spans="1:20" x14ac:dyDescent="0.35">
      <c r="B15" s="42">
        <v>45300</v>
      </c>
      <c r="D15" s="22" t="str">
        <f>"Discounts, Retail - Other"</f>
        <v>Discounts, Retail - Other</v>
      </c>
      <c r="E15" s="22"/>
      <c r="F15" s="23">
        <f>0</f>
        <v>0</v>
      </c>
      <c r="G15" s="24">
        <f>0</f>
        <v>0</v>
      </c>
      <c r="H15" s="24">
        <f>0</f>
        <v>0</v>
      </c>
      <c r="I15" s="24">
        <f>0</f>
        <v>0</v>
      </c>
      <c r="J15" s="24">
        <f>0</f>
        <v>0</v>
      </c>
      <c r="K15" s="24">
        <f>0</f>
        <v>0</v>
      </c>
      <c r="L15" s="24">
        <f>0</f>
        <v>0</v>
      </c>
      <c r="M15" s="24">
        <f>0</f>
        <v>0</v>
      </c>
      <c r="N15" s="24">
        <f>0</f>
        <v>0</v>
      </c>
      <c r="O15" s="24">
        <f>0</f>
        <v>0</v>
      </c>
      <c r="P15" s="24">
        <f>0</f>
        <v>0</v>
      </c>
      <c r="Q15" s="24">
        <f>0</f>
        <v>0</v>
      </c>
      <c r="R15" s="25">
        <f>0</f>
        <v>0</v>
      </c>
    </row>
    <row r="16" spans="1:20" x14ac:dyDescent="0.35">
      <c r="B16" s="42"/>
      <c r="D16" s="26" t="s">
        <v>6</v>
      </c>
      <c r="E16" s="26"/>
      <c r="F16" s="27">
        <f t="shared" ref="F16:R16" si="3">SUM(F10:F15)</f>
        <v>1520700.44</v>
      </c>
      <c r="G16" s="27">
        <f t="shared" si="3"/>
        <v>1362633.8699999999</v>
      </c>
      <c r="H16" s="27">
        <f t="shared" si="3"/>
        <v>1342353.4000000001</v>
      </c>
      <c r="I16" s="27">
        <f t="shared" si="3"/>
        <v>1486887.18</v>
      </c>
      <c r="J16" s="27">
        <f t="shared" si="3"/>
        <v>1499552.72</v>
      </c>
      <c r="K16" s="27">
        <f t="shared" si="3"/>
        <v>1725549.1500000001</v>
      </c>
      <c r="L16" s="27">
        <f t="shared" si="3"/>
        <v>1753199.59</v>
      </c>
      <c r="M16" s="27">
        <f t="shared" si="3"/>
        <v>1588508.17</v>
      </c>
      <c r="N16" s="27">
        <f t="shared" si="3"/>
        <v>1588964.2900000003</v>
      </c>
      <c r="O16" s="27">
        <f t="shared" si="3"/>
        <v>1912375.35</v>
      </c>
      <c r="P16" s="27">
        <f t="shared" si="3"/>
        <v>2013192.1800000002</v>
      </c>
      <c r="Q16" s="27">
        <f t="shared" si="3"/>
        <v>1928083.14</v>
      </c>
      <c r="R16" s="28">
        <f t="shared" si="3"/>
        <v>19721999.48</v>
      </c>
    </row>
    <row r="17" spans="2:18" x14ac:dyDescent="0.35">
      <c r="B17" s="42"/>
      <c r="D17" s="21"/>
      <c r="E17" s="21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30"/>
    </row>
    <row r="18" spans="2:18" ht="17" x14ac:dyDescent="0.4">
      <c r="B18" s="42"/>
      <c r="D18" s="31" t="s">
        <v>21</v>
      </c>
      <c r="E18" s="31"/>
      <c r="R18" s="21"/>
    </row>
    <row r="19" spans="2:18" ht="17" x14ac:dyDescent="0.4">
      <c r="B19" s="42">
        <v>52100</v>
      </c>
      <c r="D19" s="22" t="str">
        <f>"COGS, Retail - North America"</f>
        <v>COGS, Retail - North America</v>
      </c>
      <c r="E19" s="31"/>
      <c r="F19" s="23">
        <f>-629855.22</f>
        <v>-629855.22</v>
      </c>
      <c r="G19" s="24">
        <f>-564033.04</f>
        <v>-564033.04</v>
      </c>
      <c r="H19" s="24">
        <f>-532718.3</f>
        <v>-532718.30000000005</v>
      </c>
      <c r="I19" s="24">
        <f>-642069.63</f>
        <v>-642069.63</v>
      </c>
      <c r="J19" s="24">
        <f>-604596.45</f>
        <v>-604596.44999999995</v>
      </c>
      <c r="K19" s="24">
        <f>-742125.01</f>
        <v>-742125.01</v>
      </c>
      <c r="L19" s="24">
        <f>-756104.96</f>
        <v>-756104.96</v>
      </c>
      <c r="M19" s="24">
        <f>-705952.51</f>
        <v>-705952.51</v>
      </c>
      <c r="N19" s="24">
        <f>-703107.2</f>
        <v>-703107.2</v>
      </c>
      <c r="O19" s="24">
        <f>-824955.05</f>
        <v>-824955.05</v>
      </c>
      <c r="P19" s="24">
        <f>-902804.23</f>
        <v>-902804.23</v>
      </c>
      <c r="Q19" s="24">
        <f>-834328.93</f>
        <v>-834328.93</v>
      </c>
      <c r="R19" s="25">
        <f>-8442650.53</f>
        <v>-8442650.5299999993</v>
      </c>
    </row>
    <row r="20" spans="2:18" ht="17" x14ac:dyDescent="0.4">
      <c r="B20" s="42">
        <v>52300</v>
      </c>
      <c r="D20" s="22" t="str">
        <f>"COGS, Retail - EU"</f>
        <v>COGS, Retail - EU</v>
      </c>
      <c r="E20" s="31"/>
      <c r="F20" s="23">
        <f>-201827.86</f>
        <v>-201827.86</v>
      </c>
      <c r="G20" s="24">
        <f>-187295.72</f>
        <v>-187295.72</v>
      </c>
      <c r="H20" s="24">
        <f>-205801.7</f>
        <v>-205801.7</v>
      </c>
      <c r="I20" s="24">
        <f>-186386.54</f>
        <v>-186386.54</v>
      </c>
      <c r="J20" s="24">
        <f>-218640.41</f>
        <v>-218640.41</v>
      </c>
      <c r="K20" s="24">
        <f>-207639.1</f>
        <v>-207639.1</v>
      </c>
      <c r="L20" s="24">
        <f>-223906.24</f>
        <v>-223906.24</v>
      </c>
      <c r="M20" s="24">
        <f>-190869.3</f>
        <v>-190869.3</v>
      </c>
      <c r="N20" s="24">
        <f>-186113.37</f>
        <v>-186113.37</v>
      </c>
      <c r="O20" s="24">
        <f>-254926.64</f>
        <v>-254926.64</v>
      </c>
      <c r="P20" s="24">
        <f>-238512.01</f>
        <v>-238512.01</v>
      </c>
      <c r="Q20" s="24">
        <f>-228761.25</f>
        <v>-228761.25</v>
      </c>
      <c r="R20" s="25">
        <f>-2530680.14</f>
        <v>-2530680.14</v>
      </c>
    </row>
    <row r="21" spans="2:18" ht="17" x14ac:dyDescent="0.4">
      <c r="B21" s="42">
        <v>52400</v>
      </c>
      <c r="D21" s="22" t="str">
        <f>"COGS, Retail - Other"</f>
        <v>COGS, Retail - Other</v>
      </c>
      <c r="E21" s="31"/>
      <c r="F21" s="23">
        <f>0</f>
        <v>0</v>
      </c>
      <c r="G21" s="24">
        <f>0</f>
        <v>0</v>
      </c>
      <c r="H21" s="24">
        <f>0</f>
        <v>0</v>
      </c>
      <c r="I21" s="24">
        <f>0</f>
        <v>0</v>
      </c>
      <c r="J21" s="24">
        <f>0</f>
        <v>0</v>
      </c>
      <c r="K21" s="24">
        <f>0</f>
        <v>0</v>
      </c>
      <c r="L21" s="24">
        <f>0</f>
        <v>0</v>
      </c>
      <c r="M21" s="24">
        <f>0</f>
        <v>0</v>
      </c>
      <c r="N21" s="24">
        <f>0</f>
        <v>0</v>
      </c>
      <c r="O21" s="24">
        <f>0</f>
        <v>0</v>
      </c>
      <c r="P21" s="24">
        <f>0</f>
        <v>0</v>
      </c>
      <c r="Q21" s="24">
        <f>0</f>
        <v>0</v>
      </c>
      <c r="R21" s="25">
        <f>0</f>
        <v>0</v>
      </c>
    </row>
    <row r="22" spans="2:18" ht="17" x14ac:dyDescent="0.4">
      <c r="B22" s="42">
        <v>54999</v>
      </c>
      <c r="D22" s="22" t="str">
        <f>"Total Cost Adjustments"</f>
        <v>Total Cost Adjustments</v>
      </c>
      <c r="E22" s="31"/>
      <c r="F22" s="23">
        <f>71688.56</f>
        <v>71688.56</v>
      </c>
      <c r="G22" s="24">
        <f>6391.76</f>
        <v>6391.76</v>
      </c>
      <c r="H22" s="24">
        <f>5839.98</f>
        <v>5839.98</v>
      </c>
      <c r="I22" s="24">
        <f>29011.47</f>
        <v>29011.47</v>
      </c>
      <c r="J22" s="24">
        <f>10396.4</f>
        <v>10396.4</v>
      </c>
      <c r="K22" s="24">
        <f>9670.19</f>
        <v>9670.19</v>
      </c>
      <c r="L22" s="24">
        <f>133536.62</f>
        <v>133536.62</v>
      </c>
      <c r="M22" s="24">
        <f>14542.17</f>
        <v>14542.17</v>
      </c>
      <c r="N22" s="24">
        <f>10730.44</f>
        <v>10730.44</v>
      </c>
      <c r="O22" s="24">
        <f>178706.34</f>
        <v>178706.34</v>
      </c>
      <c r="P22" s="24">
        <f>20034.54</f>
        <v>20034.54</v>
      </c>
      <c r="Q22" s="24">
        <f>9096.33</f>
        <v>9096.33</v>
      </c>
      <c r="R22" s="25">
        <f>499644.8</f>
        <v>499644.8</v>
      </c>
    </row>
    <row r="23" spans="2:18" x14ac:dyDescent="0.35">
      <c r="B23" s="42"/>
      <c r="D23" s="26" t="s">
        <v>23</v>
      </c>
      <c r="E23" s="26"/>
      <c r="F23" s="27">
        <f t="shared" ref="F23:R23" si="4">SUM(F19:F22)</f>
        <v>-759994.52</v>
      </c>
      <c r="G23" s="27">
        <f t="shared" si="4"/>
        <v>-744937</v>
      </c>
      <c r="H23" s="27">
        <f t="shared" si="4"/>
        <v>-732680.02</v>
      </c>
      <c r="I23" s="27">
        <f t="shared" si="4"/>
        <v>-799444.70000000007</v>
      </c>
      <c r="J23" s="27">
        <f t="shared" si="4"/>
        <v>-812840.46</v>
      </c>
      <c r="K23" s="27">
        <f t="shared" si="4"/>
        <v>-940093.92</v>
      </c>
      <c r="L23" s="27">
        <f t="shared" si="4"/>
        <v>-846474.58</v>
      </c>
      <c r="M23" s="27">
        <f t="shared" si="4"/>
        <v>-882279.64</v>
      </c>
      <c r="N23" s="27">
        <f t="shared" si="4"/>
        <v>-878490.13</v>
      </c>
      <c r="O23" s="27">
        <f t="shared" si="4"/>
        <v>-901175.35</v>
      </c>
      <c r="P23" s="27">
        <f t="shared" si="4"/>
        <v>-1121281.7</v>
      </c>
      <c r="Q23" s="27">
        <f t="shared" si="4"/>
        <v>-1053993.8500000001</v>
      </c>
      <c r="R23" s="28">
        <f t="shared" si="4"/>
        <v>-10473685.869999999</v>
      </c>
    </row>
    <row r="24" spans="2:18" ht="17" x14ac:dyDescent="0.4">
      <c r="B24" s="42"/>
      <c r="D24" s="31"/>
      <c r="E24" s="31"/>
      <c r="F24" s="23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5"/>
    </row>
    <row r="25" spans="2:18" ht="15.5" x14ac:dyDescent="0.35">
      <c r="B25" s="42"/>
      <c r="D25" s="36" t="s">
        <v>10</v>
      </c>
      <c r="E25" s="36"/>
      <c r="F25" s="37">
        <f t="shared" ref="F25:R25" si="5">F16+F23</f>
        <v>760705.91999999993</v>
      </c>
      <c r="G25" s="37">
        <f t="shared" si="5"/>
        <v>617696.86999999988</v>
      </c>
      <c r="H25" s="37">
        <f t="shared" si="5"/>
        <v>609673.38000000012</v>
      </c>
      <c r="I25" s="37">
        <f t="shared" si="5"/>
        <v>687442.47999999986</v>
      </c>
      <c r="J25" s="37">
        <f t="shared" si="5"/>
        <v>686712.26</v>
      </c>
      <c r="K25" s="37">
        <f t="shared" si="5"/>
        <v>785455.2300000001</v>
      </c>
      <c r="L25" s="37">
        <f t="shared" si="5"/>
        <v>906725.01000000013</v>
      </c>
      <c r="M25" s="37">
        <f t="shared" si="5"/>
        <v>706228.52999999991</v>
      </c>
      <c r="N25" s="37">
        <f t="shared" si="5"/>
        <v>710474.16000000027</v>
      </c>
      <c r="O25" s="37">
        <f t="shared" si="5"/>
        <v>1011200.0000000001</v>
      </c>
      <c r="P25" s="37">
        <f t="shared" si="5"/>
        <v>891910.48000000021</v>
      </c>
      <c r="Q25" s="37">
        <f t="shared" si="5"/>
        <v>874089.2899999998</v>
      </c>
      <c r="R25" s="38">
        <f t="shared" si="5"/>
        <v>9248313.6100000013</v>
      </c>
    </row>
    <row r="26" spans="2:18" x14ac:dyDescent="0.35">
      <c r="B26" s="42"/>
      <c r="D26" s="21"/>
      <c r="E26" s="2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30"/>
    </row>
    <row r="27" spans="2:18" ht="17" x14ac:dyDescent="0.4">
      <c r="B27" s="42"/>
      <c r="D27" s="31" t="s">
        <v>7</v>
      </c>
      <c r="E27" s="31"/>
      <c r="R27" s="21"/>
    </row>
    <row r="28" spans="2:18" x14ac:dyDescent="0.35">
      <c r="B28" s="42">
        <v>65400</v>
      </c>
      <c r="D28" s="22" t="str">
        <f>"Total Bldg. Maint. Expenses"</f>
        <v>Total Bldg. Maint. Expenses</v>
      </c>
      <c r="E28" s="22"/>
      <c r="F28" s="23">
        <f>-4923.27</f>
        <v>-4923.2700000000004</v>
      </c>
      <c r="G28" s="24">
        <f>-4877.27</f>
        <v>-4877.2700000000004</v>
      </c>
      <c r="H28" s="24">
        <f>-5162.27</f>
        <v>-5162.2700000000004</v>
      </c>
      <c r="I28" s="24">
        <f>-5142.27</f>
        <v>-5142.2700000000004</v>
      </c>
      <c r="J28" s="24">
        <f>-5108.27</f>
        <v>-5108.2700000000004</v>
      </c>
      <c r="K28" s="24">
        <f>-5080.27</f>
        <v>-5080.2700000000004</v>
      </c>
      <c r="L28" s="24">
        <f>-5177.27</f>
        <v>-5177.2700000000004</v>
      </c>
      <c r="M28" s="24">
        <f>-4945.27</f>
        <v>-4945.2700000000004</v>
      </c>
      <c r="N28" s="24">
        <f>-4837.27</f>
        <v>-4837.2700000000004</v>
      </c>
      <c r="O28" s="24">
        <f>-5137.27</f>
        <v>-5137.2700000000004</v>
      </c>
      <c r="P28" s="24">
        <f>-3927.06</f>
        <v>-3927.06</v>
      </c>
      <c r="Q28" s="24">
        <f>-6182.48</f>
        <v>-6182.48</v>
      </c>
      <c r="R28" s="25">
        <f>-60500.24</f>
        <v>-60500.24</v>
      </c>
    </row>
    <row r="29" spans="2:18" x14ac:dyDescent="0.35">
      <c r="B29" s="42">
        <v>65900</v>
      </c>
      <c r="D29" s="22" t="str">
        <f>"Total Administrative Expenses"</f>
        <v>Total Administrative Expenses</v>
      </c>
      <c r="E29" s="22"/>
      <c r="F29" s="23">
        <f>-3073.37</f>
        <v>-3073.37</v>
      </c>
      <c r="G29" s="24">
        <f>-3148.37</f>
        <v>-3148.37</v>
      </c>
      <c r="H29" s="24">
        <f>-2778.37</f>
        <v>-2778.37</v>
      </c>
      <c r="I29" s="24">
        <f>-2846.37</f>
        <v>-2846.37</v>
      </c>
      <c r="J29" s="24">
        <f>-3087.37</f>
        <v>-3087.37</v>
      </c>
      <c r="K29" s="24">
        <f>-2905.37</f>
        <v>-2905.37</v>
      </c>
      <c r="L29" s="24">
        <f>-3180.37</f>
        <v>-3180.37</v>
      </c>
      <c r="M29" s="24">
        <f>-2799.37</f>
        <v>-2799.37</v>
      </c>
      <c r="N29" s="24">
        <f>-3060.37</f>
        <v>-3060.37</v>
      </c>
      <c r="O29" s="24">
        <f>-3028.37</f>
        <v>-3028.37</v>
      </c>
      <c r="P29" s="24">
        <f>-3205.37</f>
        <v>-3205.37</v>
      </c>
      <c r="Q29" s="24">
        <f>-3009.37</f>
        <v>-3009.37</v>
      </c>
      <c r="R29" s="25">
        <f>-36122.44</f>
        <v>-36122.44</v>
      </c>
    </row>
    <row r="30" spans="2:18" x14ac:dyDescent="0.35">
      <c r="B30" s="42">
        <v>64400</v>
      </c>
      <c r="D30" s="22" t="str">
        <f>"Total Computer Expenses"</f>
        <v>Total Computer Expenses</v>
      </c>
      <c r="E30" s="22"/>
      <c r="F30" s="23">
        <v>-4394.0599999999995</v>
      </c>
      <c r="G30" s="24">
        <f>-4011.06</f>
        <v>-4011.06</v>
      </c>
      <c r="H30" s="24">
        <f>-3925.06</f>
        <v>-3925.06</v>
      </c>
      <c r="I30" s="24">
        <f>-4504.06</f>
        <v>-4504.0600000000004</v>
      </c>
      <c r="J30" s="24">
        <f>-4341.06</f>
        <v>-4341.0600000000004</v>
      </c>
      <c r="K30" s="24">
        <f>-4239.06</f>
        <v>-4239.0600000000004</v>
      </c>
      <c r="L30" s="24">
        <f>-3993.06</f>
        <v>-3993.06</v>
      </c>
      <c r="M30" s="24">
        <f>-4141.06</f>
        <v>-4141.0600000000004</v>
      </c>
      <c r="N30" s="24">
        <f>-4066.06</f>
        <v>-4066.06</v>
      </c>
      <c r="O30" s="24">
        <f>-4055.06</f>
        <v>-4055.06</v>
      </c>
      <c r="P30" s="24">
        <f>-4041.06</f>
        <v>-4041.06</v>
      </c>
      <c r="Q30" s="24">
        <f>-4259.06</f>
        <v>-4259.0600000000004</v>
      </c>
      <c r="R30" s="25">
        <f>-49969.72</f>
        <v>-49969.72</v>
      </c>
    </row>
    <row r="31" spans="2:18" x14ac:dyDescent="0.35">
      <c r="B31" s="42">
        <v>61400</v>
      </c>
      <c r="D31" s="22" t="str">
        <f>"Total Selling Expenses"</f>
        <v>Total Selling Expenses</v>
      </c>
      <c r="E31" s="22"/>
      <c r="F31" s="23">
        <f>-130690.8</f>
        <v>-130690.8</v>
      </c>
      <c r="G31" s="24">
        <f>-131280.75</f>
        <v>-131280.75</v>
      </c>
      <c r="H31" s="24">
        <f>-134290.84</f>
        <v>-134290.84</v>
      </c>
      <c r="I31" s="24">
        <f>-127549.43</f>
        <v>-127549.43</v>
      </c>
      <c r="J31" s="24">
        <f>-132798.25</f>
        <v>-132798.25</v>
      </c>
      <c r="K31" s="24">
        <f>-132547.99</f>
        <v>-132547.99</v>
      </c>
      <c r="L31" s="24">
        <f>-134244.88</f>
        <v>-134244.88</v>
      </c>
      <c r="M31" s="24">
        <f>-131816.01</f>
        <v>-131816.01</v>
      </c>
      <c r="N31" s="24">
        <f>-116742.31</f>
        <v>-116742.31</v>
      </c>
      <c r="O31" s="24">
        <f>-145524.76</f>
        <v>-145524.76</v>
      </c>
      <c r="P31" s="24">
        <f>-126239.55</f>
        <v>-126239.55</v>
      </c>
      <c r="Q31" s="24">
        <f>-137645.75</f>
        <v>-137645.75</v>
      </c>
      <c r="R31" s="25">
        <f>-1581371.32</f>
        <v>-1581371.32</v>
      </c>
    </row>
    <row r="32" spans="2:18" x14ac:dyDescent="0.35">
      <c r="B32" s="42">
        <v>62950</v>
      </c>
      <c r="D32" s="22" t="str">
        <f>"Total Personnel Expenses"</f>
        <v>Total Personnel Expenses</v>
      </c>
      <c r="E32" s="22"/>
      <c r="F32" s="23">
        <f>-480508.96</f>
        <v>-480508.96</v>
      </c>
      <c r="G32" s="24">
        <f>-440304.57</f>
        <v>-440304.57</v>
      </c>
      <c r="H32" s="24">
        <f>-421207</f>
        <v>-421207</v>
      </c>
      <c r="I32" s="24">
        <f>-486673.78</f>
        <v>-486673.78</v>
      </c>
      <c r="J32" s="24">
        <f>-486972.32</f>
        <v>-486972.32</v>
      </c>
      <c r="K32" s="24">
        <f>-587243.73</f>
        <v>-587243.73</v>
      </c>
      <c r="L32" s="24">
        <f>-561812.23</f>
        <v>-561812.23</v>
      </c>
      <c r="M32" s="24">
        <f>-537191.96</f>
        <v>-537191.96</v>
      </c>
      <c r="N32" s="24">
        <f>-547914.81</f>
        <v>-547914.81000000006</v>
      </c>
      <c r="O32" s="24">
        <f>-604612.05</f>
        <v>-604612.05000000005</v>
      </c>
      <c r="P32" s="24">
        <f>-665732.47</f>
        <v>-665732.47</v>
      </c>
      <c r="Q32" s="24">
        <f>-682428.56</f>
        <v>-682428.56</v>
      </c>
      <c r="R32" s="25">
        <f>-6502602.44</f>
        <v>-6502602.4400000004</v>
      </c>
    </row>
    <row r="33" spans="2:18" x14ac:dyDescent="0.35">
      <c r="B33" s="42">
        <v>66400</v>
      </c>
      <c r="D33" s="22" t="str">
        <f>"Total Fixed Asset Depreciation"</f>
        <v>Total Fixed Asset Depreciation</v>
      </c>
      <c r="E33" s="22"/>
      <c r="F33" s="23">
        <f>0</f>
        <v>0</v>
      </c>
      <c r="G33" s="24">
        <f>0</f>
        <v>0</v>
      </c>
      <c r="H33" s="24">
        <f>0</f>
        <v>0</v>
      </c>
      <c r="I33" s="24">
        <f>0</f>
        <v>0</v>
      </c>
      <c r="J33" s="24">
        <f>0</f>
        <v>0</v>
      </c>
      <c r="K33" s="24">
        <f>0</f>
        <v>0</v>
      </c>
      <c r="L33" s="24">
        <f>0</f>
        <v>0</v>
      </c>
      <c r="M33" s="24">
        <f>0</f>
        <v>0</v>
      </c>
      <c r="N33" s="24">
        <f>0</f>
        <v>0</v>
      </c>
      <c r="O33" s="24">
        <f>0</f>
        <v>0</v>
      </c>
      <c r="P33" s="24">
        <f>0</f>
        <v>0</v>
      </c>
      <c r="Q33" s="24">
        <f>0</f>
        <v>0</v>
      </c>
      <c r="R33" s="25">
        <f>0</f>
        <v>0</v>
      </c>
    </row>
    <row r="34" spans="2:18" x14ac:dyDescent="0.35">
      <c r="B34" s="42">
        <v>67600</v>
      </c>
      <c r="D34" s="22" t="str">
        <f>"Other Operating Exp., Total"</f>
        <v>Other Operating Exp., Total</v>
      </c>
      <c r="E34" s="22"/>
      <c r="F34" s="23">
        <f>0</f>
        <v>0</v>
      </c>
      <c r="G34" s="24">
        <f>0</f>
        <v>0</v>
      </c>
      <c r="H34" s="24">
        <f>0</f>
        <v>0</v>
      </c>
      <c r="I34" s="24">
        <f>0</f>
        <v>0</v>
      </c>
      <c r="J34" s="24">
        <f>0</f>
        <v>0</v>
      </c>
      <c r="K34" s="24">
        <f>0</f>
        <v>0</v>
      </c>
      <c r="L34" s="24">
        <f>0</f>
        <v>0</v>
      </c>
      <c r="M34" s="24">
        <f>0</f>
        <v>0</v>
      </c>
      <c r="N34" s="24">
        <f>0</f>
        <v>0</v>
      </c>
      <c r="O34" s="24">
        <f>0</f>
        <v>0</v>
      </c>
      <c r="P34" s="24">
        <f>0</f>
        <v>0</v>
      </c>
      <c r="Q34" s="24">
        <f>0</f>
        <v>0</v>
      </c>
      <c r="R34" s="25">
        <f>0</f>
        <v>0</v>
      </c>
    </row>
    <row r="35" spans="2:18" x14ac:dyDescent="0.35">
      <c r="B35" s="42"/>
      <c r="D35" s="26" t="s">
        <v>8</v>
      </c>
      <c r="E35" s="26"/>
      <c r="F35" s="27">
        <f t="shared" ref="F35:R35" si="6">SUM(F28:F34)</f>
        <v>-623590.46</v>
      </c>
      <c r="G35" s="27">
        <f t="shared" si="6"/>
        <v>-583622.02</v>
      </c>
      <c r="H35" s="27">
        <f t="shared" si="6"/>
        <v>-567363.54</v>
      </c>
      <c r="I35" s="27">
        <f t="shared" si="6"/>
        <v>-626715.91</v>
      </c>
      <c r="J35" s="27">
        <f t="shared" si="6"/>
        <v>-632307.27</v>
      </c>
      <c r="K35" s="27">
        <f t="shared" si="6"/>
        <v>-732016.41999999993</v>
      </c>
      <c r="L35" s="27">
        <f t="shared" si="6"/>
        <v>-708407.81</v>
      </c>
      <c r="M35" s="27">
        <f t="shared" si="6"/>
        <v>-680893.66999999993</v>
      </c>
      <c r="N35" s="27">
        <f t="shared" si="6"/>
        <v>-676620.82000000007</v>
      </c>
      <c r="O35" s="27">
        <f t="shared" si="6"/>
        <v>-762357.51</v>
      </c>
      <c r="P35" s="27">
        <f t="shared" si="6"/>
        <v>-803145.51</v>
      </c>
      <c r="Q35" s="27">
        <f t="shared" si="6"/>
        <v>-833525.22000000009</v>
      </c>
      <c r="R35" s="28">
        <f t="shared" si="6"/>
        <v>-8230566.1600000001</v>
      </c>
    </row>
    <row r="36" spans="2:18" x14ac:dyDescent="0.35">
      <c r="B36" s="42"/>
      <c r="D36" s="22"/>
      <c r="E36" s="22"/>
      <c r="F36" s="23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5"/>
    </row>
    <row r="37" spans="2:18" ht="15.5" x14ac:dyDescent="0.35">
      <c r="B37" s="42"/>
      <c r="D37" s="36" t="s">
        <v>24</v>
      </c>
      <c r="E37" s="36"/>
      <c r="F37" s="37">
        <f t="shared" ref="F37:R37" si="7">F25+F35</f>
        <v>137115.45999999996</v>
      </c>
      <c r="G37" s="37">
        <f t="shared" si="7"/>
        <v>34074.84999999986</v>
      </c>
      <c r="H37" s="37">
        <f t="shared" si="7"/>
        <v>42309.840000000084</v>
      </c>
      <c r="I37" s="37">
        <f t="shared" si="7"/>
        <v>60726.569999999832</v>
      </c>
      <c r="J37" s="37">
        <f t="shared" si="7"/>
        <v>54404.989999999991</v>
      </c>
      <c r="K37" s="37">
        <f t="shared" si="7"/>
        <v>53438.810000000172</v>
      </c>
      <c r="L37" s="37">
        <f t="shared" si="7"/>
        <v>198317.20000000007</v>
      </c>
      <c r="M37" s="37">
        <f t="shared" si="7"/>
        <v>25334.859999999986</v>
      </c>
      <c r="N37" s="37">
        <f t="shared" si="7"/>
        <v>33853.3400000002</v>
      </c>
      <c r="O37" s="37">
        <f t="shared" si="7"/>
        <v>248842.49000000011</v>
      </c>
      <c r="P37" s="37">
        <f t="shared" si="7"/>
        <v>88764.970000000205</v>
      </c>
      <c r="Q37" s="37">
        <f t="shared" si="7"/>
        <v>40564.069999999716</v>
      </c>
      <c r="R37" s="38">
        <f t="shared" si="7"/>
        <v>1017747.4500000011</v>
      </c>
    </row>
    <row r="38" spans="2:18" ht="15.5" x14ac:dyDescent="0.35">
      <c r="B38" s="42"/>
      <c r="D38" s="35"/>
      <c r="E38" s="35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30"/>
    </row>
    <row r="39" spans="2:18" ht="17" x14ac:dyDescent="0.4">
      <c r="B39" s="42"/>
      <c r="D39" s="31" t="s">
        <v>11</v>
      </c>
      <c r="E39" s="31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x14ac:dyDescent="0.35">
      <c r="B40" s="42">
        <v>79950</v>
      </c>
      <c r="D40" s="22" t="str">
        <f>"Total Interest Income"</f>
        <v>Total Interest Income</v>
      </c>
      <c r="E40" s="22"/>
      <c r="F40" s="23">
        <f>-0.03</f>
        <v>-0.03</v>
      </c>
      <c r="G40" s="24">
        <f>0.02</f>
        <v>0.02</v>
      </c>
      <c r="H40" s="24">
        <f>0</f>
        <v>0</v>
      </c>
      <c r="I40" s="24">
        <f>0</f>
        <v>0</v>
      </c>
      <c r="J40" s="24">
        <f>-0.01</f>
        <v>-0.01</v>
      </c>
      <c r="K40" s="24">
        <f>0</f>
        <v>0</v>
      </c>
      <c r="L40" s="24">
        <f>-0.01</f>
        <v>-0.01</v>
      </c>
      <c r="M40" s="24">
        <f>-0.01</f>
        <v>-0.01</v>
      </c>
      <c r="N40" s="24">
        <f>0</f>
        <v>0</v>
      </c>
      <c r="O40" s="24">
        <f>0.03</f>
        <v>0.03</v>
      </c>
      <c r="P40" s="24">
        <f>0.01</f>
        <v>0.01</v>
      </c>
      <c r="Q40" s="24">
        <f>-0.01</f>
        <v>-0.01</v>
      </c>
      <c r="R40" s="25">
        <f>-0.01</f>
        <v>-0.01</v>
      </c>
    </row>
    <row r="41" spans="2:18" x14ac:dyDescent="0.35">
      <c r="B41" s="42">
        <v>80600</v>
      </c>
      <c r="D41" s="22" t="str">
        <f>"Total Interest Expenses"</f>
        <v>Total Interest Expenses</v>
      </c>
      <c r="E41" s="22"/>
      <c r="F41" s="23">
        <f>0</f>
        <v>0</v>
      </c>
      <c r="G41" s="24">
        <f>0</f>
        <v>0</v>
      </c>
      <c r="H41" s="24">
        <f>0</f>
        <v>0</v>
      </c>
      <c r="I41" s="24">
        <f>0</f>
        <v>0</v>
      </c>
      <c r="J41" s="24">
        <f>0</f>
        <v>0</v>
      </c>
      <c r="K41" s="24">
        <f>0</f>
        <v>0</v>
      </c>
      <c r="L41" s="24">
        <f>0</f>
        <v>0</v>
      </c>
      <c r="M41" s="24">
        <f>0</f>
        <v>0</v>
      </c>
      <c r="N41" s="24">
        <f>0</f>
        <v>0</v>
      </c>
      <c r="O41" s="24">
        <f>0</f>
        <v>0</v>
      </c>
      <c r="P41" s="24">
        <f>0</f>
        <v>0</v>
      </c>
      <c r="Q41" s="24">
        <f>0</f>
        <v>0</v>
      </c>
      <c r="R41" s="25">
        <f>0</f>
        <v>0</v>
      </c>
    </row>
    <row r="42" spans="2:18" x14ac:dyDescent="0.35">
      <c r="B42" s="42">
        <v>80800</v>
      </c>
      <c r="D42" s="22" t="str">
        <f>"Unrealized FX Gains"</f>
        <v>Unrealized FX Gains</v>
      </c>
      <c r="E42" s="22"/>
      <c r="F42" s="23">
        <f>0</f>
        <v>0</v>
      </c>
      <c r="G42" s="24">
        <f>0</f>
        <v>0</v>
      </c>
      <c r="H42" s="24">
        <f>0</f>
        <v>0</v>
      </c>
      <c r="I42" s="24">
        <f>0</f>
        <v>0</v>
      </c>
      <c r="J42" s="24">
        <f>0</f>
        <v>0</v>
      </c>
      <c r="K42" s="24">
        <f>0</f>
        <v>0</v>
      </c>
      <c r="L42" s="24">
        <f>0</f>
        <v>0</v>
      </c>
      <c r="M42" s="24">
        <f>0</f>
        <v>0</v>
      </c>
      <c r="N42" s="24">
        <f>0</f>
        <v>0</v>
      </c>
      <c r="O42" s="24">
        <f>0</f>
        <v>0</v>
      </c>
      <c r="P42" s="24">
        <f>0</f>
        <v>0</v>
      </c>
      <c r="Q42" s="24">
        <f>0</f>
        <v>0</v>
      </c>
      <c r="R42" s="25">
        <f>0</f>
        <v>0</v>
      </c>
    </row>
    <row r="43" spans="2:18" x14ac:dyDescent="0.35">
      <c r="B43" s="42">
        <v>80900</v>
      </c>
      <c r="D43" s="22" t="str">
        <f>"Unrealized FX Losses"</f>
        <v>Unrealized FX Losses</v>
      </c>
      <c r="E43" s="22"/>
      <c r="F43" s="23">
        <f>0</f>
        <v>0</v>
      </c>
      <c r="G43" s="24">
        <f>0</f>
        <v>0</v>
      </c>
      <c r="H43" s="24">
        <f>0</f>
        <v>0</v>
      </c>
      <c r="I43" s="24">
        <f>0</f>
        <v>0</v>
      </c>
      <c r="J43" s="24">
        <f>0</f>
        <v>0</v>
      </c>
      <c r="K43" s="24">
        <f>0</f>
        <v>0</v>
      </c>
      <c r="L43" s="24">
        <f>0</f>
        <v>0</v>
      </c>
      <c r="M43" s="24">
        <f>0</f>
        <v>0</v>
      </c>
      <c r="N43" s="24">
        <f>0</f>
        <v>0</v>
      </c>
      <c r="O43" s="24">
        <f>0</f>
        <v>0</v>
      </c>
      <c r="P43" s="24">
        <f>0</f>
        <v>0</v>
      </c>
      <c r="Q43" s="24">
        <f>0</f>
        <v>0</v>
      </c>
      <c r="R43" s="25">
        <f>0</f>
        <v>0</v>
      </c>
    </row>
    <row r="44" spans="2:18" x14ac:dyDescent="0.35">
      <c r="B44" s="42">
        <v>81000</v>
      </c>
      <c r="D44" s="22" t="str">
        <f>"Realized FX Gains"</f>
        <v>Realized FX Gains</v>
      </c>
      <c r="E44" s="22"/>
      <c r="F44" s="23">
        <f>0</f>
        <v>0</v>
      </c>
      <c r="G44" s="24">
        <f>0</f>
        <v>0</v>
      </c>
      <c r="H44" s="24">
        <f>0</f>
        <v>0</v>
      </c>
      <c r="I44" s="24">
        <f>0</f>
        <v>0</v>
      </c>
      <c r="J44" s="24">
        <f>0</f>
        <v>0</v>
      </c>
      <c r="K44" s="24">
        <f>0</f>
        <v>0</v>
      </c>
      <c r="L44" s="24">
        <f>0</f>
        <v>0</v>
      </c>
      <c r="M44" s="24">
        <f>0</f>
        <v>0</v>
      </c>
      <c r="N44" s="24">
        <f>0</f>
        <v>0</v>
      </c>
      <c r="O44" s="24">
        <f>0</f>
        <v>0</v>
      </c>
      <c r="P44" s="24">
        <f>0</f>
        <v>0</v>
      </c>
      <c r="Q44" s="24">
        <f>0</f>
        <v>0</v>
      </c>
      <c r="R44" s="25">
        <f>0</f>
        <v>0</v>
      </c>
    </row>
    <row r="45" spans="2:18" x14ac:dyDescent="0.35">
      <c r="B45" s="42">
        <v>81100</v>
      </c>
      <c r="D45" s="22" t="str">
        <f>"Realized FX Losses"</f>
        <v>Realized FX Losses</v>
      </c>
      <c r="E45" s="22"/>
      <c r="F45" s="23">
        <f>0</f>
        <v>0</v>
      </c>
      <c r="G45" s="24">
        <f>0</f>
        <v>0</v>
      </c>
      <c r="H45" s="24">
        <f>0</f>
        <v>0</v>
      </c>
      <c r="I45" s="24">
        <f>0</f>
        <v>0</v>
      </c>
      <c r="J45" s="24">
        <f>0</f>
        <v>0</v>
      </c>
      <c r="K45" s="24">
        <f>0</f>
        <v>0</v>
      </c>
      <c r="L45" s="24">
        <f>0</f>
        <v>0</v>
      </c>
      <c r="M45" s="24">
        <f>0</f>
        <v>0</v>
      </c>
      <c r="N45" s="24">
        <f>0</f>
        <v>0</v>
      </c>
      <c r="O45" s="24">
        <f>0</f>
        <v>0</v>
      </c>
      <c r="P45" s="24">
        <f>0</f>
        <v>0</v>
      </c>
      <c r="Q45" s="24">
        <f>0</f>
        <v>0</v>
      </c>
      <c r="R45" s="25">
        <f>0</f>
        <v>0</v>
      </c>
    </row>
    <row r="46" spans="2:18" x14ac:dyDescent="0.35">
      <c r="B46" s="42"/>
      <c r="D46" s="26" t="s">
        <v>12</v>
      </c>
      <c r="E46" s="26"/>
      <c r="F46" s="27">
        <f t="shared" ref="F46:R46" si="8">SUM(F40:F45)</f>
        <v>-0.03</v>
      </c>
      <c r="G46" s="27">
        <f t="shared" si="8"/>
        <v>0.02</v>
      </c>
      <c r="H46" s="27">
        <f t="shared" si="8"/>
        <v>0</v>
      </c>
      <c r="I46" s="27">
        <f t="shared" si="8"/>
        <v>0</v>
      </c>
      <c r="J46" s="27">
        <f t="shared" si="8"/>
        <v>-0.01</v>
      </c>
      <c r="K46" s="27">
        <f t="shared" si="8"/>
        <v>0</v>
      </c>
      <c r="L46" s="27">
        <f t="shared" si="8"/>
        <v>-0.01</v>
      </c>
      <c r="M46" s="27">
        <f t="shared" si="8"/>
        <v>-0.01</v>
      </c>
      <c r="N46" s="27">
        <f t="shared" si="8"/>
        <v>0</v>
      </c>
      <c r="O46" s="27">
        <f t="shared" si="8"/>
        <v>0.03</v>
      </c>
      <c r="P46" s="27">
        <f t="shared" si="8"/>
        <v>0.01</v>
      </c>
      <c r="Q46" s="27">
        <f t="shared" si="8"/>
        <v>-0.01</v>
      </c>
      <c r="R46" s="28">
        <f t="shared" si="8"/>
        <v>-0.01</v>
      </c>
    </row>
    <row r="47" spans="2:18" x14ac:dyDescent="0.35">
      <c r="B47" s="42"/>
      <c r="D47" s="22"/>
      <c r="E47" s="22"/>
      <c r="F47" s="23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5"/>
    </row>
    <row r="48" spans="2:18" ht="15.5" x14ac:dyDescent="0.35">
      <c r="B48" s="42"/>
      <c r="D48" s="32" t="s">
        <v>9</v>
      </c>
      <c r="E48" s="32"/>
      <c r="F48" s="33">
        <f t="shared" ref="F48:R48" si="9">F37+F46</f>
        <v>137115.42999999996</v>
      </c>
      <c r="G48" s="33">
        <f t="shared" si="9"/>
        <v>34074.869999999857</v>
      </c>
      <c r="H48" s="33">
        <f t="shared" si="9"/>
        <v>42309.840000000084</v>
      </c>
      <c r="I48" s="33">
        <f t="shared" si="9"/>
        <v>60726.569999999832</v>
      </c>
      <c r="J48" s="33">
        <f t="shared" si="9"/>
        <v>54404.979999999989</v>
      </c>
      <c r="K48" s="33">
        <f t="shared" si="9"/>
        <v>53438.810000000172</v>
      </c>
      <c r="L48" s="33">
        <f t="shared" si="9"/>
        <v>198317.19000000006</v>
      </c>
      <c r="M48" s="33">
        <f t="shared" si="9"/>
        <v>25334.849999999988</v>
      </c>
      <c r="N48" s="33">
        <f t="shared" si="9"/>
        <v>33853.3400000002</v>
      </c>
      <c r="O48" s="33">
        <f t="shared" si="9"/>
        <v>248842.52000000011</v>
      </c>
      <c r="P48" s="33">
        <f t="shared" si="9"/>
        <v>88764.9800000002</v>
      </c>
      <c r="Q48" s="33">
        <f t="shared" si="9"/>
        <v>40564.059999999714</v>
      </c>
      <c r="R48" s="34">
        <f t="shared" si="9"/>
        <v>1017747.4400000011</v>
      </c>
    </row>
    <row r="49" spans="2:18" x14ac:dyDescent="0.35">
      <c r="B49" s="42"/>
      <c r="D49" s="22"/>
      <c r="E49" s="22"/>
      <c r="F49" s="23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5"/>
    </row>
    <row r="50" spans="2:18" ht="17" x14ac:dyDescent="0.4">
      <c r="B50" s="42">
        <v>84100</v>
      </c>
      <c r="D50" s="31" t="str">
        <f>"Corporate Tax"</f>
        <v>Corporate Tax</v>
      </c>
      <c r="E50" s="35"/>
      <c r="F50" s="23">
        <f>0</f>
        <v>0</v>
      </c>
      <c r="G50" s="24">
        <f>0</f>
        <v>0</v>
      </c>
      <c r="H50" s="24">
        <f>0</f>
        <v>0</v>
      </c>
      <c r="I50" s="24">
        <f>0</f>
        <v>0</v>
      </c>
      <c r="J50" s="24">
        <f>0</f>
        <v>0</v>
      </c>
      <c r="K50" s="24">
        <f>0</f>
        <v>0</v>
      </c>
      <c r="L50" s="24">
        <f>0</f>
        <v>0</v>
      </c>
      <c r="M50" s="24">
        <f>0</f>
        <v>0</v>
      </c>
      <c r="N50" s="24">
        <f>0</f>
        <v>0</v>
      </c>
      <c r="O50" s="24">
        <f>0</f>
        <v>0</v>
      </c>
      <c r="P50" s="24">
        <f>0</f>
        <v>0</v>
      </c>
      <c r="Q50" s="24">
        <f>0</f>
        <v>0</v>
      </c>
      <c r="R50" s="25">
        <f>0</f>
        <v>0</v>
      </c>
    </row>
    <row r="51" spans="2:18" ht="17" x14ac:dyDescent="0.4">
      <c r="B51" s="42"/>
      <c r="D51" s="31"/>
      <c r="E51" s="35"/>
      <c r="F51" s="15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12"/>
    </row>
    <row r="52" spans="2:18" ht="19" thickBot="1" x14ac:dyDescent="0.5">
      <c r="B52" s="42"/>
      <c r="D52" s="16" t="s">
        <v>13</v>
      </c>
      <c r="E52" s="16"/>
      <c r="F52" s="17">
        <f t="shared" ref="F52:R52" si="10">F48+F50</f>
        <v>137115.42999999996</v>
      </c>
      <c r="G52" s="17">
        <f t="shared" si="10"/>
        <v>34074.869999999857</v>
      </c>
      <c r="H52" s="17">
        <f t="shared" si="10"/>
        <v>42309.840000000084</v>
      </c>
      <c r="I52" s="17">
        <f t="shared" si="10"/>
        <v>60726.569999999832</v>
      </c>
      <c r="J52" s="17">
        <f t="shared" si="10"/>
        <v>54404.979999999989</v>
      </c>
      <c r="K52" s="17">
        <f t="shared" si="10"/>
        <v>53438.810000000172</v>
      </c>
      <c r="L52" s="17">
        <f t="shared" si="10"/>
        <v>198317.19000000006</v>
      </c>
      <c r="M52" s="17">
        <f t="shared" si="10"/>
        <v>25334.849999999988</v>
      </c>
      <c r="N52" s="17">
        <f t="shared" si="10"/>
        <v>33853.3400000002</v>
      </c>
      <c r="O52" s="17">
        <f t="shared" si="10"/>
        <v>248842.52000000011</v>
      </c>
      <c r="P52" s="17">
        <f t="shared" si="10"/>
        <v>88764.9800000002</v>
      </c>
      <c r="Q52" s="17">
        <f t="shared" si="10"/>
        <v>40564.059999999714</v>
      </c>
      <c r="R52" s="18">
        <f t="shared" si="10"/>
        <v>1017747.4400000011</v>
      </c>
    </row>
    <row r="53" spans="2:18" ht="15" thickTop="1" x14ac:dyDescent="0.35">
      <c r="B53" s="42"/>
    </row>
    <row r="54" spans="2:18" x14ac:dyDescent="0.35">
      <c r="B54" s="42"/>
    </row>
  </sheetData>
  <pageMargins left="0.25" right="0.25" top="0.75" bottom="0.75" header="0.3" footer="0.3"/>
  <pageSetup scale="51" fitToHeight="0" orientation="landscape" horizontalDpi="300" verticalDpi="300" r:id="rId1"/>
  <headerFooter>
    <oddFooter>&amp;C&amp;D&amp;R&amp;F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negative="1" minAxisType="group" maxAxisType="group" xr2:uid="{00000000-0003-0000-0200-000000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'Income Statement'!F52:Q52</xm:f>
              <xm:sqref>E52</xm:sqref>
            </x14:sparkline>
            <x14:sparkline>
              <xm:f>'Income Statement'!F40:Q40</xm:f>
              <xm:sqref>E40</xm:sqref>
            </x14:sparkline>
            <x14:sparkline>
              <xm:f>'Income Statement'!F41:Q41</xm:f>
              <xm:sqref>E41</xm:sqref>
            </x14:sparkline>
            <x14:sparkline>
              <xm:f>'Income Statement'!F42:Q42</xm:f>
              <xm:sqref>E42</xm:sqref>
            </x14:sparkline>
            <x14:sparkline>
              <xm:f>'Income Statement'!F43:Q43</xm:f>
              <xm:sqref>E43</xm:sqref>
            </x14:sparkline>
            <x14:sparkline>
              <xm:f>'Income Statement'!F45:Q45</xm:f>
              <xm:sqref>E45</xm:sqref>
            </x14:sparkline>
            <x14:sparkline>
              <xm:f>'Income Statement'!F51:Q51</xm:f>
              <xm:sqref>E51</xm:sqref>
            </x14:sparkline>
            <x14:sparkline>
              <xm:f>'Income Statement'!F50:Q50</xm:f>
              <xm:sqref>E50</xm:sqref>
            </x14:sparkline>
            <x14:sparkline>
              <xm:f>'Income Statement'!F19:Q19</xm:f>
              <xm:sqref>E19</xm:sqref>
            </x14:sparkline>
            <x14:sparkline>
              <xm:f>'Income Statement'!F20:Q20</xm:f>
              <xm:sqref>E20</xm:sqref>
            </x14:sparkline>
            <x14:sparkline>
              <xm:f>'Income Statement'!F21:Q21</xm:f>
              <xm:sqref>E21</xm:sqref>
            </x14:sparkline>
            <x14:sparkline>
              <xm:f>'Income Statement'!F22:Q22</xm:f>
              <xm:sqref>E22</xm:sqref>
            </x14:sparkline>
            <x14:sparkline>
              <xm:f>'Income Statement'!F23:Q23</xm:f>
              <xm:sqref>E23</xm:sqref>
            </x14:sparkline>
            <x14:sparkline>
              <xm:f>'Income Statement'!F10:Q10</xm:f>
              <xm:sqref>E10</xm:sqref>
            </x14:sparkline>
            <x14:sparkline>
              <xm:f>'Income Statement'!F11:Q11</xm:f>
              <xm:sqref>E11</xm:sqref>
            </x14:sparkline>
            <x14:sparkline>
              <xm:f>'Income Statement'!F12:Q12</xm:f>
              <xm:sqref>E12</xm:sqref>
            </x14:sparkline>
            <x14:sparkline>
              <xm:f>'Income Statement'!F13:Q13</xm:f>
              <xm:sqref>E13</xm:sqref>
            </x14:sparkline>
            <x14:sparkline>
              <xm:f>'Income Statement'!F14:Q14</xm:f>
              <xm:sqref>E14</xm:sqref>
            </x14:sparkline>
            <x14:sparkline>
              <xm:f>'Income Statement'!F15:Q15</xm:f>
              <xm:sqref>E15</xm:sqref>
            </x14:sparkline>
            <x14:sparkline>
              <xm:f>'Income Statement'!F48:Q48</xm:f>
              <xm:sqref>E48</xm:sqref>
            </x14:sparkline>
            <x14:sparkline>
              <xm:f>'Income Statement'!F46:Q46</xm:f>
              <xm:sqref>E46</xm:sqref>
            </x14:sparkline>
            <x14:sparkline>
              <xm:f>'Income Statement'!F37:Q37</xm:f>
              <xm:sqref>E37</xm:sqref>
            </x14:sparkline>
            <x14:sparkline>
              <xm:f>'Income Statement'!F28:Q28</xm:f>
              <xm:sqref>E28</xm:sqref>
            </x14:sparkline>
            <x14:sparkline>
              <xm:f>'Income Statement'!F29:Q29</xm:f>
              <xm:sqref>E29</xm:sqref>
            </x14:sparkline>
            <x14:sparkline>
              <xm:f>'Income Statement'!F30:Q30</xm:f>
              <xm:sqref>E30</xm:sqref>
            </x14:sparkline>
            <x14:sparkline>
              <xm:f>'Income Statement'!F31:Q31</xm:f>
              <xm:sqref>E31</xm:sqref>
            </x14:sparkline>
            <x14:sparkline>
              <xm:f>'Income Statement'!F32:Q32</xm:f>
              <xm:sqref>E32</xm:sqref>
            </x14:sparkline>
            <x14:sparkline>
              <xm:f>'Income Statement'!F33:Q33</xm:f>
              <xm:sqref>E33</xm:sqref>
            </x14:sparkline>
            <x14:sparkline>
              <xm:f>'Income Statement'!F34:Q34</xm:f>
              <xm:sqref>E34</xm:sqref>
            </x14:sparkline>
            <x14:sparkline>
              <xm:f>'Income Statement'!F35:Q35</xm:f>
              <xm:sqref>E35</xm:sqref>
            </x14:sparkline>
            <x14:sparkline>
              <xm:f>'Income Statement'!F25:Q25</xm:f>
              <xm:sqref>E25</xm:sqref>
            </x14:sparkline>
            <x14:sparkline>
              <xm:f>'Income Statement'!F16:Q16</xm:f>
              <xm:sqref>E16</xm:sqref>
            </x14:sparkline>
            <x14:sparkline>
              <xm:f>'Income Statement'!F44:Q44</xm:f>
              <xm:sqref>E44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54"/>
  <sheetViews>
    <sheetView showGridLines="0" tabSelected="1" topLeftCell="C3" zoomScale="55" zoomScaleNormal="55" workbookViewId="0"/>
  </sheetViews>
  <sheetFormatPr defaultRowHeight="14.5" x14ac:dyDescent="0.35"/>
  <cols>
    <col min="1" max="1" width="9.1796875" hidden="1" customWidth="1"/>
    <col min="2" max="2" width="25.7265625" hidden="1" customWidth="1"/>
    <col min="3" max="3" width="5.81640625" customWidth="1"/>
    <col min="4" max="4" width="37.1796875" bestFit="1" customWidth="1"/>
    <col min="5" max="5" width="20.7265625" customWidth="1"/>
    <col min="6" max="9" width="14.453125" bestFit="1" customWidth="1"/>
    <col min="10" max="10" width="14.54296875" bestFit="1" customWidth="1"/>
    <col min="11" max="12" width="14.453125" bestFit="1" customWidth="1"/>
    <col min="13" max="15" width="14.54296875" bestFit="1" customWidth="1"/>
    <col min="16" max="16" width="15" bestFit="1" customWidth="1"/>
    <col min="17" max="17" width="15.453125" bestFit="1" customWidth="1"/>
    <col min="18" max="18" width="17.7265625" style="3" bestFit="1" customWidth="1"/>
  </cols>
  <sheetData>
    <row r="1" spans="1:20" s="8" customFormat="1" hidden="1" x14ac:dyDescent="0.35">
      <c r="A1" s="8" t="s">
        <v>1325</v>
      </c>
      <c r="B1" s="8" t="s">
        <v>14</v>
      </c>
      <c r="D1" s="8" t="s">
        <v>15</v>
      </c>
      <c r="F1" s="8" t="s">
        <v>15</v>
      </c>
      <c r="G1" s="8" t="s">
        <v>15</v>
      </c>
      <c r="H1" s="8" t="s">
        <v>15</v>
      </c>
      <c r="I1" s="8" t="s">
        <v>15</v>
      </c>
      <c r="J1" s="8" t="s">
        <v>15</v>
      </c>
      <c r="K1" s="8" t="s">
        <v>15</v>
      </c>
      <c r="L1" s="8" t="s">
        <v>15</v>
      </c>
      <c r="M1" s="8" t="s">
        <v>15</v>
      </c>
      <c r="N1" s="8" t="s">
        <v>15</v>
      </c>
      <c r="O1" s="8" t="s">
        <v>15</v>
      </c>
      <c r="P1" s="8" t="s">
        <v>15</v>
      </c>
      <c r="Q1" s="8" t="s">
        <v>15</v>
      </c>
      <c r="R1" s="8" t="s">
        <v>15</v>
      </c>
    </row>
    <row r="2" spans="1:20" s="8" customFormat="1" hidden="1" x14ac:dyDescent="0.35">
      <c r="A2" s="8" t="s">
        <v>14</v>
      </c>
      <c r="F2" s="8" t="s">
        <v>18</v>
      </c>
      <c r="G2" s="8" t="s">
        <v>18</v>
      </c>
      <c r="H2" s="8" t="s">
        <v>18</v>
      </c>
      <c r="I2" s="8" t="s">
        <v>18</v>
      </c>
      <c r="J2" s="8" t="s">
        <v>18</v>
      </c>
      <c r="K2" s="8" t="s">
        <v>18</v>
      </c>
      <c r="L2" s="8" t="s">
        <v>18</v>
      </c>
      <c r="M2" s="8" t="s">
        <v>18</v>
      </c>
      <c r="N2" s="8" t="s">
        <v>18</v>
      </c>
      <c r="O2" s="8" t="s">
        <v>18</v>
      </c>
      <c r="P2" s="8" t="s">
        <v>18</v>
      </c>
      <c r="Q2" s="8" t="s">
        <v>18</v>
      </c>
      <c r="R2" s="8" t="s">
        <v>20</v>
      </c>
    </row>
    <row r="4" spans="1:20" ht="22.5" x14ac:dyDescent="0.45">
      <c r="D4" s="9" t="s">
        <v>27</v>
      </c>
      <c r="E4" s="9" t="str">
        <f>Budget_Name</f>
        <v>2018</v>
      </c>
      <c r="Q4" s="9" t="s">
        <v>16</v>
      </c>
      <c r="R4" s="9" t="str">
        <f>Year</f>
        <v>2018</v>
      </c>
      <c r="T4" s="3"/>
    </row>
    <row r="5" spans="1:20" x14ac:dyDescent="0.35">
      <c r="B5" s="8"/>
    </row>
    <row r="6" spans="1:20" ht="18.5" x14ac:dyDescent="0.45">
      <c r="B6" s="42"/>
      <c r="E6" s="20"/>
      <c r="F6" s="13" t="str">
        <f t="shared" ref="F6:Q6" si="0">TEXT(F7,"MMMM")</f>
        <v>January</v>
      </c>
      <c r="G6" s="5" t="str">
        <f t="shared" si="0"/>
        <v>February</v>
      </c>
      <c r="H6" s="5" t="str">
        <f t="shared" si="0"/>
        <v>March</v>
      </c>
      <c r="I6" s="5" t="str">
        <f t="shared" si="0"/>
        <v>April</v>
      </c>
      <c r="J6" s="5" t="str">
        <f t="shared" si="0"/>
        <v>May</v>
      </c>
      <c r="K6" s="5" t="str">
        <f t="shared" si="0"/>
        <v>June</v>
      </c>
      <c r="L6" s="5" t="str">
        <f t="shared" si="0"/>
        <v>July</v>
      </c>
      <c r="M6" s="5" t="str">
        <f t="shared" si="0"/>
        <v>August</v>
      </c>
      <c r="N6" s="5" t="str">
        <f t="shared" si="0"/>
        <v>September</v>
      </c>
      <c r="O6" s="5" t="str">
        <f t="shared" si="0"/>
        <v>October</v>
      </c>
      <c r="P6" s="5" t="str">
        <f t="shared" si="0"/>
        <v>November</v>
      </c>
      <c r="Q6" s="5" t="str">
        <f t="shared" si="0"/>
        <v>December</v>
      </c>
      <c r="R6" s="10" t="str">
        <f>Year</f>
        <v>2018</v>
      </c>
    </row>
    <row r="7" spans="1:20" ht="37.5" hidden="1" x14ac:dyDescent="0.35">
      <c r="A7" t="s">
        <v>14</v>
      </c>
      <c r="B7" s="44" t="s">
        <v>25</v>
      </c>
      <c r="E7" s="19"/>
      <c r="F7" s="14">
        <f>DATE(Year,1,1)</f>
        <v>43101</v>
      </c>
      <c r="G7" s="6">
        <f t="shared" ref="G7:Q7" si="1">F8+1</f>
        <v>43132</v>
      </c>
      <c r="H7" s="6">
        <f t="shared" si="1"/>
        <v>43160</v>
      </c>
      <c r="I7" s="6">
        <f t="shared" si="1"/>
        <v>43191</v>
      </c>
      <c r="J7" s="6">
        <f t="shared" si="1"/>
        <v>43221</v>
      </c>
      <c r="K7" s="6">
        <f t="shared" si="1"/>
        <v>43252</v>
      </c>
      <c r="L7" s="6">
        <f t="shared" si="1"/>
        <v>43282</v>
      </c>
      <c r="M7" s="6">
        <f t="shared" si="1"/>
        <v>43313</v>
      </c>
      <c r="N7" s="6">
        <f t="shared" si="1"/>
        <v>43344</v>
      </c>
      <c r="O7" s="6">
        <f t="shared" si="1"/>
        <v>43374</v>
      </c>
      <c r="P7" s="6">
        <f t="shared" si="1"/>
        <v>43405</v>
      </c>
      <c r="Q7" s="6">
        <f t="shared" si="1"/>
        <v>43435</v>
      </c>
      <c r="R7" s="11">
        <f>F7</f>
        <v>43101</v>
      </c>
    </row>
    <row r="8" spans="1:20" hidden="1" x14ac:dyDescent="0.35">
      <c r="A8" t="s">
        <v>14</v>
      </c>
      <c r="B8" s="42"/>
      <c r="E8" s="19"/>
      <c r="F8" s="14">
        <f t="shared" ref="F8:Q8" si="2">EOMONTH(F7,0)</f>
        <v>43131</v>
      </c>
      <c r="G8" s="6">
        <f t="shared" si="2"/>
        <v>43159</v>
      </c>
      <c r="H8" s="6">
        <f t="shared" si="2"/>
        <v>43190</v>
      </c>
      <c r="I8" s="6">
        <f t="shared" si="2"/>
        <v>43220</v>
      </c>
      <c r="J8" s="6">
        <f t="shared" si="2"/>
        <v>43251</v>
      </c>
      <c r="K8" s="6">
        <f t="shared" si="2"/>
        <v>43281</v>
      </c>
      <c r="L8" s="6">
        <f t="shared" si="2"/>
        <v>43312</v>
      </c>
      <c r="M8" s="6">
        <f t="shared" si="2"/>
        <v>43343</v>
      </c>
      <c r="N8" s="6">
        <f t="shared" si="2"/>
        <v>43373</v>
      </c>
      <c r="O8" s="6">
        <f t="shared" si="2"/>
        <v>43404</v>
      </c>
      <c r="P8" s="6">
        <f t="shared" si="2"/>
        <v>43434</v>
      </c>
      <c r="Q8" s="6">
        <f t="shared" si="2"/>
        <v>43465</v>
      </c>
      <c r="R8" s="11">
        <f>Q8</f>
        <v>43465</v>
      </c>
    </row>
    <row r="9" spans="1:20" ht="17" x14ac:dyDescent="0.4">
      <c r="B9" s="42" t="s">
        <v>22</v>
      </c>
      <c r="D9" s="39" t="s">
        <v>5</v>
      </c>
      <c r="E9" s="39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1"/>
    </row>
    <row r="10" spans="1:20" x14ac:dyDescent="0.35">
      <c r="B10" s="42">
        <v>44100</v>
      </c>
      <c r="D10" s="22" t="str">
        <f>"Sales, Retail - North America"</f>
        <v>Sales, Retail - North America</v>
      </c>
      <c r="E10" s="22"/>
      <c r="F10" s="23">
        <f>1095318.01</f>
        <v>1095318.01</v>
      </c>
      <c r="G10" s="24">
        <f>989614.58</f>
        <v>989614.58</v>
      </c>
      <c r="H10" s="24">
        <f>919394.27</f>
        <v>919394.27</v>
      </c>
      <c r="I10" s="24">
        <f>1079695.26</f>
        <v>1079695.26</v>
      </c>
      <c r="J10" s="24">
        <f>1102890.51</f>
        <v>1102890.51</v>
      </c>
      <c r="K10" s="24">
        <f>1443495.3</f>
        <v>1443495.3</v>
      </c>
      <c r="L10" s="24">
        <f>1369379.34</f>
        <v>1369379.34</v>
      </c>
      <c r="M10" s="24">
        <f>1209643.31</f>
        <v>1209643.31</v>
      </c>
      <c r="N10" s="24">
        <f>1222860.92</f>
        <v>1222860.92</v>
      </c>
      <c r="O10" s="24">
        <f>1366925.55</f>
        <v>1366925.55</v>
      </c>
      <c r="P10" s="24">
        <f>1502480.74</f>
        <v>1502480.74</v>
      </c>
      <c r="Q10" s="24">
        <f>1585679.44</f>
        <v>1585679.44</v>
      </c>
      <c r="R10" s="25">
        <f>14887377.23</f>
        <v>14887377.23</v>
      </c>
    </row>
    <row r="11" spans="1:20" x14ac:dyDescent="0.35">
      <c r="B11" s="42">
        <v>44200</v>
      </c>
      <c r="D11" s="22" t="str">
        <f>"Sales, Retail - EU"</f>
        <v>Sales, Retail - EU</v>
      </c>
      <c r="E11" s="22"/>
      <c r="F11" s="23">
        <f>465046.46</f>
        <v>465046.46</v>
      </c>
      <c r="G11" s="24">
        <f>414510.98</f>
        <v>414510.98</v>
      </c>
      <c r="H11" s="24">
        <f>468336.94</f>
        <v>468336.94</v>
      </c>
      <c r="I11" s="24">
        <f>404996.39</f>
        <v>404996.39</v>
      </c>
      <c r="J11" s="24">
        <f>471182.8</f>
        <v>471182.8</v>
      </c>
      <c r="K11" s="24">
        <f>433144.97</f>
        <v>433144.97</v>
      </c>
      <c r="L11" s="24">
        <f>494839.05</f>
        <v>494839.05</v>
      </c>
      <c r="M11" s="24">
        <f>456366.64</f>
        <v>456366.64</v>
      </c>
      <c r="N11" s="24">
        <f>463324.37</f>
        <v>463324.37</v>
      </c>
      <c r="O11" s="24">
        <f>618906.06</f>
        <v>618906.06000000006</v>
      </c>
      <c r="P11" s="24">
        <f>600622.28</f>
        <v>600622.28</v>
      </c>
      <c r="Q11" s="24">
        <f>507772.97</f>
        <v>507772.97</v>
      </c>
      <c r="R11" s="25">
        <f>5799049.91</f>
        <v>5799049.9100000001</v>
      </c>
    </row>
    <row r="12" spans="1:20" x14ac:dyDescent="0.35">
      <c r="B12" s="42">
        <v>44300</v>
      </c>
      <c r="D12" s="22" t="str">
        <f>"Sales, Retail - Other"</f>
        <v>Sales, Retail - Other</v>
      </c>
      <c r="E12" s="22"/>
      <c r="F12" s="23">
        <f>0</f>
        <v>0</v>
      </c>
      <c r="G12" s="24">
        <f>0</f>
        <v>0</v>
      </c>
      <c r="H12" s="24">
        <f>0</f>
        <v>0</v>
      </c>
      <c r="I12" s="24">
        <f>0</f>
        <v>0</v>
      </c>
      <c r="J12" s="24">
        <f>0</f>
        <v>0</v>
      </c>
      <c r="K12" s="24">
        <f>0</f>
        <v>0</v>
      </c>
      <c r="L12" s="24">
        <f>0</f>
        <v>0</v>
      </c>
      <c r="M12" s="24">
        <f>0</f>
        <v>0</v>
      </c>
      <c r="N12" s="24">
        <f>0</f>
        <v>0</v>
      </c>
      <c r="O12" s="24">
        <f>0</f>
        <v>0</v>
      </c>
      <c r="P12" s="24">
        <f>0</f>
        <v>0</v>
      </c>
      <c r="Q12" s="24">
        <f>0</f>
        <v>0</v>
      </c>
      <c r="R12" s="25">
        <f>0</f>
        <v>0</v>
      </c>
    </row>
    <row r="13" spans="1:20" x14ac:dyDescent="0.35">
      <c r="B13" s="42">
        <v>45100</v>
      </c>
      <c r="D13" s="22" t="str">
        <f>"Discounts, Retail - North Amer"</f>
        <v>Discounts, Retail - North Amer</v>
      </c>
      <c r="E13" s="22"/>
      <c r="F13" s="23">
        <f>-31566.69</f>
        <v>-31566.69</v>
      </c>
      <c r="G13" s="24">
        <f>-30862.49</f>
        <v>-30862.49</v>
      </c>
      <c r="H13" s="24">
        <f>-28970.76</f>
        <v>-28970.76</v>
      </c>
      <c r="I13" s="24">
        <f>-36927.38</f>
        <v>-36927.379999999997</v>
      </c>
      <c r="J13" s="24">
        <f>-34153.09</f>
        <v>-34153.089999999997</v>
      </c>
      <c r="K13" s="24">
        <f>-44720.73</f>
        <v>-44720.73</v>
      </c>
      <c r="L13" s="24">
        <f>-42606.22</f>
        <v>-42606.22</v>
      </c>
      <c r="M13" s="24">
        <f>-43863.82</f>
        <v>-43863.82</v>
      </c>
      <c r="N13" s="24">
        <f>-47706.66</f>
        <v>-47706.66</v>
      </c>
      <c r="O13" s="24">
        <f>-50382.93</f>
        <v>-50382.93</v>
      </c>
      <c r="P13" s="24">
        <f>-52759.39</f>
        <v>-52759.39</v>
      </c>
      <c r="Q13" s="24">
        <f>-57990.85</f>
        <v>-57990.85</v>
      </c>
      <c r="R13" s="25">
        <f>-502511.01</f>
        <v>-502511.01</v>
      </c>
    </row>
    <row r="14" spans="1:20" x14ac:dyDescent="0.35">
      <c r="B14" s="42">
        <v>45200</v>
      </c>
      <c r="D14" s="22" t="str">
        <f>"Discounts, Retail - EU"</f>
        <v>Discounts, Retail - EU</v>
      </c>
      <c r="E14" s="22"/>
      <c r="F14" s="23">
        <f>-9778.41</f>
        <v>-9778.41</v>
      </c>
      <c r="G14" s="24">
        <f>-12100.23</f>
        <v>-12100.23</v>
      </c>
      <c r="H14" s="24">
        <f>-14243.26</f>
        <v>-14243.26</v>
      </c>
      <c r="I14" s="24">
        <f>-13244.87</f>
        <v>-13244.87</v>
      </c>
      <c r="J14" s="24">
        <f>-12637.01</f>
        <v>-12637.01</v>
      </c>
      <c r="K14" s="24">
        <f>-17454.82</f>
        <v>-17454.82</v>
      </c>
      <c r="L14" s="24">
        <f>-15820.95</f>
        <v>-15820.95</v>
      </c>
      <c r="M14" s="24">
        <f>-14686.23</f>
        <v>-14686.23</v>
      </c>
      <c r="N14" s="24">
        <f>-12475.5</f>
        <v>-12475.5</v>
      </c>
      <c r="O14" s="24">
        <f>-20156.11</f>
        <v>-20156.11</v>
      </c>
      <c r="P14" s="24">
        <f>-17781.05</f>
        <v>-17781.05</v>
      </c>
      <c r="Q14" s="24">
        <f>-18828.69</f>
        <v>-18828.689999999999</v>
      </c>
      <c r="R14" s="25">
        <f>-179207.13</f>
        <v>-179207.13</v>
      </c>
    </row>
    <row r="15" spans="1:20" x14ac:dyDescent="0.35">
      <c r="B15" s="42">
        <v>45300</v>
      </c>
      <c r="D15" s="22" t="str">
        <f>"Discounts, Retail - Other"</f>
        <v>Discounts, Retail - Other</v>
      </c>
      <c r="E15" s="22"/>
      <c r="F15" s="23">
        <f>0</f>
        <v>0</v>
      </c>
      <c r="G15" s="24">
        <f>0</f>
        <v>0</v>
      </c>
      <c r="H15" s="24">
        <f>0</f>
        <v>0</v>
      </c>
      <c r="I15" s="24">
        <f>0</f>
        <v>0</v>
      </c>
      <c r="J15" s="24">
        <f>0</f>
        <v>0</v>
      </c>
      <c r="K15" s="24">
        <f>0</f>
        <v>0</v>
      </c>
      <c r="L15" s="24">
        <f>0</f>
        <v>0</v>
      </c>
      <c r="M15" s="24">
        <f>0</f>
        <v>0</v>
      </c>
      <c r="N15" s="24">
        <f>0</f>
        <v>0</v>
      </c>
      <c r="O15" s="24">
        <f>0</f>
        <v>0</v>
      </c>
      <c r="P15" s="24">
        <f>0</f>
        <v>0</v>
      </c>
      <c r="Q15" s="24">
        <f>0</f>
        <v>0</v>
      </c>
      <c r="R15" s="25">
        <f>0</f>
        <v>0</v>
      </c>
    </row>
    <row r="16" spans="1:20" x14ac:dyDescent="0.35">
      <c r="B16" s="42"/>
      <c r="D16" s="26" t="s">
        <v>6</v>
      </c>
      <c r="E16" s="26"/>
      <c r="F16" s="27">
        <f t="shared" ref="F16:R16" si="3">SUM(F10:F15)</f>
        <v>1519019.37</v>
      </c>
      <c r="G16" s="27">
        <f t="shared" si="3"/>
        <v>1361162.84</v>
      </c>
      <c r="H16" s="27">
        <f t="shared" si="3"/>
        <v>1344517.19</v>
      </c>
      <c r="I16" s="27">
        <f t="shared" si="3"/>
        <v>1434519.4</v>
      </c>
      <c r="J16" s="27">
        <f t="shared" si="3"/>
        <v>1527283.21</v>
      </c>
      <c r="K16" s="27">
        <f t="shared" si="3"/>
        <v>1814464.72</v>
      </c>
      <c r="L16" s="27">
        <f t="shared" si="3"/>
        <v>1805791.2200000002</v>
      </c>
      <c r="M16" s="27">
        <f t="shared" si="3"/>
        <v>1607459.9000000001</v>
      </c>
      <c r="N16" s="27">
        <f t="shared" si="3"/>
        <v>1626003.1300000001</v>
      </c>
      <c r="O16" s="27">
        <f t="shared" si="3"/>
        <v>1915292.57</v>
      </c>
      <c r="P16" s="27">
        <f t="shared" si="3"/>
        <v>2032562.58</v>
      </c>
      <c r="Q16" s="27">
        <f t="shared" si="3"/>
        <v>2016632.8699999999</v>
      </c>
      <c r="R16" s="28">
        <f t="shared" si="3"/>
        <v>20004709</v>
      </c>
    </row>
    <row r="17" spans="2:18" x14ac:dyDescent="0.35">
      <c r="B17" s="42"/>
      <c r="D17" s="21"/>
      <c r="E17" s="21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30"/>
    </row>
    <row r="18" spans="2:18" ht="17" x14ac:dyDescent="0.4">
      <c r="B18" s="42"/>
      <c r="D18" s="31" t="s">
        <v>21</v>
      </c>
      <c r="E18" s="31"/>
      <c r="R18" s="21"/>
    </row>
    <row r="19" spans="2:18" ht="17" x14ac:dyDescent="0.4">
      <c r="B19" s="42">
        <v>52100</v>
      </c>
      <c r="D19" s="22" t="str">
        <f>"COGS, Retail - North America"</f>
        <v>COGS, Retail - North America</v>
      </c>
      <c r="E19" s="31"/>
      <c r="F19" s="23">
        <f>-613696.02</f>
        <v>-613696.02</v>
      </c>
      <c r="G19" s="24">
        <f>-562390.6</f>
        <v>-562390.6</v>
      </c>
      <c r="H19" s="24">
        <f>-526810.12</f>
        <v>-526810.12</v>
      </c>
      <c r="I19" s="24">
        <f>-609145.88</f>
        <v>-609145.88</v>
      </c>
      <c r="J19" s="24">
        <f>-654582.79</f>
        <v>-654582.79</v>
      </c>
      <c r="K19" s="24">
        <f>-725738.35</f>
        <v>-725738.35</v>
      </c>
      <c r="L19" s="24">
        <f>-773117.5</f>
        <v>-773117.5</v>
      </c>
      <c r="M19" s="24">
        <f>-704516.69</f>
        <v>-704516.69</v>
      </c>
      <c r="N19" s="24">
        <f>-708661.97</f>
        <v>-708661.97</v>
      </c>
      <c r="O19" s="24">
        <f>-839016.41</f>
        <v>-839016.41</v>
      </c>
      <c r="P19" s="24">
        <f>-864673.95</f>
        <v>-864673.95</v>
      </c>
      <c r="Q19" s="24">
        <f>-851086.63</f>
        <v>-851086.63</v>
      </c>
      <c r="R19" s="25">
        <f>-8433436.91</f>
        <v>-8433436.9100000001</v>
      </c>
    </row>
    <row r="20" spans="2:18" ht="17" x14ac:dyDescent="0.4">
      <c r="B20" s="42">
        <v>52300</v>
      </c>
      <c r="D20" s="22" t="str">
        <f>"COGS, Retail - EU"</f>
        <v>COGS, Retail - EU</v>
      </c>
      <c r="E20" s="31"/>
      <c r="F20" s="23">
        <f>-221011.94</f>
        <v>-221011.94</v>
      </c>
      <c r="G20" s="24">
        <f>-195552.68</f>
        <v>-195552.68</v>
      </c>
      <c r="H20" s="24">
        <f>-205581.27</f>
        <v>-205581.27</v>
      </c>
      <c r="I20" s="24">
        <f>-184127.95</f>
        <v>-184127.95</v>
      </c>
      <c r="J20" s="24">
        <f>-223371.75</f>
        <v>-223371.75</v>
      </c>
      <c r="K20" s="24">
        <f>-202405.97</f>
        <v>-202405.97</v>
      </c>
      <c r="L20" s="24">
        <f>-220427.33</f>
        <v>-220427.33</v>
      </c>
      <c r="M20" s="24">
        <f>-191505</f>
        <v>-191505</v>
      </c>
      <c r="N20" s="24">
        <f>-194375.65</f>
        <v>-194375.65</v>
      </c>
      <c r="O20" s="24">
        <f>-273260.24</f>
        <v>-273260.24</v>
      </c>
      <c r="P20" s="24">
        <f>-255424.73</f>
        <v>-255424.73</v>
      </c>
      <c r="Q20" s="24">
        <f>-230977.4</f>
        <v>-230977.4</v>
      </c>
      <c r="R20" s="25">
        <f>-2598021.91</f>
        <v>-2598021.91</v>
      </c>
    </row>
    <row r="21" spans="2:18" ht="17" x14ac:dyDescent="0.4">
      <c r="B21" s="42">
        <v>52400</v>
      </c>
      <c r="D21" s="22" t="str">
        <f>"COGS, Retail - Other"</f>
        <v>COGS, Retail - Other</v>
      </c>
      <c r="E21" s="31"/>
      <c r="F21" s="23">
        <f>0</f>
        <v>0</v>
      </c>
      <c r="G21" s="24">
        <f>0</f>
        <v>0</v>
      </c>
      <c r="H21" s="24">
        <f>0</f>
        <v>0</v>
      </c>
      <c r="I21" s="24">
        <f>0</f>
        <v>0</v>
      </c>
      <c r="J21" s="24">
        <f>0</f>
        <v>0</v>
      </c>
      <c r="K21" s="24">
        <f>0</f>
        <v>0</v>
      </c>
      <c r="L21" s="24">
        <f>0</f>
        <v>0</v>
      </c>
      <c r="M21" s="24">
        <f>0</f>
        <v>0</v>
      </c>
      <c r="N21" s="24">
        <f>0</f>
        <v>0</v>
      </c>
      <c r="O21" s="24">
        <f>0</f>
        <v>0</v>
      </c>
      <c r="P21" s="24">
        <f>0</f>
        <v>0</v>
      </c>
      <c r="Q21" s="24">
        <f>0</f>
        <v>0</v>
      </c>
      <c r="R21" s="25">
        <f>0</f>
        <v>0</v>
      </c>
    </row>
    <row r="22" spans="2:18" ht="17" x14ac:dyDescent="0.4">
      <c r="B22" s="42">
        <v>54999</v>
      </c>
      <c r="D22" s="22" t="str">
        <f>"Total Cost Adjustments"</f>
        <v>Total Cost Adjustments</v>
      </c>
      <c r="E22" s="31"/>
      <c r="F22" s="23">
        <f>0</f>
        <v>0</v>
      </c>
      <c r="G22" s="24">
        <f>0</f>
        <v>0</v>
      </c>
      <c r="H22" s="24">
        <f>0</f>
        <v>0</v>
      </c>
      <c r="I22" s="24">
        <f>0</f>
        <v>0</v>
      </c>
      <c r="J22" s="24">
        <f>0</f>
        <v>0</v>
      </c>
      <c r="K22" s="24">
        <f>0</f>
        <v>0</v>
      </c>
      <c r="L22" s="24">
        <f>0</f>
        <v>0</v>
      </c>
      <c r="M22" s="24">
        <f>0</f>
        <v>0</v>
      </c>
      <c r="N22" s="24">
        <f>0</f>
        <v>0</v>
      </c>
      <c r="O22" s="24">
        <f>0</f>
        <v>0</v>
      </c>
      <c r="P22" s="24">
        <f>0</f>
        <v>0</v>
      </c>
      <c r="Q22" s="24">
        <f>0</f>
        <v>0</v>
      </c>
      <c r="R22" s="25">
        <f>0</f>
        <v>0</v>
      </c>
    </row>
    <row r="23" spans="2:18" x14ac:dyDescent="0.35">
      <c r="B23" s="42"/>
      <c r="D23" s="26" t="s">
        <v>23</v>
      </c>
      <c r="E23" s="26"/>
      <c r="F23" s="27">
        <f t="shared" ref="F23:R23" si="4">SUM(F19:F22)</f>
        <v>-834707.96</v>
      </c>
      <c r="G23" s="27">
        <f t="shared" si="4"/>
        <v>-757943.28</v>
      </c>
      <c r="H23" s="27">
        <f t="shared" si="4"/>
        <v>-732391.39</v>
      </c>
      <c r="I23" s="27">
        <f t="shared" si="4"/>
        <v>-793273.83000000007</v>
      </c>
      <c r="J23" s="27">
        <f t="shared" si="4"/>
        <v>-877954.54</v>
      </c>
      <c r="K23" s="27">
        <f t="shared" si="4"/>
        <v>-928144.32</v>
      </c>
      <c r="L23" s="27">
        <f t="shared" si="4"/>
        <v>-993544.83</v>
      </c>
      <c r="M23" s="27">
        <f t="shared" si="4"/>
        <v>-896021.69</v>
      </c>
      <c r="N23" s="27">
        <f t="shared" si="4"/>
        <v>-903037.62</v>
      </c>
      <c r="O23" s="27">
        <f t="shared" si="4"/>
        <v>-1112276.6499999999</v>
      </c>
      <c r="P23" s="27">
        <f t="shared" si="4"/>
        <v>-1120098.68</v>
      </c>
      <c r="Q23" s="27">
        <f t="shared" si="4"/>
        <v>-1082064.03</v>
      </c>
      <c r="R23" s="28">
        <f t="shared" si="4"/>
        <v>-11031458.82</v>
      </c>
    </row>
    <row r="24" spans="2:18" ht="17" x14ac:dyDescent="0.4">
      <c r="B24" s="42"/>
      <c r="D24" s="31"/>
      <c r="E24" s="31"/>
      <c r="F24" s="23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5"/>
    </row>
    <row r="25" spans="2:18" ht="15.5" x14ac:dyDescent="0.35">
      <c r="B25" s="42"/>
      <c r="D25" s="36" t="s">
        <v>10</v>
      </c>
      <c r="E25" s="36"/>
      <c r="F25" s="37">
        <f t="shared" ref="F25:R25" si="5">F16+F23</f>
        <v>684311.41000000015</v>
      </c>
      <c r="G25" s="37">
        <f t="shared" si="5"/>
        <v>603219.56000000006</v>
      </c>
      <c r="H25" s="37">
        <f t="shared" si="5"/>
        <v>612125.79999999993</v>
      </c>
      <c r="I25" s="37">
        <f t="shared" si="5"/>
        <v>641245.56999999983</v>
      </c>
      <c r="J25" s="37">
        <f t="shared" si="5"/>
        <v>649328.66999999993</v>
      </c>
      <c r="K25" s="37">
        <f t="shared" si="5"/>
        <v>886320.4</v>
      </c>
      <c r="L25" s="37">
        <f t="shared" si="5"/>
        <v>812246.39000000025</v>
      </c>
      <c r="M25" s="37">
        <f t="shared" si="5"/>
        <v>711438.2100000002</v>
      </c>
      <c r="N25" s="37">
        <f t="shared" si="5"/>
        <v>722965.51000000013</v>
      </c>
      <c r="O25" s="37">
        <f t="shared" si="5"/>
        <v>803015.92000000016</v>
      </c>
      <c r="P25" s="37">
        <f t="shared" si="5"/>
        <v>912463.90000000014</v>
      </c>
      <c r="Q25" s="37">
        <f t="shared" si="5"/>
        <v>934568.83999999985</v>
      </c>
      <c r="R25" s="38">
        <f t="shared" si="5"/>
        <v>8973250.1799999997</v>
      </c>
    </row>
    <row r="26" spans="2:18" x14ac:dyDescent="0.35">
      <c r="B26" s="42"/>
      <c r="D26" s="21"/>
      <c r="E26" s="2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30"/>
    </row>
    <row r="27" spans="2:18" ht="17" x14ac:dyDescent="0.4">
      <c r="B27" s="42"/>
      <c r="D27" s="31" t="s">
        <v>7</v>
      </c>
      <c r="E27" s="31"/>
      <c r="R27" s="21"/>
    </row>
    <row r="28" spans="2:18" x14ac:dyDescent="0.35">
      <c r="B28" s="42">
        <v>65400</v>
      </c>
      <c r="D28" s="22" t="str">
        <f>"Total Bldg. Maint. Expenses"</f>
        <v>Total Bldg. Maint. Expenses</v>
      </c>
      <c r="E28" s="22"/>
      <c r="F28" s="23">
        <f>-4953.98</f>
        <v>-4953.9799999999996</v>
      </c>
      <c r="G28" s="24">
        <f>-4868.58</f>
        <v>-4868.58</v>
      </c>
      <c r="H28" s="24">
        <f>-4930.99</f>
        <v>-4930.99</v>
      </c>
      <c r="I28" s="24">
        <f>-4777.39</f>
        <v>-4777.3900000000003</v>
      </c>
      <c r="J28" s="24">
        <f>-5261.26</f>
        <v>-5261.26</v>
      </c>
      <c r="K28" s="24">
        <f>-5224.07</f>
        <v>-5224.07</v>
      </c>
      <c r="L28" s="24">
        <f>-4566</f>
        <v>-4566</v>
      </c>
      <c r="M28" s="24">
        <f>-4627.67</f>
        <v>-4627.67</v>
      </c>
      <c r="N28" s="24">
        <f>-4689.67</f>
        <v>-4689.67</v>
      </c>
      <c r="O28" s="24">
        <f>-4805.2</f>
        <v>-4805.2</v>
      </c>
      <c r="P28" s="24">
        <f>-3627.14</f>
        <v>-3627.14</v>
      </c>
      <c r="Q28" s="24">
        <f>-5955.66</f>
        <v>-5955.66</v>
      </c>
      <c r="R28" s="25">
        <f>-58287.61</f>
        <v>-58287.61</v>
      </c>
    </row>
    <row r="29" spans="2:18" x14ac:dyDescent="0.35">
      <c r="B29" s="42">
        <v>65900</v>
      </c>
      <c r="D29" s="22" t="str">
        <f>"Total Administrative Expenses"</f>
        <v>Total Administrative Expenses</v>
      </c>
      <c r="E29" s="22"/>
      <c r="F29" s="23">
        <f>-2927.31</f>
        <v>-2927.31</v>
      </c>
      <c r="G29" s="24">
        <f>-3251.78</f>
        <v>-3251.78</v>
      </c>
      <c r="H29" s="24">
        <f>-2472.22</f>
        <v>-2472.2199999999998</v>
      </c>
      <c r="I29" s="24">
        <f>-2525.51</f>
        <v>-2525.5100000000002</v>
      </c>
      <c r="J29" s="24">
        <f>-3151.25</f>
        <v>-3151.25</v>
      </c>
      <c r="K29" s="24">
        <f>-2536.63</f>
        <v>-2536.63</v>
      </c>
      <c r="L29" s="24">
        <f>-3151.05</f>
        <v>-3151.05</v>
      </c>
      <c r="M29" s="24">
        <f>-2453.56</f>
        <v>-2453.56</v>
      </c>
      <c r="N29" s="24">
        <f>-2759.77</f>
        <v>-2759.77</v>
      </c>
      <c r="O29" s="24">
        <f>-2992.6</f>
        <v>-2992.6</v>
      </c>
      <c r="P29" s="24">
        <f>-3291.02</f>
        <v>-3291.02</v>
      </c>
      <c r="Q29" s="24">
        <f>-2800.13</f>
        <v>-2800.13</v>
      </c>
      <c r="R29" s="25">
        <f>-34312.83</f>
        <v>-34312.83</v>
      </c>
    </row>
    <row r="30" spans="2:18" x14ac:dyDescent="0.35">
      <c r="B30" s="42">
        <v>64400</v>
      </c>
      <c r="D30" s="22" t="str">
        <f>"Total Computer Expenses"</f>
        <v>Total Computer Expenses</v>
      </c>
      <c r="E30" s="22"/>
      <c r="F30" s="23">
        <f>-4546.7</f>
        <v>-4546.7</v>
      </c>
      <c r="G30" s="24">
        <f>-4150</f>
        <v>-4150</v>
      </c>
      <c r="H30" s="24">
        <f>-3664.76</f>
        <v>-3664.76</v>
      </c>
      <c r="I30" s="24">
        <f>-4188.77</f>
        <v>-4188.7700000000004</v>
      </c>
      <c r="J30" s="24">
        <f>-4118.13</f>
        <v>-4118.13</v>
      </c>
      <c r="K30" s="24">
        <f>-3969.97</f>
        <v>-3969.97</v>
      </c>
      <c r="L30" s="24">
        <f>-3773.4</f>
        <v>-3773.4</v>
      </c>
      <c r="M30" s="24">
        <f>-4087.84</f>
        <v>-4087.84</v>
      </c>
      <c r="N30" s="24">
        <f>-4329.85</f>
        <v>-4329.8500000000004</v>
      </c>
      <c r="O30" s="24">
        <f>-4203.58</f>
        <v>-4203.58</v>
      </c>
      <c r="P30" s="24">
        <f>-4017.59</f>
        <v>-4017.59</v>
      </c>
      <c r="Q30" s="24">
        <f>-4196.34</f>
        <v>-4196.34</v>
      </c>
      <c r="R30" s="25">
        <f>-49246.93</f>
        <v>-49246.93</v>
      </c>
    </row>
    <row r="31" spans="2:18" x14ac:dyDescent="0.35">
      <c r="B31" s="42">
        <v>61400</v>
      </c>
      <c r="D31" s="22" t="str">
        <f>"Total Selling Expenses"</f>
        <v>Total Selling Expenses</v>
      </c>
      <c r="E31" s="22"/>
      <c r="F31" s="23">
        <f>-133123.25</f>
        <v>-133123.25</v>
      </c>
      <c r="G31" s="24">
        <f>-132384.64</f>
        <v>-132384.64000000001</v>
      </c>
      <c r="H31" s="24">
        <f>-132164.28</f>
        <v>-132164.28</v>
      </c>
      <c r="I31" s="24">
        <f>-125795.88</f>
        <v>-125795.88</v>
      </c>
      <c r="J31" s="24">
        <f>-128662.72</f>
        <v>-128662.72</v>
      </c>
      <c r="K31" s="24">
        <f>-132229.28</f>
        <v>-132229.28</v>
      </c>
      <c r="L31" s="24">
        <f>-129928.38</f>
        <v>-129928.38</v>
      </c>
      <c r="M31" s="24">
        <f>-135703.75</f>
        <v>-135703.75</v>
      </c>
      <c r="N31" s="24">
        <f>-112854.85</f>
        <v>-112854.85</v>
      </c>
      <c r="O31" s="24">
        <f>-139006.91</f>
        <v>-139006.91</v>
      </c>
      <c r="P31" s="24">
        <f>-117423.3</f>
        <v>-117423.3</v>
      </c>
      <c r="Q31" s="24">
        <f>-137422.73</f>
        <v>-137422.73000000001</v>
      </c>
      <c r="R31" s="25">
        <f>-1556699.97</f>
        <v>-1556699.97</v>
      </c>
    </row>
    <row r="32" spans="2:18" x14ac:dyDescent="0.35">
      <c r="B32" s="42">
        <v>62950</v>
      </c>
      <c r="D32" s="22" t="str">
        <f>"Total Personnel Expenses"</f>
        <v>Total Personnel Expenses</v>
      </c>
      <c r="E32" s="22"/>
      <c r="F32" s="23">
        <f>-431212.35</f>
        <v>-431212.35</v>
      </c>
      <c r="G32" s="24">
        <f>-416834.83</f>
        <v>-416834.83</v>
      </c>
      <c r="H32" s="24">
        <f>-441889.07</f>
        <v>-441889.07</v>
      </c>
      <c r="I32" s="24">
        <f>-495313.86</f>
        <v>-495313.86</v>
      </c>
      <c r="J32" s="24">
        <f>-482737.47</f>
        <v>-482737.47</v>
      </c>
      <c r="K32" s="24">
        <f>-546836.25</f>
        <v>-546836.25</v>
      </c>
      <c r="L32" s="24">
        <f>-541779.38</f>
        <v>-541779.38</v>
      </c>
      <c r="M32" s="24">
        <f>-532524.22</f>
        <v>-532524.22</v>
      </c>
      <c r="N32" s="24">
        <f>-565751.67</f>
        <v>-565751.67000000004</v>
      </c>
      <c r="O32" s="24">
        <f>-610159.07</f>
        <v>-610159.06999999995</v>
      </c>
      <c r="P32" s="24">
        <f>-608193.41</f>
        <v>-608193.41</v>
      </c>
      <c r="Q32" s="24">
        <f>-626432.22</f>
        <v>-626432.22</v>
      </c>
      <c r="R32" s="25">
        <f>-6299663.8</f>
        <v>-6299663.7999999998</v>
      </c>
    </row>
    <row r="33" spans="2:18" x14ac:dyDescent="0.35">
      <c r="B33" s="42">
        <v>66400</v>
      </c>
      <c r="D33" s="22" t="str">
        <f>"Total Fixed Asset Depreciation"</f>
        <v>Total Fixed Asset Depreciation</v>
      </c>
      <c r="E33" s="22"/>
      <c r="F33" s="23">
        <f>0</f>
        <v>0</v>
      </c>
      <c r="G33" s="24">
        <f>0</f>
        <v>0</v>
      </c>
      <c r="H33" s="24">
        <f>0</f>
        <v>0</v>
      </c>
      <c r="I33" s="24">
        <f>0</f>
        <v>0</v>
      </c>
      <c r="J33" s="24">
        <f>0</f>
        <v>0</v>
      </c>
      <c r="K33" s="24">
        <f>0</f>
        <v>0</v>
      </c>
      <c r="L33" s="24">
        <f>0</f>
        <v>0</v>
      </c>
      <c r="M33" s="24">
        <f>0</f>
        <v>0</v>
      </c>
      <c r="N33" s="24">
        <f>0</f>
        <v>0</v>
      </c>
      <c r="O33" s="24">
        <f>0</f>
        <v>0</v>
      </c>
      <c r="P33" s="24">
        <f>0</f>
        <v>0</v>
      </c>
      <c r="Q33" s="24">
        <f>0</f>
        <v>0</v>
      </c>
      <c r="R33" s="25">
        <f>0</f>
        <v>0</v>
      </c>
    </row>
    <row r="34" spans="2:18" x14ac:dyDescent="0.35">
      <c r="B34" s="42">
        <v>67600</v>
      </c>
      <c r="D34" s="22" t="str">
        <f>"Other Operating Exp., Total"</f>
        <v>Other Operating Exp., Total</v>
      </c>
      <c r="E34" s="22"/>
      <c r="F34" s="23">
        <f>0</f>
        <v>0</v>
      </c>
      <c r="G34" s="24">
        <f>0</f>
        <v>0</v>
      </c>
      <c r="H34" s="24">
        <f>0</f>
        <v>0</v>
      </c>
      <c r="I34" s="24">
        <f>0</f>
        <v>0</v>
      </c>
      <c r="J34" s="24">
        <f>0</f>
        <v>0</v>
      </c>
      <c r="K34" s="24">
        <f>0</f>
        <v>0</v>
      </c>
      <c r="L34" s="24">
        <f>0</f>
        <v>0</v>
      </c>
      <c r="M34" s="24">
        <f>0</f>
        <v>0</v>
      </c>
      <c r="N34" s="24">
        <f>0</f>
        <v>0</v>
      </c>
      <c r="O34" s="24">
        <f>0</f>
        <v>0</v>
      </c>
      <c r="P34" s="24">
        <f>0</f>
        <v>0</v>
      </c>
      <c r="Q34" s="24">
        <f>0</f>
        <v>0</v>
      </c>
      <c r="R34" s="25">
        <f>0</f>
        <v>0</v>
      </c>
    </row>
    <row r="35" spans="2:18" x14ac:dyDescent="0.35">
      <c r="B35" s="42"/>
      <c r="D35" s="26" t="s">
        <v>8</v>
      </c>
      <c r="E35" s="26"/>
      <c r="F35" s="27">
        <f t="shared" ref="F35:R35" si="6">SUM(F28:F34)</f>
        <v>-576763.59</v>
      </c>
      <c r="G35" s="27">
        <f t="shared" si="6"/>
        <v>-561489.83000000007</v>
      </c>
      <c r="H35" s="27">
        <f t="shared" si="6"/>
        <v>-585121.32000000007</v>
      </c>
      <c r="I35" s="27">
        <f t="shared" si="6"/>
        <v>-632601.41</v>
      </c>
      <c r="J35" s="27">
        <f t="shared" si="6"/>
        <v>-623930.82999999996</v>
      </c>
      <c r="K35" s="27">
        <f t="shared" si="6"/>
        <v>-690796.2</v>
      </c>
      <c r="L35" s="27">
        <f t="shared" si="6"/>
        <v>-683198.21</v>
      </c>
      <c r="M35" s="27">
        <f t="shared" si="6"/>
        <v>-679397.04</v>
      </c>
      <c r="N35" s="27">
        <f t="shared" si="6"/>
        <v>-690385.81</v>
      </c>
      <c r="O35" s="27">
        <f t="shared" si="6"/>
        <v>-761167.35999999999</v>
      </c>
      <c r="P35" s="27">
        <f t="shared" si="6"/>
        <v>-736552.46000000008</v>
      </c>
      <c r="Q35" s="27">
        <f t="shared" si="6"/>
        <v>-776807.08</v>
      </c>
      <c r="R35" s="28">
        <f t="shared" si="6"/>
        <v>-7998211.1399999997</v>
      </c>
    </row>
    <row r="36" spans="2:18" x14ac:dyDescent="0.35">
      <c r="B36" s="42"/>
      <c r="D36" s="22"/>
      <c r="E36" s="22"/>
      <c r="F36" s="23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5"/>
    </row>
    <row r="37" spans="2:18" ht="15.5" x14ac:dyDescent="0.35">
      <c r="B37" s="42"/>
      <c r="D37" s="36" t="s">
        <v>24</v>
      </c>
      <c r="E37" s="36"/>
      <c r="F37" s="37">
        <f t="shared" ref="F37:R37" si="7">F25+F35</f>
        <v>107547.82000000018</v>
      </c>
      <c r="G37" s="37">
        <f t="shared" si="7"/>
        <v>41729.729999999981</v>
      </c>
      <c r="H37" s="37">
        <f t="shared" si="7"/>
        <v>27004.479999999865</v>
      </c>
      <c r="I37" s="37">
        <f t="shared" si="7"/>
        <v>8644.1599999997998</v>
      </c>
      <c r="J37" s="37">
        <f t="shared" si="7"/>
        <v>25397.839999999967</v>
      </c>
      <c r="K37" s="37">
        <f t="shared" si="7"/>
        <v>195524.20000000007</v>
      </c>
      <c r="L37" s="37">
        <f t="shared" si="7"/>
        <v>129048.18000000028</v>
      </c>
      <c r="M37" s="37">
        <f t="shared" si="7"/>
        <v>32041.170000000158</v>
      </c>
      <c r="N37" s="37">
        <f t="shared" si="7"/>
        <v>32579.70000000007</v>
      </c>
      <c r="O37" s="37">
        <f t="shared" si="7"/>
        <v>41848.560000000172</v>
      </c>
      <c r="P37" s="37">
        <f t="shared" si="7"/>
        <v>175911.44000000006</v>
      </c>
      <c r="Q37" s="37">
        <f t="shared" si="7"/>
        <v>157761.75999999989</v>
      </c>
      <c r="R37" s="38">
        <f t="shared" si="7"/>
        <v>975039.04</v>
      </c>
    </row>
    <row r="38" spans="2:18" ht="15.5" x14ac:dyDescent="0.35">
      <c r="B38" s="42"/>
      <c r="D38" s="35"/>
      <c r="E38" s="35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30"/>
    </row>
    <row r="39" spans="2:18" ht="17" x14ac:dyDescent="0.4">
      <c r="B39" s="42"/>
      <c r="D39" s="31" t="s">
        <v>11</v>
      </c>
      <c r="E39" s="31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ht="17" x14ac:dyDescent="0.4">
      <c r="B40" s="42">
        <v>79950</v>
      </c>
      <c r="D40" s="22" t="str">
        <f>"Total Interest Income"</f>
        <v>Total Interest Income</v>
      </c>
      <c r="E40" s="31"/>
      <c r="F40" s="23">
        <f>-0.03</f>
        <v>-0.03</v>
      </c>
      <c r="G40" s="24">
        <f>0.02</f>
        <v>0.02</v>
      </c>
      <c r="H40" s="24">
        <f>0</f>
        <v>0</v>
      </c>
      <c r="I40" s="24">
        <f>0</f>
        <v>0</v>
      </c>
      <c r="J40" s="24">
        <f>-0.01</f>
        <v>-0.01</v>
      </c>
      <c r="K40" s="24">
        <f>0</f>
        <v>0</v>
      </c>
      <c r="L40" s="24">
        <f>-0.01</f>
        <v>-0.01</v>
      </c>
      <c r="M40" s="24">
        <f>-0.01</f>
        <v>-0.01</v>
      </c>
      <c r="N40" s="24">
        <f>0</f>
        <v>0</v>
      </c>
      <c r="O40" s="24">
        <f>0.03</f>
        <v>0.03</v>
      </c>
      <c r="P40" s="24">
        <f>0.01</f>
        <v>0.01</v>
      </c>
      <c r="Q40" s="24">
        <f>-0.01</f>
        <v>-0.01</v>
      </c>
      <c r="R40" s="25">
        <f>-0.01</f>
        <v>-0.01</v>
      </c>
    </row>
    <row r="41" spans="2:18" ht="17" x14ac:dyDescent="0.4">
      <c r="B41" s="42">
        <v>80600</v>
      </c>
      <c r="D41" s="22" t="str">
        <f>"Total Interest Expenses"</f>
        <v>Total Interest Expenses</v>
      </c>
      <c r="E41" s="31"/>
      <c r="F41" s="23">
        <f>0</f>
        <v>0</v>
      </c>
      <c r="G41" s="24">
        <f>0</f>
        <v>0</v>
      </c>
      <c r="H41" s="24">
        <f>0</f>
        <v>0</v>
      </c>
      <c r="I41" s="24">
        <f>0</f>
        <v>0</v>
      </c>
      <c r="J41" s="24">
        <f>0</f>
        <v>0</v>
      </c>
      <c r="K41" s="24">
        <f>0</f>
        <v>0</v>
      </c>
      <c r="L41" s="24">
        <f>0</f>
        <v>0</v>
      </c>
      <c r="M41" s="24">
        <f>0</f>
        <v>0</v>
      </c>
      <c r="N41" s="24">
        <f>0</f>
        <v>0</v>
      </c>
      <c r="O41" s="24">
        <f>0</f>
        <v>0</v>
      </c>
      <c r="P41" s="24">
        <f>0</f>
        <v>0</v>
      </c>
      <c r="Q41" s="24">
        <f>0</f>
        <v>0</v>
      </c>
      <c r="R41" s="25">
        <f>0</f>
        <v>0</v>
      </c>
    </row>
    <row r="42" spans="2:18" ht="17" x14ac:dyDescent="0.4">
      <c r="B42" s="42">
        <v>80800</v>
      </c>
      <c r="D42" s="22" t="str">
        <f>"Unrealized FX Gains"</f>
        <v>Unrealized FX Gains</v>
      </c>
      <c r="E42" s="31"/>
      <c r="F42" s="23">
        <f>0</f>
        <v>0</v>
      </c>
      <c r="G42" s="24">
        <f>0</f>
        <v>0</v>
      </c>
      <c r="H42" s="24">
        <f>0</f>
        <v>0</v>
      </c>
      <c r="I42" s="24">
        <f>0</f>
        <v>0</v>
      </c>
      <c r="J42" s="24">
        <f>0</f>
        <v>0</v>
      </c>
      <c r="K42" s="24">
        <f>0</f>
        <v>0</v>
      </c>
      <c r="L42" s="24">
        <f>0</f>
        <v>0</v>
      </c>
      <c r="M42" s="24">
        <f>0</f>
        <v>0</v>
      </c>
      <c r="N42" s="24">
        <f>0</f>
        <v>0</v>
      </c>
      <c r="O42" s="24">
        <f>0</f>
        <v>0</v>
      </c>
      <c r="P42" s="24">
        <f>0</f>
        <v>0</v>
      </c>
      <c r="Q42" s="24">
        <f>0</f>
        <v>0</v>
      </c>
      <c r="R42" s="25">
        <f>0</f>
        <v>0</v>
      </c>
    </row>
    <row r="43" spans="2:18" ht="17" x14ac:dyDescent="0.4">
      <c r="B43" s="42">
        <v>80900</v>
      </c>
      <c r="D43" s="22" t="str">
        <f>"Unrealized FX Losses"</f>
        <v>Unrealized FX Losses</v>
      </c>
      <c r="E43" s="31"/>
      <c r="F43" s="23">
        <f>0</f>
        <v>0</v>
      </c>
      <c r="G43" s="24">
        <f>0</f>
        <v>0</v>
      </c>
      <c r="H43" s="24">
        <f>0</f>
        <v>0</v>
      </c>
      <c r="I43" s="24">
        <f>0</f>
        <v>0</v>
      </c>
      <c r="J43" s="24">
        <f>0</f>
        <v>0</v>
      </c>
      <c r="K43" s="24">
        <f>0</f>
        <v>0</v>
      </c>
      <c r="L43" s="24">
        <f>0</f>
        <v>0</v>
      </c>
      <c r="M43" s="24">
        <f>0</f>
        <v>0</v>
      </c>
      <c r="N43" s="24">
        <f>0</f>
        <v>0</v>
      </c>
      <c r="O43" s="24">
        <f>0</f>
        <v>0</v>
      </c>
      <c r="P43" s="24">
        <f>0</f>
        <v>0</v>
      </c>
      <c r="Q43" s="24">
        <f>0</f>
        <v>0</v>
      </c>
      <c r="R43" s="25">
        <f>0</f>
        <v>0</v>
      </c>
    </row>
    <row r="44" spans="2:18" ht="17" x14ac:dyDescent="0.4">
      <c r="B44" s="42">
        <v>81000</v>
      </c>
      <c r="D44" s="22" t="str">
        <f>"Realized FX Gains"</f>
        <v>Realized FX Gains</v>
      </c>
      <c r="E44" s="31"/>
      <c r="F44" s="23">
        <f>0</f>
        <v>0</v>
      </c>
      <c r="G44" s="24">
        <f>0</f>
        <v>0</v>
      </c>
      <c r="H44" s="24">
        <f>0</f>
        <v>0</v>
      </c>
      <c r="I44" s="24">
        <f>0</f>
        <v>0</v>
      </c>
      <c r="J44" s="24">
        <f>0</f>
        <v>0</v>
      </c>
      <c r="K44" s="24">
        <f>0</f>
        <v>0</v>
      </c>
      <c r="L44" s="24">
        <f>0</f>
        <v>0</v>
      </c>
      <c r="M44" s="24">
        <f>0</f>
        <v>0</v>
      </c>
      <c r="N44" s="24">
        <f>0</f>
        <v>0</v>
      </c>
      <c r="O44" s="24">
        <f>0</f>
        <v>0</v>
      </c>
      <c r="P44" s="24">
        <f>0</f>
        <v>0</v>
      </c>
      <c r="Q44" s="24">
        <f>0</f>
        <v>0</v>
      </c>
      <c r="R44" s="25">
        <f>0</f>
        <v>0</v>
      </c>
    </row>
    <row r="45" spans="2:18" ht="17" x14ac:dyDescent="0.4">
      <c r="B45" s="42">
        <v>81100</v>
      </c>
      <c r="D45" s="22" t="str">
        <f>"Realized FX Losses"</f>
        <v>Realized FX Losses</v>
      </c>
      <c r="E45" s="31"/>
      <c r="F45" s="23">
        <f>0</f>
        <v>0</v>
      </c>
      <c r="G45" s="24">
        <f>0</f>
        <v>0</v>
      </c>
      <c r="H45" s="24">
        <f>0</f>
        <v>0</v>
      </c>
      <c r="I45" s="24">
        <f>0</f>
        <v>0</v>
      </c>
      <c r="J45" s="24">
        <f>0</f>
        <v>0</v>
      </c>
      <c r="K45" s="24">
        <f>0</f>
        <v>0</v>
      </c>
      <c r="L45" s="24">
        <f>0</f>
        <v>0</v>
      </c>
      <c r="M45" s="24">
        <f>0</f>
        <v>0</v>
      </c>
      <c r="N45" s="24">
        <f>0</f>
        <v>0</v>
      </c>
      <c r="O45" s="24">
        <f>0</f>
        <v>0</v>
      </c>
      <c r="P45" s="24">
        <f>0</f>
        <v>0</v>
      </c>
      <c r="Q45" s="24">
        <f>0</f>
        <v>0</v>
      </c>
      <c r="R45" s="25">
        <f>0</f>
        <v>0</v>
      </c>
    </row>
    <row r="46" spans="2:18" x14ac:dyDescent="0.35">
      <c r="B46" s="42"/>
      <c r="D46" s="26" t="s">
        <v>12</v>
      </c>
      <c r="E46" s="26"/>
      <c r="F46" s="27">
        <f t="shared" ref="F46:R46" si="8">SUM(F40:F45)</f>
        <v>-0.03</v>
      </c>
      <c r="G46" s="27">
        <f t="shared" si="8"/>
        <v>0.02</v>
      </c>
      <c r="H46" s="27">
        <f t="shared" si="8"/>
        <v>0</v>
      </c>
      <c r="I46" s="27">
        <f t="shared" si="8"/>
        <v>0</v>
      </c>
      <c r="J46" s="27">
        <f t="shared" si="8"/>
        <v>-0.01</v>
      </c>
      <c r="K46" s="27">
        <f t="shared" si="8"/>
        <v>0</v>
      </c>
      <c r="L46" s="27">
        <f t="shared" si="8"/>
        <v>-0.01</v>
      </c>
      <c r="M46" s="27">
        <f t="shared" si="8"/>
        <v>-0.01</v>
      </c>
      <c r="N46" s="27">
        <f t="shared" si="8"/>
        <v>0</v>
      </c>
      <c r="O46" s="27">
        <f t="shared" si="8"/>
        <v>0.03</v>
      </c>
      <c r="P46" s="27">
        <f t="shared" si="8"/>
        <v>0.01</v>
      </c>
      <c r="Q46" s="27">
        <f t="shared" si="8"/>
        <v>-0.01</v>
      </c>
      <c r="R46" s="28">
        <f t="shared" si="8"/>
        <v>-0.01</v>
      </c>
    </row>
    <row r="47" spans="2:18" x14ac:dyDescent="0.35">
      <c r="B47" s="42"/>
      <c r="D47" s="22"/>
      <c r="E47" s="22"/>
      <c r="F47" s="23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5"/>
    </row>
    <row r="48" spans="2:18" ht="15.5" x14ac:dyDescent="0.35">
      <c r="B48" s="42"/>
      <c r="D48" s="32" t="s">
        <v>9</v>
      </c>
      <c r="E48" s="32"/>
      <c r="F48" s="33">
        <f t="shared" ref="F48:R48" si="9">F37+F46</f>
        <v>107547.79000000018</v>
      </c>
      <c r="G48" s="33">
        <f t="shared" si="9"/>
        <v>41729.749999999978</v>
      </c>
      <c r="H48" s="33">
        <f t="shared" si="9"/>
        <v>27004.479999999865</v>
      </c>
      <c r="I48" s="33">
        <f t="shared" si="9"/>
        <v>8644.1599999997998</v>
      </c>
      <c r="J48" s="33">
        <f t="shared" si="9"/>
        <v>25397.829999999969</v>
      </c>
      <c r="K48" s="33">
        <f t="shared" si="9"/>
        <v>195524.20000000007</v>
      </c>
      <c r="L48" s="33">
        <f t="shared" si="9"/>
        <v>129048.17000000029</v>
      </c>
      <c r="M48" s="33">
        <f t="shared" si="9"/>
        <v>32041.16000000016</v>
      </c>
      <c r="N48" s="33">
        <f t="shared" si="9"/>
        <v>32579.70000000007</v>
      </c>
      <c r="O48" s="33">
        <f t="shared" si="9"/>
        <v>41848.590000000171</v>
      </c>
      <c r="P48" s="33">
        <f t="shared" si="9"/>
        <v>175911.45000000007</v>
      </c>
      <c r="Q48" s="33">
        <f t="shared" si="9"/>
        <v>157761.74999999988</v>
      </c>
      <c r="R48" s="34">
        <f t="shared" si="9"/>
        <v>975039.03</v>
      </c>
    </row>
    <row r="49" spans="2:18" x14ac:dyDescent="0.35">
      <c r="B49" s="42"/>
      <c r="D49" s="22"/>
      <c r="E49" s="22"/>
      <c r="F49" s="23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5"/>
    </row>
    <row r="50" spans="2:18" ht="17" x14ac:dyDescent="0.4">
      <c r="B50" s="42">
        <v>84100</v>
      </c>
      <c r="D50" s="31" t="str">
        <f>"Corporate Tax"</f>
        <v>Corporate Tax</v>
      </c>
      <c r="E50" s="35"/>
      <c r="F50" s="23">
        <f>0</f>
        <v>0</v>
      </c>
      <c r="G50" s="24">
        <f>0</f>
        <v>0</v>
      </c>
      <c r="H50" s="24">
        <f>0</f>
        <v>0</v>
      </c>
      <c r="I50" s="24">
        <f>0</f>
        <v>0</v>
      </c>
      <c r="J50" s="24">
        <f>0</f>
        <v>0</v>
      </c>
      <c r="K50" s="24">
        <f>0</f>
        <v>0</v>
      </c>
      <c r="L50" s="24">
        <f>0</f>
        <v>0</v>
      </c>
      <c r="M50" s="24">
        <f>0</f>
        <v>0</v>
      </c>
      <c r="N50" s="24">
        <f>0</f>
        <v>0</v>
      </c>
      <c r="O50" s="24">
        <f>0</f>
        <v>0</v>
      </c>
      <c r="P50" s="24">
        <f>0</f>
        <v>0</v>
      </c>
      <c r="Q50" s="24">
        <f>0</f>
        <v>0</v>
      </c>
      <c r="R50" s="25">
        <f>0</f>
        <v>0</v>
      </c>
    </row>
    <row r="51" spans="2:18" ht="17" x14ac:dyDescent="0.4">
      <c r="B51" s="42"/>
      <c r="D51" s="31"/>
      <c r="E51" s="35"/>
      <c r="F51" s="15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12"/>
    </row>
    <row r="52" spans="2:18" ht="19" thickBot="1" x14ac:dyDescent="0.5">
      <c r="B52" s="42"/>
      <c r="D52" s="16" t="s">
        <v>13</v>
      </c>
      <c r="E52" s="16"/>
      <c r="F52" s="17">
        <f t="shared" ref="F52:R52" si="10">F48+F50</f>
        <v>107547.79000000018</v>
      </c>
      <c r="G52" s="17">
        <f t="shared" si="10"/>
        <v>41729.749999999978</v>
      </c>
      <c r="H52" s="17">
        <f t="shared" si="10"/>
        <v>27004.479999999865</v>
      </c>
      <c r="I52" s="17">
        <f t="shared" si="10"/>
        <v>8644.1599999997998</v>
      </c>
      <c r="J52" s="17">
        <f t="shared" si="10"/>
        <v>25397.829999999969</v>
      </c>
      <c r="K52" s="17">
        <f t="shared" si="10"/>
        <v>195524.20000000007</v>
      </c>
      <c r="L52" s="17">
        <f t="shared" si="10"/>
        <v>129048.17000000029</v>
      </c>
      <c r="M52" s="17">
        <f t="shared" si="10"/>
        <v>32041.16000000016</v>
      </c>
      <c r="N52" s="17">
        <f t="shared" si="10"/>
        <v>32579.70000000007</v>
      </c>
      <c r="O52" s="17">
        <f t="shared" si="10"/>
        <v>41848.590000000171</v>
      </c>
      <c r="P52" s="17">
        <f t="shared" si="10"/>
        <v>175911.45000000007</v>
      </c>
      <c r="Q52" s="17">
        <f t="shared" si="10"/>
        <v>157761.74999999988</v>
      </c>
      <c r="R52" s="18">
        <f t="shared" si="10"/>
        <v>975039.03</v>
      </c>
    </row>
    <row r="53" spans="2:18" ht="15" thickTop="1" x14ac:dyDescent="0.35">
      <c r="B53" s="42"/>
    </row>
    <row r="54" spans="2:18" x14ac:dyDescent="0.35">
      <c r="B54" s="42"/>
    </row>
  </sheetData>
  <pageMargins left="0.25" right="0.25" top="0.75" bottom="0.75" header="0.3" footer="0.3"/>
  <pageSetup scale="51" fitToHeight="0" orientation="landscape" horizontalDpi="300" verticalDpi="300" r:id="rId1"/>
  <headerFooter>
    <oddFooter>&amp;C&amp;D&amp;R&amp;F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negative="1" minAxisType="group" maxAxisType="group" xr2:uid="{00000000-0003-0000-0300-000001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Budget!F52:Q52</xm:f>
              <xm:sqref>E52</xm:sqref>
            </x14:sparkline>
            <x14:sparkline>
              <xm:f>Budget!F51:Q51</xm:f>
              <xm:sqref>E51</xm:sqref>
            </x14:sparkline>
            <x14:sparkline>
              <xm:f>Budget!F50:Q50</xm:f>
              <xm:sqref>E50</xm:sqref>
            </x14:sparkline>
            <x14:sparkline>
              <xm:f>Budget!F48:Q48</xm:f>
              <xm:sqref>E48</xm:sqref>
            </x14:sparkline>
            <x14:sparkline>
              <xm:f>Budget!F46:Q46</xm:f>
              <xm:sqref>E46</xm:sqref>
            </x14:sparkline>
            <x14:sparkline>
              <xm:f>Budget!F45:Q45</xm:f>
              <xm:sqref>E45</xm:sqref>
            </x14:sparkline>
            <x14:sparkline>
              <xm:f>Budget!F43:Q43</xm:f>
              <xm:sqref>E43</xm:sqref>
            </x14:sparkline>
            <x14:sparkline>
              <xm:f>Budget!F42:Q42</xm:f>
              <xm:sqref>E42</xm:sqref>
            </x14:sparkline>
            <x14:sparkline>
              <xm:f>Budget!F41:Q41</xm:f>
              <xm:sqref>E41</xm:sqref>
            </x14:sparkline>
            <x14:sparkline>
              <xm:f>Budget!F40:Q40</xm:f>
              <xm:sqref>E40</xm:sqref>
            </x14:sparkline>
            <x14:sparkline>
              <xm:f>Budget!F37:Q37</xm:f>
              <xm:sqref>E37</xm:sqref>
            </x14:sparkline>
            <x14:sparkline>
              <xm:f>Budget!F35:Q35</xm:f>
              <xm:sqref>E35</xm:sqref>
            </x14:sparkline>
            <x14:sparkline>
              <xm:f>Budget!F34:Q34</xm:f>
              <xm:sqref>E34</xm:sqref>
            </x14:sparkline>
            <x14:sparkline>
              <xm:f>Budget!F33:Q33</xm:f>
              <xm:sqref>E33</xm:sqref>
            </x14:sparkline>
            <x14:sparkline>
              <xm:f>Budget!F32:Q32</xm:f>
              <xm:sqref>E32</xm:sqref>
            </x14:sparkline>
            <x14:sparkline>
              <xm:f>Budget!F31:Q31</xm:f>
              <xm:sqref>E31</xm:sqref>
            </x14:sparkline>
            <x14:sparkline>
              <xm:f>Budget!F30:Q30</xm:f>
              <xm:sqref>E30</xm:sqref>
            </x14:sparkline>
            <x14:sparkline>
              <xm:f>Budget!F29:Q29</xm:f>
              <xm:sqref>E29</xm:sqref>
            </x14:sparkline>
            <x14:sparkline>
              <xm:f>Budget!F28:Q28</xm:f>
              <xm:sqref>E28</xm:sqref>
            </x14:sparkline>
            <x14:sparkline>
              <xm:f>Budget!F25:Q25</xm:f>
              <xm:sqref>E25</xm:sqref>
            </x14:sparkline>
            <x14:sparkline>
              <xm:f>Budget!F23:Q23</xm:f>
              <xm:sqref>E23</xm:sqref>
            </x14:sparkline>
            <x14:sparkline>
              <xm:f>Budget!F22:Q22</xm:f>
              <xm:sqref>E22</xm:sqref>
            </x14:sparkline>
            <x14:sparkline>
              <xm:f>Budget!F21:Q21</xm:f>
              <xm:sqref>E21</xm:sqref>
            </x14:sparkline>
            <x14:sparkline>
              <xm:f>Budget!F20:Q20</xm:f>
              <xm:sqref>E20</xm:sqref>
            </x14:sparkline>
            <x14:sparkline>
              <xm:f>Budget!F19:Q19</xm:f>
              <xm:sqref>E19</xm:sqref>
            </x14:sparkline>
            <x14:sparkline>
              <xm:f>Budget!F16:Q16</xm:f>
              <xm:sqref>E16</xm:sqref>
            </x14:sparkline>
            <x14:sparkline>
              <xm:f>Budget!F15:Q15</xm:f>
              <xm:sqref>E15</xm:sqref>
            </x14:sparkline>
            <x14:sparkline>
              <xm:f>Budget!F14:Q14</xm:f>
              <xm:sqref>E14</xm:sqref>
            </x14:sparkline>
            <x14:sparkline>
              <xm:f>Budget!F13:Q13</xm:f>
              <xm:sqref>E13</xm:sqref>
            </x14:sparkline>
            <x14:sparkline>
              <xm:f>Budget!F12:Q12</xm:f>
              <xm:sqref>E12</xm:sqref>
            </x14:sparkline>
            <x14:sparkline>
              <xm:f>Budget!F11:Q11</xm:f>
              <xm:sqref>E11</xm:sqref>
            </x14:sparkline>
            <x14:sparkline>
              <xm:f>Budget!F10:Q10</xm:f>
              <xm:sqref>E10</xm:sqref>
            </x14:sparkline>
            <x14:sparkline>
              <xm:f>Budget!F44:Q44</xm:f>
              <xm:sqref>E44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57"/>
  <sheetViews>
    <sheetView showGridLines="0" topLeftCell="D3" zoomScale="55" zoomScaleNormal="55" workbookViewId="0">
      <selection activeCell="V56" sqref="V56"/>
    </sheetView>
  </sheetViews>
  <sheetFormatPr defaultRowHeight="14.5" x14ac:dyDescent="0.35"/>
  <cols>
    <col min="1" max="1" width="9.1796875" hidden="1" customWidth="1"/>
    <col min="2" max="2" width="25.7265625" hidden="1" customWidth="1"/>
    <col min="3" max="3" width="18.1796875" hidden="1" customWidth="1"/>
    <col min="4" max="4" width="5.81640625" customWidth="1"/>
    <col min="5" max="5" width="37.1796875" bestFit="1" customWidth="1"/>
    <col min="6" max="6" width="20.7265625" customWidth="1"/>
    <col min="7" max="18" width="14.453125" bestFit="1" customWidth="1"/>
    <col min="19" max="19" width="17.7265625" style="3" bestFit="1" customWidth="1"/>
  </cols>
  <sheetData>
    <row r="1" spans="1:20" s="8" customFormat="1" hidden="1" x14ac:dyDescent="0.35">
      <c r="A1" s="8" t="s">
        <v>1327</v>
      </c>
      <c r="B1" s="8" t="s">
        <v>14</v>
      </c>
      <c r="C1" s="8" t="s">
        <v>14</v>
      </c>
      <c r="E1" s="8" t="s">
        <v>15</v>
      </c>
      <c r="G1" s="8" t="s">
        <v>15</v>
      </c>
      <c r="H1" s="8" t="s">
        <v>15</v>
      </c>
      <c r="I1" s="8" t="s">
        <v>15</v>
      </c>
      <c r="J1" s="8" t="s">
        <v>15</v>
      </c>
      <c r="K1" s="8" t="s">
        <v>15</v>
      </c>
      <c r="L1" s="8" t="s">
        <v>15</v>
      </c>
      <c r="M1" s="8" t="s">
        <v>15</v>
      </c>
      <c r="N1" s="8" t="s">
        <v>15</v>
      </c>
      <c r="O1" s="8" t="s">
        <v>15</v>
      </c>
      <c r="P1" s="8" t="s">
        <v>15</v>
      </c>
      <c r="Q1" s="8" t="s">
        <v>15</v>
      </c>
      <c r="R1" s="8" t="s">
        <v>15</v>
      </c>
      <c r="S1" s="8" t="s">
        <v>15</v>
      </c>
    </row>
    <row r="2" spans="1:20" s="8" customFormat="1" ht="29" hidden="1" x14ac:dyDescent="0.35">
      <c r="A2" s="8" t="s">
        <v>14</v>
      </c>
      <c r="B2" s="45" t="s">
        <v>28</v>
      </c>
      <c r="C2" s="51" t="s">
        <v>31</v>
      </c>
      <c r="G2" s="8" t="s">
        <v>18</v>
      </c>
      <c r="H2" s="8" t="s">
        <v>18</v>
      </c>
      <c r="I2" s="8" t="s">
        <v>18</v>
      </c>
      <c r="J2" s="8" t="s">
        <v>18</v>
      </c>
      <c r="K2" s="8" t="s">
        <v>18</v>
      </c>
      <c r="L2" s="8" t="s">
        <v>18</v>
      </c>
      <c r="M2" s="8" t="s">
        <v>18</v>
      </c>
      <c r="N2" s="8" t="s">
        <v>18</v>
      </c>
      <c r="O2" s="8" t="s">
        <v>18</v>
      </c>
      <c r="P2" s="8" t="s">
        <v>18</v>
      </c>
      <c r="Q2" s="8" t="s">
        <v>18</v>
      </c>
      <c r="R2" s="8" t="s">
        <v>18</v>
      </c>
      <c r="S2" s="8" t="s">
        <v>20</v>
      </c>
    </row>
    <row r="3" spans="1:20" s="8" customFormat="1" x14ac:dyDescent="0.35">
      <c r="B3" s="46" t="s">
        <v>29</v>
      </c>
      <c r="C3" s="47">
        <v>100000</v>
      </c>
    </row>
    <row r="4" spans="1:20" s="8" customFormat="1" x14ac:dyDescent="0.35">
      <c r="B4" s="46" t="s">
        <v>29</v>
      </c>
      <c r="C4" s="47">
        <v>50000</v>
      </c>
    </row>
    <row r="5" spans="1:20" s="8" customFormat="1" x14ac:dyDescent="0.35">
      <c r="B5" s="46" t="s">
        <v>30</v>
      </c>
      <c r="C5" s="47">
        <v>-50000</v>
      </c>
    </row>
    <row r="6" spans="1:20" x14ac:dyDescent="0.35">
      <c r="B6" s="48" t="s">
        <v>30</v>
      </c>
      <c r="C6" s="49">
        <v>-100000</v>
      </c>
    </row>
    <row r="7" spans="1:20" ht="22.5" x14ac:dyDescent="0.45">
      <c r="E7" s="9" t="s">
        <v>19</v>
      </c>
      <c r="F7" s="9" t="str">
        <f>Budget_Name</f>
        <v>2018</v>
      </c>
      <c r="G7" s="9"/>
      <c r="I7" s="9"/>
      <c r="R7" s="9" t="s">
        <v>16</v>
      </c>
      <c r="S7" s="9" t="str">
        <f>Year</f>
        <v>2018</v>
      </c>
      <c r="T7" s="3"/>
    </row>
    <row r="8" spans="1:20" x14ac:dyDescent="0.35">
      <c r="B8" s="8"/>
      <c r="C8" s="8"/>
    </row>
    <row r="9" spans="1:20" ht="18.5" x14ac:dyDescent="0.45">
      <c r="B9" s="42"/>
      <c r="C9" s="42"/>
      <c r="F9" s="20"/>
      <c r="G9" s="13" t="str">
        <f t="shared" ref="G9:R9" si="0">TEXT(G10,"MMMM")</f>
        <v>January</v>
      </c>
      <c r="H9" s="5" t="str">
        <f t="shared" si="0"/>
        <v>February</v>
      </c>
      <c r="I9" s="5" t="str">
        <f t="shared" si="0"/>
        <v>March</v>
      </c>
      <c r="J9" s="5" t="str">
        <f t="shared" si="0"/>
        <v>April</v>
      </c>
      <c r="K9" s="5" t="str">
        <f t="shared" si="0"/>
        <v>May</v>
      </c>
      <c r="L9" s="5" t="str">
        <f t="shared" si="0"/>
        <v>June</v>
      </c>
      <c r="M9" s="5" t="str">
        <f t="shared" si="0"/>
        <v>July</v>
      </c>
      <c r="N9" s="5" t="str">
        <f t="shared" si="0"/>
        <v>August</v>
      </c>
      <c r="O9" s="5" t="str">
        <f t="shared" si="0"/>
        <v>September</v>
      </c>
      <c r="P9" s="5" t="str">
        <f t="shared" si="0"/>
        <v>October</v>
      </c>
      <c r="Q9" s="5" t="str">
        <f t="shared" si="0"/>
        <v>November</v>
      </c>
      <c r="R9" s="5" t="str">
        <f t="shared" si="0"/>
        <v>December</v>
      </c>
      <c r="S9" s="10" t="str">
        <f>Year</f>
        <v>2018</v>
      </c>
    </row>
    <row r="10" spans="1:20" ht="37.5" hidden="1" x14ac:dyDescent="0.35">
      <c r="A10" t="s">
        <v>14</v>
      </c>
      <c r="B10" s="44" t="s">
        <v>25</v>
      </c>
      <c r="C10" s="42"/>
      <c r="F10" s="19"/>
      <c r="G10" s="14">
        <f>DATE(Year,1,1)</f>
        <v>43101</v>
      </c>
      <c r="H10" s="6">
        <f t="shared" ref="H10:R10" si="1">G11+1</f>
        <v>43132</v>
      </c>
      <c r="I10" s="6">
        <f t="shared" si="1"/>
        <v>43160</v>
      </c>
      <c r="J10" s="6">
        <f t="shared" si="1"/>
        <v>43191</v>
      </c>
      <c r="K10" s="6">
        <f t="shared" si="1"/>
        <v>43221</v>
      </c>
      <c r="L10" s="6">
        <f t="shared" si="1"/>
        <v>43252</v>
      </c>
      <c r="M10" s="6">
        <f t="shared" si="1"/>
        <v>43282</v>
      </c>
      <c r="N10" s="6">
        <f t="shared" si="1"/>
        <v>43313</v>
      </c>
      <c r="O10" s="6">
        <f t="shared" si="1"/>
        <v>43344</v>
      </c>
      <c r="P10" s="6">
        <f t="shared" si="1"/>
        <v>43374</v>
      </c>
      <c r="Q10" s="6">
        <f t="shared" si="1"/>
        <v>43405</v>
      </c>
      <c r="R10" s="6">
        <f t="shared" si="1"/>
        <v>43435</v>
      </c>
      <c r="S10" s="11">
        <f>G10</f>
        <v>43101</v>
      </c>
    </row>
    <row r="11" spans="1:20" hidden="1" x14ac:dyDescent="0.35">
      <c r="A11" t="s">
        <v>14</v>
      </c>
      <c r="B11" s="42"/>
      <c r="C11" s="42"/>
      <c r="F11" s="19"/>
      <c r="G11" s="14">
        <f t="shared" ref="G11:R11" si="2">EOMONTH(G10,0)</f>
        <v>43131</v>
      </c>
      <c r="H11" s="6">
        <f t="shared" si="2"/>
        <v>43159</v>
      </c>
      <c r="I11" s="6">
        <f t="shared" si="2"/>
        <v>43190</v>
      </c>
      <c r="J11" s="6">
        <f t="shared" si="2"/>
        <v>43220</v>
      </c>
      <c r="K11" s="6">
        <f t="shared" si="2"/>
        <v>43251</v>
      </c>
      <c r="L11" s="6">
        <f t="shared" si="2"/>
        <v>43281</v>
      </c>
      <c r="M11" s="6">
        <f t="shared" si="2"/>
        <v>43312</v>
      </c>
      <c r="N11" s="6">
        <f t="shared" si="2"/>
        <v>43343</v>
      </c>
      <c r="O11" s="6">
        <f t="shared" si="2"/>
        <v>43373</v>
      </c>
      <c r="P11" s="6">
        <f t="shared" si="2"/>
        <v>43404</v>
      </c>
      <c r="Q11" s="6">
        <f t="shared" si="2"/>
        <v>43434</v>
      </c>
      <c r="R11" s="6">
        <f t="shared" si="2"/>
        <v>43465</v>
      </c>
      <c r="S11" s="11">
        <f>R11</f>
        <v>43465</v>
      </c>
    </row>
    <row r="12" spans="1:20" ht="17" x14ac:dyDescent="0.4">
      <c r="B12" s="42" t="s">
        <v>22</v>
      </c>
      <c r="C12" s="42"/>
      <c r="E12" s="39" t="s">
        <v>5</v>
      </c>
      <c r="F12" s="39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1"/>
    </row>
    <row r="13" spans="1:20" x14ac:dyDescent="0.35">
      <c r="B13" s="42">
        <v>44100</v>
      </c>
      <c r="C13" s="42"/>
      <c r="E13" s="22" t="str">
        <f>"Sales, Retail - North America"</f>
        <v>Sales, Retail - North America</v>
      </c>
      <c r="F13" s="22"/>
      <c r="G13" s="23">
        <f>1106653.81-1095318.01</f>
        <v>11335.800000000047</v>
      </c>
      <c r="H13" s="24">
        <f>991937.87-989614.58</f>
        <v>2323.2900000000373</v>
      </c>
      <c r="I13" s="24">
        <f>928364.02-919394.27</f>
        <v>8969.75</v>
      </c>
      <c r="J13" s="24">
        <f>1127014.01-1079695.26</f>
        <v>47318.75</v>
      </c>
      <c r="K13" s="24">
        <f>1081003.83-1102890.51</f>
        <v>-21886.679999999935</v>
      </c>
      <c r="L13" s="24">
        <f>1345287.61-1443495.3</f>
        <v>-98207.689999999944</v>
      </c>
      <c r="M13" s="24">
        <f>1294360.59-1369379.34</f>
        <v>-75018.75</v>
      </c>
      <c r="N13" s="24">
        <f>1194672.79-1209643.31</f>
        <v>-14970.520000000019</v>
      </c>
      <c r="O13" s="24">
        <f>1220989.37-1222860.92</f>
        <v>-1871.5499999998137</v>
      </c>
      <c r="P13" s="24">
        <f>1339805.06-1366925.55</f>
        <v>-27120.489999999991</v>
      </c>
      <c r="Q13" s="24">
        <f>1489601.87-1502480.74</f>
        <v>-12878.869999999879</v>
      </c>
      <c r="R13" s="24">
        <f>1517569.42-1585679.44</f>
        <v>-68110.020000000019</v>
      </c>
      <c r="S13" s="25">
        <f>14637260.25-14887377.23</f>
        <v>-250116.98000000045</v>
      </c>
    </row>
    <row r="14" spans="1:20" x14ac:dyDescent="0.35">
      <c r="B14" s="42">
        <v>44200</v>
      </c>
      <c r="C14" s="42"/>
      <c r="E14" s="22" t="str">
        <f>"Sales, Retail - EU"</f>
        <v>Sales, Retail - EU</v>
      </c>
      <c r="F14" s="22"/>
      <c r="G14" s="23">
        <f>455841.95-465046.46</f>
        <v>-9204.5100000000093</v>
      </c>
      <c r="H14" s="24">
        <f>415068.54-414510.98</f>
        <v>557.55999999999767</v>
      </c>
      <c r="I14" s="24">
        <f>456033.26-468336.94</f>
        <v>-12303.679999999993</v>
      </c>
      <c r="J14" s="24">
        <f>408758.39-404996.39</f>
        <v>3762</v>
      </c>
      <c r="K14" s="24">
        <f>463220.54-471182.8</f>
        <v>-7962.2600000000093</v>
      </c>
      <c r="L14" s="24">
        <f>440938.92-433144.97</f>
        <v>7793.9500000000116</v>
      </c>
      <c r="M14" s="24">
        <f>515364.39-494839.05</f>
        <v>20525.340000000026</v>
      </c>
      <c r="N14" s="24">
        <f>452007.42-456366.64</f>
        <v>-4359.2200000000303</v>
      </c>
      <c r="O14" s="24">
        <f>428058.87-463324.37</f>
        <v>-35265.5</v>
      </c>
      <c r="P14" s="24">
        <f>642943.43-618906.06</f>
        <v>24037.369999999995</v>
      </c>
      <c r="Q14" s="24">
        <f>597956.62-600622.28</f>
        <v>-2665.6600000000326</v>
      </c>
      <c r="R14" s="24">
        <f>487315.17-507772.97</f>
        <v>-20457.799999999988</v>
      </c>
      <c r="S14" s="25">
        <f>5763507.5-5799049.91</f>
        <v>-35542.410000000149</v>
      </c>
    </row>
    <row r="15" spans="1:20" x14ac:dyDescent="0.35">
      <c r="B15" s="42">
        <v>44300</v>
      </c>
      <c r="C15" s="42"/>
      <c r="E15" s="22" t="str">
        <f>"Sales, Retail - Other"</f>
        <v>Sales, Retail - Other</v>
      </c>
      <c r="F15" s="22"/>
      <c r="G15" s="23">
        <f t="shared" ref="G15:S15" si="3">0+0</f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4">
        <f t="shared" si="3"/>
        <v>0</v>
      </c>
      <c r="L15" s="24">
        <f t="shared" si="3"/>
        <v>0</v>
      </c>
      <c r="M15" s="24">
        <f t="shared" si="3"/>
        <v>0</v>
      </c>
      <c r="N15" s="24">
        <f t="shared" si="3"/>
        <v>0</v>
      </c>
      <c r="O15" s="24">
        <f t="shared" si="3"/>
        <v>0</v>
      </c>
      <c r="P15" s="24">
        <f t="shared" si="3"/>
        <v>0</v>
      </c>
      <c r="Q15" s="24">
        <f t="shared" si="3"/>
        <v>0</v>
      </c>
      <c r="R15" s="24">
        <f t="shared" si="3"/>
        <v>0</v>
      </c>
      <c r="S15" s="25">
        <f t="shared" si="3"/>
        <v>0</v>
      </c>
    </row>
    <row r="16" spans="1:20" x14ac:dyDescent="0.35">
      <c r="B16" s="42">
        <v>45100</v>
      </c>
      <c r="C16" s="42"/>
      <c r="E16" s="22" t="str">
        <f>"Discounts, Retail - North Amer"</f>
        <v>Discounts, Retail - North Amer</v>
      </c>
      <c r="F16" s="22"/>
      <c r="G16" s="23">
        <f>-31728.45+31566.69</f>
        <v>-161.76000000000204</v>
      </c>
      <c r="H16" s="24">
        <f>-32950.95+30862.49</f>
        <v>-2088.4599999999955</v>
      </c>
      <c r="I16" s="24">
        <f>-27947.94+28970.76</f>
        <v>1022.8199999999997</v>
      </c>
      <c r="J16" s="24">
        <f>-35765.75+36927.38</f>
        <v>1161.6299999999974</v>
      </c>
      <c r="K16" s="24">
        <f>-32338.54+34153.09</f>
        <v>1814.5499999999956</v>
      </c>
      <c r="L16" s="24">
        <f>-45044.88+44720.73</f>
        <v>-324.14999999999418</v>
      </c>
      <c r="M16" s="24">
        <f>-41394.2+42606.22</f>
        <v>1212.0200000000041</v>
      </c>
      <c r="N16" s="24">
        <f>-43831.86+43863.82</f>
        <v>31.959999999999127</v>
      </c>
      <c r="O16" s="24">
        <f>-47373.72+47706.66</f>
        <v>332.94000000000233</v>
      </c>
      <c r="P16" s="24">
        <f>-49729.55+50382.93</f>
        <v>653.37999999999738</v>
      </c>
      <c r="Q16" s="24">
        <f>-56276.72+52759.39</f>
        <v>-3517.3300000000017</v>
      </c>
      <c r="R16" s="24">
        <f>-58632.63+57990.85</f>
        <v>-641.77999999999884</v>
      </c>
      <c r="S16" s="25">
        <f>-503015.19+502511.01</f>
        <v>-504.17999999999302</v>
      </c>
    </row>
    <row r="17" spans="2:19" x14ac:dyDescent="0.35">
      <c r="B17" s="42">
        <v>45200</v>
      </c>
      <c r="C17" s="42"/>
      <c r="E17" s="22" t="str">
        <f>"Discounts, Retail - EU"</f>
        <v>Discounts, Retail - EU</v>
      </c>
      <c r="F17" s="22"/>
      <c r="G17" s="23">
        <f>-10066.87+9778.41</f>
        <v>-288.46000000000095</v>
      </c>
      <c r="H17" s="24">
        <f>-11421.59+12100.23</f>
        <v>678.63999999999942</v>
      </c>
      <c r="I17" s="24">
        <f>-14095.94+14243.26</f>
        <v>147.31999999999971</v>
      </c>
      <c r="J17" s="24">
        <f>-13119.47+13244.87</f>
        <v>125.40000000000146</v>
      </c>
      <c r="K17" s="24">
        <f>-12333.11+12637.01</f>
        <v>303.89999999999964</v>
      </c>
      <c r="L17" s="24">
        <f>-15632.5+17454.82</f>
        <v>1822.3199999999997</v>
      </c>
      <c r="M17" s="24">
        <f>-15131.19+15820.95</f>
        <v>689.76000000000022</v>
      </c>
      <c r="N17" s="24">
        <f>-14340.18+14686.23</f>
        <v>346.04999999999927</v>
      </c>
      <c r="O17" s="24">
        <f>-12710.23+12475.5</f>
        <v>-234.72999999999956</v>
      </c>
      <c r="P17" s="24">
        <f>-20643.59+20156.11</f>
        <v>-487.47999999999956</v>
      </c>
      <c r="Q17" s="24">
        <f>-18089.59+17781.05</f>
        <v>-308.54000000000087</v>
      </c>
      <c r="R17" s="24">
        <f>-18168.82+18828.69</f>
        <v>659.86999999999898</v>
      </c>
      <c r="S17" s="25">
        <f>-175753.08+179207.13</f>
        <v>3454.0500000000175</v>
      </c>
    </row>
    <row r="18" spans="2:19" x14ac:dyDescent="0.35">
      <c r="B18" s="42">
        <v>45300</v>
      </c>
      <c r="C18" s="42"/>
      <c r="E18" s="22" t="str">
        <f>"Discounts, Retail - Other"</f>
        <v>Discounts, Retail - Other</v>
      </c>
      <c r="F18" s="22"/>
      <c r="G18" s="23">
        <f t="shared" ref="G18:S18" si="4">0+0</f>
        <v>0</v>
      </c>
      <c r="H18" s="24">
        <f t="shared" si="4"/>
        <v>0</v>
      </c>
      <c r="I18" s="24">
        <f t="shared" si="4"/>
        <v>0</v>
      </c>
      <c r="J18" s="24">
        <f t="shared" si="4"/>
        <v>0</v>
      </c>
      <c r="K18" s="24">
        <f t="shared" si="4"/>
        <v>0</v>
      </c>
      <c r="L18" s="24">
        <f t="shared" si="4"/>
        <v>0</v>
      </c>
      <c r="M18" s="24">
        <f t="shared" si="4"/>
        <v>0</v>
      </c>
      <c r="N18" s="24">
        <f t="shared" si="4"/>
        <v>0</v>
      </c>
      <c r="O18" s="24">
        <f t="shared" si="4"/>
        <v>0</v>
      </c>
      <c r="P18" s="24">
        <f t="shared" si="4"/>
        <v>0</v>
      </c>
      <c r="Q18" s="24">
        <f t="shared" si="4"/>
        <v>0</v>
      </c>
      <c r="R18" s="24">
        <f t="shared" si="4"/>
        <v>0</v>
      </c>
      <c r="S18" s="25">
        <f t="shared" si="4"/>
        <v>0</v>
      </c>
    </row>
    <row r="19" spans="2:19" x14ac:dyDescent="0.35">
      <c r="B19" s="42"/>
      <c r="C19" s="42"/>
      <c r="E19" s="26" t="s">
        <v>6</v>
      </c>
      <c r="F19" s="26"/>
      <c r="G19" s="27">
        <f t="shared" ref="G19:S19" si="5">SUM(G13:G18)</f>
        <v>1681.0700000000343</v>
      </c>
      <c r="H19" s="27">
        <f t="shared" si="5"/>
        <v>1471.0300000000389</v>
      </c>
      <c r="I19" s="27">
        <f t="shared" si="5"/>
        <v>-2163.7899999999936</v>
      </c>
      <c r="J19" s="27">
        <f t="shared" si="5"/>
        <v>52367.78</v>
      </c>
      <c r="K19" s="27">
        <f t="shared" si="5"/>
        <v>-27730.489999999947</v>
      </c>
      <c r="L19" s="27">
        <f t="shared" si="5"/>
        <v>-88915.56999999992</v>
      </c>
      <c r="M19" s="27">
        <f t="shared" si="5"/>
        <v>-52591.629999999968</v>
      </c>
      <c r="N19" s="27">
        <f t="shared" si="5"/>
        <v>-18951.73000000005</v>
      </c>
      <c r="O19" s="27">
        <f t="shared" si="5"/>
        <v>-37038.839999999807</v>
      </c>
      <c r="P19" s="27">
        <f t="shared" si="5"/>
        <v>-2917.2199999999975</v>
      </c>
      <c r="Q19" s="27">
        <f t="shared" si="5"/>
        <v>-19370.399999999914</v>
      </c>
      <c r="R19" s="27">
        <f t="shared" si="5"/>
        <v>-88549.73000000001</v>
      </c>
      <c r="S19" s="28">
        <f t="shared" si="5"/>
        <v>-282709.5200000006</v>
      </c>
    </row>
    <row r="20" spans="2:19" x14ac:dyDescent="0.35">
      <c r="B20" s="42"/>
      <c r="C20" s="42"/>
      <c r="E20" s="21"/>
      <c r="F20" s="21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30"/>
    </row>
    <row r="21" spans="2:19" ht="17" x14ac:dyDescent="0.4">
      <c r="B21" s="42"/>
      <c r="C21" s="42"/>
      <c r="E21" s="31" t="s">
        <v>21</v>
      </c>
      <c r="F21" s="31"/>
      <c r="S21" s="21"/>
    </row>
    <row r="22" spans="2:19" ht="17" x14ac:dyDescent="0.4">
      <c r="B22" s="42">
        <v>52100</v>
      </c>
      <c r="C22" s="42"/>
      <c r="E22" s="22" t="str">
        <f>"COGS, Retail - North America"</f>
        <v>COGS, Retail - North America</v>
      </c>
      <c r="F22" s="31"/>
      <c r="G22" s="23">
        <f>-629855.22+613696.02</f>
        <v>-16159.199999999953</v>
      </c>
      <c r="H22" s="24">
        <f>-564033.04+562390.6</f>
        <v>-1642.4400000000605</v>
      </c>
      <c r="I22" s="24">
        <f>-532718.3+526810.12</f>
        <v>-5908.1800000000512</v>
      </c>
      <c r="J22" s="24">
        <f>-642069.63+609145.88</f>
        <v>-32923.75</v>
      </c>
      <c r="K22" s="24">
        <f>-604596.45+654582.79</f>
        <v>49986.340000000084</v>
      </c>
      <c r="L22" s="24">
        <f>-742125.01+725738.35</f>
        <v>-16386.660000000033</v>
      </c>
      <c r="M22" s="24">
        <f>-756104.96+773117.5</f>
        <v>17012.540000000037</v>
      </c>
      <c r="N22" s="24">
        <f>-705952.51+704516.69</f>
        <v>-1435.8200000000652</v>
      </c>
      <c r="O22" s="24">
        <f>-703107.2+708661.97</f>
        <v>5554.7700000000186</v>
      </c>
      <c r="P22" s="24">
        <f>-824955.05+839016.41</f>
        <v>14061.359999999986</v>
      </c>
      <c r="Q22" s="24">
        <f>-902804.23+864673.95</f>
        <v>-38130.280000000028</v>
      </c>
      <c r="R22" s="24">
        <f>-834328.93+851086.63</f>
        <v>16757.699999999953</v>
      </c>
      <c r="S22" s="25">
        <f>-8442650.53+8433436.91</f>
        <v>-9213.6199999991804</v>
      </c>
    </row>
    <row r="23" spans="2:19" ht="17" x14ac:dyDescent="0.4">
      <c r="B23" s="42">
        <v>52300</v>
      </c>
      <c r="C23" s="42"/>
      <c r="E23" s="22" t="str">
        <f>"COGS, Retail - EU"</f>
        <v>COGS, Retail - EU</v>
      </c>
      <c r="F23" s="31"/>
      <c r="G23" s="23">
        <f>-201827.86+221011.94</f>
        <v>19184.080000000016</v>
      </c>
      <c r="H23" s="24">
        <f>-187295.72+195552.68</f>
        <v>8256.9599999999919</v>
      </c>
      <c r="I23" s="24">
        <f>-205801.7+205581.27</f>
        <v>-220.43000000002212</v>
      </c>
      <c r="J23" s="24">
        <f>-186386.54+184127.95</f>
        <v>-2258.5899999999965</v>
      </c>
      <c r="K23" s="24">
        <f>-218640.41+223371.75</f>
        <v>4731.3399999999965</v>
      </c>
      <c r="L23" s="24">
        <f>-207639.1+202405.97</f>
        <v>-5233.1300000000047</v>
      </c>
      <c r="M23" s="24">
        <f>-223906.24+220427.33</f>
        <v>-3478.9100000000035</v>
      </c>
      <c r="N23" s="24">
        <f>-190869.3+191505</f>
        <v>635.70000000001164</v>
      </c>
      <c r="O23" s="24">
        <f>-186113.37+194375.65</f>
        <v>8262.2799999999988</v>
      </c>
      <c r="P23" s="24">
        <f>-254926.64+273260.24</f>
        <v>18333.599999999977</v>
      </c>
      <c r="Q23" s="24">
        <f>-238512.01+255424.73</f>
        <v>16912.72</v>
      </c>
      <c r="R23" s="24">
        <f>-228761.25+230977.4</f>
        <v>2216.1499999999942</v>
      </c>
      <c r="S23" s="25">
        <f>-2530680.14+2598021.91</f>
        <v>67341.770000000019</v>
      </c>
    </row>
    <row r="24" spans="2:19" ht="17" x14ac:dyDescent="0.4">
      <c r="B24" s="42">
        <v>52400</v>
      </c>
      <c r="C24" s="42"/>
      <c r="E24" s="22" t="str">
        <f>"COGS, Retail - Other"</f>
        <v>COGS, Retail - Other</v>
      </c>
      <c r="F24" s="31"/>
      <c r="G24" s="23">
        <f t="shared" ref="G24:S24" si="6">0+0</f>
        <v>0</v>
      </c>
      <c r="H24" s="24">
        <f t="shared" si="6"/>
        <v>0</v>
      </c>
      <c r="I24" s="24">
        <f t="shared" si="6"/>
        <v>0</v>
      </c>
      <c r="J24" s="24">
        <f t="shared" si="6"/>
        <v>0</v>
      </c>
      <c r="K24" s="24">
        <f t="shared" si="6"/>
        <v>0</v>
      </c>
      <c r="L24" s="24">
        <f t="shared" si="6"/>
        <v>0</v>
      </c>
      <c r="M24" s="24">
        <f t="shared" si="6"/>
        <v>0</v>
      </c>
      <c r="N24" s="24">
        <f t="shared" si="6"/>
        <v>0</v>
      </c>
      <c r="O24" s="24">
        <f t="shared" si="6"/>
        <v>0</v>
      </c>
      <c r="P24" s="24">
        <f t="shared" si="6"/>
        <v>0</v>
      </c>
      <c r="Q24" s="24">
        <f t="shared" si="6"/>
        <v>0</v>
      </c>
      <c r="R24" s="24">
        <f t="shared" si="6"/>
        <v>0</v>
      </c>
      <c r="S24" s="25">
        <f t="shared" si="6"/>
        <v>0</v>
      </c>
    </row>
    <row r="25" spans="2:19" ht="17" x14ac:dyDescent="0.4">
      <c r="B25" s="42">
        <v>54999</v>
      </c>
      <c r="C25" s="42"/>
      <c r="E25" s="22" t="str">
        <f>"Total Cost Adjustments"</f>
        <v>Total Cost Adjustments</v>
      </c>
      <c r="F25" s="31"/>
      <c r="G25" s="23">
        <f>71688.56+0</f>
        <v>71688.56</v>
      </c>
      <c r="H25" s="24">
        <f>6391.76+0</f>
        <v>6391.76</v>
      </c>
      <c r="I25" s="24">
        <f>5839.98+0</f>
        <v>5839.98</v>
      </c>
      <c r="J25" s="24">
        <f>29011.47+0</f>
        <v>29011.47</v>
      </c>
      <c r="K25" s="24">
        <f>10396.4+0</f>
        <v>10396.4</v>
      </c>
      <c r="L25" s="24">
        <f>9670.19+0</f>
        <v>9670.19</v>
      </c>
      <c r="M25" s="24">
        <f>133536.62+0</f>
        <v>133536.62</v>
      </c>
      <c r="N25" s="24">
        <f>14542.17+0</f>
        <v>14542.17</v>
      </c>
      <c r="O25" s="24">
        <f>10730.44+0</f>
        <v>10730.44</v>
      </c>
      <c r="P25" s="24">
        <f>178706.34+0</f>
        <v>178706.34</v>
      </c>
      <c r="Q25" s="24">
        <f>20034.54+0</f>
        <v>20034.54</v>
      </c>
      <c r="R25" s="24">
        <f>9096.33+0</f>
        <v>9096.33</v>
      </c>
      <c r="S25" s="25">
        <f>499644.8+0</f>
        <v>499644.8</v>
      </c>
    </row>
    <row r="26" spans="2:19" x14ac:dyDescent="0.35">
      <c r="B26" s="42"/>
      <c r="C26" s="42"/>
      <c r="E26" s="26" t="s">
        <v>23</v>
      </c>
      <c r="F26" s="26"/>
      <c r="G26" s="27">
        <f t="shared" ref="G26:S26" si="7">SUM(G22:G25)</f>
        <v>74713.440000000061</v>
      </c>
      <c r="H26" s="27">
        <f t="shared" si="7"/>
        <v>13006.279999999932</v>
      </c>
      <c r="I26" s="27">
        <f t="shared" si="7"/>
        <v>-288.63000000007378</v>
      </c>
      <c r="J26" s="27">
        <f t="shared" si="7"/>
        <v>-6170.8699999999953</v>
      </c>
      <c r="K26" s="27">
        <f t="shared" si="7"/>
        <v>65114.080000000082</v>
      </c>
      <c r="L26" s="27">
        <f t="shared" si="7"/>
        <v>-11949.600000000037</v>
      </c>
      <c r="M26" s="27">
        <f t="shared" si="7"/>
        <v>147070.25000000003</v>
      </c>
      <c r="N26" s="27">
        <f t="shared" si="7"/>
        <v>13742.049999999947</v>
      </c>
      <c r="O26" s="27">
        <f t="shared" si="7"/>
        <v>24547.49000000002</v>
      </c>
      <c r="P26" s="27">
        <f t="shared" si="7"/>
        <v>211101.29999999996</v>
      </c>
      <c r="Q26" s="27">
        <f t="shared" si="7"/>
        <v>-1183.0200000000259</v>
      </c>
      <c r="R26" s="27">
        <f t="shared" si="7"/>
        <v>28070.179999999949</v>
      </c>
      <c r="S26" s="28">
        <f t="shared" si="7"/>
        <v>557772.95000000088</v>
      </c>
    </row>
    <row r="27" spans="2:19" ht="17" x14ac:dyDescent="0.4">
      <c r="B27" s="42"/>
      <c r="C27" s="42"/>
      <c r="E27" s="31"/>
      <c r="F27" s="31"/>
      <c r="G27" s="23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5"/>
    </row>
    <row r="28" spans="2:19" ht="15.5" x14ac:dyDescent="0.35">
      <c r="B28" s="42"/>
      <c r="C28" s="42"/>
      <c r="E28" s="36" t="s">
        <v>10</v>
      </c>
      <c r="F28" s="36"/>
      <c r="G28" s="37">
        <f t="shared" ref="G28:S28" si="8">G19+G26</f>
        <v>76394.510000000097</v>
      </c>
      <c r="H28" s="37">
        <f t="shared" si="8"/>
        <v>14477.30999999997</v>
      </c>
      <c r="I28" s="37">
        <f t="shared" si="8"/>
        <v>-2452.4200000000674</v>
      </c>
      <c r="J28" s="37">
        <f t="shared" si="8"/>
        <v>46196.91</v>
      </c>
      <c r="K28" s="37">
        <f t="shared" si="8"/>
        <v>37383.590000000135</v>
      </c>
      <c r="L28" s="37">
        <f t="shared" si="8"/>
        <v>-100865.16999999995</v>
      </c>
      <c r="M28" s="37">
        <f t="shared" si="8"/>
        <v>94478.620000000054</v>
      </c>
      <c r="N28" s="37">
        <f t="shared" si="8"/>
        <v>-5209.680000000104</v>
      </c>
      <c r="O28" s="37">
        <f t="shared" si="8"/>
        <v>-12491.349999999788</v>
      </c>
      <c r="P28" s="37">
        <f t="shared" si="8"/>
        <v>208184.07999999996</v>
      </c>
      <c r="Q28" s="37">
        <f t="shared" si="8"/>
        <v>-20553.41999999994</v>
      </c>
      <c r="R28" s="37">
        <f t="shared" si="8"/>
        <v>-60479.550000000061</v>
      </c>
      <c r="S28" s="38">
        <f t="shared" si="8"/>
        <v>275063.43000000028</v>
      </c>
    </row>
    <row r="29" spans="2:19" x14ac:dyDescent="0.35">
      <c r="B29" s="42"/>
      <c r="C29" s="42"/>
      <c r="E29" s="21"/>
      <c r="F29" s="21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30"/>
    </row>
    <row r="30" spans="2:19" ht="17" x14ac:dyDescent="0.4">
      <c r="B30" s="42"/>
      <c r="C30" s="42"/>
      <c r="E30" s="31" t="s">
        <v>7</v>
      </c>
      <c r="F30" s="31"/>
      <c r="S30" s="21"/>
    </row>
    <row r="31" spans="2:19" x14ac:dyDescent="0.35">
      <c r="B31" s="42">
        <v>65400</v>
      </c>
      <c r="C31" s="42"/>
      <c r="E31" s="22" t="str">
        <f>"Total Bldg. Maint. Expenses"</f>
        <v>Total Bldg. Maint. Expenses</v>
      </c>
      <c r="F31" s="22"/>
      <c r="G31" s="23">
        <f>-4923.27+4953.98</f>
        <v>30.709999999999127</v>
      </c>
      <c r="H31" s="24">
        <f>-4877.27+4868.58</f>
        <v>-8.6900000000005093</v>
      </c>
      <c r="I31" s="24">
        <f>-5162.27+4930.99</f>
        <v>-231.28000000000065</v>
      </c>
      <c r="J31" s="24">
        <f>-5142.27+4777.39</f>
        <v>-364.88000000000011</v>
      </c>
      <c r="K31" s="24">
        <f>-5108.27+5261.26</f>
        <v>152.98999999999978</v>
      </c>
      <c r="L31" s="24">
        <f>-5080.27+5224.07</f>
        <v>143.79999999999927</v>
      </c>
      <c r="M31" s="24">
        <f>-5177.27+4566</f>
        <v>-611.27000000000044</v>
      </c>
      <c r="N31" s="24">
        <f>-4945.27+4627.67</f>
        <v>-317.60000000000036</v>
      </c>
      <c r="O31" s="24">
        <f>-4837.27+4689.67</f>
        <v>-147.60000000000036</v>
      </c>
      <c r="P31" s="24">
        <f>-5137.27+4805.2</f>
        <v>-332.07000000000062</v>
      </c>
      <c r="Q31" s="24">
        <f>-3927.06+3627.14</f>
        <v>-299.92000000000007</v>
      </c>
      <c r="R31" s="24">
        <f>-6182.48+5955.66</f>
        <v>-226.81999999999971</v>
      </c>
      <c r="S31" s="25">
        <f>-60500.24+58287.61</f>
        <v>-2212.6299999999974</v>
      </c>
    </row>
    <row r="32" spans="2:19" x14ac:dyDescent="0.35">
      <c r="B32" s="42">
        <v>65900</v>
      </c>
      <c r="C32" s="42"/>
      <c r="E32" s="22" t="str">
        <f>"Total Administrative Expenses"</f>
        <v>Total Administrative Expenses</v>
      </c>
      <c r="F32" s="22"/>
      <c r="G32" s="23">
        <f>-3073.37+2927.31</f>
        <v>-146.05999999999995</v>
      </c>
      <c r="H32" s="24">
        <f>-3148.37+3251.78</f>
        <v>103.41000000000031</v>
      </c>
      <c r="I32" s="24">
        <f>-2778.37+2472.22</f>
        <v>-306.15000000000009</v>
      </c>
      <c r="J32" s="24">
        <f>-2846.37+2525.51</f>
        <v>-320.85999999999967</v>
      </c>
      <c r="K32" s="24">
        <f>-3087.37+3151.25</f>
        <v>63.880000000000109</v>
      </c>
      <c r="L32" s="24">
        <f>-2905.37+2536.63</f>
        <v>-368.73999999999978</v>
      </c>
      <c r="M32" s="24">
        <f>-3180.37+3151.05</f>
        <v>-29.319999999999709</v>
      </c>
      <c r="N32" s="24">
        <f>-2799.37+2453.56</f>
        <v>-345.80999999999995</v>
      </c>
      <c r="O32" s="24">
        <f>-3060.37+2759.77</f>
        <v>-300.59999999999991</v>
      </c>
      <c r="P32" s="24">
        <f>-3028.37+2992.6</f>
        <v>-35.769999999999982</v>
      </c>
      <c r="Q32" s="24">
        <f>-3205.37+3291.02</f>
        <v>85.650000000000091</v>
      </c>
      <c r="R32" s="24">
        <f>-3009.37+2800.13</f>
        <v>-209.23999999999978</v>
      </c>
      <c r="S32" s="25">
        <f>-36122.44+34312.83</f>
        <v>-1809.6100000000006</v>
      </c>
    </row>
    <row r="33" spans="2:19" x14ac:dyDescent="0.35">
      <c r="B33" s="42">
        <v>64400</v>
      </c>
      <c r="C33" s="42"/>
      <c r="E33" s="22" t="str">
        <f>"Total Computer Expenses"</f>
        <v>Total Computer Expenses</v>
      </c>
      <c r="F33" s="22"/>
      <c r="G33" s="23">
        <f>-4394.06+4546.7</f>
        <v>152.63999999999942</v>
      </c>
      <c r="H33" s="24">
        <f>-4011.06+4150</f>
        <v>138.94000000000005</v>
      </c>
      <c r="I33" s="24">
        <f>-3925.06+3664.76</f>
        <v>-260.29999999999973</v>
      </c>
      <c r="J33" s="24">
        <f>-4504.06+4188.77</f>
        <v>-315.28999999999996</v>
      </c>
      <c r="K33" s="24">
        <f>-4341.06+4118.13</f>
        <v>-222.93000000000029</v>
      </c>
      <c r="L33" s="24">
        <f>-4239.06+3969.97</f>
        <v>-269.0900000000006</v>
      </c>
      <c r="M33" s="24">
        <f>-3993.06+3773.4</f>
        <v>-219.65999999999985</v>
      </c>
      <c r="N33" s="24">
        <f>-4141.06+4087.84</f>
        <v>-53.220000000000255</v>
      </c>
      <c r="O33" s="24">
        <f>-4066.06+4329.85</f>
        <v>263.79000000000042</v>
      </c>
      <c r="P33" s="24">
        <f>-4055.06+4203.58</f>
        <v>148.51999999999998</v>
      </c>
      <c r="Q33" s="24">
        <f>-4041.06+4017.59</f>
        <v>-23.4699999999998</v>
      </c>
      <c r="R33" s="24">
        <f>-4259.06+4196.34</f>
        <v>-62.720000000000255</v>
      </c>
      <c r="S33" s="25">
        <f>-49969.72+49246.93</f>
        <v>-722.79000000000087</v>
      </c>
    </row>
    <row r="34" spans="2:19" x14ac:dyDescent="0.35">
      <c r="B34" s="42">
        <v>61400</v>
      </c>
      <c r="C34" s="42"/>
      <c r="E34" s="22" t="str">
        <f>"Total Selling Expenses"</f>
        <v>Total Selling Expenses</v>
      </c>
      <c r="F34" s="22"/>
      <c r="G34" s="23">
        <f>-130690.8+133123.25</f>
        <v>2432.4499999999971</v>
      </c>
      <c r="H34" s="24">
        <f>-131280.75+132384.64</f>
        <v>1103.890000000014</v>
      </c>
      <c r="I34" s="24">
        <f>-134290.84+132164.28</f>
        <v>-2126.5599999999977</v>
      </c>
      <c r="J34" s="24">
        <f>-127549.43+125795.88</f>
        <v>-1753.5499999999884</v>
      </c>
      <c r="K34" s="24">
        <f>-132798.25+128662.72</f>
        <v>-4135.5299999999988</v>
      </c>
      <c r="L34" s="24">
        <f>-132547.99+132229.28</f>
        <v>-318.70999999999185</v>
      </c>
      <c r="M34" s="24">
        <f>-134244.88+129928.38</f>
        <v>-4316.5</v>
      </c>
      <c r="N34" s="24">
        <f>-131816.01+135703.75</f>
        <v>3887.7399999999907</v>
      </c>
      <c r="O34" s="24">
        <f>-116742.31+112854.85</f>
        <v>-3887.4599999999919</v>
      </c>
      <c r="P34" s="24">
        <f>-145524.76+139006.91</f>
        <v>-6517.8500000000058</v>
      </c>
      <c r="Q34" s="24">
        <f>-126239.55+117423.3</f>
        <v>-8816.25</v>
      </c>
      <c r="R34" s="24">
        <f>-137645.75+137422.73</f>
        <v>-223.01999999998952</v>
      </c>
      <c r="S34" s="25">
        <f>-1581371.32+1556699.97</f>
        <v>-24671.350000000093</v>
      </c>
    </row>
    <row r="35" spans="2:19" x14ac:dyDescent="0.35">
      <c r="B35" s="42">
        <v>62950</v>
      </c>
      <c r="C35" s="42"/>
      <c r="E35" s="22" t="str">
        <f>"Total Personnel Expenses"</f>
        <v>Total Personnel Expenses</v>
      </c>
      <c r="F35" s="22"/>
      <c r="G35" s="23">
        <f>-480508.96+431212.35</f>
        <v>-49296.610000000044</v>
      </c>
      <c r="H35" s="24">
        <f>-440304.57+416834.83</f>
        <v>-23469.739999999991</v>
      </c>
      <c r="I35" s="24">
        <f>-421207+441889.07</f>
        <v>20682.070000000007</v>
      </c>
      <c r="J35" s="24">
        <f>-486673.78+495313.86</f>
        <v>8640.0799999999581</v>
      </c>
      <c r="K35" s="24">
        <f>-486972.32+482737.47</f>
        <v>-4234.8500000000349</v>
      </c>
      <c r="L35" s="24">
        <f>-587243.73+546836.25</f>
        <v>-40407.479999999981</v>
      </c>
      <c r="M35" s="24">
        <f>-561812.23+541779.38</f>
        <v>-20032.849999999977</v>
      </c>
      <c r="N35" s="24">
        <f>-537191.96+532524.22</f>
        <v>-4667.7399999999907</v>
      </c>
      <c r="O35" s="24">
        <f>-547914.81+565751.67</f>
        <v>17836.859999999986</v>
      </c>
      <c r="P35" s="24">
        <f>-604612.05+610159.07</f>
        <v>5547.0199999999022</v>
      </c>
      <c r="Q35" s="24">
        <f>-665732.47+608193.41</f>
        <v>-57539.059999999939</v>
      </c>
      <c r="R35" s="24">
        <f>-682428.56+626432.22</f>
        <v>-55996.340000000084</v>
      </c>
      <c r="S35" s="25">
        <f>-6502602.44+6299663.8</f>
        <v>-202938.6400000006</v>
      </c>
    </row>
    <row r="36" spans="2:19" x14ac:dyDescent="0.35">
      <c r="B36" s="42">
        <v>66400</v>
      </c>
      <c r="C36" s="42"/>
      <c r="E36" s="22" t="str">
        <f>"Total Fixed Asset Depreciation"</f>
        <v>Total Fixed Asset Depreciation</v>
      </c>
      <c r="F36" s="22"/>
      <c r="G36" s="23">
        <f t="shared" ref="G36:S37" si="9">0+0</f>
        <v>0</v>
      </c>
      <c r="H36" s="24">
        <f t="shared" si="9"/>
        <v>0</v>
      </c>
      <c r="I36" s="24">
        <f t="shared" si="9"/>
        <v>0</v>
      </c>
      <c r="J36" s="24">
        <f t="shared" si="9"/>
        <v>0</v>
      </c>
      <c r="K36" s="24">
        <f t="shared" si="9"/>
        <v>0</v>
      </c>
      <c r="L36" s="24">
        <f t="shared" si="9"/>
        <v>0</v>
      </c>
      <c r="M36" s="24">
        <f t="shared" si="9"/>
        <v>0</v>
      </c>
      <c r="N36" s="24">
        <f t="shared" si="9"/>
        <v>0</v>
      </c>
      <c r="O36" s="24">
        <f t="shared" si="9"/>
        <v>0</v>
      </c>
      <c r="P36" s="24">
        <f t="shared" si="9"/>
        <v>0</v>
      </c>
      <c r="Q36" s="24">
        <f t="shared" si="9"/>
        <v>0</v>
      </c>
      <c r="R36" s="24">
        <f t="shared" si="9"/>
        <v>0</v>
      </c>
      <c r="S36" s="25">
        <f t="shared" si="9"/>
        <v>0</v>
      </c>
    </row>
    <row r="37" spans="2:19" x14ac:dyDescent="0.35">
      <c r="B37" s="42">
        <v>67600</v>
      </c>
      <c r="C37" s="42"/>
      <c r="E37" s="22" t="str">
        <f>"Other Operating Exp., Total"</f>
        <v>Other Operating Exp., Total</v>
      </c>
      <c r="F37" s="22"/>
      <c r="G37" s="23">
        <f t="shared" si="9"/>
        <v>0</v>
      </c>
      <c r="H37" s="24">
        <f t="shared" si="9"/>
        <v>0</v>
      </c>
      <c r="I37" s="24">
        <f t="shared" si="9"/>
        <v>0</v>
      </c>
      <c r="J37" s="24">
        <f t="shared" si="9"/>
        <v>0</v>
      </c>
      <c r="K37" s="24">
        <f t="shared" si="9"/>
        <v>0</v>
      </c>
      <c r="L37" s="24">
        <f t="shared" si="9"/>
        <v>0</v>
      </c>
      <c r="M37" s="24">
        <f t="shared" si="9"/>
        <v>0</v>
      </c>
      <c r="N37" s="24">
        <f t="shared" si="9"/>
        <v>0</v>
      </c>
      <c r="O37" s="24">
        <f t="shared" si="9"/>
        <v>0</v>
      </c>
      <c r="P37" s="24">
        <f t="shared" si="9"/>
        <v>0</v>
      </c>
      <c r="Q37" s="24">
        <f t="shared" si="9"/>
        <v>0</v>
      </c>
      <c r="R37" s="24">
        <f t="shared" si="9"/>
        <v>0</v>
      </c>
      <c r="S37" s="25">
        <f t="shared" si="9"/>
        <v>0</v>
      </c>
    </row>
    <row r="38" spans="2:19" x14ac:dyDescent="0.35">
      <c r="B38" s="42"/>
      <c r="C38" s="42"/>
      <c r="E38" s="26" t="s">
        <v>8</v>
      </c>
      <c r="F38" s="26"/>
      <c r="G38" s="27">
        <f t="shared" ref="G38:S38" si="10">SUM(G31:G37)</f>
        <v>-46826.870000000046</v>
      </c>
      <c r="H38" s="27">
        <f t="shared" si="10"/>
        <v>-22132.189999999977</v>
      </c>
      <c r="I38" s="27">
        <f t="shared" si="10"/>
        <v>17757.78000000001</v>
      </c>
      <c r="J38" s="27">
        <f t="shared" si="10"/>
        <v>5885.49999999997</v>
      </c>
      <c r="K38" s="27">
        <f t="shared" si="10"/>
        <v>-8376.4400000000351</v>
      </c>
      <c r="L38" s="27">
        <f t="shared" si="10"/>
        <v>-41220.219999999972</v>
      </c>
      <c r="M38" s="27">
        <f t="shared" si="10"/>
        <v>-25209.599999999977</v>
      </c>
      <c r="N38" s="27">
        <f t="shared" si="10"/>
        <v>-1496.6300000000006</v>
      </c>
      <c r="O38" s="27">
        <f t="shared" si="10"/>
        <v>13764.989999999994</v>
      </c>
      <c r="P38" s="27">
        <f t="shared" si="10"/>
        <v>-1190.1500000001042</v>
      </c>
      <c r="Q38" s="27">
        <f t="shared" si="10"/>
        <v>-66593.049999999945</v>
      </c>
      <c r="R38" s="27">
        <f t="shared" si="10"/>
        <v>-56718.140000000072</v>
      </c>
      <c r="S38" s="28">
        <f t="shared" si="10"/>
        <v>-232355.02000000069</v>
      </c>
    </row>
    <row r="39" spans="2:19" x14ac:dyDescent="0.35">
      <c r="B39" s="42"/>
      <c r="C39" s="42"/>
      <c r="E39" s="22"/>
      <c r="F39" s="22"/>
      <c r="G39" s="23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5"/>
    </row>
    <row r="40" spans="2:19" ht="15.5" x14ac:dyDescent="0.35">
      <c r="B40" s="42"/>
      <c r="C40" s="42"/>
      <c r="E40" s="36" t="s">
        <v>24</v>
      </c>
      <c r="F40" s="36"/>
      <c r="G40" s="37">
        <f t="shared" ref="G40:S40" si="11">G28+G38</f>
        <v>29567.64000000005</v>
      </c>
      <c r="H40" s="37">
        <f t="shared" si="11"/>
        <v>-7654.8800000000065</v>
      </c>
      <c r="I40" s="37">
        <f t="shared" si="11"/>
        <v>15305.359999999942</v>
      </c>
      <c r="J40" s="37">
        <f t="shared" si="11"/>
        <v>52082.409999999974</v>
      </c>
      <c r="K40" s="37">
        <f t="shared" si="11"/>
        <v>29007.1500000001</v>
      </c>
      <c r="L40" s="37">
        <f t="shared" si="11"/>
        <v>-142085.38999999993</v>
      </c>
      <c r="M40" s="37">
        <f t="shared" si="11"/>
        <v>69269.020000000077</v>
      </c>
      <c r="N40" s="37">
        <f t="shared" si="11"/>
        <v>-6706.310000000105</v>
      </c>
      <c r="O40" s="37">
        <f t="shared" si="11"/>
        <v>1273.6400000002068</v>
      </c>
      <c r="P40" s="37">
        <f t="shared" si="11"/>
        <v>206993.92999999985</v>
      </c>
      <c r="Q40" s="37">
        <f t="shared" si="11"/>
        <v>-87146.469999999885</v>
      </c>
      <c r="R40" s="37">
        <f t="shared" si="11"/>
        <v>-117197.69000000013</v>
      </c>
      <c r="S40" s="38">
        <f t="shared" si="11"/>
        <v>42708.409999999596</v>
      </c>
    </row>
    <row r="41" spans="2:19" ht="15.5" x14ac:dyDescent="0.35">
      <c r="B41" s="42"/>
      <c r="C41" s="42"/>
      <c r="E41" s="35"/>
      <c r="F41" s="35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30"/>
    </row>
    <row r="42" spans="2:19" ht="17" x14ac:dyDescent="0.4">
      <c r="B42" s="42"/>
      <c r="C42" s="42"/>
      <c r="E42" s="31" t="s">
        <v>11</v>
      </c>
      <c r="F42" s="31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30"/>
    </row>
    <row r="43" spans="2:19" x14ac:dyDescent="0.35">
      <c r="B43" s="42">
        <v>79950</v>
      </c>
      <c r="C43" s="42"/>
      <c r="E43" s="22" t="str">
        <f>"Total Interest Income"</f>
        <v>Total Interest Income</v>
      </c>
      <c r="F43" s="22"/>
      <c r="G43" s="23">
        <f>-0.03+0.03</f>
        <v>0</v>
      </c>
      <c r="H43" s="24">
        <f>0.02-0.02</f>
        <v>0</v>
      </c>
      <c r="I43" s="24">
        <f t="shared" ref="I43:J48" si="12">0+0</f>
        <v>0</v>
      </c>
      <c r="J43" s="24">
        <f t="shared" si="12"/>
        <v>0</v>
      </c>
      <c r="K43" s="24">
        <f>-0.01+0.01</f>
        <v>0</v>
      </c>
      <c r="L43" s="24">
        <f t="shared" ref="L43:L48" si="13">0+0</f>
        <v>0</v>
      </c>
      <c r="M43" s="24">
        <f>-0.01+0.01</f>
        <v>0</v>
      </c>
      <c r="N43" s="24">
        <f>-0.01+0.01</f>
        <v>0</v>
      </c>
      <c r="O43" s="24">
        <f t="shared" ref="O43:O48" si="14">0+0</f>
        <v>0</v>
      </c>
      <c r="P43" s="24">
        <f>0.03-0.03</f>
        <v>0</v>
      </c>
      <c r="Q43" s="24">
        <f>0.01-0.01</f>
        <v>0</v>
      </c>
      <c r="R43" s="24">
        <f>-0.01+0.01</f>
        <v>0</v>
      </c>
      <c r="S43" s="25">
        <f>-0.01+0.01</f>
        <v>0</v>
      </c>
    </row>
    <row r="44" spans="2:19" x14ac:dyDescent="0.35">
      <c r="B44" s="42">
        <v>80600</v>
      </c>
      <c r="C44" s="42"/>
      <c r="E44" s="22" t="str">
        <f>"Total Interest Expenses"</f>
        <v>Total Interest Expenses</v>
      </c>
      <c r="F44" s="22"/>
      <c r="G44" s="23">
        <f t="shared" ref="G44:H48" si="15">0+0</f>
        <v>0</v>
      </c>
      <c r="H44" s="24">
        <f t="shared" si="15"/>
        <v>0</v>
      </c>
      <c r="I44" s="24">
        <f t="shared" si="12"/>
        <v>0</v>
      </c>
      <c r="J44" s="24">
        <f t="shared" si="12"/>
        <v>0</v>
      </c>
      <c r="K44" s="24">
        <f>0+0</f>
        <v>0</v>
      </c>
      <c r="L44" s="24">
        <f t="shared" si="13"/>
        <v>0</v>
      </c>
      <c r="M44" s="24">
        <f t="shared" ref="M44:N48" si="16">0+0</f>
        <v>0</v>
      </c>
      <c r="N44" s="24">
        <f t="shared" si="16"/>
        <v>0</v>
      </c>
      <c r="O44" s="24">
        <f t="shared" si="14"/>
        <v>0</v>
      </c>
      <c r="P44" s="24">
        <f t="shared" ref="P44:S48" si="17">0+0</f>
        <v>0</v>
      </c>
      <c r="Q44" s="24">
        <f t="shared" si="17"/>
        <v>0</v>
      </c>
      <c r="R44" s="24">
        <f t="shared" si="17"/>
        <v>0</v>
      </c>
      <c r="S44" s="25">
        <f t="shared" si="17"/>
        <v>0</v>
      </c>
    </row>
    <row r="45" spans="2:19" x14ac:dyDescent="0.35">
      <c r="B45" s="42">
        <v>80800</v>
      </c>
      <c r="C45" s="42"/>
      <c r="E45" s="22" t="str">
        <f>"Unrealized FX Gains"</f>
        <v>Unrealized FX Gains</v>
      </c>
      <c r="F45" s="22"/>
      <c r="G45" s="23">
        <f t="shared" si="15"/>
        <v>0</v>
      </c>
      <c r="H45" s="24">
        <f t="shared" si="15"/>
        <v>0</v>
      </c>
      <c r="I45" s="24">
        <f t="shared" si="12"/>
        <v>0</v>
      </c>
      <c r="J45" s="24">
        <f t="shared" si="12"/>
        <v>0</v>
      </c>
      <c r="K45" s="24">
        <f>0+0</f>
        <v>0</v>
      </c>
      <c r="L45" s="24">
        <f t="shared" si="13"/>
        <v>0</v>
      </c>
      <c r="M45" s="24">
        <f t="shared" si="16"/>
        <v>0</v>
      </c>
      <c r="N45" s="24">
        <f t="shared" si="16"/>
        <v>0</v>
      </c>
      <c r="O45" s="24">
        <f t="shared" si="14"/>
        <v>0</v>
      </c>
      <c r="P45" s="24">
        <f t="shared" si="17"/>
        <v>0</v>
      </c>
      <c r="Q45" s="24">
        <f t="shared" si="17"/>
        <v>0</v>
      </c>
      <c r="R45" s="24">
        <f t="shared" si="17"/>
        <v>0</v>
      </c>
      <c r="S45" s="25">
        <f t="shared" si="17"/>
        <v>0</v>
      </c>
    </row>
    <row r="46" spans="2:19" x14ac:dyDescent="0.35">
      <c r="B46" s="42">
        <v>80900</v>
      </c>
      <c r="C46" s="42"/>
      <c r="E46" s="22" t="str">
        <f>"Unrealized FX Losses"</f>
        <v>Unrealized FX Losses</v>
      </c>
      <c r="F46" s="22"/>
      <c r="G46" s="23">
        <f t="shared" si="15"/>
        <v>0</v>
      </c>
      <c r="H46" s="24">
        <f t="shared" si="15"/>
        <v>0</v>
      </c>
      <c r="I46" s="24">
        <f t="shared" si="12"/>
        <v>0</v>
      </c>
      <c r="J46" s="24">
        <f t="shared" si="12"/>
        <v>0</v>
      </c>
      <c r="K46" s="24">
        <f>0+0</f>
        <v>0</v>
      </c>
      <c r="L46" s="24">
        <f t="shared" si="13"/>
        <v>0</v>
      </c>
      <c r="M46" s="24">
        <f t="shared" si="16"/>
        <v>0</v>
      </c>
      <c r="N46" s="24">
        <f t="shared" si="16"/>
        <v>0</v>
      </c>
      <c r="O46" s="24">
        <f t="shared" si="14"/>
        <v>0</v>
      </c>
      <c r="P46" s="24">
        <f t="shared" si="17"/>
        <v>0</v>
      </c>
      <c r="Q46" s="24">
        <f t="shared" si="17"/>
        <v>0</v>
      </c>
      <c r="R46" s="24">
        <f t="shared" si="17"/>
        <v>0</v>
      </c>
      <c r="S46" s="25">
        <f t="shared" si="17"/>
        <v>0</v>
      </c>
    </row>
    <row r="47" spans="2:19" x14ac:dyDescent="0.35">
      <c r="B47" s="42">
        <v>81000</v>
      </c>
      <c r="C47" s="42"/>
      <c r="E47" s="22" t="str">
        <f>"Realized FX Gains"</f>
        <v>Realized FX Gains</v>
      </c>
      <c r="F47" s="22"/>
      <c r="G47" s="23">
        <f t="shared" si="15"/>
        <v>0</v>
      </c>
      <c r="H47" s="24">
        <f t="shared" si="15"/>
        <v>0</v>
      </c>
      <c r="I47" s="24">
        <f t="shared" si="12"/>
        <v>0</v>
      </c>
      <c r="J47" s="24">
        <f t="shared" si="12"/>
        <v>0</v>
      </c>
      <c r="K47" s="24">
        <f>0+0</f>
        <v>0</v>
      </c>
      <c r="L47" s="24">
        <f t="shared" si="13"/>
        <v>0</v>
      </c>
      <c r="M47" s="24">
        <f t="shared" si="16"/>
        <v>0</v>
      </c>
      <c r="N47" s="24">
        <f t="shared" si="16"/>
        <v>0</v>
      </c>
      <c r="O47" s="24">
        <f t="shared" si="14"/>
        <v>0</v>
      </c>
      <c r="P47" s="24">
        <f t="shared" si="17"/>
        <v>0</v>
      </c>
      <c r="Q47" s="24">
        <f t="shared" si="17"/>
        <v>0</v>
      </c>
      <c r="R47" s="24">
        <f t="shared" si="17"/>
        <v>0</v>
      </c>
      <c r="S47" s="25">
        <f t="shared" si="17"/>
        <v>0</v>
      </c>
    </row>
    <row r="48" spans="2:19" x14ac:dyDescent="0.35">
      <c r="B48" s="42">
        <v>81100</v>
      </c>
      <c r="C48" s="42"/>
      <c r="E48" s="22" t="str">
        <f>"Realized FX Losses"</f>
        <v>Realized FX Losses</v>
      </c>
      <c r="F48" s="22"/>
      <c r="G48" s="23">
        <f t="shared" si="15"/>
        <v>0</v>
      </c>
      <c r="H48" s="24">
        <f t="shared" si="15"/>
        <v>0</v>
      </c>
      <c r="I48" s="24">
        <f t="shared" si="12"/>
        <v>0</v>
      </c>
      <c r="J48" s="24">
        <f t="shared" si="12"/>
        <v>0</v>
      </c>
      <c r="K48" s="24">
        <f>0+0</f>
        <v>0</v>
      </c>
      <c r="L48" s="24">
        <f t="shared" si="13"/>
        <v>0</v>
      </c>
      <c r="M48" s="24">
        <f t="shared" si="16"/>
        <v>0</v>
      </c>
      <c r="N48" s="24">
        <f t="shared" si="16"/>
        <v>0</v>
      </c>
      <c r="O48" s="24">
        <f t="shared" si="14"/>
        <v>0</v>
      </c>
      <c r="P48" s="24">
        <f t="shared" si="17"/>
        <v>0</v>
      </c>
      <c r="Q48" s="24">
        <f t="shared" si="17"/>
        <v>0</v>
      </c>
      <c r="R48" s="24">
        <f t="shared" si="17"/>
        <v>0</v>
      </c>
      <c r="S48" s="25">
        <f t="shared" si="17"/>
        <v>0</v>
      </c>
    </row>
    <row r="49" spans="2:19" x14ac:dyDescent="0.35">
      <c r="B49" s="42"/>
      <c r="C49" s="42"/>
      <c r="E49" s="26" t="s">
        <v>12</v>
      </c>
      <c r="F49" s="26"/>
      <c r="G49" s="27">
        <f t="shared" ref="G49:S49" si="18">SUM(G43:G48)</f>
        <v>0</v>
      </c>
      <c r="H49" s="27">
        <f t="shared" si="18"/>
        <v>0</v>
      </c>
      <c r="I49" s="27">
        <f t="shared" si="18"/>
        <v>0</v>
      </c>
      <c r="J49" s="27">
        <f t="shared" si="18"/>
        <v>0</v>
      </c>
      <c r="K49" s="27">
        <f t="shared" si="18"/>
        <v>0</v>
      </c>
      <c r="L49" s="27">
        <f t="shared" si="18"/>
        <v>0</v>
      </c>
      <c r="M49" s="27">
        <f t="shared" si="18"/>
        <v>0</v>
      </c>
      <c r="N49" s="27">
        <f t="shared" si="18"/>
        <v>0</v>
      </c>
      <c r="O49" s="27">
        <f t="shared" si="18"/>
        <v>0</v>
      </c>
      <c r="P49" s="27">
        <f t="shared" si="18"/>
        <v>0</v>
      </c>
      <c r="Q49" s="27">
        <f t="shared" si="18"/>
        <v>0</v>
      </c>
      <c r="R49" s="27">
        <f t="shared" si="18"/>
        <v>0</v>
      </c>
      <c r="S49" s="28">
        <f t="shared" si="18"/>
        <v>0</v>
      </c>
    </row>
    <row r="50" spans="2:19" x14ac:dyDescent="0.35">
      <c r="B50" s="42"/>
      <c r="C50" s="42"/>
      <c r="E50" s="22"/>
      <c r="F50" s="22"/>
      <c r="G50" s="23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5"/>
    </row>
    <row r="51" spans="2:19" ht="15.5" x14ac:dyDescent="0.35">
      <c r="B51" s="42"/>
      <c r="C51" s="42"/>
      <c r="E51" s="32" t="s">
        <v>9</v>
      </c>
      <c r="F51" s="32"/>
      <c r="G51" s="33">
        <f t="shared" ref="G51:S51" si="19">G40+G49</f>
        <v>29567.64000000005</v>
      </c>
      <c r="H51" s="33">
        <f t="shared" si="19"/>
        <v>-7654.8800000000065</v>
      </c>
      <c r="I51" s="33">
        <f t="shared" si="19"/>
        <v>15305.359999999942</v>
      </c>
      <c r="J51" s="33">
        <f t="shared" si="19"/>
        <v>52082.409999999974</v>
      </c>
      <c r="K51" s="33">
        <f t="shared" si="19"/>
        <v>29007.1500000001</v>
      </c>
      <c r="L51" s="33">
        <f t="shared" si="19"/>
        <v>-142085.38999999993</v>
      </c>
      <c r="M51" s="33">
        <f t="shared" si="19"/>
        <v>69269.020000000077</v>
      </c>
      <c r="N51" s="33">
        <f t="shared" si="19"/>
        <v>-6706.310000000105</v>
      </c>
      <c r="O51" s="33">
        <f t="shared" si="19"/>
        <v>1273.6400000002068</v>
      </c>
      <c r="P51" s="33">
        <f t="shared" si="19"/>
        <v>206993.92999999985</v>
      </c>
      <c r="Q51" s="33">
        <f t="shared" si="19"/>
        <v>-87146.469999999885</v>
      </c>
      <c r="R51" s="33">
        <f t="shared" si="19"/>
        <v>-117197.69000000013</v>
      </c>
      <c r="S51" s="34">
        <f t="shared" si="19"/>
        <v>42708.409999999596</v>
      </c>
    </row>
    <row r="52" spans="2:19" x14ac:dyDescent="0.35">
      <c r="B52" s="42"/>
      <c r="C52" s="42"/>
      <c r="E52" s="22"/>
      <c r="F52" s="22"/>
      <c r="G52" s="23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5"/>
    </row>
    <row r="53" spans="2:19" ht="17" x14ac:dyDescent="0.4">
      <c r="B53" s="42">
        <v>84100</v>
      </c>
      <c r="C53" s="42"/>
      <c r="E53" s="31" t="str">
        <f>"Corporate Tax"</f>
        <v>Corporate Tax</v>
      </c>
      <c r="F53" s="35"/>
      <c r="G53" s="23">
        <f t="shared" ref="G53:S53" si="20">0+0</f>
        <v>0</v>
      </c>
      <c r="H53" s="24">
        <f t="shared" si="20"/>
        <v>0</v>
      </c>
      <c r="I53" s="24">
        <f t="shared" si="20"/>
        <v>0</v>
      </c>
      <c r="J53" s="24">
        <f t="shared" si="20"/>
        <v>0</v>
      </c>
      <c r="K53" s="24">
        <f t="shared" si="20"/>
        <v>0</v>
      </c>
      <c r="L53" s="24">
        <f t="shared" si="20"/>
        <v>0</v>
      </c>
      <c r="M53" s="24">
        <f t="shared" si="20"/>
        <v>0</v>
      </c>
      <c r="N53" s="24">
        <f t="shared" si="20"/>
        <v>0</v>
      </c>
      <c r="O53" s="24">
        <f t="shared" si="20"/>
        <v>0</v>
      </c>
      <c r="P53" s="24">
        <f t="shared" si="20"/>
        <v>0</v>
      </c>
      <c r="Q53" s="24">
        <f t="shared" si="20"/>
        <v>0</v>
      </c>
      <c r="R53" s="24">
        <f t="shared" si="20"/>
        <v>0</v>
      </c>
      <c r="S53" s="25">
        <f t="shared" si="20"/>
        <v>0</v>
      </c>
    </row>
    <row r="54" spans="2:19" ht="17" x14ac:dyDescent="0.4">
      <c r="B54" s="42"/>
      <c r="C54" s="42"/>
      <c r="E54" s="31"/>
      <c r="F54" s="35"/>
      <c r="G54" s="15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12"/>
    </row>
    <row r="55" spans="2:19" ht="19" thickBot="1" x14ac:dyDescent="0.5">
      <c r="B55" s="42"/>
      <c r="C55" s="42"/>
      <c r="E55" s="16" t="s">
        <v>13</v>
      </c>
      <c r="F55" s="16"/>
      <c r="G55" s="17">
        <f t="shared" ref="G55:S55" si="21">G51+G53</f>
        <v>29567.64000000005</v>
      </c>
      <c r="H55" s="17">
        <f t="shared" si="21"/>
        <v>-7654.8800000000065</v>
      </c>
      <c r="I55" s="17">
        <f t="shared" si="21"/>
        <v>15305.359999999942</v>
      </c>
      <c r="J55" s="17">
        <f t="shared" si="21"/>
        <v>52082.409999999974</v>
      </c>
      <c r="K55" s="17">
        <f t="shared" si="21"/>
        <v>29007.1500000001</v>
      </c>
      <c r="L55" s="17">
        <f t="shared" si="21"/>
        <v>-142085.38999999993</v>
      </c>
      <c r="M55" s="17">
        <f t="shared" si="21"/>
        <v>69269.020000000077</v>
      </c>
      <c r="N55" s="17">
        <f t="shared" si="21"/>
        <v>-6706.310000000105</v>
      </c>
      <c r="O55" s="17">
        <f t="shared" si="21"/>
        <v>1273.6400000002068</v>
      </c>
      <c r="P55" s="17">
        <f t="shared" si="21"/>
        <v>206993.92999999985</v>
      </c>
      <c r="Q55" s="17">
        <f t="shared" si="21"/>
        <v>-87146.469999999885</v>
      </c>
      <c r="R55" s="17">
        <f t="shared" si="21"/>
        <v>-117197.69000000013</v>
      </c>
      <c r="S55" s="18">
        <f t="shared" si="21"/>
        <v>42708.409999999596</v>
      </c>
    </row>
    <row r="56" spans="2:19" ht="15" thickTop="1" x14ac:dyDescent="0.35">
      <c r="B56" s="42"/>
      <c r="C56" s="42"/>
    </row>
    <row r="57" spans="2:19" x14ac:dyDescent="0.35">
      <c r="B57" s="42"/>
      <c r="C57" s="42"/>
    </row>
  </sheetData>
  <conditionalFormatting sqref="B3">
    <cfRule type="iconSet" priority="8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25" right="0.25" top="0.75" bottom="0.75" header="0.3" footer="0.3"/>
  <pageSetup scale="51" fitToHeight="0" orientation="landscape" horizontalDpi="300" verticalDpi="300" r:id="rId1"/>
  <headerFooter>
    <oddFooter>&amp;C&amp;D&amp;R&amp;F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0B1E3A0D-0640-4868-B2D4-EA7F88ED4B95}">
            <x14:iconSet iconSet="5Arrows" custom="1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  <x14:cfIcon iconSet="3Arrows" iconId="2"/>
              <x14:cfIcon iconSet="3Arrows" iconId="2"/>
              <x14:cfIcon iconSet="3Arrows" iconId="2"/>
              <x14:cfIcon iconSet="3Arrows" iconId="2"/>
              <x14:cfIcon iconSet="3Arrows" iconId="2"/>
            </x14:iconSet>
          </x14:cfRule>
          <xm:sqref>C3</xm:sqref>
        </x14:conditionalFormatting>
        <x14:conditionalFormatting xmlns:xm="http://schemas.microsoft.com/office/excel/2006/main">
          <x14:cfRule type="iconSet" priority="6" id="{7E48F2FA-69CE-437C-8CD3-76A812E0D975}">
            <x14:iconSet iconSet="5Arrows" custom="1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  <x14:cfIcon iconSet="4Arrows" iconId="2"/>
              <x14:cfIcon iconSet="4Arrows" iconId="2"/>
              <x14:cfIcon iconSet="4Arrows" iconId="2"/>
              <x14:cfIcon iconSet="4Arrows" iconId="2"/>
              <x14:cfIcon iconSet="4Arrows" iconId="2"/>
            </x14:iconSet>
          </x14:cfRule>
          <xm:sqref>C4</xm:sqref>
        </x14:conditionalFormatting>
        <x14:conditionalFormatting xmlns:xm="http://schemas.microsoft.com/office/excel/2006/main">
          <x14:cfRule type="iconSet" priority="5" id="{AA029D02-127A-43BC-B50E-4D01644C9AF5}">
            <x14:iconSet iconSet="5Arrows" custom="1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  <x14:cfIcon iconSet="4Arrows" iconId="1"/>
              <x14:cfIcon iconSet="4Arrows" iconId="1"/>
              <x14:cfIcon iconSet="4Arrows" iconId="1"/>
              <x14:cfIcon iconSet="4Arrows" iconId="1"/>
              <x14:cfIcon iconSet="4Arrows" iconId="1"/>
            </x14:iconSet>
          </x14:cfRule>
          <xm:sqref>C5</xm:sqref>
        </x14:conditionalFormatting>
        <x14:conditionalFormatting xmlns:xm="http://schemas.microsoft.com/office/excel/2006/main">
          <x14:cfRule type="iconSet" priority="4" id="{AA30BA4E-74E2-448F-8133-93B05D6B4E92}">
            <x14:iconSet iconSet="5Arrows" custom="1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  <x14:cfIcon iconSet="3Arrows" iconId="0"/>
              <x14:cfIcon iconSet="3Arrows" iconId="0"/>
              <x14:cfIcon iconSet="3Arrows" iconId="0"/>
              <x14:cfIcon iconSet="3Arrows" iconId="0"/>
              <x14:cfIcon iconSet="3Arrows" iconId="0"/>
            </x14:iconSet>
          </x14:cfRule>
          <xm:sqref>C6</xm:sqref>
        </x14:conditionalFormatting>
        <x14:conditionalFormatting xmlns:xm="http://schemas.microsoft.com/office/excel/2006/main">
          <x14:cfRule type="iconSet" priority="42" id="{992B1FBA-14CC-4EBC-B62C-99BA0EAC1100}">
            <x14:iconSet iconSet="5Arrows" custom="1">
              <x14:cfvo type="percent">
                <xm:f>0</xm:f>
              </x14:cfvo>
              <x14:cfvo type="num">
                <xm:f>$C$6</xm:f>
              </x14:cfvo>
              <x14:cfvo type="num">
                <xm:f>$C$5</xm:f>
              </x14:cfvo>
              <x14:cfvo type="num">
                <xm:f>$C$4</xm:f>
              </x14:cfvo>
              <x14:cfvo type="num">
                <xm:f>$C$3</xm:f>
              </x14:cfvo>
              <x14:cfIcon iconSet="3Arrows" iconId="0"/>
              <x14:cfIcon iconSet="4Arrows" iconId="1"/>
              <x14:cfIcon iconSet="NoIcons" iconId="0"/>
              <x14:cfIcon iconSet="4Arrows" iconId="2"/>
              <x14:cfIcon iconSet="3Arrows" iconId="2"/>
            </x14:iconSet>
          </x14:cfRule>
          <xm:sqref>S22:S25</xm:sqref>
        </x14:conditionalFormatting>
        <x14:conditionalFormatting xmlns:xm="http://schemas.microsoft.com/office/excel/2006/main">
          <x14:cfRule type="iconSet" priority="41" id="{DFA48E10-45B3-4F91-97AE-AC424ADE9FD9}">
            <x14:iconSet iconSet="5Arrows" custom="1">
              <x14:cfvo type="percent">
                <xm:f>0</xm:f>
              </x14:cfvo>
              <x14:cfvo type="num">
                <xm:f>$C$6</xm:f>
              </x14:cfvo>
              <x14:cfvo type="num">
                <xm:f>$C$5</xm:f>
              </x14:cfvo>
              <x14:cfvo type="num">
                <xm:f>$C$4</xm:f>
              </x14:cfvo>
              <x14:cfvo type="num">
                <xm:f>$C$3</xm:f>
              </x14:cfvo>
              <x14:cfIcon iconSet="3Arrows" iconId="0"/>
              <x14:cfIcon iconSet="4Arrows" iconId="1"/>
              <x14:cfIcon iconSet="NoIcons" iconId="0"/>
              <x14:cfIcon iconSet="4Arrows" iconId="2"/>
              <x14:cfIcon iconSet="3Arrows" iconId="2"/>
            </x14:iconSet>
          </x14:cfRule>
          <xm:sqref>S31:S37</xm:sqref>
        </x14:conditionalFormatting>
        <x14:conditionalFormatting xmlns:xm="http://schemas.microsoft.com/office/excel/2006/main">
          <x14:cfRule type="iconSet" priority="40" id="{199807FC-5E6A-4822-B372-C35FCAC28C22}">
            <x14:iconSet iconSet="5Arrows" custom="1">
              <x14:cfvo type="percent">
                <xm:f>0</xm:f>
              </x14:cfvo>
              <x14:cfvo type="num">
                <xm:f>$C$6</xm:f>
              </x14:cfvo>
              <x14:cfvo type="num">
                <xm:f>$C$5</xm:f>
              </x14:cfvo>
              <x14:cfvo type="num">
                <xm:f>$C$4</xm:f>
              </x14:cfvo>
              <x14:cfvo type="num">
                <xm:f>$C$3</xm:f>
              </x14:cfvo>
              <x14:cfIcon iconSet="3Arrows" iconId="0"/>
              <x14:cfIcon iconSet="4Arrows" iconId="1"/>
              <x14:cfIcon iconSet="NoIcons" iconId="0"/>
              <x14:cfIcon iconSet="4Arrows" iconId="2"/>
              <x14:cfIcon iconSet="3Arrows" iconId="2"/>
            </x14:iconSet>
          </x14:cfRule>
          <xm:sqref>S43:S48</xm:sqref>
        </x14:conditionalFormatting>
        <x14:conditionalFormatting xmlns:xm="http://schemas.microsoft.com/office/excel/2006/main">
          <x14:cfRule type="iconSet" priority="36" id="{2A0856D9-BC4B-44FA-BD59-F898B3BD5466}">
            <x14:iconSet iconSet="5Arrows" custom="1">
              <x14:cfvo type="percent">
                <xm:f>0</xm:f>
              </x14:cfvo>
              <x14:cfvo type="num">
                <xm:f>$C$6</xm:f>
              </x14:cfvo>
              <x14:cfvo type="num">
                <xm:f>$C$5</xm:f>
              </x14:cfvo>
              <x14:cfvo type="num">
                <xm:f>$C$4</xm:f>
              </x14:cfvo>
              <x14:cfvo type="num">
                <xm:f>$C$3</xm:f>
              </x14:cfvo>
              <x14:cfIcon iconSet="3Arrows" iconId="0"/>
              <x14:cfIcon iconSet="4Arrows" iconId="1"/>
              <x14:cfIcon iconSet="NoIcons" iconId="0"/>
              <x14:cfIcon iconSet="4Arrows" iconId="2"/>
              <x14:cfIcon iconSet="3Arrows" iconId="2"/>
            </x14:iconSet>
          </x14:cfRule>
          <xm:sqref>S49:S55 S13:S21 S26:S30 S38:S42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negative="1" minAxisType="group" maxAxisType="group" xr2:uid="{00000000-0003-0000-0400-000002000000}">
          <x14:colorSeries theme="4" tint="-0.249977111117893"/>
          <x14:colorNegative theme="5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Variance!G55:R55</xm:f>
              <xm:sqref>F55</xm:sqref>
            </x14:sparkline>
            <x14:sparkline>
              <xm:f>Variance!G54:R54</xm:f>
              <xm:sqref>F54</xm:sqref>
            </x14:sparkline>
            <x14:sparkline>
              <xm:f>Variance!G53:R53</xm:f>
              <xm:sqref>F53</xm:sqref>
            </x14:sparkline>
            <x14:sparkline>
              <xm:f>Variance!G22:R22</xm:f>
              <xm:sqref>F22</xm:sqref>
            </x14:sparkline>
            <x14:sparkline>
              <xm:f>Variance!G23:R23</xm:f>
              <xm:sqref>F23</xm:sqref>
            </x14:sparkline>
            <x14:sparkline>
              <xm:f>Variance!G24:R24</xm:f>
              <xm:sqref>F24</xm:sqref>
            </x14:sparkline>
            <x14:sparkline>
              <xm:f>Variance!G25:R25</xm:f>
              <xm:sqref>F25</xm:sqref>
            </x14:sparkline>
            <x14:sparkline>
              <xm:f>Variance!G26:R26</xm:f>
              <xm:sqref>F26</xm:sqref>
            </x14:sparkline>
            <x14:sparkline>
              <xm:f>Variance!G13:R13</xm:f>
              <xm:sqref>F13</xm:sqref>
            </x14:sparkline>
            <x14:sparkline>
              <xm:f>Variance!G14:R14</xm:f>
              <xm:sqref>F14</xm:sqref>
            </x14:sparkline>
            <x14:sparkline>
              <xm:f>Variance!G15:R15</xm:f>
              <xm:sqref>F15</xm:sqref>
            </x14:sparkline>
            <x14:sparkline>
              <xm:f>Variance!G16:R16</xm:f>
              <xm:sqref>F16</xm:sqref>
            </x14:sparkline>
            <x14:sparkline>
              <xm:f>Variance!G17:R17</xm:f>
              <xm:sqref>F17</xm:sqref>
            </x14:sparkline>
            <x14:sparkline>
              <xm:f>Variance!G18:R18</xm:f>
              <xm:sqref>F18</xm:sqref>
            </x14:sparkline>
            <x14:sparkline>
              <xm:f>Variance!G51:R51</xm:f>
              <xm:sqref>F51</xm:sqref>
            </x14:sparkline>
            <x14:sparkline>
              <xm:f>Variance!G43:R43</xm:f>
              <xm:sqref>F43</xm:sqref>
            </x14:sparkline>
            <x14:sparkline>
              <xm:f>Variance!G44:R44</xm:f>
              <xm:sqref>F44</xm:sqref>
            </x14:sparkline>
            <x14:sparkline>
              <xm:f>Variance!G45:R45</xm:f>
              <xm:sqref>F45</xm:sqref>
            </x14:sparkline>
            <x14:sparkline>
              <xm:f>Variance!G47:R47</xm:f>
              <xm:sqref>F47</xm:sqref>
            </x14:sparkline>
            <x14:sparkline>
              <xm:f>Variance!G48:R48</xm:f>
              <xm:sqref>F48</xm:sqref>
            </x14:sparkline>
            <x14:sparkline>
              <xm:f>Variance!G49:R49</xm:f>
              <xm:sqref>F49</xm:sqref>
            </x14:sparkline>
            <x14:sparkline>
              <xm:f>Variance!G40:R40</xm:f>
              <xm:sqref>F40</xm:sqref>
            </x14:sparkline>
            <x14:sparkline>
              <xm:f>Variance!G31:R31</xm:f>
              <xm:sqref>F31</xm:sqref>
            </x14:sparkline>
            <x14:sparkline>
              <xm:f>Variance!G32:R32</xm:f>
              <xm:sqref>F32</xm:sqref>
            </x14:sparkline>
            <x14:sparkline>
              <xm:f>Variance!G33:R33</xm:f>
              <xm:sqref>F33</xm:sqref>
            </x14:sparkline>
            <x14:sparkline>
              <xm:f>Variance!G34:R34</xm:f>
              <xm:sqref>F34</xm:sqref>
            </x14:sparkline>
            <x14:sparkline>
              <xm:f>Variance!G35:R35</xm:f>
              <xm:sqref>F35</xm:sqref>
            </x14:sparkline>
            <x14:sparkline>
              <xm:f>Variance!G36:R36</xm:f>
              <xm:sqref>F36</xm:sqref>
            </x14:sparkline>
            <x14:sparkline>
              <xm:f>Variance!G37:R37</xm:f>
              <xm:sqref>F37</xm:sqref>
            </x14:sparkline>
            <x14:sparkline>
              <xm:f>Variance!G38:R38</xm:f>
              <xm:sqref>F38</xm:sqref>
            </x14:sparkline>
            <x14:sparkline>
              <xm:f>Variance!G28:R28</xm:f>
              <xm:sqref>F28</xm:sqref>
            </x14:sparkline>
            <x14:sparkline>
              <xm:f>Variance!G19:R19</xm:f>
              <xm:sqref>F19</xm:sqref>
            </x14:sparkline>
            <x14:sparkline>
              <xm:f>Variance!G46:R46</xm:f>
              <xm:sqref>F46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2"/>
  <sheetViews>
    <sheetView workbookViewId="0"/>
  </sheetViews>
  <sheetFormatPr defaultRowHeight="14.5" x14ac:dyDescent="0.35"/>
  <sheetData>
    <row r="1" spans="1:18" x14ac:dyDescent="0.35">
      <c r="A1" s="50" t="s">
        <v>783</v>
      </c>
      <c r="B1" s="50" t="s">
        <v>14</v>
      </c>
      <c r="D1" s="50" t="s">
        <v>15</v>
      </c>
      <c r="F1" s="50" t="s">
        <v>15</v>
      </c>
      <c r="G1" s="50" t="s">
        <v>15</v>
      </c>
      <c r="H1" s="50" t="s">
        <v>15</v>
      </c>
      <c r="I1" s="50" t="s">
        <v>15</v>
      </c>
      <c r="J1" s="50" t="s">
        <v>15</v>
      </c>
      <c r="K1" s="50" t="s">
        <v>15</v>
      </c>
      <c r="L1" s="50" t="s">
        <v>15</v>
      </c>
      <c r="M1" s="50" t="s">
        <v>15</v>
      </c>
      <c r="N1" s="50" t="s">
        <v>15</v>
      </c>
      <c r="O1" s="50" t="s">
        <v>15</v>
      </c>
      <c r="P1" s="50" t="s">
        <v>15</v>
      </c>
      <c r="Q1" s="50" t="s">
        <v>15</v>
      </c>
      <c r="R1" s="50" t="s">
        <v>15</v>
      </c>
    </row>
    <row r="2" spans="1:18" x14ac:dyDescent="0.35">
      <c r="A2" s="50" t="s">
        <v>14</v>
      </c>
      <c r="F2" s="50" t="s">
        <v>18</v>
      </c>
      <c r="G2" s="50" t="s">
        <v>18</v>
      </c>
      <c r="H2" s="50" t="s">
        <v>18</v>
      </c>
      <c r="I2" s="50" t="s">
        <v>18</v>
      </c>
      <c r="J2" s="50" t="s">
        <v>18</v>
      </c>
      <c r="K2" s="50" t="s">
        <v>18</v>
      </c>
      <c r="L2" s="50" t="s">
        <v>18</v>
      </c>
      <c r="M2" s="50" t="s">
        <v>18</v>
      </c>
      <c r="N2" s="50" t="s">
        <v>18</v>
      </c>
      <c r="O2" s="50" t="s">
        <v>18</v>
      </c>
      <c r="P2" s="50" t="s">
        <v>18</v>
      </c>
      <c r="Q2" s="50" t="s">
        <v>18</v>
      </c>
      <c r="R2" s="50" t="s">
        <v>20</v>
      </c>
    </row>
    <row r="4" spans="1:18" x14ac:dyDescent="0.35">
      <c r="D4" s="50" t="s">
        <v>0</v>
      </c>
      <c r="Q4" s="50" t="s">
        <v>16</v>
      </c>
      <c r="R4" s="50" t="s">
        <v>33</v>
      </c>
    </row>
    <row r="6" spans="1:18" x14ac:dyDescent="0.35">
      <c r="F6" s="50" t="s">
        <v>34</v>
      </c>
      <c r="G6" s="50" t="s">
        <v>35</v>
      </c>
      <c r="H6" s="50" t="s">
        <v>36</v>
      </c>
      <c r="I6" s="50" t="s">
        <v>37</v>
      </c>
      <c r="J6" s="50" t="s">
        <v>38</v>
      </c>
      <c r="K6" s="50" t="s">
        <v>39</v>
      </c>
      <c r="L6" s="50" t="s">
        <v>40</v>
      </c>
      <c r="M6" s="50" t="s">
        <v>41</v>
      </c>
      <c r="N6" s="50" t="s">
        <v>42</v>
      </c>
      <c r="O6" s="50" t="s">
        <v>43</v>
      </c>
      <c r="P6" s="50" t="s">
        <v>44</v>
      </c>
      <c r="Q6" s="50" t="s">
        <v>45</v>
      </c>
      <c r="R6" s="50" t="s">
        <v>33</v>
      </c>
    </row>
    <row r="7" spans="1:18" x14ac:dyDescent="0.35">
      <c r="A7" s="50" t="s">
        <v>14</v>
      </c>
      <c r="B7" s="50" t="s">
        <v>25</v>
      </c>
      <c r="F7" s="50" t="s">
        <v>46</v>
      </c>
      <c r="G7" s="50" t="s">
        <v>47</v>
      </c>
      <c r="H7" s="50" t="s">
        <v>48</v>
      </c>
      <c r="I7" s="50" t="s">
        <v>49</v>
      </c>
      <c r="J7" s="50" t="s">
        <v>50</v>
      </c>
      <c r="K7" s="50" t="s">
        <v>51</v>
      </c>
      <c r="L7" s="50" t="s">
        <v>52</v>
      </c>
      <c r="M7" s="50" t="s">
        <v>53</v>
      </c>
      <c r="N7" s="50" t="s">
        <v>54</v>
      </c>
      <c r="O7" s="50" t="s">
        <v>55</v>
      </c>
      <c r="P7" s="50" t="s">
        <v>56</v>
      </c>
      <c r="Q7" s="50" t="s">
        <v>57</v>
      </c>
      <c r="R7" s="50" t="s">
        <v>58</v>
      </c>
    </row>
    <row r="8" spans="1:18" x14ac:dyDescent="0.35">
      <c r="A8" s="50" t="s">
        <v>14</v>
      </c>
      <c r="F8" s="50" t="s">
        <v>59</v>
      </c>
      <c r="G8" s="50" t="s">
        <v>60</v>
      </c>
      <c r="H8" s="50" t="s">
        <v>61</v>
      </c>
      <c r="I8" s="50" t="s">
        <v>62</v>
      </c>
      <c r="J8" s="50" t="s">
        <v>63</v>
      </c>
      <c r="K8" s="50" t="s">
        <v>64</v>
      </c>
      <c r="L8" s="50" t="s">
        <v>65</v>
      </c>
      <c r="M8" s="50" t="s">
        <v>66</v>
      </c>
      <c r="N8" s="50" t="s">
        <v>67</v>
      </c>
      <c r="O8" s="50" t="s">
        <v>68</v>
      </c>
      <c r="P8" s="50" t="s">
        <v>69</v>
      </c>
      <c r="Q8" s="50" t="s">
        <v>70</v>
      </c>
      <c r="R8" s="50" t="s">
        <v>71</v>
      </c>
    </row>
    <row r="9" spans="1:18" x14ac:dyDescent="0.35">
      <c r="B9" s="50" t="s">
        <v>22</v>
      </c>
      <c r="D9" s="50" t="s">
        <v>5</v>
      </c>
    </row>
    <row r="10" spans="1:18" x14ac:dyDescent="0.35">
      <c r="B10" s="50" t="s">
        <v>655</v>
      </c>
      <c r="D10" s="50" t="s">
        <v>72</v>
      </c>
      <c r="F10" s="50" t="s">
        <v>73</v>
      </c>
      <c r="G10" s="50" t="s">
        <v>74</v>
      </c>
      <c r="H10" s="50" t="s">
        <v>75</v>
      </c>
      <c r="I10" s="50" t="s">
        <v>76</v>
      </c>
      <c r="J10" s="50" t="s">
        <v>77</v>
      </c>
      <c r="K10" s="50" t="s">
        <v>78</v>
      </c>
      <c r="L10" s="50" t="s">
        <v>79</v>
      </c>
      <c r="M10" s="50" t="s">
        <v>80</v>
      </c>
      <c r="N10" s="50" t="s">
        <v>81</v>
      </c>
      <c r="O10" s="50" t="s">
        <v>82</v>
      </c>
      <c r="P10" s="50" t="s">
        <v>83</v>
      </c>
      <c r="Q10" s="50" t="s">
        <v>84</v>
      </c>
      <c r="R10" s="50" t="s">
        <v>85</v>
      </c>
    </row>
    <row r="11" spans="1:18" x14ac:dyDescent="0.35">
      <c r="B11" s="50" t="s">
        <v>656</v>
      </c>
      <c r="D11" s="50" t="s">
        <v>86</v>
      </c>
      <c r="F11" s="50" t="s">
        <v>87</v>
      </c>
      <c r="G11" s="50" t="s">
        <v>88</v>
      </c>
      <c r="H11" s="50" t="s">
        <v>89</v>
      </c>
      <c r="I11" s="50" t="s">
        <v>90</v>
      </c>
      <c r="J11" s="50" t="s">
        <v>91</v>
      </c>
      <c r="K11" s="50" t="s">
        <v>92</v>
      </c>
      <c r="L11" s="50" t="s">
        <v>93</v>
      </c>
      <c r="M11" s="50" t="s">
        <v>94</v>
      </c>
      <c r="N11" s="50" t="s">
        <v>95</v>
      </c>
      <c r="O11" s="50" t="s">
        <v>96</v>
      </c>
      <c r="P11" s="50" t="s">
        <v>97</v>
      </c>
      <c r="Q11" s="50" t="s">
        <v>98</v>
      </c>
      <c r="R11" s="50" t="s">
        <v>99</v>
      </c>
    </row>
    <row r="12" spans="1:18" x14ac:dyDescent="0.35">
      <c r="B12" s="50" t="s">
        <v>657</v>
      </c>
      <c r="D12" s="50" t="s">
        <v>100</v>
      </c>
      <c r="F12" s="50" t="s">
        <v>101</v>
      </c>
      <c r="G12" s="50" t="s">
        <v>102</v>
      </c>
      <c r="H12" s="50" t="s">
        <v>103</v>
      </c>
      <c r="I12" s="50" t="s">
        <v>104</v>
      </c>
      <c r="J12" s="50" t="s">
        <v>105</v>
      </c>
      <c r="K12" s="50" t="s">
        <v>106</v>
      </c>
      <c r="L12" s="50" t="s">
        <v>107</v>
      </c>
      <c r="M12" s="50" t="s">
        <v>108</v>
      </c>
      <c r="N12" s="50" t="s">
        <v>109</v>
      </c>
      <c r="O12" s="50" t="s">
        <v>110</v>
      </c>
      <c r="P12" s="50" t="s">
        <v>111</v>
      </c>
      <c r="Q12" s="50" t="s">
        <v>112</v>
      </c>
      <c r="R12" s="50" t="s">
        <v>113</v>
      </c>
    </row>
    <row r="13" spans="1:18" x14ac:dyDescent="0.35">
      <c r="B13" s="50" t="s">
        <v>658</v>
      </c>
      <c r="D13" s="50" t="s">
        <v>114</v>
      </c>
      <c r="F13" s="50" t="s">
        <v>115</v>
      </c>
      <c r="G13" s="50" t="s">
        <v>116</v>
      </c>
      <c r="H13" s="50" t="s">
        <v>117</v>
      </c>
      <c r="I13" s="50" t="s">
        <v>118</v>
      </c>
      <c r="J13" s="50" t="s">
        <v>119</v>
      </c>
      <c r="K13" s="50" t="s">
        <v>120</v>
      </c>
      <c r="L13" s="50" t="s">
        <v>121</v>
      </c>
      <c r="M13" s="50" t="s">
        <v>122</v>
      </c>
      <c r="N13" s="50" t="s">
        <v>123</v>
      </c>
      <c r="O13" s="50" t="s">
        <v>124</v>
      </c>
      <c r="P13" s="50" t="s">
        <v>125</v>
      </c>
      <c r="Q13" s="50" t="s">
        <v>126</v>
      </c>
      <c r="R13" s="50" t="s">
        <v>127</v>
      </c>
    </row>
    <row r="14" spans="1:18" x14ac:dyDescent="0.35">
      <c r="B14" s="50" t="s">
        <v>659</v>
      </c>
      <c r="D14" s="50" t="s">
        <v>128</v>
      </c>
      <c r="F14" s="50" t="s">
        <v>129</v>
      </c>
      <c r="G14" s="50" t="s">
        <v>130</v>
      </c>
      <c r="H14" s="50" t="s">
        <v>131</v>
      </c>
      <c r="I14" s="50" t="s">
        <v>132</v>
      </c>
      <c r="J14" s="50" t="s">
        <v>133</v>
      </c>
      <c r="K14" s="50" t="s">
        <v>134</v>
      </c>
      <c r="L14" s="50" t="s">
        <v>135</v>
      </c>
      <c r="M14" s="50" t="s">
        <v>136</v>
      </c>
      <c r="N14" s="50" t="s">
        <v>137</v>
      </c>
      <c r="O14" s="50" t="s">
        <v>138</v>
      </c>
      <c r="P14" s="50" t="s">
        <v>139</v>
      </c>
      <c r="Q14" s="50" t="s">
        <v>140</v>
      </c>
      <c r="R14" s="50" t="s">
        <v>141</v>
      </c>
    </row>
    <row r="15" spans="1:18" x14ac:dyDescent="0.35">
      <c r="B15" s="50" t="s">
        <v>660</v>
      </c>
      <c r="D15" s="50" t="s">
        <v>142</v>
      </c>
      <c r="F15" s="50" t="s">
        <v>143</v>
      </c>
      <c r="G15" s="50" t="s">
        <v>144</v>
      </c>
      <c r="H15" s="50" t="s">
        <v>145</v>
      </c>
      <c r="I15" s="50" t="s">
        <v>146</v>
      </c>
      <c r="J15" s="50" t="s">
        <v>147</v>
      </c>
      <c r="K15" s="50" t="s">
        <v>148</v>
      </c>
      <c r="L15" s="50" t="s">
        <v>149</v>
      </c>
      <c r="M15" s="50" t="s">
        <v>150</v>
      </c>
      <c r="N15" s="50" t="s">
        <v>151</v>
      </c>
      <c r="O15" s="50" t="s">
        <v>152</v>
      </c>
      <c r="P15" s="50" t="s">
        <v>153</v>
      </c>
      <c r="Q15" s="50" t="s">
        <v>154</v>
      </c>
      <c r="R15" s="50" t="s">
        <v>155</v>
      </c>
    </row>
    <row r="16" spans="1:18" x14ac:dyDescent="0.35">
      <c r="D16" s="50" t="s">
        <v>6</v>
      </c>
      <c r="F16" s="50" t="s">
        <v>661</v>
      </c>
      <c r="G16" s="50" t="s">
        <v>662</v>
      </c>
      <c r="H16" s="50" t="s">
        <v>663</v>
      </c>
      <c r="I16" s="50" t="s">
        <v>664</v>
      </c>
      <c r="J16" s="50" t="s">
        <v>665</v>
      </c>
      <c r="K16" s="50" t="s">
        <v>666</v>
      </c>
      <c r="L16" s="50" t="s">
        <v>667</v>
      </c>
      <c r="M16" s="50" t="s">
        <v>668</v>
      </c>
      <c r="N16" s="50" t="s">
        <v>669</v>
      </c>
      <c r="O16" s="50" t="s">
        <v>670</v>
      </c>
      <c r="P16" s="50" t="s">
        <v>671</v>
      </c>
      <c r="Q16" s="50" t="s">
        <v>672</v>
      </c>
      <c r="R16" s="50" t="s">
        <v>673</v>
      </c>
    </row>
    <row r="18" spans="2:18" x14ac:dyDescent="0.35">
      <c r="D18" s="50" t="s">
        <v>21</v>
      </c>
    </row>
    <row r="19" spans="2:18" x14ac:dyDescent="0.35">
      <c r="B19" s="50" t="s">
        <v>674</v>
      </c>
      <c r="D19" s="50" t="s">
        <v>159</v>
      </c>
      <c r="F19" s="50" t="s">
        <v>160</v>
      </c>
      <c r="G19" s="50" t="s">
        <v>161</v>
      </c>
      <c r="H19" s="50" t="s">
        <v>162</v>
      </c>
      <c r="I19" s="50" t="s">
        <v>163</v>
      </c>
      <c r="J19" s="50" t="s">
        <v>164</v>
      </c>
      <c r="K19" s="50" t="s">
        <v>165</v>
      </c>
      <c r="L19" s="50" t="s">
        <v>166</v>
      </c>
      <c r="M19" s="50" t="s">
        <v>167</v>
      </c>
      <c r="N19" s="50" t="s">
        <v>168</v>
      </c>
      <c r="O19" s="50" t="s">
        <v>169</v>
      </c>
      <c r="P19" s="50" t="s">
        <v>170</v>
      </c>
      <c r="Q19" s="50" t="s">
        <v>171</v>
      </c>
      <c r="R19" s="50" t="s">
        <v>172</v>
      </c>
    </row>
    <row r="20" spans="2:18" x14ac:dyDescent="0.35">
      <c r="B20" s="50" t="s">
        <v>675</v>
      </c>
      <c r="D20" s="50" t="s">
        <v>927</v>
      </c>
      <c r="F20" s="50" t="s">
        <v>969</v>
      </c>
      <c r="G20" s="50" t="s">
        <v>970</v>
      </c>
      <c r="H20" s="50" t="s">
        <v>971</v>
      </c>
      <c r="I20" s="50" t="s">
        <v>972</v>
      </c>
      <c r="J20" s="50" t="s">
        <v>973</v>
      </c>
      <c r="K20" s="50" t="s">
        <v>974</v>
      </c>
      <c r="L20" s="50" t="s">
        <v>975</v>
      </c>
      <c r="M20" s="50" t="s">
        <v>976</v>
      </c>
      <c r="N20" s="50" t="s">
        <v>977</v>
      </c>
      <c r="O20" s="50" t="s">
        <v>978</v>
      </c>
      <c r="P20" s="50" t="s">
        <v>979</v>
      </c>
      <c r="Q20" s="50" t="s">
        <v>980</v>
      </c>
      <c r="R20" s="50" t="s">
        <v>981</v>
      </c>
    </row>
    <row r="21" spans="2:18" x14ac:dyDescent="0.35">
      <c r="B21" s="50" t="s">
        <v>676</v>
      </c>
      <c r="D21" s="50" t="s">
        <v>941</v>
      </c>
      <c r="F21" s="50" t="s">
        <v>982</v>
      </c>
      <c r="G21" s="50" t="s">
        <v>983</v>
      </c>
      <c r="H21" s="50" t="s">
        <v>984</v>
      </c>
      <c r="I21" s="50" t="s">
        <v>985</v>
      </c>
      <c r="J21" s="50" t="s">
        <v>986</v>
      </c>
      <c r="K21" s="50" t="s">
        <v>987</v>
      </c>
      <c r="L21" s="50" t="s">
        <v>988</v>
      </c>
      <c r="M21" s="50" t="s">
        <v>989</v>
      </c>
      <c r="N21" s="50" t="s">
        <v>990</v>
      </c>
      <c r="O21" s="50" t="s">
        <v>991</v>
      </c>
      <c r="P21" s="50" t="s">
        <v>992</v>
      </c>
      <c r="Q21" s="50" t="s">
        <v>993</v>
      </c>
      <c r="R21" s="50" t="s">
        <v>994</v>
      </c>
    </row>
    <row r="22" spans="2:18" x14ac:dyDescent="0.35">
      <c r="B22" s="50" t="s">
        <v>677</v>
      </c>
      <c r="D22" s="50" t="s">
        <v>955</v>
      </c>
      <c r="F22" s="50" t="s">
        <v>995</v>
      </c>
      <c r="G22" s="50" t="s">
        <v>996</v>
      </c>
      <c r="H22" s="50" t="s">
        <v>997</v>
      </c>
      <c r="I22" s="50" t="s">
        <v>998</v>
      </c>
      <c r="J22" s="50" t="s">
        <v>999</v>
      </c>
      <c r="K22" s="50" t="s">
        <v>1000</v>
      </c>
      <c r="L22" s="50" t="s">
        <v>1001</v>
      </c>
      <c r="M22" s="50" t="s">
        <v>1002</v>
      </c>
      <c r="N22" s="50" t="s">
        <v>1003</v>
      </c>
      <c r="O22" s="50" t="s">
        <v>1004</v>
      </c>
      <c r="P22" s="50" t="s">
        <v>1005</v>
      </c>
      <c r="Q22" s="50" t="s">
        <v>1006</v>
      </c>
      <c r="R22" s="50" t="s">
        <v>1007</v>
      </c>
    </row>
    <row r="23" spans="2:18" x14ac:dyDescent="0.35">
      <c r="D23" s="50" t="s">
        <v>23</v>
      </c>
      <c r="F23" s="50" t="s">
        <v>678</v>
      </c>
      <c r="G23" s="50" t="s">
        <v>679</v>
      </c>
      <c r="H23" s="50" t="s">
        <v>680</v>
      </c>
      <c r="I23" s="50" t="s">
        <v>681</v>
      </c>
      <c r="J23" s="50" t="s">
        <v>682</v>
      </c>
      <c r="K23" s="50" t="s">
        <v>683</v>
      </c>
      <c r="L23" s="50" t="s">
        <v>684</v>
      </c>
      <c r="M23" s="50" t="s">
        <v>685</v>
      </c>
      <c r="N23" s="50" t="s">
        <v>686</v>
      </c>
      <c r="O23" s="50" t="s">
        <v>687</v>
      </c>
      <c r="P23" s="50" t="s">
        <v>688</v>
      </c>
      <c r="Q23" s="50" t="s">
        <v>689</v>
      </c>
      <c r="R23" s="50" t="s">
        <v>690</v>
      </c>
    </row>
    <row r="25" spans="2:18" x14ac:dyDescent="0.35">
      <c r="D25" s="50" t="s">
        <v>10</v>
      </c>
      <c r="F25" s="50" t="s">
        <v>691</v>
      </c>
      <c r="G25" s="50" t="s">
        <v>692</v>
      </c>
      <c r="H25" s="50" t="s">
        <v>693</v>
      </c>
      <c r="I25" s="50" t="s">
        <v>694</v>
      </c>
      <c r="J25" s="50" t="s">
        <v>695</v>
      </c>
      <c r="K25" s="50" t="s">
        <v>696</v>
      </c>
      <c r="L25" s="50" t="s">
        <v>697</v>
      </c>
      <c r="M25" s="50" t="s">
        <v>698</v>
      </c>
      <c r="N25" s="50" t="s">
        <v>699</v>
      </c>
      <c r="O25" s="50" t="s">
        <v>700</v>
      </c>
      <c r="P25" s="50" t="s">
        <v>701</v>
      </c>
      <c r="Q25" s="50" t="s">
        <v>702</v>
      </c>
      <c r="R25" s="50" t="s">
        <v>703</v>
      </c>
    </row>
    <row r="27" spans="2:18" x14ac:dyDescent="0.35">
      <c r="D27" s="50" t="s">
        <v>7</v>
      </c>
    </row>
    <row r="28" spans="2:18" x14ac:dyDescent="0.35">
      <c r="B28" s="50" t="s">
        <v>704</v>
      </c>
      <c r="D28" s="50" t="s">
        <v>176</v>
      </c>
      <c r="F28" s="50" t="s">
        <v>177</v>
      </c>
      <c r="G28" s="50" t="s">
        <v>178</v>
      </c>
      <c r="H28" s="50" t="s">
        <v>179</v>
      </c>
      <c r="I28" s="50" t="s">
        <v>180</v>
      </c>
      <c r="J28" s="50" t="s">
        <v>181</v>
      </c>
      <c r="K28" s="50" t="s">
        <v>182</v>
      </c>
      <c r="L28" s="50" t="s">
        <v>183</v>
      </c>
      <c r="M28" s="50" t="s">
        <v>184</v>
      </c>
      <c r="N28" s="50" t="s">
        <v>185</v>
      </c>
      <c r="O28" s="50" t="s">
        <v>186</v>
      </c>
      <c r="P28" s="50" t="s">
        <v>187</v>
      </c>
      <c r="Q28" s="50" t="s">
        <v>188</v>
      </c>
      <c r="R28" s="50" t="s">
        <v>189</v>
      </c>
    </row>
    <row r="29" spans="2:18" x14ac:dyDescent="0.35">
      <c r="B29" s="50" t="s">
        <v>705</v>
      </c>
      <c r="D29" s="50" t="s">
        <v>190</v>
      </c>
      <c r="F29" s="50" t="s">
        <v>191</v>
      </c>
      <c r="G29" s="50" t="s">
        <v>192</v>
      </c>
      <c r="H29" s="50" t="s">
        <v>193</v>
      </c>
      <c r="I29" s="50" t="s">
        <v>194</v>
      </c>
      <c r="J29" s="50" t="s">
        <v>195</v>
      </c>
      <c r="K29" s="50" t="s">
        <v>196</v>
      </c>
      <c r="L29" s="50" t="s">
        <v>197</v>
      </c>
      <c r="M29" s="50" t="s">
        <v>198</v>
      </c>
      <c r="N29" s="50" t="s">
        <v>199</v>
      </c>
      <c r="O29" s="50" t="s">
        <v>200</v>
      </c>
      <c r="P29" s="50" t="s">
        <v>201</v>
      </c>
      <c r="Q29" s="50" t="s">
        <v>202</v>
      </c>
      <c r="R29" s="50" t="s">
        <v>203</v>
      </c>
    </row>
    <row r="30" spans="2:18" x14ac:dyDescent="0.35">
      <c r="B30" s="50" t="s">
        <v>706</v>
      </c>
      <c r="D30" s="50" t="s">
        <v>204</v>
      </c>
      <c r="F30" s="50" t="s">
        <v>205</v>
      </c>
      <c r="G30" s="50" t="s">
        <v>206</v>
      </c>
      <c r="H30" s="50" t="s">
        <v>207</v>
      </c>
      <c r="I30" s="50" t="s">
        <v>208</v>
      </c>
      <c r="J30" s="50" t="s">
        <v>209</v>
      </c>
      <c r="K30" s="50" t="s">
        <v>210</v>
      </c>
      <c r="L30" s="50" t="s">
        <v>211</v>
      </c>
      <c r="M30" s="50" t="s">
        <v>212</v>
      </c>
      <c r="N30" s="50" t="s">
        <v>213</v>
      </c>
      <c r="O30" s="50" t="s">
        <v>214</v>
      </c>
      <c r="P30" s="50" t="s">
        <v>215</v>
      </c>
      <c r="Q30" s="50" t="s">
        <v>216</v>
      </c>
      <c r="R30" s="50" t="s">
        <v>217</v>
      </c>
    </row>
    <row r="31" spans="2:18" x14ac:dyDescent="0.35">
      <c r="B31" s="50" t="s">
        <v>707</v>
      </c>
      <c r="D31" s="50" t="s">
        <v>218</v>
      </c>
      <c r="F31" s="50" t="s">
        <v>219</v>
      </c>
      <c r="G31" s="50" t="s">
        <v>220</v>
      </c>
      <c r="H31" s="50" t="s">
        <v>221</v>
      </c>
      <c r="I31" s="50" t="s">
        <v>222</v>
      </c>
      <c r="J31" s="50" t="s">
        <v>223</v>
      </c>
      <c r="K31" s="50" t="s">
        <v>224</v>
      </c>
      <c r="L31" s="50" t="s">
        <v>225</v>
      </c>
      <c r="M31" s="50" t="s">
        <v>226</v>
      </c>
      <c r="N31" s="50" t="s">
        <v>227</v>
      </c>
      <c r="O31" s="50" t="s">
        <v>228</v>
      </c>
      <c r="P31" s="50" t="s">
        <v>229</v>
      </c>
      <c r="Q31" s="50" t="s">
        <v>230</v>
      </c>
      <c r="R31" s="50" t="s">
        <v>231</v>
      </c>
    </row>
    <row r="32" spans="2:18" x14ac:dyDescent="0.35">
      <c r="B32" s="50" t="s">
        <v>708</v>
      </c>
      <c r="D32" s="50" t="s">
        <v>232</v>
      </c>
      <c r="F32" s="50" t="s">
        <v>233</v>
      </c>
      <c r="G32" s="50" t="s">
        <v>234</v>
      </c>
      <c r="H32" s="50" t="s">
        <v>235</v>
      </c>
      <c r="I32" s="50" t="s">
        <v>236</v>
      </c>
      <c r="J32" s="50" t="s">
        <v>237</v>
      </c>
      <c r="K32" s="50" t="s">
        <v>238</v>
      </c>
      <c r="L32" s="50" t="s">
        <v>239</v>
      </c>
      <c r="M32" s="50" t="s">
        <v>240</v>
      </c>
      <c r="N32" s="50" t="s">
        <v>241</v>
      </c>
      <c r="O32" s="50" t="s">
        <v>242</v>
      </c>
      <c r="P32" s="50" t="s">
        <v>243</v>
      </c>
      <c r="Q32" s="50" t="s">
        <v>244</v>
      </c>
      <c r="R32" s="50" t="s">
        <v>245</v>
      </c>
    </row>
    <row r="33" spans="2:18" x14ac:dyDescent="0.35">
      <c r="B33" s="50" t="s">
        <v>709</v>
      </c>
      <c r="D33" s="50" t="s">
        <v>246</v>
      </c>
      <c r="F33" s="50" t="s">
        <v>247</v>
      </c>
      <c r="G33" s="50" t="s">
        <v>248</v>
      </c>
      <c r="H33" s="50" t="s">
        <v>249</v>
      </c>
      <c r="I33" s="50" t="s">
        <v>250</v>
      </c>
      <c r="J33" s="50" t="s">
        <v>251</v>
      </c>
      <c r="K33" s="50" t="s">
        <v>252</v>
      </c>
      <c r="L33" s="50" t="s">
        <v>253</v>
      </c>
      <c r="M33" s="50" t="s">
        <v>254</v>
      </c>
      <c r="N33" s="50" t="s">
        <v>255</v>
      </c>
      <c r="O33" s="50" t="s">
        <v>256</v>
      </c>
      <c r="P33" s="50" t="s">
        <v>257</v>
      </c>
      <c r="Q33" s="50" t="s">
        <v>258</v>
      </c>
      <c r="R33" s="50" t="s">
        <v>259</v>
      </c>
    </row>
    <row r="34" spans="2:18" x14ac:dyDescent="0.35">
      <c r="B34" s="50" t="s">
        <v>710</v>
      </c>
      <c r="D34" s="50" t="s">
        <v>260</v>
      </c>
      <c r="F34" s="50" t="s">
        <v>261</v>
      </c>
      <c r="G34" s="50" t="s">
        <v>262</v>
      </c>
      <c r="H34" s="50" t="s">
        <v>263</v>
      </c>
      <c r="I34" s="50" t="s">
        <v>264</v>
      </c>
      <c r="J34" s="50" t="s">
        <v>265</v>
      </c>
      <c r="K34" s="50" t="s">
        <v>266</v>
      </c>
      <c r="L34" s="50" t="s">
        <v>267</v>
      </c>
      <c r="M34" s="50" t="s">
        <v>268</v>
      </c>
      <c r="N34" s="50" t="s">
        <v>269</v>
      </c>
      <c r="O34" s="50" t="s">
        <v>270</v>
      </c>
      <c r="P34" s="50" t="s">
        <v>271</v>
      </c>
      <c r="Q34" s="50" t="s">
        <v>272</v>
      </c>
      <c r="R34" s="50" t="s">
        <v>273</v>
      </c>
    </row>
    <row r="35" spans="2:18" x14ac:dyDescent="0.35">
      <c r="D35" s="50" t="s">
        <v>8</v>
      </c>
      <c r="F35" s="50" t="s">
        <v>711</v>
      </c>
      <c r="G35" s="50" t="s">
        <v>712</v>
      </c>
      <c r="H35" s="50" t="s">
        <v>713</v>
      </c>
      <c r="I35" s="50" t="s">
        <v>714</v>
      </c>
      <c r="J35" s="50" t="s">
        <v>715</v>
      </c>
      <c r="K35" s="50" t="s">
        <v>716</v>
      </c>
      <c r="L35" s="50" t="s">
        <v>717</v>
      </c>
      <c r="M35" s="50" t="s">
        <v>718</v>
      </c>
      <c r="N35" s="50" t="s">
        <v>719</v>
      </c>
      <c r="O35" s="50" t="s">
        <v>720</v>
      </c>
      <c r="P35" s="50" t="s">
        <v>721</v>
      </c>
      <c r="Q35" s="50" t="s">
        <v>722</v>
      </c>
      <c r="R35" s="50" t="s">
        <v>723</v>
      </c>
    </row>
    <row r="37" spans="2:18" x14ac:dyDescent="0.35">
      <c r="D37" s="50" t="s">
        <v>24</v>
      </c>
      <c r="F37" s="50" t="s">
        <v>724</v>
      </c>
      <c r="G37" s="50" t="s">
        <v>725</v>
      </c>
      <c r="H37" s="50" t="s">
        <v>726</v>
      </c>
      <c r="I37" s="50" t="s">
        <v>727</v>
      </c>
      <c r="J37" s="50" t="s">
        <v>728</v>
      </c>
      <c r="K37" s="50" t="s">
        <v>729</v>
      </c>
      <c r="L37" s="50" t="s">
        <v>730</v>
      </c>
      <c r="M37" s="50" t="s">
        <v>731</v>
      </c>
      <c r="N37" s="50" t="s">
        <v>732</v>
      </c>
      <c r="O37" s="50" t="s">
        <v>733</v>
      </c>
      <c r="P37" s="50" t="s">
        <v>734</v>
      </c>
      <c r="Q37" s="50" t="s">
        <v>735</v>
      </c>
      <c r="R37" s="50" t="s">
        <v>736</v>
      </c>
    </row>
    <row r="39" spans="2:18" x14ac:dyDescent="0.35">
      <c r="D39" s="50" t="s">
        <v>11</v>
      </c>
    </row>
    <row r="40" spans="2:18" x14ac:dyDescent="0.35">
      <c r="B40" s="50" t="s">
        <v>737</v>
      </c>
      <c r="D40" s="50" t="s">
        <v>274</v>
      </c>
      <c r="F40" s="50" t="s">
        <v>275</v>
      </c>
      <c r="G40" s="50" t="s">
        <v>276</v>
      </c>
      <c r="H40" s="50" t="s">
        <v>277</v>
      </c>
      <c r="I40" s="50" t="s">
        <v>278</v>
      </c>
      <c r="J40" s="50" t="s">
        <v>279</v>
      </c>
      <c r="K40" s="50" t="s">
        <v>280</v>
      </c>
      <c r="L40" s="50" t="s">
        <v>281</v>
      </c>
      <c r="M40" s="50" t="s">
        <v>282</v>
      </c>
      <c r="N40" s="50" t="s">
        <v>283</v>
      </c>
      <c r="O40" s="50" t="s">
        <v>284</v>
      </c>
      <c r="P40" s="50" t="s">
        <v>285</v>
      </c>
      <c r="Q40" s="50" t="s">
        <v>286</v>
      </c>
      <c r="R40" s="50" t="s">
        <v>287</v>
      </c>
    </row>
    <row r="41" spans="2:18" x14ac:dyDescent="0.35">
      <c r="B41" s="50" t="s">
        <v>738</v>
      </c>
      <c r="D41" s="50" t="s">
        <v>288</v>
      </c>
      <c r="F41" s="50" t="s">
        <v>289</v>
      </c>
      <c r="G41" s="50" t="s">
        <v>290</v>
      </c>
      <c r="H41" s="50" t="s">
        <v>291</v>
      </c>
      <c r="I41" s="50" t="s">
        <v>292</v>
      </c>
      <c r="J41" s="50" t="s">
        <v>293</v>
      </c>
      <c r="K41" s="50" t="s">
        <v>294</v>
      </c>
      <c r="L41" s="50" t="s">
        <v>295</v>
      </c>
      <c r="M41" s="50" t="s">
        <v>296</v>
      </c>
      <c r="N41" s="50" t="s">
        <v>297</v>
      </c>
      <c r="O41" s="50" t="s">
        <v>298</v>
      </c>
      <c r="P41" s="50" t="s">
        <v>299</v>
      </c>
      <c r="Q41" s="50" t="s">
        <v>300</v>
      </c>
      <c r="R41" s="50" t="s">
        <v>301</v>
      </c>
    </row>
    <row r="42" spans="2:18" x14ac:dyDescent="0.35">
      <c r="B42" s="50" t="s">
        <v>739</v>
      </c>
      <c r="D42" s="50" t="s">
        <v>302</v>
      </c>
      <c r="F42" s="50" t="s">
        <v>303</v>
      </c>
      <c r="G42" s="50" t="s">
        <v>304</v>
      </c>
      <c r="H42" s="50" t="s">
        <v>305</v>
      </c>
      <c r="I42" s="50" t="s">
        <v>306</v>
      </c>
      <c r="J42" s="50" t="s">
        <v>307</v>
      </c>
      <c r="K42" s="50" t="s">
        <v>308</v>
      </c>
      <c r="L42" s="50" t="s">
        <v>309</v>
      </c>
      <c r="M42" s="50" t="s">
        <v>310</v>
      </c>
      <c r="N42" s="50" t="s">
        <v>311</v>
      </c>
      <c r="O42" s="50" t="s">
        <v>312</v>
      </c>
      <c r="P42" s="50" t="s">
        <v>313</v>
      </c>
      <c r="Q42" s="50" t="s">
        <v>314</v>
      </c>
      <c r="R42" s="50" t="s">
        <v>315</v>
      </c>
    </row>
    <row r="43" spans="2:18" x14ac:dyDescent="0.35">
      <c r="B43" s="50" t="s">
        <v>740</v>
      </c>
      <c r="D43" s="50" t="s">
        <v>316</v>
      </c>
      <c r="F43" s="50" t="s">
        <v>317</v>
      </c>
      <c r="G43" s="50" t="s">
        <v>318</v>
      </c>
      <c r="H43" s="50" t="s">
        <v>319</v>
      </c>
      <c r="I43" s="50" t="s">
        <v>320</v>
      </c>
      <c r="J43" s="50" t="s">
        <v>321</v>
      </c>
      <c r="K43" s="50" t="s">
        <v>322</v>
      </c>
      <c r="L43" s="50" t="s">
        <v>323</v>
      </c>
      <c r="M43" s="50" t="s">
        <v>324</v>
      </c>
      <c r="N43" s="50" t="s">
        <v>325</v>
      </c>
      <c r="O43" s="50" t="s">
        <v>326</v>
      </c>
      <c r="P43" s="50" t="s">
        <v>327</v>
      </c>
      <c r="Q43" s="50" t="s">
        <v>328</v>
      </c>
      <c r="R43" s="50" t="s">
        <v>329</v>
      </c>
    </row>
    <row r="44" spans="2:18" x14ac:dyDescent="0.35">
      <c r="B44" s="50" t="s">
        <v>741</v>
      </c>
      <c r="D44" s="50" t="s">
        <v>330</v>
      </c>
      <c r="F44" s="50" t="s">
        <v>331</v>
      </c>
      <c r="G44" s="50" t="s">
        <v>332</v>
      </c>
      <c r="H44" s="50" t="s">
        <v>333</v>
      </c>
      <c r="I44" s="50" t="s">
        <v>334</v>
      </c>
      <c r="J44" s="50" t="s">
        <v>335</v>
      </c>
      <c r="K44" s="50" t="s">
        <v>336</v>
      </c>
      <c r="L44" s="50" t="s">
        <v>337</v>
      </c>
      <c r="M44" s="50" t="s">
        <v>338</v>
      </c>
      <c r="N44" s="50" t="s">
        <v>339</v>
      </c>
      <c r="O44" s="50" t="s">
        <v>340</v>
      </c>
      <c r="P44" s="50" t="s">
        <v>341</v>
      </c>
      <c r="Q44" s="50" t="s">
        <v>342</v>
      </c>
      <c r="R44" s="50" t="s">
        <v>343</v>
      </c>
    </row>
    <row r="45" spans="2:18" x14ac:dyDescent="0.35">
      <c r="B45" s="50" t="s">
        <v>742</v>
      </c>
      <c r="D45" s="50" t="s">
        <v>344</v>
      </c>
      <c r="F45" s="50" t="s">
        <v>345</v>
      </c>
      <c r="G45" s="50" t="s">
        <v>346</v>
      </c>
      <c r="H45" s="50" t="s">
        <v>347</v>
      </c>
      <c r="I45" s="50" t="s">
        <v>348</v>
      </c>
      <c r="J45" s="50" t="s">
        <v>349</v>
      </c>
      <c r="K45" s="50" t="s">
        <v>350</v>
      </c>
      <c r="L45" s="50" t="s">
        <v>351</v>
      </c>
      <c r="M45" s="50" t="s">
        <v>352</v>
      </c>
      <c r="N45" s="50" t="s">
        <v>353</v>
      </c>
      <c r="O45" s="50" t="s">
        <v>354</v>
      </c>
      <c r="P45" s="50" t="s">
        <v>355</v>
      </c>
      <c r="Q45" s="50" t="s">
        <v>356</v>
      </c>
      <c r="R45" s="50" t="s">
        <v>357</v>
      </c>
    </row>
    <row r="46" spans="2:18" x14ac:dyDescent="0.35">
      <c r="D46" s="50" t="s">
        <v>12</v>
      </c>
      <c r="F46" s="50" t="s">
        <v>743</v>
      </c>
      <c r="G46" s="50" t="s">
        <v>744</v>
      </c>
      <c r="H46" s="50" t="s">
        <v>745</v>
      </c>
      <c r="I46" s="50" t="s">
        <v>746</v>
      </c>
      <c r="J46" s="50" t="s">
        <v>747</v>
      </c>
      <c r="K46" s="50" t="s">
        <v>748</v>
      </c>
      <c r="L46" s="50" t="s">
        <v>749</v>
      </c>
      <c r="M46" s="50" t="s">
        <v>750</v>
      </c>
      <c r="N46" s="50" t="s">
        <v>751</v>
      </c>
      <c r="O46" s="50" t="s">
        <v>752</v>
      </c>
      <c r="P46" s="50" t="s">
        <v>753</v>
      </c>
      <c r="Q46" s="50" t="s">
        <v>754</v>
      </c>
      <c r="R46" s="50" t="s">
        <v>755</v>
      </c>
    </row>
    <row r="48" spans="2:18" x14ac:dyDescent="0.35">
      <c r="D48" s="50" t="s">
        <v>9</v>
      </c>
      <c r="F48" s="50" t="s">
        <v>756</v>
      </c>
      <c r="G48" s="50" t="s">
        <v>757</v>
      </c>
      <c r="H48" s="50" t="s">
        <v>758</v>
      </c>
      <c r="I48" s="50" t="s">
        <v>759</v>
      </c>
      <c r="J48" s="50" t="s">
        <v>760</v>
      </c>
      <c r="K48" s="50" t="s">
        <v>761</v>
      </c>
      <c r="L48" s="50" t="s">
        <v>762</v>
      </c>
      <c r="M48" s="50" t="s">
        <v>763</v>
      </c>
      <c r="N48" s="50" t="s">
        <v>764</v>
      </c>
      <c r="O48" s="50" t="s">
        <v>765</v>
      </c>
      <c r="P48" s="50" t="s">
        <v>766</v>
      </c>
      <c r="Q48" s="50" t="s">
        <v>767</v>
      </c>
      <c r="R48" s="50" t="s">
        <v>768</v>
      </c>
    </row>
    <row r="50" spans="2:18" x14ac:dyDescent="0.35">
      <c r="B50" s="50" t="s">
        <v>769</v>
      </c>
      <c r="D50" s="50" t="s">
        <v>361</v>
      </c>
      <c r="F50" s="50" t="s">
        <v>362</v>
      </c>
      <c r="G50" s="50" t="s">
        <v>363</v>
      </c>
      <c r="H50" s="50" t="s">
        <v>364</v>
      </c>
      <c r="I50" s="50" t="s">
        <v>365</v>
      </c>
      <c r="J50" s="50" t="s">
        <v>366</v>
      </c>
      <c r="K50" s="50" t="s">
        <v>367</v>
      </c>
      <c r="L50" s="50" t="s">
        <v>368</v>
      </c>
      <c r="M50" s="50" t="s">
        <v>369</v>
      </c>
      <c r="N50" s="50" t="s">
        <v>370</v>
      </c>
      <c r="O50" s="50" t="s">
        <v>371</v>
      </c>
      <c r="P50" s="50" t="s">
        <v>372</v>
      </c>
      <c r="Q50" s="50" t="s">
        <v>373</v>
      </c>
      <c r="R50" s="50" t="s">
        <v>374</v>
      </c>
    </row>
    <row r="52" spans="2:18" x14ac:dyDescent="0.35">
      <c r="D52" s="50" t="s">
        <v>13</v>
      </c>
      <c r="F52" s="50" t="s">
        <v>770</v>
      </c>
      <c r="G52" s="50" t="s">
        <v>771</v>
      </c>
      <c r="H52" s="50" t="s">
        <v>772</v>
      </c>
      <c r="I52" s="50" t="s">
        <v>773</v>
      </c>
      <c r="J52" s="50" t="s">
        <v>774</v>
      </c>
      <c r="K52" s="50" t="s">
        <v>775</v>
      </c>
      <c r="L52" s="50" t="s">
        <v>776</v>
      </c>
      <c r="M52" s="50" t="s">
        <v>777</v>
      </c>
      <c r="N52" s="50" t="s">
        <v>778</v>
      </c>
      <c r="O52" s="50" t="s">
        <v>779</v>
      </c>
      <c r="P52" s="50" t="s">
        <v>780</v>
      </c>
      <c r="Q52" s="50" t="s">
        <v>781</v>
      </c>
      <c r="R52" s="50" t="s">
        <v>782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52"/>
  <sheetViews>
    <sheetView workbookViewId="0"/>
  </sheetViews>
  <sheetFormatPr defaultRowHeight="14.5" x14ac:dyDescent="0.35"/>
  <sheetData>
    <row r="1" spans="1:18" x14ac:dyDescent="0.35">
      <c r="A1" s="50" t="s">
        <v>783</v>
      </c>
      <c r="B1" s="50" t="s">
        <v>14</v>
      </c>
      <c r="D1" s="50" t="s">
        <v>15</v>
      </c>
      <c r="F1" s="50" t="s">
        <v>15</v>
      </c>
      <c r="G1" s="50" t="s">
        <v>15</v>
      </c>
      <c r="H1" s="50" t="s">
        <v>15</v>
      </c>
      <c r="I1" s="50" t="s">
        <v>15</v>
      </c>
      <c r="J1" s="50" t="s">
        <v>15</v>
      </c>
      <c r="K1" s="50" t="s">
        <v>15</v>
      </c>
      <c r="L1" s="50" t="s">
        <v>15</v>
      </c>
      <c r="M1" s="50" t="s">
        <v>15</v>
      </c>
      <c r="N1" s="50" t="s">
        <v>15</v>
      </c>
      <c r="O1" s="50" t="s">
        <v>15</v>
      </c>
      <c r="P1" s="50" t="s">
        <v>15</v>
      </c>
      <c r="Q1" s="50" t="s">
        <v>15</v>
      </c>
      <c r="R1" s="50" t="s">
        <v>15</v>
      </c>
    </row>
    <row r="2" spans="1:18" x14ac:dyDescent="0.35">
      <c r="A2" s="50" t="s">
        <v>14</v>
      </c>
      <c r="F2" s="50" t="s">
        <v>18</v>
      </c>
      <c r="G2" s="50" t="s">
        <v>18</v>
      </c>
      <c r="H2" s="50" t="s">
        <v>18</v>
      </c>
      <c r="I2" s="50" t="s">
        <v>18</v>
      </c>
      <c r="J2" s="50" t="s">
        <v>18</v>
      </c>
      <c r="K2" s="50" t="s">
        <v>18</v>
      </c>
      <c r="L2" s="50" t="s">
        <v>18</v>
      </c>
      <c r="M2" s="50" t="s">
        <v>18</v>
      </c>
      <c r="N2" s="50" t="s">
        <v>18</v>
      </c>
      <c r="O2" s="50" t="s">
        <v>18</v>
      </c>
      <c r="P2" s="50" t="s">
        <v>18</v>
      </c>
      <c r="Q2" s="50" t="s">
        <v>18</v>
      </c>
      <c r="R2" s="50" t="s">
        <v>20</v>
      </c>
    </row>
    <row r="4" spans="1:18" x14ac:dyDescent="0.35">
      <c r="D4" s="50" t="s">
        <v>0</v>
      </c>
      <c r="Q4" s="50" t="s">
        <v>16</v>
      </c>
      <c r="R4" s="50" t="s">
        <v>33</v>
      </c>
    </row>
    <row r="6" spans="1:18" x14ac:dyDescent="0.35">
      <c r="F6" s="50" t="s">
        <v>34</v>
      </c>
      <c r="G6" s="50" t="s">
        <v>35</v>
      </c>
      <c r="H6" s="50" t="s">
        <v>36</v>
      </c>
      <c r="I6" s="50" t="s">
        <v>37</v>
      </c>
      <c r="J6" s="50" t="s">
        <v>38</v>
      </c>
      <c r="K6" s="50" t="s">
        <v>39</v>
      </c>
      <c r="L6" s="50" t="s">
        <v>40</v>
      </c>
      <c r="M6" s="50" t="s">
        <v>41</v>
      </c>
      <c r="N6" s="50" t="s">
        <v>42</v>
      </c>
      <c r="O6" s="50" t="s">
        <v>43</v>
      </c>
      <c r="P6" s="50" t="s">
        <v>44</v>
      </c>
      <c r="Q6" s="50" t="s">
        <v>45</v>
      </c>
      <c r="R6" s="50" t="s">
        <v>33</v>
      </c>
    </row>
    <row r="7" spans="1:18" x14ac:dyDescent="0.35">
      <c r="A7" s="50" t="s">
        <v>14</v>
      </c>
      <c r="B7" s="50" t="s">
        <v>25</v>
      </c>
      <c r="F7" s="50" t="s">
        <v>46</v>
      </c>
      <c r="G7" s="50" t="s">
        <v>47</v>
      </c>
      <c r="H7" s="50" t="s">
        <v>48</v>
      </c>
      <c r="I7" s="50" t="s">
        <v>49</v>
      </c>
      <c r="J7" s="50" t="s">
        <v>50</v>
      </c>
      <c r="K7" s="50" t="s">
        <v>51</v>
      </c>
      <c r="L7" s="50" t="s">
        <v>52</v>
      </c>
      <c r="M7" s="50" t="s">
        <v>53</v>
      </c>
      <c r="N7" s="50" t="s">
        <v>54</v>
      </c>
      <c r="O7" s="50" t="s">
        <v>55</v>
      </c>
      <c r="P7" s="50" t="s">
        <v>56</v>
      </c>
      <c r="Q7" s="50" t="s">
        <v>57</v>
      </c>
      <c r="R7" s="50" t="s">
        <v>58</v>
      </c>
    </row>
    <row r="8" spans="1:18" x14ac:dyDescent="0.35">
      <c r="A8" s="50" t="s">
        <v>14</v>
      </c>
      <c r="F8" s="50" t="s">
        <v>59</v>
      </c>
      <c r="G8" s="50" t="s">
        <v>60</v>
      </c>
      <c r="H8" s="50" t="s">
        <v>61</v>
      </c>
      <c r="I8" s="50" t="s">
        <v>62</v>
      </c>
      <c r="J8" s="50" t="s">
        <v>63</v>
      </c>
      <c r="K8" s="50" t="s">
        <v>64</v>
      </c>
      <c r="L8" s="50" t="s">
        <v>65</v>
      </c>
      <c r="M8" s="50" t="s">
        <v>66</v>
      </c>
      <c r="N8" s="50" t="s">
        <v>67</v>
      </c>
      <c r="O8" s="50" t="s">
        <v>68</v>
      </c>
      <c r="P8" s="50" t="s">
        <v>69</v>
      </c>
      <c r="Q8" s="50" t="s">
        <v>70</v>
      </c>
      <c r="R8" s="50" t="s">
        <v>71</v>
      </c>
    </row>
    <row r="9" spans="1:18" x14ac:dyDescent="0.35">
      <c r="B9" s="50" t="s">
        <v>22</v>
      </c>
      <c r="D9" s="50" t="s">
        <v>5</v>
      </c>
    </row>
    <row r="10" spans="1:18" x14ac:dyDescent="0.35">
      <c r="B10" s="50" t="s">
        <v>655</v>
      </c>
      <c r="D10" s="50" t="s">
        <v>654</v>
      </c>
      <c r="F10" s="50" t="s">
        <v>654</v>
      </c>
      <c r="G10" s="50" t="s">
        <v>654</v>
      </c>
      <c r="H10" s="50" t="s">
        <v>654</v>
      </c>
      <c r="I10" s="50" t="s">
        <v>654</v>
      </c>
      <c r="J10" s="50" t="s">
        <v>654</v>
      </c>
      <c r="K10" s="50" t="s">
        <v>654</v>
      </c>
      <c r="L10" s="50" t="s">
        <v>654</v>
      </c>
      <c r="M10" s="50" t="s">
        <v>654</v>
      </c>
      <c r="N10" s="50" t="s">
        <v>654</v>
      </c>
      <c r="O10" s="50" t="s">
        <v>654</v>
      </c>
      <c r="P10" s="50" t="s">
        <v>654</v>
      </c>
      <c r="Q10" s="50" t="s">
        <v>654</v>
      </c>
      <c r="R10" s="50" t="s">
        <v>654</v>
      </c>
    </row>
    <row r="11" spans="1:18" x14ac:dyDescent="0.35">
      <c r="B11" s="50" t="s">
        <v>656</v>
      </c>
      <c r="D11" s="50" t="s">
        <v>654</v>
      </c>
      <c r="F11" s="50" t="s">
        <v>654</v>
      </c>
      <c r="G11" s="50" t="s">
        <v>654</v>
      </c>
      <c r="H11" s="50" t="s">
        <v>654</v>
      </c>
      <c r="I11" s="50" t="s">
        <v>654</v>
      </c>
      <c r="J11" s="50" t="s">
        <v>654</v>
      </c>
      <c r="K11" s="50" t="s">
        <v>654</v>
      </c>
      <c r="L11" s="50" t="s">
        <v>654</v>
      </c>
      <c r="M11" s="50" t="s">
        <v>654</v>
      </c>
      <c r="N11" s="50" t="s">
        <v>654</v>
      </c>
      <c r="O11" s="50" t="s">
        <v>654</v>
      </c>
      <c r="P11" s="50" t="s">
        <v>654</v>
      </c>
      <c r="Q11" s="50" t="s">
        <v>654</v>
      </c>
      <c r="R11" s="50" t="s">
        <v>654</v>
      </c>
    </row>
    <row r="12" spans="1:18" x14ac:dyDescent="0.35">
      <c r="B12" s="50" t="s">
        <v>657</v>
      </c>
      <c r="D12" s="50" t="s">
        <v>654</v>
      </c>
      <c r="F12" s="50" t="s">
        <v>654</v>
      </c>
      <c r="G12" s="50" t="s">
        <v>654</v>
      </c>
      <c r="H12" s="50" t="s">
        <v>654</v>
      </c>
      <c r="I12" s="50" t="s">
        <v>654</v>
      </c>
      <c r="J12" s="50" t="s">
        <v>654</v>
      </c>
      <c r="K12" s="50" t="s">
        <v>654</v>
      </c>
      <c r="L12" s="50" t="s">
        <v>654</v>
      </c>
      <c r="M12" s="50" t="s">
        <v>654</v>
      </c>
      <c r="N12" s="50" t="s">
        <v>654</v>
      </c>
      <c r="O12" s="50" t="s">
        <v>654</v>
      </c>
      <c r="P12" s="50" t="s">
        <v>654</v>
      </c>
      <c r="Q12" s="50" t="s">
        <v>654</v>
      </c>
      <c r="R12" s="50" t="s">
        <v>654</v>
      </c>
    </row>
    <row r="13" spans="1:18" x14ac:dyDescent="0.35">
      <c r="B13" s="50" t="s">
        <v>658</v>
      </c>
      <c r="D13" s="50" t="s">
        <v>654</v>
      </c>
      <c r="F13" s="50" t="s">
        <v>654</v>
      </c>
      <c r="G13" s="50" t="s">
        <v>654</v>
      </c>
      <c r="H13" s="50" t="s">
        <v>654</v>
      </c>
      <c r="I13" s="50" t="s">
        <v>654</v>
      </c>
      <c r="J13" s="50" t="s">
        <v>654</v>
      </c>
      <c r="K13" s="50" t="s">
        <v>654</v>
      </c>
      <c r="L13" s="50" t="s">
        <v>654</v>
      </c>
      <c r="M13" s="50" t="s">
        <v>654</v>
      </c>
      <c r="N13" s="50" t="s">
        <v>654</v>
      </c>
      <c r="O13" s="50" t="s">
        <v>654</v>
      </c>
      <c r="P13" s="50" t="s">
        <v>654</v>
      </c>
      <c r="Q13" s="50" t="s">
        <v>654</v>
      </c>
      <c r="R13" s="50" t="s">
        <v>654</v>
      </c>
    </row>
    <row r="14" spans="1:18" x14ac:dyDescent="0.35">
      <c r="B14" s="50" t="s">
        <v>659</v>
      </c>
      <c r="D14" s="50" t="s">
        <v>654</v>
      </c>
      <c r="F14" s="50" t="s">
        <v>654</v>
      </c>
      <c r="G14" s="50" t="s">
        <v>654</v>
      </c>
      <c r="H14" s="50" t="s">
        <v>654</v>
      </c>
      <c r="I14" s="50" t="s">
        <v>654</v>
      </c>
      <c r="J14" s="50" t="s">
        <v>654</v>
      </c>
      <c r="K14" s="50" t="s">
        <v>654</v>
      </c>
      <c r="L14" s="50" t="s">
        <v>654</v>
      </c>
      <c r="M14" s="50" t="s">
        <v>654</v>
      </c>
      <c r="N14" s="50" t="s">
        <v>654</v>
      </c>
      <c r="O14" s="50" t="s">
        <v>654</v>
      </c>
      <c r="P14" s="50" t="s">
        <v>654</v>
      </c>
      <c r="Q14" s="50" t="s">
        <v>654</v>
      </c>
      <c r="R14" s="50" t="s">
        <v>654</v>
      </c>
    </row>
    <row r="15" spans="1:18" x14ac:dyDescent="0.35">
      <c r="B15" s="50" t="s">
        <v>660</v>
      </c>
      <c r="D15" s="50" t="s">
        <v>654</v>
      </c>
      <c r="F15" s="50" t="s">
        <v>654</v>
      </c>
      <c r="G15" s="50" t="s">
        <v>654</v>
      </c>
      <c r="H15" s="50" t="s">
        <v>654</v>
      </c>
      <c r="I15" s="50" t="s">
        <v>654</v>
      </c>
      <c r="J15" s="50" t="s">
        <v>654</v>
      </c>
      <c r="K15" s="50" t="s">
        <v>654</v>
      </c>
      <c r="L15" s="50" t="s">
        <v>654</v>
      </c>
      <c r="M15" s="50" t="s">
        <v>654</v>
      </c>
      <c r="N15" s="50" t="s">
        <v>654</v>
      </c>
      <c r="O15" s="50" t="s">
        <v>654</v>
      </c>
      <c r="P15" s="50" t="s">
        <v>654</v>
      </c>
      <c r="Q15" s="50" t="s">
        <v>654</v>
      </c>
      <c r="R15" s="50" t="s">
        <v>654</v>
      </c>
    </row>
    <row r="16" spans="1:18" x14ac:dyDescent="0.35">
      <c r="D16" s="50" t="s">
        <v>6</v>
      </c>
      <c r="F16" s="50" t="s">
        <v>661</v>
      </c>
      <c r="G16" s="50" t="s">
        <v>662</v>
      </c>
      <c r="H16" s="50" t="s">
        <v>663</v>
      </c>
      <c r="I16" s="50" t="s">
        <v>664</v>
      </c>
      <c r="J16" s="50" t="s">
        <v>665</v>
      </c>
      <c r="K16" s="50" t="s">
        <v>666</v>
      </c>
      <c r="L16" s="50" t="s">
        <v>667</v>
      </c>
      <c r="M16" s="50" t="s">
        <v>668</v>
      </c>
      <c r="N16" s="50" t="s">
        <v>669</v>
      </c>
      <c r="O16" s="50" t="s">
        <v>670</v>
      </c>
      <c r="P16" s="50" t="s">
        <v>671</v>
      </c>
      <c r="Q16" s="50" t="s">
        <v>672</v>
      </c>
      <c r="R16" s="50" t="s">
        <v>673</v>
      </c>
    </row>
    <row r="18" spans="2:18" x14ac:dyDescent="0.35">
      <c r="D18" s="50" t="s">
        <v>21</v>
      </c>
    </row>
    <row r="19" spans="2:18" x14ac:dyDescent="0.35">
      <c r="B19" s="50" t="s">
        <v>674</v>
      </c>
      <c r="D19" s="50" t="s">
        <v>654</v>
      </c>
      <c r="F19" s="50" t="s">
        <v>654</v>
      </c>
      <c r="G19" s="50" t="s">
        <v>654</v>
      </c>
      <c r="H19" s="50" t="s">
        <v>654</v>
      </c>
      <c r="I19" s="50" t="s">
        <v>654</v>
      </c>
      <c r="J19" s="50" t="s">
        <v>654</v>
      </c>
      <c r="K19" s="50" t="s">
        <v>654</v>
      </c>
      <c r="L19" s="50" t="s">
        <v>654</v>
      </c>
      <c r="M19" s="50" t="s">
        <v>654</v>
      </c>
      <c r="N19" s="50" t="s">
        <v>654</v>
      </c>
      <c r="O19" s="50" t="s">
        <v>654</v>
      </c>
      <c r="P19" s="50" t="s">
        <v>654</v>
      </c>
      <c r="Q19" s="50" t="s">
        <v>654</v>
      </c>
      <c r="R19" s="50" t="s">
        <v>654</v>
      </c>
    </row>
    <row r="20" spans="2:18" x14ac:dyDescent="0.35">
      <c r="B20" s="50" t="s">
        <v>675</v>
      </c>
      <c r="D20" s="50" t="s">
        <v>654</v>
      </c>
      <c r="F20" s="50" t="s">
        <v>654</v>
      </c>
      <c r="G20" s="50" t="s">
        <v>654</v>
      </c>
      <c r="H20" s="50" t="s">
        <v>654</v>
      </c>
      <c r="I20" s="50" t="s">
        <v>654</v>
      </c>
      <c r="J20" s="50" t="s">
        <v>654</v>
      </c>
      <c r="K20" s="50" t="s">
        <v>654</v>
      </c>
      <c r="L20" s="50" t="s">
        <v>654</v>
      </c>
      <c r="M20" s="50" t="s">
        <v>654</v>
      </c>
      <c r="N20" s="50" t="s">
        <v>654</v>
      </c>
      <c r="O20" s="50" t="s">
        <v>654</v>
      </c>
      <c r="P20" s="50" t="s">
        <v>654</v>
      </c>
      <c r="Q20" s="50" t="s">
        <v>654</v>
      </c>
      <c r="R20" s="50" t="s">
        <v>654</v>
      </c>
    </row>
    <row r="21" spans="2:18" x14ac:dyDescent="0.35">
      <c r="B21" s="50" t="s">
        <v>676</v>
      </c>
      <c r="D21" s="50" t="s">
        <v>654</v>
      </c>
      <c r="F21" s="50" t="s">
        <v>654</v>
      </c>
      <c r="G21" s="50" t="s">
        <v>654</v>
      </c>
      <c r="H21" s="50" t="s">
        <v>654</v>
      </c>
      <c r="I21" s="50" t="s">
        <v>654</v>
      </c>
      <c r="J21" s="50" t="s">
        <v>654</v>
      </c>
      <c r="K21" s="50" t="s">
        <v>654</v>
      </c>
      <c r="L21" s="50" t="s">
        <v>654</v>
      </c>
      <c r="M21" s="50" t="s">
        <v>654</v>
      </c>
      <c r="N21" s="50" t="s">
        <v>654</v>
      </c>
      <c r="O21" s="50" t="s">
        <v>654</v>
      </c>
      <c r="P21" s="50" t="s">
        <v>654</v>
      </c>
      <c r="Q21" s="50" t="s">
        <v>654</v>
      </c>
      <c r="R21" s="50" t="s">
        <v>654</v>
      </c>
    </row>
    <row r="22" spans="2:18" x14ac:dyDescent="0.35">
      <c r="B22" s="50" t="s">
        <v>677</v>
      </c>
      <c r="D22" s="50" t="s">
        <v>654</v>
      </c>
      <c r="F22" s="50" t="s">
        <v>654</v>
      </c>
      <c r="G22" s="50" t="s">
        <v>654</v>
      </c>
      <c r="H22" s="50" t="s">
        <v>654</v>
      </c>
      <c r="I22" s="50" t="s">
        <v>654</v>
      </c>
      <c r="J22" s="50" t="s">
        <v>654</v>
      </c>
      <c r="K22" s="50" t="s">
        <v>654</v>
      </c>
      <c r="L22" s="50" t="s">
        <v>654</v>
      </c>
      <c r="M22" s="50" t="s">
        <v>654</v>
      </c>
      <c r="N22" s="50" t="s">
        <v>654</v>
      </c>
      <c r="O22" s="50" t="s">
        <v>654</v>
      </c>
      <c r="P22" s="50" t="s">
        <v>654</v>
      </c>
      <c r="Q22" s="50" t="s">
        <v>654</v>
      </c>
      <c r="R22" s="50" t="s">
        <v>654</v>
      </c>
    </row>
    <row r="23" spans="2:18" x14ac:dyDescent="0.35">
      <c r="D23" s="50" t="s">
        <v>23</v>
      </c>
      <c r="F23" s="50" t="s">
        <v>678</v>
      </c>
      <c r="G23" s="50" t="s">
        <v>679</v>
      </c>
      <c r="H23" s="50" t="s">
        <v>680</v>
      </c>
      <c r="I23" s="50" t="s">
        <v>681</v>
      </c>
      <c r="J23" s="50" t="s">
        <v>682</v>
      </c>
      <c r="K23" s="50" t="s">
        <v>683</v>
      </c>
      <c r="L23" s="50" t="s">
        <v>684</v>
      </c>
      <c r="M23" s="50" t="s">
        <v>685</v>
      </c>
      <c r="N23" s="50" t="s">
        <v>686</v>
      </c>
      <c r="O23" s="50" t="s">
        <v>687</v>
      </c>
      <c r="P23" s="50" t="s">
        <v>688</v>
      </c>
      <c r="Q23" s="50" t="s">
        <v>689</v>
      </c>
      <c r="R23" s="50" t="s">
        <v>690</v>
      </c>
    </row>
    <row r="25" spans="2:18" x14ac:dyDescent="0.35">
      <c r="D25" s="50" t="s">
        <v>10</v>
      </c>
      <c r="F25" s="50" t="s">
        <v>691</v>
      </c>
      <c r="G25" s="50" t="s">
        <v>692</v>
      </c>
      <c r="H25" s="50" t="s">
        <v>693</v>
      </c>
      <c r="I25" s="50" t="s">
        <v>694</v>
      </c>
      <c r="J25" s="50" t="s">
        <v>695</v>
      </c>
      <c r="K25" s="50" t="s">
        <v>696</v>
      </c>
      <c r="L25" s="50" t="s">
        <v>697</v>
      </c>
      <c r="M25" s="50" t="s">
        <v>698</v>
      </c>
      <c r="N25" s="50" t="s">
        <v>699</v>
      </c>
      <c r="O25" s="50" t="s">
        <v>700</v>
      </c>
      <c r="P25" s="50" t="s">
        <v>701</v>
      </c>
      <c r="Q25" s="50" t="s">
        <v>702</v>
      </c>
      <c r="R25" s="50" t="s">
        <v>703</v>
      </c>
    </row>
    <row r="27" spans="2:18" x14ac:dyDescent="0.35">
      <c r="D27" s="50" t="s">
        <v>7</v>
      </c>
    </row>
    <row r="28" spans="2:18" x14ac:dyDescent="0.35">
      <c r="B28" s="50" t="s">
        <v>704</v>
      </c>
      <c r="D28" s="50" t="s">
        <v>654</v>
      </c>
      <c r="F28" s="50" t="s">
        <v>654</v>
      </c>
      <c r="G28" s="50" t="s">
        <v>654</v>
      </c>
      <c r="H28" s="50" t="s">
        <v>654</v>
      </c>
      <c r="I28" s="50" t="s">
        <v>654</v>
      </c>
      <c r="J28" s="50" t="s">
        <v>654</v>
      </c>
      <c r="K28" s="50" t="s">
        <v>654</v>
      </c>
      <c r="L28" s="50" t="s">
        <v>654</v>
      </c>
      <c r="M28" s="50" t="s">
        <v>654</v>
      </c>
      <c r="N28" s="50" t="s">
        <v>654</v>
      </c>
      <c r="O28" s="50" t="s">
        <v>654</v>
      </c>
      <c r="P28" s="50" t="s">
        <v>654</v>
      </c>
      <c r="Q28" s="50" t="s">
        <v>654</v>
      </c>
      <c r="R28" s="50" t="s">
        <v>654</v>
      </c>
    </row>
    <row r="29" spans="2:18" x14ac:dyDescent="0.35">
      <c r="B29" s="50" t="s">
        <v>705</v>
      </c>
      <c r="D29" s="50" t="s">
        <v>654</v>
      </c>
      <c r="F29" s="50" t="s">
        <v>654</v>
      </c>
      <c r="G29" s="50" t="s">
        <v>654</v>
      </c>
      <c r="H29" s="50" t="s">
        <v>654</v>
      </c>
      <c r="I29" s="50" t="s">
        <v>654</v>
      </c>
      <c r="J29" s="50" t="s">
        <v>654</v>
      </c>
      <c r="K29" s="50" t="s">
        <v>654</v>
      </c>
      <c r="L29" s="50" t="s">
        <v>654</v>
      </c>
      <c r="M29" s="50" t="s">
        <v>654</v>
      </c>
      <c r="N29" s="50" t="s">
        <v>654</v>
      </c>
      <c r="O29" s="50" t="s">
        <v>654</v>
      </c>
      <c r="P29" s="50" t="s">
        <v>654</v>
      </c>
      <c r="Q29" s="50" t="s">
        <v>654</v>
      </c>
      <c r="R29" s="50" t="s">
        <v>654</v>
      </c>
    </row>
    <row r="30" spans="2:18" x14ac:dyDescent="0.35">
      <c r="B30" s="50" t="s">
        <v>706</v>
      </c>
      <c r="D30" s="50" t="s">
        <v>654</v>
      </c>
      <c r="F30" s="50" t="s">
        <v>654</v>
      </c>
      <c r="G30" s="50" t="s">
        <v>654</v>
      </c>
      <c r="H30" s="50" t="s">
        <v>654</v>
      </c>
      <c r="I30" s="50" t="s">
        <v>654</v>
      </c>
      <c r="J30" s="50" t="s">
        <v>654</v>
      </c>
      <c r="K30" s="50" t="s">
        <v>654</v>
      </c>
      <c r="L30" s="50" t="s">
        <v>654</v>
      </c>
      <c r="M30" s="50" t="s">
        <v>654</v>
      </c>
      <c r="N30" s="50" t="s">
        <v>654</v>
      </c>
      <c r="O30" s="50" t="s">
        <v>654</v>
      </c>
      <c r="P30" s="50" t="s">
        <v>654</v>
      </c>
      <c r="Q30" s="50" t="s">
        <v>654</v>
      </c>
      <c r="R30" s="50" t="s">
        <v>654</v>
      </c>
    </row>
    <row r="31" spans="2:18" x14ac:dyDescent="0.35">
      <c r="B31" s="50" t="s">
        <v>707</v>
      </c>
      <c r="D31" s="50" t="s">
        <v>654</v>
      </c>
      <c r="F31" s="50" t="s">
        <v>654</v>
      </c>
      <c r="G31" s="50" t="s">
        <v>654</v>
      </c>
      <c r="H31" s="50" t="s">
        <v>654</v>
      </c>
      <c r="I31" s="50" t="s">
        <v>654</v>
      </c>
      <c r="J31" s="50" t="s">
        <v>654</v>
      </c>
      <c r="K31" s="50" t="s">
        <v>654</v>
      </c>
      <c r="L31" s="50" t="s">
        <v>654</v>
      </c>
      <c r="M31" s="50" t="s">
        <v>654</v>
      </c>
      <c r="N31" s="50" t="s">
        <v>654</v>
      </c>
      <c r="O31" s="50" t="s">
        <v>654</v>
      </c>
      <c r="P31" s="50" t="s">
        <v>654</v>
      </c>
      <c r="Q31" s="50" t="s">
        <v>654</v>
      </c>
      <c r="R31" s="50" t="s">
        <v>654</v>
      </c>
    </row>
    <row r="32" spans="2:18" x14ac:dyDescent="0.35">
      <c r="B32" s="50" t="s">
        <v>708</v>
      </c>
      <c r="D32" s="50" t="s">
        <v>654</v>
      </c>
      <c r="F32" s="50" t="s">
        <v>654</v>
      </c>
      <c r="G32" s="50" t="s">
        <v>654</v>
      </c>
      <c r="H32" s="50" t="s">
        <v>654</v>
      </c>
      <c r="I32" s="50" t="s">
        <v>654</v>
      </c>
      <c r="J32" s="50" t="s">
        <v>654</v>
      </c>
      <c r="K32" s="50" t="s">
        <v>654</v>
      </c>
      <c r="L32" s="50" t="s">
        <v>654</v>
      </c>
      <c r="M32" s="50" t="s">
        <v>654</v>
      </c>
      <c r="N32" s="50" t="s">
        <v>654</v>
      </c>
      <c r="O32" s="50" t="s">
        <v>654</v>
      </c>
      <c r="P32" s="50" t="s">
        <v>654</v>
      </c>
      <c r="Q32" s="50" t="s">
        <v>654</v>
      </c>
      <c r="R32" s="50" t="s">
        <v>654</v>
      </c>
    </row>
    <row r="33" spans="2:18" x14ac:dyDescent="0.35">
      <c r="B33" s="50" t="s">
        <v>709</v>
      </c>
      <c r="D33" s="50" t="s">
        <v>654</v>
      </c>
      <c r="F33" s="50" t="s">
        <v>654</v>
      </c>
      <c r="G33" s="50" t="s">
        <v>654</v>
      </c>
      <c r="H33" s="50" t="s">
        <v>654</v>
      </c>
      <c r="I33" s="50" t="s">
        <v>654</v>
      </c>
      <c r="J33" s="50" t="s">
        <v>654</v>
      </c>
      <c r="K33" s="50" t="s">
        <v>654</v>
      </c>
      <c r="L33" s="50" t="s">
        <v>654</v>
      </c>
      <c r="M33" s="50" t="s">
        <v>654</v>
      </c>
      <c r="N33" s="50" t="s">
        <v>654</v>
      </c>
      <c r="O33" s="50" t="s">
        <v>654</v>
      </c>
      <c r="P33" s="50" t="s">
        <v>654</v>
      </c>
      <c r="Q33" s="50" t="s">
        <v>654</v>
      </c>
      <c r="R33" s="50" t="s">
        <v>654</v>
      </c>
    </row>
    <row r="34" spans="2:18" x14ac:dyDescent="0.35">
      <c r="B34" s="50" t="s">
        <v>710</v>
      </c>
      <c r="D34" s="50" t="s">
        <v>654</v>
      </c>
      <c r="F34" s="50" t="s">
        <v>654</v>
      </c>
      <c r="G34" s="50" t="s">
        <v>654</v>
      </c>
      <c r="H34" s="50" t="s">
        <v>654</v>
      </c>
      <c r="I34" s="50" t="s">
        <v>654</v>
      </c>
      <c r="J34" s="50" t="s">
        <v>654</v>
      </c>
      <c r="K34" s="50" t="s">
        <v>654</v>
      </c>
      <c r="L34" s="50" t="s">
        <v>654</v>
      </c>
      <c r="M34" s="50" t="s">
        <v>654</v>
      </c>
      <c r="N34" s="50" t="s">
        <v>654</v>
      </c>
      <c r="O34" s="50" t="s">
        <v>654</v>
      </c>
      <c r="P34" s="50" t="s">
        <v>654</v>
      </c>
      <c r="Q34" s="50" t="s">
        <v>654</v>
      </c>
      <c r="R34" s="50" t="s">
        <v>654</v>
      </c>
    </row>
    <row r="35" spans="2:18" x14ac:dyDescent="0.35">
      <c r="D35" s="50" t="s">
        <v>8</v>
      </c>
      <c r="F35" s="50" t="s">
        <v>711</v>
      </c>
      <c r="G35" s="50" t="s">
        <v>712</v>
      </c>
      <c r="H35" s="50" t="s">
        <v>713</v>
      </c>
      <c r="I35" s="50" t="s">
        <v>714</v>
      </c>
      <c r="J35" s="50" t="s">
        <v>715</v>
      </c>
      <c r="K35" s="50" t="s">
        <v>716</v>
      </c>
      <c r="L35" s="50" t="s">
        <v>717</v>
      </c>
      <c r="M35" s="50" t="s">
        <v>718</v>
      </c>
      <c r="N35" s="50" t="s">
        <v>719</v>
      </c>
      <c r="O35" s="50" t="s">
        <v>720</v>
      </c>
      <c r="P35" s="50" t="s">
        <v>721</v>
      </c>
      <c r="Q35" s="50" t="s">
        <v>722</v>
      </c>
      <c r="R35" s="50" t="s">
        <v>723</v>
      </c>
    </row>
    <row r="37" spans="2:18" x14ac:dyDescent="0.35">
      <c r="D37" s="50" t="s">
        <v>24</v>
      </c>
      <c r="F37" s="50" t="s">
        <v>724</v>
      </c>
      <c r="G37" s="50" t="s">
        <v>725</v>
      </c>
      <c r="H37" s="50" t="s">
        <v>726</v>
      </c>
      <c r="I37" s="50" t="s">
        <v>727</v>
      </c>
      <c r="J37" s="50" t="s">
        <v>728</v>
      </c>
      <c r="K37" s="50" t="s">
        <v>729</v>
      </c>
      <c r="L37" s="50" t="s">
        <v>730</v>
      </c>
      <c r="M37" s="50" t="s">
        <v>731</v>
      </c>
      <c r="N37" s="50" t="s">
        <v>732</v>
      </c>
      <c r="O37" s="50" t="s">
        <v>733</v>
      </c>
      <c r="P37" s="50" t="s">
        <v>734</v>
      </c>
      <c r="Q37" s="50" t="s">
        <v>735</v>
      </c>
      <c r="R37" s="50" t="s">
        <v>736</v>
      </c>
    </row>
    <row r="39" spans="2:18" x14ac:dyDescent="0.35">
      <c r="D39" s="50" t="s">
        <v>11</v>
      </c>
    </row>
    <row r="40" spans="2:18" x14ac:dyDescent="0.35">
      <c r="B40" s="50" t="s">
        <v>737</v>
      </c>
      <c r="D40" s="50" t="s">
        <v>654</v>
      </c>
      <c r="F40" s="50" t="s">
        <v>654</v>
      </c>
      <c r="G40" s="50" t="s">
        <v>654</v>
      </c>
      <c r="H40" s="50" t="s">
        <v>654</v>
      </c>
      <c r="I40" s="50" t="s">
        <v>654</v>
      </c>
      <c r="J40" s="50" t="s">
        <v>654</v>
      </c>
      <c r="K40" s="50" t="s">
        <v>654</v>
      </c>
      <c r="L40" s="50" t="s">
        <v>654</v>
      </c>
      <c r="M40" s="50" t="s">
        <v>654</v>
      </c>
      <c r="N40" s="50" t="s">
        <v>654</v>
      </c>
      <c r="O40" s="50" t="s">
        <v>654</v>
      </c>
      <c r="P40" s="50" t="s">
        <v>654</v>
      </c>
      <c r="Q40" s="50" t="s">
        <v>654</v>
      </c>
      <c r="R40" s="50" t="s">
        <v>654</v>
      </c>
    </row>
    <row r="41" spans="2:18" x14ac:dyDescent="0.35">
      <c r="B41" s="50" t="s">
        <v>738</v>
      </c>
      <c r="D41" s="50" t="s">
        <v>654</v>
      </c>
      <c r="F41" s="50" t="s">
        <v>654</v>
      </c>
      <c r="G41" s="50" t="s">
        <v>654</v>
      </c>
      <c r="H41" s="50" t="s">
        <v>654</v>
      </c>
      <c r="I41" s="50" t="s">
        <v>654</v>
      </c>
      <c r="J41" s="50" t="s">
        <v>654</v>
      </c>
      <c r="K41" s="50" t="s">
        <v>654</v>
      </c>
      <c r="L41" s="50" t="s">
        <v>654</v>
      </c>
      <c r="M41" s="50" t="s">
        <v>654</v>
      </c>
      <c r="N41" s="50" t="s">
        <v>654</v>
      </c>
      <c r="O41" s="50" t="s">
        <v>654</v>
      </c>
      <c r="P41" s="50" t="s">
        <v>654</v>
      </c>
      <c r="Q41" s="50" t="s">
        <v>654</v>
      </c>
      <c r="R41" s="50" t="s">
        <v>654</v>
      </c>
    </row>
    <row r="42" spans="2:18" x14ac:dyDescent="0.35">
      <c r="B42" s="50" t="s">
        <v>739</v>
      </c>
      <c r="D42" s="50" t="s">
        <v>654</v>
      </c>
      <c r="F42" s="50" t="s">
        <v>654</v>
      </c>
      <c r="G42" s="50" t="s">
        <v>654</v>
      </c>
      <c r="H42" s="50" t="s">
        <v>654</v>
      </c>
      <c r="I42" s="50" t="s">
        <v>654</v>
      </c>
      <c r="J42" s="50" t="s">
        <v>654</v>
      </c>
      <c r="K42" s="50" t="s">
        <v>654</v>
      </c>
      <c r="L42" s="50" t="s">
        <v>654</v>
      </c>
      <c r="M42" s="50" t="s">
        <v>654</v>
      </c>
      <c r="N42" s="50" t="s">
        <v>654</v>
      </c>
      <c r="O42" s="50" t="s">
        <v>654</v>
      </c>
      <c r="P42" s="50" t="s">
        <v>654</v>
      </c>
      <c r="Q42" s="50" t="s">
        <v>654</v>
      </c>
      <c r="R42" s="50" t="s">
        <v>654</v>
      </c>
    </row>
    <row r="43" spans="2:18" x14ac:dyDescent="0.35">
      <c r="B43" s="50" t="s">
        <v>740</v>
      </c>
      <c r="D43" s="50" t="s">
        <v>654</v>
      </c>
      <c r="F43" s="50" t="s">
        <v>654</v>
      </c>
      <c r="G43" s="50" t="s">
        <v>654</v>
      </c>
      <c r="H43" s="50" t="s">
        <v>654</v>
      </c>
      <c r="I43" s="50" t="s">
        <v>654</v>
      </c>
      <c r="J43" s="50" t="s">
        <v>654</v>
      </c>
      <c r="K43" s="50" t="s">
        <v>654</v>
      </c>
      <c r="L43" s="50" t="s">
        <v>654</v>
      </c>
      <c r="M43" s="50" t="s">
        <v>654</v>
      </c>
      <c r="N43" s="50" t="s">
        <v>654</v>
      </c>
      <c r="O43" s="50" t="s">
        <v>654</v>
      </c>
      <c r="P43" s="50" t="s">
        <v>654</v>
      </c>
      <c r="Q43" s="50" t="s">
        <v>654</v>
      </c>
      <c r="R43" s="50" t="s">
        <v>654</v>
      </c>
    </row>
    <row r="44" spans="2:18" x14ac:dyDescent="0.35">
      <c r="B44" s="50" t="s">
        <v>741</v>
      </c>
      <c r="D44" s="50" t="s">
        <v>654</v>
      </c>
      <c r="F44" s="50" t="s">
        <v>654</v>
      </c>
      <c r="G44" s="50" t="s">
        <v>654</v>
      </c>
      <c r="H44" s="50" t="s">
        <v>654</v>
      </c>
      <c r="I44" s="50" t="s">
        <v>654</v>
      </c>
      <c r="J44" s="50" t="s">
        <v>654</v>
      </c>
      <c r="K44" s="50" t="s">
        <v>654</v>
      </c>
      <c r="L44" s="50" t="s">
        <v>654</v>
      </c>
      <c r="M44" s="50" t="s">
        <v>654</v>
      </c>
      <c r="N44" s="50" t="s">
        <v>654</v>
      </c>
      <c r="O44" s="50" t="s">
        <v>654</v>
      </c>
      <c r="P44" s="50" t="s">
        <v>654</v>
      </c>
      <c r="Q44" s="50" t="s">
        <v>654</v>
      </c>
      <c r="R44" s="50" t="s">
        <v>654</v>
      </c>
    </row>
    <row r="45" spans="2:18" x14ac:dyDescent="0.35">
      <c r="B45" s="50" t="s">
        <v>742</v>
      </c>
      <c r="D45" s="50" t="s">
        <v>654</v>
      </c>
      <c r="F45" s="50" t="s">
        <v>654</v>
      </c>
      <c r="G45" s="50" t="s">
        <v>654</v>
      </c>
      <c r="H45" s="50" t="s">
        <v>654</v>
      </c>
      <c r="I45" s="50" t="s">
        <v>654</v>
      </c>
      <c r="J45" s="50" t="s">
        <v>654</v>
      </c>
      <c r="K45" s="50" t="s">
        <v>654</v>
      </c>
      <c r="L45" s="50" t="s">
        <v>654</v>
      </c>
      <c r="M45" s="50" t="s">
        <v>654</v>
      </c>
      <c r="N45" s="50" t="s">
        <v>654</v>
      </c>
      <c r="O45" s="50" t="s">
        <v>654</v>
      </c>
      <c r="P45" s="50" t="s">
        <v>654</v>
      </c>
      <c r="Q45" s="50" t="s">
        <v>654</v>
      </c>
      <c r="R45" s="50" t="s">
        <v>654</v>
      </c>
    </row>
    <row r="46" spans="2:18" x14ac:dyDescent="0.35">
      <c r="D46" s="50" t="s">
        <v>12</v>
      </c>
      <c r="F46" s="50" t="s">
        <v>743</v>
      </c>
      <c r="G46" s="50" t="s">
        <v>744</v>
      </c>
      <c r="H46" s="50" t="s">
        <v>745</v>
      </c>
      <c r="I46" s="50" t="s">
        <v>746</v>
      </c>
      <c r="J46" s="50" t="s">
        <v>747</v>
      </c>
      <c r="K46" s="50" t="s">
        <v>748</v>
      </c>
      <c r="L46" s="50" t="s">
        <v>749</v>
      </c>
      <c r="M46" s="50" t="s">
        <v>750</v>
      </c>
      <c r="N46" s="50" t="s">
        <v>751</v>
      </c>
      <c r="O46" s="50" t="s">
        <v>752</v>
      </c>
      <c r="P46" s="50" t="s">
        <v>753</v>
      </c>
      <c r="Q46" s="50" t="s">
        <v>754</v>
      </c>
      <c r="R46" s="50" t="s">
        <v>755</v>
      </c>
    </row>
    <row r="48" spans="2:18" x14ac:dyDescent="0.35">
      <c r="D48" s="50" t="s">
        <v>9</v>
      </c>
      <c r="F48" s="50" t="s">
        <v>756</v>
      </c>
      <c r="G48" s="50" t="s">
        <v>757</v>
      </c>
      <c r="H48" s="50" t="s">
        <v>758</v>
      </c>
      <c r="I48" s="50" t="s">
        <v>759</v>
      </c>
      <c r="J48" s="50" t="s">
        <v>760</v>
      </c>
      <c r="K48" s="50" t="s">
        <v>761</v>
      </c>
      <c r="L48" s="50" t="s">
        <v>762</v>
      </c>
      <c r="M48" s="50" t="s">
        <v>763</v>
      </c>
      <c r="N48" s="50" t="s">
        <v>764</v>
      </c>
      <c r="O48" s="50" t="s">
        <v>765</v>
      </c>
      <c r="P48" s="50" t="s">
        <v>766</v>
      </c>
      <c r="Q48" s="50" t="s">
        <v>767</v>
      </c>
      <c r="R48" s="50" t="s">
        <v>768</v>
      </c>
    </row>
    <row r="50" spans="2:18" x14ac:dyDescent="0.35">
      <c r="B50" s="50" t="s">
        <v>769</v>
      </c>
      <c r="D50" s="50" t="s">
        <v>654</v>
      </c>
      <c r="F50" s="50" t="s">
        <v>654</v>
      </c>
      <c r="G50" s="50" t="s">
        <v>654</v>
      </c>
      <c r="H50" s="50" t="s">
        <v>654</v>
      </c>
      <c r="I50" s="50" t="s">
        <v>654</v>
      </c>
      <c r="J50" s="50" t="s">
        <v>654</v>
      </c>
      <c r="K50" s="50" t="s">
        <v>654</v>
      </c>
      <c r="L50" s="50" t="s">
        <v>654</v>
      </c>
      <c r="M50" s="50" t="s">
        <v>654</v>
      </c>
      <c r="N50" s="50" t="s">
        <v>654</v>
      </c>
      <c r="O50" s="50" t="s">
        <v>654</v>
      </c>
      <c r="P50" s="50" t="s">
        <v>654</v>
      </c>
      <c r="Q50" s="50" t="s">
        <v>654</v>
      </c>
      <c r="R50" s="50" t="s">
        <v>654</v>
      </c>
    </row>
    <row r="52" spans="2:18" x14ac:dyDescent="0.35">
      <c r="D52" s="50" t="s">
        <v>13</v>
      </c>
      <c r="F52" s="50" t="s">
        <v>770</v>
      </c>
      <c r="G52" s="50" t="s">
        <v>771</v>
      </c>
      <c r="H52" s="50" t="s">
        <v>772</v>
      </c>
      <c r="I52" s="50" t="s">
        <v>773</v>
      </c>
      <c r="J52" s="50" t="s">
        <v>774</v>
      </c>
      <c r="K52" s="50" t="s">
        <v>775</v>
      </c>
      <c r="L52" s="50" t="s">
        <v>776</v>
      </c>
      <c r="M52" s="50" t="s">
        <v>777</v>
      </c>
      <c r="N52" s="50" t="s">
        <v>778</v>
      </c>
      <c r="O52" s="50" t="s">
        <v>779</v>
      </c>
      <c r="P52" s="50" t="s">
        <v>780</v>
      </c>
      <c r="Q52" s="50" t="s">
        <v>781</v>
      </c>
      <c r="R52" s="50" t="s">
        <v>782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52"/>
  <sheetViews>
    <sheetView workbookViewId="0"/>
  </sheetViews>
  <sheetFormatPr defaultRowHeight="14.5" x14ac:dyDescent="0.35"/>
  <sheetData>
    <row r="1" spans="1:18" x14ac:dyDescent="0.35">
      <c r="A1" s="50" t="s">
        <v>784</v>
      </c>
      <c r="B1" s="50" t="s">
        <v>14</v>
      </c>
      <c r="D1" s="50" t="s">
        <v>15</v>
      </c>
      <c r="F1" s="50" t="s">
        <v>15</v>
      </c>
      <c r="G1" s="50" t="s">
        <v>15</v>
      </c>
      <c r="H1" s="50" t="s">
        <v>15</v>
      </c>
      <c r="I1" s="50" t="s">
        <v>15</v>
      </c>
      <c r="J1" s="50" t="s">
        <v>15</v>
      </c>
      <c r="K1" s="50" t="s">
        <v>15</v>
      </c>
      <c r="L1" s="50" t="s">
        <v>15</v>
      </c>
      <c r="M1" s="50" t="s">
        <v>15</v>
      </c>
      <c r="N1" s="50" t="s">
        <v>15</v>
      </c>
      <c r="O1" s="50" t="s">
        <v>15</v>
      </c>
      <c r="P1" s="50" t="s">
        <v>15</v>
      </c>
      <c r="Q1" s="50" t="s">
        <v>15</v>
      </c>
      <c r="R1" s="50" t="s">
        <v>15</v>
      </c>
    </row>
    <row r="2" spans="1:18" x14ac:dyDescent="0.35">
      <c r="A2" s="50" t="s">
        <v>14</v>
      </c>
      <c r="F2" s="50" t="s">
        <v>18</v>
      </c>
      <c r="G2" s="50" t="s">
        <v>18</v>
      </c>
      <c r="H2" s="50" t="s">
        <v>18</v>
      </c>
      <c r="I2" s="50" t="s">
        <v>18</v>
      </c>
      <c r="J2" s="50" t="s">
        <v>18</v>
      </c>
      <c r="K2" s="50" t="s">
        <v>18</v>
      </c>
      <c r="L2" s="50" t="s">
        <v>18</v>
      </c>
      <c r="M2" s="50" t="s">
        <v>18</v>
      </c>
      <c r="N2" s="50" t="s">
        <v>18</v>
      </c>
      <c r="O2" s="50" t="s">
        <v>18</v>
      </c>
      <c r="P2" s="50" t="s">
        <v>18</v>
      </c>
      <c r="Q2" s="50" t="s">
        <v>18</v>
      </c>
      <c r="R2" s="50" t="s">
        <v>20</v>
      </c>
    </row>
    <row r="4" spans="1:18" x14ac:dyDescent="0.35">
      <c r="D4" s="50" t="s">
        <v>27</v>
      </c>
      <c r="E4" s="50" t="s">
        <v>376</v>
      </c>
      <c r="Q4" s="50" t="s">
        <v>16</v>
      </c>
      <c r="R4" s="50" t="s">
        <v>33</v>
      </c>
    </row>
    <row r="6" spans="1:18" x14ac:dyDescent="0.35">
      <c r="F6" s="50" t="s">
        <v>34</v>
      </c>
      <c r="G6" s="50" t="s">
        <v>35</v>
      </c>
      <c r="H6" s="50" t="s">
        <v>36</v>
      </c>
      <c r="I6" s="50" t="s">
        <v>37</v>
      </c>
      <c r="J6" s="50" t="s">
        <v>38</v>
      </c>
      <c r="K6" s="50" t="s">
        <v>39</v>
      </c>
      <c r="L6" s="50" t="s">
        <v>40</v>
      </c>
      <c r="M6" s="50" t="s">
        <v>41</v>
      </c>
      <c r="N6" s="50" t="s">
        <v>42</v>
      </c>
      <c r="O6" s="50" t="s">
        <v>43</v>
      </c>
      <c r="P6" s="50" t="s">
        <v>44</v>
      </c>
      <c r="Q6" s="50" t="s">
        <v>45</v>
      </c>
      <c r="R6" s="50" t="s">
        <v>33</v>
      </c>
    </row>
    <row r="7" spans="1:18" x14ac:dyDescent="0.35">
      <c r="A7" s="50" t="s">
        <v>14</v>
      </c>
      <c r="B7" s="50" t="s">
        <v>25</v>
      </c>
      <c r="F7" s="50" t="s">
        <v>46</v>
      </c>
      <c r="G7" s="50" t="s">
        <v>47</v>
      </c>
      <c r="H7" s="50" t="s">
        <v>48</v>
      </c>
      <c r="I7" s="50" t="s">
        <v>49</v>
      </c>
      <c r="J7" s="50" t="s">
        <v>50</v>
      </c>
      <c r="K7" s="50" t="s">
        <v>51</v>
      </c>
      <c r="L7" s="50" t="s">
        <v>52</v>
      </c>
      <c r="M7" s="50" t="s">
        <v>53</v>
      </c>
      <c r="N7" s="50" t="s">
        <v>54</v>
      </c>
      <c r="O7" s="50" t="s">
        <v>55</v>
      </c>
      <c r="P7" s="50" t="s">
        <v>56</v>
      </c>
      <c r="Q7" s="50" t="s">
        <v>57</v>
      </c>
      <c r="R7" s="50" t="s">
        <v>58</v>
      </c>
    </row>
    <row r="8" spans="1:18" x14ac:dyDescent="0.35">
      <c r="A8" s="50" t="s">
        <v>14</v>
      </c>
      <c r="F8" s="50" t="s">
        <v>59</v>
      </c>
      <c r="G8" s="50" t="s">
        <v>60</v>
      </c>
      <c r="H8" s="50" t="s">
        <v>61</v>
      </c>
      <c r="I8" s="50" t="s">
        <v>62</v>
      </c>
      <c r="J8" s="50" t="s">
        <v>63</v>
      </c>
      <c r="K8" s="50" t="s">
        <v>64</v>
      </c>
      <c r="L8" s="50" t="s">
        <v>65</v>
      </c>
      <c r="M8" s="50" t="s">
        <v>66</v>
      </c>
      <c r="N8" s="50" t="s">
        <v>67</v>
      </c>
      <c r="O8" s="50" t="s">
        <v>68</v>
      </c>
      <c r="P8" s="50" t="s">
        <v>69</v>
      </c>
      <c r="Q8" s="50" t="s">
        <v>70</v>
      </c>
      <c r="R8" s="50" t="s">
        <v>71</v>
      </c>
    </row>
    <row r="9" spans="1:18" x14ac:dyDescent="0.35">
      <c r="B9" s="50" t="s">
        <v>22</v>
      </c>
      <c r="D9" s="50" t="s">
        <v>5</v>
      </c>
    </row>
    <row r="10" spans="1:18" x14ac:dyDescent="0.35">
      <c r="B10" s="50" t="s">
        <v>655</v>
      </c>
      <c r="D10" s="50" t="s">
        <v>72</v>
      </c>
      <c r="F10" s="50" t="s">
        <v>377</v>
      </c>
      <c r="G10" s="50" t="s">
        <v>378</v>
      </c>
      <c r="H10" s="50" t="s">
        <v>379</v>
      </c>
      <c r="I10" s="50" t="s">
        <v>380</v>
      </c>
      <c r="J10" s="50" t="s">
        <v>381</v>
      </c>
      <c r="K10" s="50" t="s">
        <v>382</v>
      </c>
      <c r="L10" s="50" t="s">
        <v>383</v>
      </c>
      <c r="M10" s="50" t="s">
        <v>384</v>
      </c>
      <c r="N10" s="50" t="s">
        <v>385</v>
      </c>
      <c r="O10" s="50" t="s">
        <v>386</v>
      </c>
      <c r="P10" s="50" t="s">
        <v>387</v>
      </c>
      <c r="Q10" s="50" t="s">
        <v>388</v>
      </c>
      <c r="R10" s="50" t="s">
        <v>389</v>
      </c>
    </row>
    <row r="11" spans="1:18" x14ac:dyDescent="0.35">
      <c r="B11" s="50" t="s">
        <v>656</v>
      </c>
      <c r="D11" s="50" t="s">
        <v>86</v>
      </c>
      <c r="F11" s="50" t="s">
        <v>390</v>
      </c>
      <c r="G11" s="50" t="s">
        <v>391</v>
      </c>
      <c r="H11" s="50" t="s">
        <v>392</v>
      </c>
      <c r="I11" s="50" t="s">
        <v>393</v>
      </c>
      <c r="J11" s="50" t="s">
        <v>394</v>
      </c>
      <c r="K11" s="50" t="s">
        <v>395</v>
      </c>
      <c r="L11" s="50" t="s">
        <v>396</v>
      </c>
      <c r="M11" s="50" t="s">
        <v>397</v>
      </c>
      <c r="N11" s="50" t="s">
        <v>398</v>
      </c>
      <c r="O11" s="50" t="s">
        <v>399</v>
      </c>
      <c r="P11" s="50" t="s">
        <v>400</v>
      </c>
      <c r="Q11" s="50" t="s">
        <v>401</v>
      </c>
      <c r="R11" s="50" t="s">
        <v>402</v>
      </c>
    </row>
    <row r="12" spans="1:18" x14ac:dyDescent="0.35">
      <c r="B12" s="50" t="s">
        <v>657</v>
      </c>
      <c r="D12" s="50" t="s">
        <v>100</v>
      </c>
      <c r="F12" s="50" t="s">
        <v>403</v>
      </c>
      <c r="G12" s="50" t="s">
        <v>404</v>
      </c>
      <c r="H12" s="50" t="s">
        <v>405</v>
      </c>
      <c r="I12" s="50" t="s">
        <v>406</v>
      </c>
      <c r="J12" s="50" t="s">
        <v>407</v>
      </c>
      <c r="K12" s="50" t="s">
        <v>408</v>
      </c>
      <c r="L12" s="50" t="s">
        <v>409</v>
      </c>
      <c r="M12" s="50" t="s">
        <v>410</v>
      </c>
      <c r="N12" s="50" t="s">
        <v>411</v>
      </c>
      <c r="O12" s="50" t="s">
        <v>412</v>
      </c>
      <c r="P12" s="50" t="s">
        <v>413</v>
      </c>
      <c r="Q12" s="50" t="s">
        <v>414</v>
      </c>
      <c r="R12" s="50" t="s">
        <v>415</v>
      </c>
    </row>
    <row r="13" spans="1:18" x14ac:dyDescent="0.35">
      <c r="B13" s="50" t="s">
        <v>658</v>
      </c>
      <c r="D13" s="50" t="s">
        <v>114</v>
      </c>
      <c r="F13" s="50" t="s">
        <v>416</v>
      </c>
      <c r="G13" s="50" t="s">
        <v>417</v>
      </c>
      <c r="H13" s="50" t="s">
        <v>418</v>
      </c>
      <c r="I13" s="50" t="s">
        <v>419</v>
      </c>
      <c r="J13" s="50" t="s">
        <v>420</v>
      </c>
      <c r="K13" s="50" t="s">
        <v>421</v>
      </c>
      <c r="L13" s="50" t="s">
        <v>422</v>
      </c>
      <c r="M13" s="50" t="s">
        <v>423</v>
      </c>
      <c r="N13" s="50" t="s">
        <v>424</v>
      </c>
      <c r="O13" s="50" t="s">
        <v>425</v>
      </c>
      <c r="P13" s="50" t="s">
        <v>426</v>
      </c>
      <c r="Q13" s="50" t="s">
        <v>427</v>
      </c>
      <c r="R13" s="50" t="s">
        <v>428</v>
      </c>
    </row>
    <row r="14" spans="1:18" x14ac:dyDescent="0.35">
      <c r="B14" s="50" t="s">
        <v>659</v>
      </c>
      <c r="D14" s="50" t="s">
        <v>128</v>
      </c>
      <c r="F14" s="50" t="s">
        <v>429</v>
      </c>
      <c r="G14" s="50" t="s">
        <v>430</v>
      </c>
      <c r="H14" s="50" t="s">
        <v>431</v>
      </c>
      <c r="I14" s="50" t="s">
        <v>432</v>
      </c>
      <c r="J14" s="50" t="s">
        <v>433</v>
      </c>
      <c r="K14" s="50" t="s">
        <v>434</v>
      </c>
      <c r="L14" s="50" t="s">
        <v>435</v>
      </c>
      <c r="M14" s="50" t="s">
        <v>436</v>
      </c>
      <c r="N14" s="50" t="s">
        <v>437</v>
      </c>
      <c r="O14" s="50" t="s">
        <v>438</v>
      </c>
      <c r="P14" s="50" t="s">
        <v>439</v>
      </c>
      <c r="Q14" s="50" t="s">
        <v>440</v>
      </c>
      <c r="R14" s="50" t="s">
        <v>441</v>
      </c>
    </row>
    <row r="15" spans="1:18" x14ac:dyDescent="0.35">
      <c r="B15" s="50" t="s">
        <v>660</v>
      </c>
      <c r="D15" s="50" t="s">
        <v>142</v>
      </c>
      <c r="F15" s="50" t="s">
        <v>442</v>
      </c>
      <c r="G15" s="50" t="s">
        <v>443</v>
      </c>
      <c r="H15" s="50" t="s">
        <v>444</v>
      </c>
      <c r="I15" s="50" t="s">
        <v>445</v>
      </c>
      <c r="J15" s="50" t="s">
        <v>446</v>
      </c>
      <c r="K15" s="50" t="s">
        <v>447</v>
      </c>
      <c r="L15" s="50" t="s">
        <v>448</v>
      </c>
      <c r="M15" s="50" t="s">
        <v>449</v>
      </c>
      <c r="N15" s="50" t="s">
        <v>450</v>
      </c>
      <c r="O15" s="50" t="s">
        <v>451</v>
      </c>
      <c r="P15" s="50" t="s">
        <v>452</v>
      </c>
      <c r="Q15" s="50" t="s">
        <v>453</v>
      </c>
      <c r="R15" s="50" t="s">
        <v>454</v>
      </c>
    </row>
    <row r="16" spans="1:18" x14ac:dyDescent="0.35">
      <c r="D16" s="50" t="s">
        <v>6</v>
      </c>
      <c r="F16" s="50" t="s">
        <v>661</v>
      </c>
      <c r="G16" s="50" t="s">
        <v>662</v>
      </c>
      <c r="H16" s="50" t="s">
        <v>663</v>
      </c>
      <c r="I16" s="50" t="s">
        <v>664</v>
      </c>
      <c r="J16" s="50" t="s">
        <v>665</v>
      </c>
      <c r="K16" s="50" t="s">
        <v>666</v>
      </c>
      <c r="L16" s="50" t="s">
        <v>667</v>
      </c>
      <c r="M16" s="50" t="s">
        <v>668</v>
      </c>
      <c r="N16" s="50" t="s">
        <v>669</v>
      </c>
      <c r="O16" s="50" t="s">
        <v>670</v>
      </c>
      <c r="P16" s="50" t="s">
        <v>671</v>
      </c>
      <c r="Q16" s="50" t="s">
        <v>672</v>
      </c>
      <c r="R16" s="50" t="s">
        <v>673</v>
      </c>
    </row>
    <row r="18" spans="2:18" x14ac:dyDescent="0.35">
      <c r="D18" s="50" t="s">
        <v>21</v>
      </c>
    </row>
    <row r="19" spans="2:18" x14ac:dyDescent="0.35">
      <c r="B19" s="50" t="s">
        <v>674</v>
      </c>
      <c r="D19" s="50" t="s">
        <v>159</v>
      </c>
      <c r="F19" s="50" t="s">
        <v>455</v>
      </c>
      <c r="G19" s="50" t="s">
        <v>456</v>
      </c>
      <c r="H19" s="50" t="s">
        <v>457</v>
      </c>
      <c r="I19" s="50" t="s">
        <v>458</v>
      </c>
      <c r="J19" s="50" t="s">
        <v>459</v>
      </c>
      <c r="K19" s="50" t="s">
        <v>460</v>
      </c>
      <c r="L19" s="50" t="s">
        <v>461</v>
      </c>
      <c r="M19" s="50" t="s">
        <v>462</v>
      </c>
      <c r="N19" s="50" t="s">
        <v>463</v>
      </c>
      <c r="O19" s="50" t="s">
        <v>464</v>
      </c>
      <c r="P19" s="50" t="s">
        <v>465</v>
      </c>
      <c r="Q19" s="50" t="s">
        <v>466</v>
      </c>
      <c r="R19" s="50" t="s">
        <v>467</v>
      </c>
    </row>
    <row r="20" spans="2:18" x14ac:dyDescent="0.35">
      <c r="B20" s="50" t="s">
        <v>675</v>
      </c>
      <c r="D20" s="50" t="s">
        <v>927</v>
      </c>
      <c r="F20" s="50" t="s">
        <v>928</v>
      </c>
      <c r="G20" s="50" t="s">
        <v>929</v>
      </c>
      <c r="H20" s="50" t="s">
        <v>930</v>
      </c>
      <c r="I20" s="50" t="s">
        <v>931</v>
      </c>
      <c r="J20" s="50" t="s">
        <v>932</v>
      </c>
      <c r="K20" s="50" t="s">
        <v>933</v>
      </c>
      <c r="L20" s="50" t="s">
        <v>934</v>
      </c>
      <c r="M20" s="50" t="s">
        <v>935</v>
      </c>
      <c r="N20" s="50" t="s">
        <v>936</v>
      </c>
      <c r="O20" s="50" t="s">
        <v>937</v>
      </c>
      <c r="P20" s="50" t="s">
        <v>938</v>
      </c>
      <c r="Q20" s="50" t="s">
        <v>939</v>
      </c>
      <c r="R20" s="50" t="s">
        <v>940</v>
      </c>
    </row>
    <row r="21" spans="2:18" x14ac:dyDescent="0.35">
      <c r="B21" s="50" t="s">
        <v>676</v>
      </c>
      <c r="D21" s="50" t="s">
        <v>941</v>
      </c>
      <c r="F21" s="50" t="s">
        <v>942</v>
      </c>
      <c r="G21" s="50" t="s">
        <v>943</v>
      </c>
      <c r="H21" s="50" t="s">
        <v>944</v>
      </c>
      <c r="I21" s="50" t="s">
        <v>945</v>
      </c>
      <c r="J21" s="50" t="s">
        <v>946</v>
      </c>
      <c r="K21" s="50" t="s">
        <v>947</v>
      </c>
      <c r="L21" s="50" t="s">
        <v>948</v>
      </c>
      <c r="M21" s="50" t="s">
        <v>949</v>
      </c>
      <c r="N21" s="50" t="s">
        <v>950</v>
      </c>
      <c r="O21" s="50" t="s">
        <v>951</v>
      </c>
      <c r="P21" s="50" t="s">
        <v>952</v>
      </c>
      <c r="Q21" s="50" t="s">
        <v>953</v>
      </c>
      <c r="R21" s="50" t="s">
        <v>954</v>
      </c>
    </row>
    <row r="22" spans="2:18" x14ac:dyDescent="0.35">
      <c r="B22" s="50" t="s">
        <v>677</v>
      </c>
      <c r="D22" s="50" t="s">
        <v>955</v>
      </c>
      <c r="F22" s="50" t="s">
        <v>956</v>
      </c>
      <c r="G22" s="50" t="s">
        <v>957</v>
      </c>
      <c r="H22" s="50" t="s">
        <v>958</v>
      </c>
      <c r="I22" s="50" t="s">
        <v>959</v>
      </c>
      <c r="J22" s="50" t="s">
        <v>960</v>
      </c>
      <c r="K22" s="50" t="s">
        <v>961</v>
      </c>
      <c r="L22" s="50" t="s">
        <v>962</v>
      </c>
      <c r="M22" s="50" t="s">
        <v>963</v>
      </c>
      <c r="N22" s="50" t="s">
        <v>964</v>
      </c>
      <c r="O22" s="50" t="s">
        <v>965</v>
      </c>
      <c r="P22" s="50" t="s">
        <v>966</v>
      </c>
      <c r="Q22" s="50" t="s">
        <v>967</v>
      </c>
      <c r="R22" s="50" t="s">
        <v>968</v>
      </c>
    </row>
    <row r="23" spans="2:18" x14ac:dyDescent="0.35">
      <c r="D23" s="50" t="s">
        <v>23</v>
      </c>
      <c r="F23" s="50" t="s">
        <v>678</v>
      </c>
      <c r="G23" s="50" t="s">
        <v>679</v>
      </c>
      <c r="H23" s="50" t="s">
        <v>680</v>
      </c>
      <c r="I23" s="50" t="s">
        <v>681</v>
      </c>
      <c r="J23" s="50" t="s">
        <v>682</v>
      </c>
      <c r="K23" s="50" t="s">
        <v>683</v>
      </c>
      <c r="L23" s="50" t="s">
        <v>684</v>
      </c>
      <c r="M23" s="50" t="s">
        <v>685</v>
      </c>
      <c r="N23" s="50" t="s">
        <v>686</v>
      </c>
      <c r="O23" s="50" t="s">
        <v>687</v>
      </c>
      <c r="P23" s="50" t="s">
        <v>688</v>
      </c>
      <c r="Q23" s="50" t="s">
        <v>689</v>
      </c>
      <c r="R23" s="50" t="s">
        <v>690</v>
      </c>
    </row>
    <row r="25" spans="2:18" x14ac:dyDescent="0.35">
      <c r="D25" s="50" t="s">
        <v>10</v>
      </c>
      <c r="F25" s="50" t="s">
        <v>691</v>
      </c>
      <c r="G25" s="50" t="s">
        <v>692</v>
      </c>
      <c r="H25" s="50" t="s">
        <v>693</v>
      </c>
      <c r="I25" s="50" t="s">
        <v>694</v>
      </c>
      <c r="J25" s="50" t="s">
        <v>695</v>
      </c>
      <c r="K25" s="50" t="s">
        <v>696</v>
      </c>
      <c r="L25" s="50" t="s">
        <v>697</v>
      </c>
      <c r="M25" s="50" t="s">
        <v>698</v>
      </c>
      <c r="N25" s="50" t="s">
        <v>699</v>
      </c>
      <c r="O25" s="50" t="s">
        <v>700</v>
      </c>
      <c r="P25" s="50" t="s">
        <v>701</v>
      </c>
      <c r="Q25" s="50" t="s">
        <v>702</v>
      </c>
      <c r="R25" s="50" t="s">
        <v>703</v>
      </c>
    </row>
    <row r="27" spans="2:18" x14ac:dyDescent="0.35">
      <c r="D27" s="50" t="s">
        <v>7</v>
      </c>
    </row>
    <row r="28" spans="2:18" x14ac:dyDescent="0.35">
      <c r="B28" s="50" t="s">
        <v>704</v>
      </c>
      <c r="D28" s="50" t="s">
        <v>176</v>
      </c>
      <c r="F28" s="50" t="s">
        <v>468</v>
      </c>
      <c r="G28" s="50" t="s">
        <v>469</v>
      </c>
      <c r="H28" s="50" t="s">
        <v>470</v>
      </c>
      <c r="I28" s="50" t="s">
        <v>471</v>
      </c>
      <c r="J28" s="50" t="s">
        <v>472</v>
      </c>
      <c r="K28" s="50" t="s">
        <v>473</v>
      </c>
      <c r="L28" s="50" t="s">
        <v>474</v>
      </c>
      <c r="M28" s="50" t="s">
        <v>475</v>
      </c>
      <c r="N28" s="50" t="s">
        <v>476</v>
      </c>
      <c r="O28" s="50" t="s">
        <v>477</v>
      </c>
      <c r="P28" s="50" t="s">
        <v>478</v>
      </c>
      <c r="Q28" s="50" t="s">
        <v>479</v>
      </c>
      <c r="R28" s="50" t="s">
        <v>480</v>
      </c>
    </row>
    <row r="29" spans="2:18" x14ac:dyDescent="0.35">
      <c r="B29" s="50" t="s">
        <v>705</v>
      </c>
      <c r="D29" s="50" t="s">
        <v>190</v>
      </c>
      <c r="F29" s="50" t="s">
        <v>481</v>
      </c>
      <c r="G29" s="50" t="s">
        <v>482</v>
      </c>
      <c r="H29" s="50" t="s">
        <v>483</v>
      </c>
      <c r="I29" s="50" t="s">
        <v>484</v>
      </c>
      <c r="J29" s="50" t="s">
        <v>485</v>
      </c>
      <c r="K29" s="50" t="s">
        <v>486</v>
      </c>
      <c r="L29" s="50" t="s">
        <v>487</v>
      </c>
      <c r="M29" s="50" t="s">
        <v>488</v>
      </c>
      <c r="N29" s="50" t="s">
        <v>489</v>
      </c>
      <c r="O29" s="50" t="s">
        <v>490</v>
      </c>
      <c r="P29" s="50" t="s">
        <v>491</v>
      </c>
      <c r="Q29" s="50" t="s">
        <v>492</v>
      </c>
      <c r="R29" s="50" t="s">
        <v>493</v>
      </c>
    </row>
    <row r="30" spans="2:18" x14ac:dyDescent="0.35">
      <c r="B30" s="50" t="s">
        <v>706</v>
      </c>
      <c r="D30" s="50" t="s">
        <v>204</v>
      </c>
      <c r="F30" s="50" t="s">
        <v>494</v>
      </c>
      <c r="G30" s="50" t="s">
        <v>495</v>
      </c>
      <c r="H30" s="50" t="s">
        <v>496</v>
      </c>
      <c r="I30" s="50" t="s">
        <v>497</v>
      </c>
      <c r="J30" s="50" t="s">
        <v>498</v>
      </c>
      <c r="K30" s="50" t="s">
        <v>499</v>
      </c>
      <c r="L30" s="50" t="s">
        <v>500</v>
      </c>
      <c r="M30" s="50" t="s">
        <v>501</v>
      </c>
      <c r="N30" s="50" t="s">
        <v>502</v>
      </c>
      <c r="O30" s="50" t="s">
        <v>503</v>
      </c>
      <c r="P30" s="50" t="s">
        <v>504</v>
      </c>
      <c r="Q30" s="50" t="s">
        <v>505</v>
      </c>
      <c r="R30" s="50" t="s">
        <v>506</v>
      </c>
    </row>
    <row r="31" spans="2:18" x14ac:dyDescent="0.35">
      <c r="B31" s="50" t="s">
        <v>707</v>
      </c>
      <c r="D31" s="50" t="s">
        <v>218</v>
      </c>
      <c r="F31" s="50" t="s">
        <v>507</v>
      </c>
      <c r="G31" s="50" t="s">
        <v>508</v>
      </c>
      <c r="H31" s="50" t="s">
        <v>509</v>
      </c>
      <c r="I31" s="50" t="s">
        <v>510</v>
      </c>
      <c r="J31" s="50" t="s">
        <v>511</v>
      </c>
      <c r="K31" s="50" t="s">
        <v>512</v>
      </c>
      <c r="L31" s="50" t="s">
        <v>513</v>
      </c>
      <c r="M31" s="50" t="s">
        <v>514</v>
      </c>
      <c r="N31" s="50" t="s">
        <v>515</v>
      </c>
      <c r="O31" s="50" t="s">
        <v>516</v>
      </c>
      <c r="P31" s="50" t="s">
        <v>517</v>
      </c>
      <c r="Q31" s="50" t="s">
        <v>518</v>
      </c>
      <c r="R31" s="50" t="s">
        <v>519</v>
      </c>
    </row>
    <row r="32" spans="2:18" x14ac:dyDescent="0.35">
      <c r="B32" s="50" t="s">
        <v>708</v>
      </c>
      <c r="D32" s="50" t="s">
        <v>232</v>
      </c>
      <c r="F32" s="50" t="s">
        <v>520</v>
      </c>
      <c r="G32" s="50" t="s">
        <v>521</v>
      </c>
      <c r="H32" s="50" t="s">
        <v>522</v>
      </c>
      <c r="I32" s="50" t="s">
        <v>523</v>
      </c>
      <c r="J32" s="50" t="s">
        <v>524</v>
      </c>
      <c r="K32" s="50" t="s">
        <v>525</v>
      </c>
      <c r="L32" s="50" t="s">
        <v>526</v>
      </c>
      <c r="M32" s="50" t="s">
        <v>527</v>
      </c>
      <c r="N32" s="50" t="s">
        <v>528</v>
      </c>
      <c r="O32" s="50" t="s">
        <v>529</v>
      </c>
      <c r="P32" s="50" t="s">
        <v>530</v>
      </c>
      <c r="Q32" s="50" t="s">
        <v>531</v>
      </c>
      <c r="R32" s="50" t="s">
        <v>532</v>
      </c>
    </row>
    <row r="33" spans="2:18" x14ac:dyDescent="0.35">
      <c r="B33" s="50" t="s">
        <v>709</v>
      </c>
      <c r="D33" s="50" t="s">
        <v>246</v>
      </c>
      <c r="F33" s="50" t="s">
        <v>533</v>
      </c>
      <c r="G33" s="50" t="s">
        <v>534</v>
      </c>
      <c r="H33" s="50" t="s">
        <v>535</v>
      </c>
      <c r="I33" s="50" t="s">
        <v>536</v>
      </c>
      <c r="J33" s="50" t="s">
        <v>537</v>
      </c>
      <c r="K33" s="50" t="s">
        <v>538</v>
      </c>
      <c r="L33" s="50" t="s">
        <v>539</v>
      </c>
      <c r="M33" s="50" t="s">
        <v>540</v>
      </c>
      <c r="N33" s="50" t="s">
        <v>541</v>
      </c>
      <c r="O33" s="50" t="s">
        <v>542</v>
      </c>
      <c r="P33" s="50" t="s">
        <v>543</v>
      </c>
      <c r="Q33" s="50" t="s">
        <v>544</v>
      </c>
      <c r="R33" s="50" t="s">
        <v>545</v>
      </c>
    </row>
    <row r="34" spans="2:18" x14ac:dyDescent="0.35">
      <c r="B34" s="50" t="s">
        <v>710</v>
      </c>
      <c r="D34" s="50" t="s">
        <v>260</v>
      </c>
      <c r="F34" s="50" t="s">
        <v>546</v>
      </c>
      <c r="G34" s="50" t="s">
        <v>547</v>
      </c>
      <c r="H34" s="50" t="s">
        <v>548</v>
      </c>
      <c r="I34" s="50" t="s">
        <v>549</v>
      </c>
      <c r="J34" s="50" t="s">
        <v>550</v>
      </c>
      <c r="K34" s="50" t="s">
        <v>551</v>
      </c>
      <c r="L34" s="50" t="s">
        <v>552</v>
      </c>
      <c r="M34" s="50" t="s">
        <v>553</v>
      </c>
      <c r="N34" s="50" t="s">
        <v>554</v>
      </c>
      <c r="O34" s="50" t="s">
        <v>555</v>
      </c>
      <c r="P34" s="50" t="s">
        <v>556</v>
      </c>
      <c r="Q34" s="50" t="s">
        <v>557</v>
      </c>
      <c r="R34" s="50" t="s">
        <v>558</v>
      </c>
    </row>
    <row r="35" spans="2:18" x14ac:dyDescent="0.35">
      <c r="D35" s="50" t="s">
        <v>8</v>
      </c>
      <c r="F35" s="50" t="s">
        <v>711</v>
      </c>
      <c r="G35" s="50" t="s">
        <v>712</v>
      </c>
      <c r="H35" s="50" t="s">
        <v>713</v>
      </c>
      <c r="I35" s="50" t="s">
        <v>714</v>
      </c>
      <c r="J35" s="50" t="s">
        <v>715</v>
      </c>
      <c r="K35" s="50" t="s">
        <v>716</v>
      </c>
      <c r="L35" s="50" t="s">
        <v>717</v>
      </c>
      <c r="M35" s="50" t="s">
        <v>718</v>
      </c>
      <c r="N35" s="50" t="s">
        <v>719</v>
      </c>
      <c r="O35" s="50" t="s">
        <v>720</v>
      </c>
      <c r="P35" s="50" t="s">
        <v>721</v>
      </c>
      <c r="Q35" s="50" t="s">
        <v>722</v>
      </c>
      <c r="R35" s="50" t="s">
        <v>723</v>
      </c>
    </row>
    <row r="37" spans="2:18" x14ac:dyDescent="0.35">
      <c r="D37" s="50" t="s">
        <v>24</v>
      </c>
      <c r="F37" s="50" t="s">
        <v>724</v>
      </c>
      <c r="G37" s="50" t="s">
        <v>725</v>
      </c>
      <c r="H37" s="50" t="s">
        <v>726</v>
      </c>
      <c r="I37" s="50" t="s">
        <v>727</v>
      </c>
      <c r="J37" s="50" t="s">
        <v>728</v>
      </c>
      <c r="K37" s="50" t="s">
        <v>729</v>
      </c>
      <c r="L37" s="50" t="s">
        <v>730</v>
      </c>
      <c r="M37" s="50" t="s">
        <v>731</v>
      </c>
      <c r="N37" s="50" t="s">
        <v>732</v>
      </c>
      <c r="O37" s="50" t="s">
        <v>733</v>
      </c>
      <c r="P37" s="50" t="s">
        <v>734</v>
      </c>
      <c r="Q37" s="50" t="s">
        <v>735</v>
      </c>
      <c r="R37" s="50" t="s">
        <v>736</v>
      </c>
    </row>
    <row r="39" spans="2:18" x14ac:dyDescent="0.35">
      <c r="D39" s="50" t="s">
        <v>11</v>
      </c>
    </row>
    <row r="40" spans="2:18" x14ac:dyDescent="0.35">
      <c r="B40" s="50" t="s">
        <v>737</v>
      </c>
      <c r="D40" s="50" t="s">
        <v>274</v>
      </c>
      <c r="F40" s="50" t="s">
        <v>559</v>
      </c>
      <c r="G40" s="50" t="s">
        <v>560</v>
      </c>
      <c r="H40" s="50" t="s">
        <v>561</v>
      </c>
      <c r="I40" s="50" t="s">
        <v>562</v>
      </c>
      <c r="J40" s="50" t="s">
        <v>563</v>
      </c>
      <c r="K40" s="50" t="s">
        <v>564</v>
      </c>
      <c r="L40" s="50" t="s">
        <v>565</v>
      </c>
      <c r="M40" s="50" t="s">
        <v>566</v>
      </c>
      <c r="N40" s="50" t="s">
        <v>567</v>
      </c>
      <c r="O40" s="50" t="s">
        <v>568</v>
      </c>
      <c r="P40" s="50" t="s">
        <v>569</v>
      </c>
      <c r="Q40" s="50" t="s">
        <v>570</v>
      </c>
      <c r="R40" s="50" t="s">
        <v>571</v>
      </c>
    </row>
    <row r="41" spans="2:18" x14ac:dyDescent="0.35">
      <c r="B41" s="50" t="s">
        <v>738</v>
      </c>
      <c r="D41" s="50" t="s">
        <v>288</v>
      </c>
      <c r="F41" s="50" t="s">
        <v>572</v>
      </c>
      <c r="G41" s="50" t="s">
        <v>573</v>
      </c>
      <c r="H41" s="50" t="s">
        <v>574</v>
      </c>
      <c r="I41" s="50" t="s">
        <v>575</v>
      </c>
      <c r="J41" s="50" t="s">
        <v>576</v>
      </c>
      <c r="K41" s="50" t="s">
        <v>577</v>
      </c>
      <c r="L41" s="50" t="s">
        <v>578</v>
      </c>
      <c r="M41" s="50" t="s">
        <v>579</v>
      </c>
      <c r="N41" s="50" t="s">
        <v>580</v>
      </c>
      <c r="O41" s="50" t="s">
        <v>581</v>
      </c>
      <c r="P41" s="50" t="s">
        <v>582</v>
      </c>
      <c r="Q41" s="50" t="s">
        <v>583</v>
      </c>
      <c r="R41" s="50" t="s">
        <v>584</v>
      </c>
    </row>
    <row r="42" spans="2:18" x14ac:dyDescent="0.35">
      <c r="B42" s="50" t="s">
        <v>739</v>
      </c>
      <c r="D42" s="50" t="s">
        <v>302</v>
      </c>
      <c r="F42" s="50" t="s">
        <v>585</v>
      </c>
      <c r="G42" s="50" t="s">
        <v>586</v>
      </c>
      <c r="H42" s="50" t="s">
        <v>587</v>
      </c>
      <c r="I42" s="50" t="s">
        <v>588</v>
      </c>
      <c r="J42" s="50" t="s">
        <v>589</v>
      </c>
      <c r="K42" s="50" t="s">
        <v>590</v>
      </c>
      <c r="L42" s="50" t="s">
        <v>591</v>
      </c>
      <c r="M42" s="50" t="s">
        <v>592</v>
      </c>
      <c r="N42" s="50" t="s">
        <v>593</v>
      </c>
      <c r="O42" s="50" t="s">
        <v>594</v>
      </c>
      <c r="P42" s="50" t="s">
        <v>595</v>
      </c>
      <c r="Q42" s="50" t="s">
        <v>596</v>
      </c>
      <c r="R42" s="50" t="s">
        <v>597</v>
      </c>
    </row>
    <row r="43" spans="2:18" x14ac:dyDescent="0.35">
      <c r="B43" s="50" t="s">
        <v>740</v>
      </c>
      <c r="D43" s="50" t="s">
        <v>316</v>
      </c>
      <c r="F43" s="50" t="s">
        <v>598</v>
      </c>
      <c r="G43" s="50" t="s">
        <v>599</v>
      </c>
      <c r="H43" s="50" t="s">
        <v>600</v>
      </c>
      <c r="I43" s="50" t="s">
        <v>601</v>
      </c>
      <c r="J43" s="50" t="s">
        <v>602</v>
      </c>
      <c r="K43" s="50" t="s">
        <v>603</v>
      </c>
      <c r="L43" s="50" t="s">
        <v>604</v>
      </c>
      <c r="M43" s="50" t="s">
        <v>605</v>
      </c>
      <c r="N43" s="50" t="s">
        <v>606</v>
      </c>
      <c r="O43" s="50" t="s">
        <v>607</v>
      </c>
      <c r="P43" s="50" t="s">
        <v>608</v>
      </c>
      <c r="Q43" s="50" t="s">
        <v>609</v>
      </c>
      <c r="R43" s="50" t="s">
        <v>610</v>
      </c>
    </row>
    <row r="44" spans="2:18" x14ac:dyDescent="0.35">
      <c r="B44" s="50" t="s">
        <v>741</v>
      </c>
      <c r="D44" s="50" t="s">
        <v>330</v>
      </c>
      <c r="F44" s="50" t="s">
        <v>611</v>
      </c>
      <c r="G44" s="50" t="s">
        <v>612</v>
      </c>
      <c r="H44" s="50" t="s">
        <v>613</v>
      </c>
      <c r="I44" s="50" t="s">
        <v>614</v>
      </c>
      <c r="J44" s="50" t="s">
        <v>615</v>
      </c>
      <c r="K44" s="50" t="s">
        <v>616</v>
      </c>
      <c r="L44" s="50" t="s">
        <v>617</v>
      </c>
      <c r="M44" s="50" t="s">
        <v>618</v>
      </c>
      <c r="N44" s="50" t="s">
        <v>619</v>
      </c>
      <c r="O44" s="50" t="s">
        <v>620</v>
      </c>
      <c r="P44" s="50" t="s">
        <v>621</v>
      </c>
      <c r="Q44" s="50" t="s">
        <v>622</v>
      </c>
      <c r="R44" s="50" t="s">
        <v>623</v>
      </c>
    </row>
    <row r="45" spans="2:18" x14ac:dyDescent="0.35">
      <c r="B45" s="50" t="s">
        <v>742</v>
      </c>
      <c r="D45" s="50" t="s">
        <v>344</v>
      </c>
      <c r="F45" s="50" t="s">
        <v>624</v>
      </c>
      <c r="G45" s="50" t="s">
        <v>625</v>
      </c>
      <c r="H45" s="50" t="s">
        <v>626</v>
      </c>
      <c r="I45" s="50" t="s">
        <v>627</v>
      </c>
      <c r="J45" s="50" t="s">
        <v>628</v>
      </c>
      <c r="K45" s="50" t="s">
        <v>629</v>
      </c>
      <c r="L45" s="50" t="s">
        <v>630</v>
      </c>
      <c r="M45" s="50" t="s">
        <v>631</v>
      </c>
      <c r="N45" s="50" t="s">
        <v>632</v>
      </c>
      <c r="O45" s="50" t="s">
        <v>633</v>
      </c>
      <c r="P45" s="50" t="s">
        <v>634</v>
      </c>
      <c r="Q45" s="50" t="s">
        <v>635</v>
      </c>
      <c r="R45" s="50" t="s">
        <v>636</v>
      </c>
    </row>
    <row r="46" spans="2:18" x14ac:dyDescent="0.35">
      <c r="D46" s="50" t="s">
        <v>12</v>
      </c>
      <c r="F46" s="50" t="s">
        <v>743</v>
      </c>
      <c r="G46" s="50" t="s">
        <v>744</v>
      </c>
      <c r="H46" s="50" t="s">
        <v>745</v>
      </c>
      <c r="I46" s="50" t="s">
        <v>746</v>
      </c>
      <c r="J46" s="50" t="s">
        <v>747</v>
      </c>
      <c r="K46" s="50" t="s">
        <v>748</v>
      </c>
      <c r="L46" s="50" t="s">
        <v>749</v>
      </c>
      <c r="M46" s="50" t="s">
        <v>750</v>
      </c>
      <c r="N46" s="50" t="s">
        <v>751</v>
      </c>
      <c r="O46" s="50" t="s">
        <v>752</v>
      </c>
      <c r="P46" s="50" t="s">
        <v>753</v>
      </c>
      <c r="Q46" s="50" t="s">
        <v>754</v>
      </c>
      <c r="R46" s="50" t="s">
        <v>755</v>
      </c>
    </row>
    <row r="48" spans="2:18" x14ac:dyDescent="0.35">
      <c r="D48" s="50" t="s">
        <v>9</v>
      </c>
      <c r="F48" s="50" t="s">
        <v>756</v>
      </c>
      <c r="G48" s="50" t="s">
        <v>757</v>
      </c>
      <c r="H48" s="50" t="s">
        <v>758</v>
      </c>
      <c r="I48" s="50" t="s">
        <v>759</v>
      </c>
      <c r="J48" s="50" t="s">
        <v>760</v>
      </c>
      <c r="K48" s="50" t="s">
        <v>761</v>
      </c>
      <c r="L48" s="50" t="s">
        <v>762</v>
      </c>
      <c r="M48" s="50" t="s">
        <v>763</v>
      </c>
      <c r="N48" s="50" t="s">
        <v>764</v>
      </c>
      <c r="O48" s="50" t="s">
        <v>765</v>
      </c>
      <c r="P48" s="50" t="s">
        <v>766</v>
      </c>
      <c r="Q48" s="50" t="s">
        <v>767</v>
      </c>
      <c r="R48" s="50" t="s">
        <v>768</v>
      </c>
    </row>
    <row r="50" spans="2:18" x14ac:dyDescent="0.35">
      <c r="B50" s="50" t="s">
        <v>769</v>
      </c>
      <c r="D50" s="50" t="s">
        <v>361</v>
      </c>
      <c r="F50" s="50" t="s">
        <v>637</v>
      </c>
      <c r="G50" s="50" t="s">
        <v>638</v>
      </c>
      <c r="H50" s="50" t="s">
        <v>639</v>
      </c>
      <c r="I50" s="50" t="s">
        <v>640</v>
      </c>
      <c r="J50" s="50" t="s">
        <v>641</v>
      </c>
      <c r="K50" s="50" t="s">
        <v>642</v>
      </c>
      <c r="L50" s="50" t="s">
        <v>643</v>
      </c>
      <c r="M50" s="50" t="s">
        <v>644</v>
      </c>
      <c r="N50" s="50" t="s">
        <v>645</v>
      </c>
      <c r="O50" s="50" t="s">
        <v>646</v>
      </c>
      <c r="P50" s="50" t="s">
        <v>647</v>
      </c>
      <c r="Q50" s="50" t="s">
        <v>648</v>
      </c>
      <c r="R50" s="50" t="s">
        <v>649</v>
      </c>
    </row>
    <row r="52" spans="2:18" x14ac:dyDescent="0.35">
      <c r="D52" s="50" t="s">
        <v>13</v>
      </c>
      <c r="F52" s="50" t="s">
        <v>770</v>
      </c>
      <c r="G52" s="50" t="s">
        <v>771</v>
      </c>
      <c r="H52" s="50" t="s">
        <v>772</v>
      </c>
      <c r="I52" s="50" t="s">
        <v>773</v>
      </c>
      <c r="J52" s="50" t="s">
        <v>774</v>
      </c>
      <c r="K52" s="50" t="s">
        <v>775</v>
      </c>
      <c r="L52" s="50" t="s">
        <v>776</v>
      </c>
      <c r="M52" s="50" t="s">
        <v>777</v>
      </c>
      <c r="N52" s="50" t="s">
        <v>778</v>
      </c>
      <c r="O52" s="50" t="s">
        <v>779</v>
      </c>
      <c r="P52" s="50" t="s">
        <v>780</v>
      </c>
      <c r="Q52" s="50" t="s">
        <v>781</v>
      </c>
      <c r="R52" s="50" t="s">
        <v>782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52"/>
  <sheetViews>
    <sheetView workbookViewId="0"/>
  </sheetViews>
  <sheetFormatPr defaultRowHeight="14.5" x14ac:dyDescent="0.35"/>
  <sheetData>
    <row r="1" spans="1:18" x14ac:dyDescent="0.35">
      <c r="A1" s="50" t="s">
        <v>784</v>
      </c>
      <c r="B1" s="50" t="s">
        <v>14</v>
      </c>
      <c r="D1" s="50" t="s">
        <v>15</v>
      </c>
      <c r="F1" s="50" t="s">
        <v>15</v>
      </c>
      <c r="G1" s="50" t="s">
        <v>15</v>
      </c>
      <c r="H1" s="50" t="s">
        <v>15</v>
      </c>
      <c r="I1" s="50" t="s">
        <v>15</v>
      </c>
      <c r="J1" s="50" t="s">
        <v>15</v>
      </c>
      <c r="K1" s="50" t="s">
        <v>15</v>
      </c>
      <c r="L1" s="50" t="s">
        <v>15</v>
      </c>
      <c r="M1" s="50" t="s">
        <v>15</v>
      </c>
      <c r="N1" s="50" t="s">
        <v>15</v>
      </c>
      <c r="O1" s="50" t="s">
        <v>15</v>
      </c>
      <c r="P1" s="50" t="s">
        <v>15</v>
      </c>
      <c r="Q1" s="50" t="s">
        <v>15</v>
      </c>
      <c r="R1" s="50" t="s">
        <v>15</v>
      </c>
    </row>
    <row r="2" spans="1:18" x14ac:dyDescent="0.35">
      <c r="A2" s="50" t="s">
        <v>14</v>
      </c>
      <c r="F2" s="50" t="s">
        <v>18</v>
      </c>
      <c r="G2" s="50" t="s">
        <v>18</v>
      </c>
      <c r="H2" s="50" t="s">
        <v>18</v>
      </c>
      <c r="I2" s="50" t="s">
        <v>18</v>
      </c>
      <c r="J2" s="50" t="s">
        <v>18</v>
      </c>
      <c r="K2" s="50" t="s">
        <v>18</v>
      </c>
      <c r="L2" s="50" t="s">
        <v>18</v>
      </c>
      <c r="M2" s="50" t="s">
        <v>18</v>
      </c>
      <c r="N2" s="50" t="s">
        <v>18</v>
      </c>
      <c r="O2" s="50" t="s">
        <v>18</v>
      </c>
      <c r="P2" s="50" t="s">
        <v>18</v>
      </c>
      <c r="Q2" s="50" t="s">
        <v>18</v>
      </c>
      <c r="R2" s="50" t="s">
        <v>20</v>
      </c>
    </row>
    <row r="4" spans="1:18" x14ac:dyDescent="0.35">
      <c r="D4" s="50" t="s">
        <v>27</v>
      </c>
      <c r="E4" s="50" t="s">
        <v>376</v>
      </c>
      <c r="Q4" s="50" t="s">
        <v>16</v>
      </c>
      <c r="R4" s="50" t="s">
        <v>33</v>
      </c>
    </row>
    <row r="6" spans="1:18" x14ac:dyDescent="0.35">
      <c r="F6" s="50" t="s">
        <v>34</v>
      </c>
      <c r="G6" s="50" t="s">
        <v>35</v>
      </c>
      <c r="H6" s="50" t="s">
        <v>36</v>
      </c>
      <c r="I6" s="50" t="s">
        <v>37</v>
      </c>
      <c r="J6" s="50" t="s">
        <v>38</v>
      </c>
      <c r="K6" s="50" t="s">
        <v>39</v>
      </c>
      <c r="L6" s="50" t="s">
        <v>40</v>
      </c>
      <c r="M6" s="50" t="s">
        <v>41</v>
      </c>
      <c r="N6" s="50" t="s">
        <v>42</v>
      </c>
      <c r="O6" s="50" t="s">
        <v>43</v>
      </c>
      <c r="P6" s="50" t="s">
        <v>44</v>
      </c>
      <c r="Q6" s="50" t="s">
        <v>45</v>
      </c>
      <c r="R6" s="50" t="s">
        <v>33</v>
      </c>
    </row>
    <row r="7" spans="1:18" x14ac:dyDescent="0.35">
      <c r="A7" s="50" t="s">
        <v>14</v>
      </c>
      <c r="B7" s="50" t="s">
        <v>25</v>
      </c>
      <c r="F7" s="50" t="s">
        <v>46</v>
      </c>
      <c r="G7" s="50" t="s">
        <v>47</v>
      </c>
      <c r="H7" s="50" t="s">
        <v>48</v>
      </c>
      <c r="I7" s="50" t="s">
        <v>49</v>
      </c>
      <c r="J7" s="50" t="s">
        <v>50</v>
      </c>
      <c r="K7" s="50" t="s">
        <v>51</v>
      </c>
      <c r="L7" s="50" t="s">
        <v>52</v>
      </c>
      <c r="M7" s="50" t="s">
        <v>53</v>
      </c>
      <c r="N7" s="50" t="s">
        <v>54</v>
      </c>
      <c r="O7" s="50" t="s">
        <v>55</v>
      </c>
      <c r="P7" s="50" t="s">
        <v>56</v>
      </c>
      <c r="Q7" s="50" t="s">
        <v>57</v>
      </c>
      <c r="R7" s="50" t="s">
        <v>58</v>
      </c>
    </row>
    <row r="8" spans="1:18" x14ac:dyDescent="0.35">
      <c r="A8" s="50" t="s">
        <v>14</v>
      </c>
      <c r="F8" s="50" t="s">
        <v>59</v>
      </c>
      <c r="G8" s="50" t="s">
        <v>60</v>
      </c>
      <c r="H8" s="50" t="s">
        <v>61</v>
      </c>
      <c r="I8" s="50" t="s">
        <v>62</v>
      </c>
      <c r="J8" s="50" t="s">
        <v>63</v>
      </c>
      <c r="K8" s="50" t="s">
        <v>64</v>
      </c>
      <c r="L8" s="50" t="s">
        <v>65</v>
      </c>
      <c r="M8" s="50" t="s">
        <v>66</v>
      </c>
      <c r="N8" s="50" t="s">
        <v>67</v>
      </c>
      <c r="O8" s="50" t="s">
        <v>68</v>
      </c>
      <c r="P8" s="50" t="s">
        <v>69</v>
      </c>
      <c r="Q8" s="50" t="s">
        <v>70</v>
      </c>
      <c r="R8" s="50" t="s">
        <v>71</v>
      </c>
    </row>
    <row r="9" spans="1:18" x14ac:dyDescent="0.35">
      <c r="B9" s="50" t="s">
        <v>22</v>
      </c>
      <c r="D9" s="50" t="s">
        <v>5</v>
      </c>
    </row>
    <row r="10" spans="1:18" x14ac:dyDescent="0.35">
      <c r="B10" s="50" t="s">
        <v>655</v>
      </c>
      <c r="D10" s="50" t="s">
        <v>654</v>
      </c>
      <c r="F10" s="50" t="s">
        <v>654</v>
      </c>
      <c r="G10" s="50" t="s">
        <v>654</v>
      </c>
      <c r="H10" s="50" t="s">
        <v>654</v>
      </c>
      <c r="I10" s="50" t="s">
        <v>654</v>
      </c>
      <c r="J10" s="50" t="s">
        <v>654</v>
      </c>
      <c r="K10" s="50" t="s">
        <v>654</v>
      </c>
      <c r="L10" s="50" t="s">
        <v>654</v>
      </c>
      <c r="M10" s="50" t="s">
        <v>654</v>
      </c>
      <c r="N10" s="50" t="s">
        <v>654</v>
      </c>
      <c r="O10" s="50" t="s">
        <v>654</v>
      </c>
      <c r="P10" s="50" t="s">
        <v>654</v>
      </c>
      <c r="Q10" s="50" t="s">
        <v>654</v>
      </c>
      <c r="R10" s="50" t="s">
        <v>654</v>
      </c>
    </row>
    <row r="11" spans="1:18" x14ac:dyDescent="0.35">
      <c r="B11" s="50" t="s">
        <v>656</v>
      </c>
      <c r="D11" s="50" t="s">
        <v>654</v>
      </c>
      <c r="F11" s="50" t="s">
        <v>654</v>
      </c>
      <c r="G11" s="50" t="s">
        <v>654</v>
      </c>
      <c r="H11" s="50" t="s">
        <v>654</v>
      </c>
      <c r="I11" s="50" t="s">
        <v>654</v>
      </c>
      <c r="J11" s="50" t="s">
        <v>654</v>
      </c>
      <c r="K11" s="50" t="s">
        <v>654</v>
      </c>
      <c r="L11" s="50" t="s">
        <v>654</v>
      </c>
      <c r="M11" s="50" t="s">
        <v>654</v>
      </c>
      <c r="N11" s="50" t="s">
        <v>654</v>
      </c>
      <c r="O11" s="50" t="s">
        <v>654</v>
      </c>
      <c r="P11" s="50" t="s">
        <v>654</v>
      </c>
      <c r="Q11" s="50" t="s">
        <v>654</v>
      </c>
      <c r="R11" s="50" t="s">
        <v>654</v>
      </c>
    </row>
    <row r="12" spans="1:18" x14ac:dyDescent="0.35">
      <c r="B12" s="50" t="s">
        <v>657</v>
      </c>
      <c r="D12" s="50" t="s">
        <v>654</v>
      </c>
      <c r="F12" s="50" t="s">
        <v>654</v>
      </c>
      <c r="G12" s="50" t="s">
        <v>654</v>
      </c>
      <c r="H12" s="50" t="s">
        <v>654</v>
      </c>
      <c r="I12" s="50" t="s">
        <v>654</v>
      </c>
      <c r="J12" s="50" t="s">
        <v>654</v>
      </c>
      <c r="K12" s="50" t="s">
        <v>654</v>
      </c>
      <c r="L12" s="50" t="s">
        <v>654</v>
      </c>
      <c r="M12" s="50" t="s">
        <v>654</v>
      </c>
      <c r="N12" s="50" t="s">
        <v>654</v>
      </c>
      <c r="O12" s="50" t="s">
        <v>654</v>
      </c>
      <c r="P12" s="50" t="s">
        <v>654</v>
      </c>
      <c r="Q12" s="50" t="s">
        <v>654</v>
      </c>
      <c r="R12" s="50" t="s">
        <v>654</v>
      </c>
    </row>
    <row r="13" spans="1:18" x14ac:dyDescent="0.35">
      <c r="B13" s="50" t="s">
        <v>658</v>
      </c>
      <c r="D13" s="50" t="s">
        <v>654</v>
      </c>
      <c r="F13" s="50" t="s">
        <v>654</v>
      </c>
      <c r="G13" s="50" t="s">
        <v>654</v>
      </c>
      <c r="H13" s="50" t="s">
        <v>654</v>
      </c>
      <c r="I13" s="50" t="s">
        <v>654</v>
      </c>
      <c r="J13" s="50" t="s">
        <v>654</v>
      </c>
      <c r="K13" s="50" t="s">
        <v>654</v>
      </c>
      <c r="L13" s="50" t="s">
        <v>654</v>
      </c>
      <c r="M13" s="50" t="s">
        <v>654</v>
      </c>
      <c r="N13" s="50" t="s">
        <v>654</v>
      </c>
      <c r="O13" s="50" t="s">
        <v>654</v>
      </c>
      <c r="P13" s="50" t="s">
        <v>654</v>
      </c>
      <c r="Q13" s="50" t="s">
        <v>654</v>
      </c>
      <c r="R13" s="50" t="s">
        <v>654</v>
      </c>
    </row>
    <row r="14" spans="1:18" x14ac:dyDescent="0.35">
      <c r="B14" s="50" t="s">
        <v>659</v>
      </c>
      <c r="D14" s="50" t="s">
        <v>654</v>
      </c>
      <c r="F14" s="50" t="s">
        <v>654</v>
      </c>
      <c r="G14" s="50" t="s">
        <v>654</v>
      </c>
      <c r="H14" s="50" t="s">
        <v>654</v>
      </c>
      <c r="I14" s="50" t="s">
        <v>654</v>
      </c>
      <c r="J14" s="50" t="s">
        <v>654</v>
      </c>
      <c r="K14" s="50" t="s">
        <v>654</v>
      </c>
      <c r="L14" s="50" t="s">
        <v>654</v>
      </c>
      <c r="M14" s="50" t="s">
        <v>654</v>
      </c>
      <c r="N14" s="50" t="s">
        <v>654</v>
      </c>
      <c r="O14" s="50" t="s">
        <v>654</v>
      </c>
      <c r="P14" s="50" t="s">
        <v>654</v>
      </c>
      <c r="Q14" s="50" t="s">
        <v>654</v>
      </c>
      <c r="R14" s="50" t="s">
        <v>654</v>
      </c>
    </row>
    <row r="15" spans="1:18" x14ac:dyDescent="0.35">
      <c r="B15" s="50" t="s">
        <v>660</v>
      </c>
      <c r="D15" s="50" t="s">
        <v>654</v>
      </c>
      <c r="F15" s="50" t="s">
        <v>654</v>
      </c>
      <c r="G15" s="50" t="s">
        <v>654</v>
      </c>
      <c r="H15" s="50" t="s">
        <v>654</v>
      </c>
      <c r="I15" s="50" t="s">
        <v>654</v>
      </c>
      <c r="J15" s="50" t="s">
        <v>654</v>
      </c>
      <c r="K15" s="50" t="s">
        <v>654</v>
      </c>
      <c r="L15" s="50" t="s">
        <v>654</v>
      </c>
      <c r="M15" s="50" t="s">
        <v>654</v>
      </c>
      <c r="N15" s="50" t="s">
        <v>654</v>
      </c>
      <c r="O15" s="50" t="s">
        <v>654</v>
      </c>
      <c r="P15" s="50" t="s">
        <v>654</v>
      </c>
      <c r="Q15" s="50" t="s">
        <v>654</v>
      </c>
      <c r="R15" s="50" t="s">
        <v>654</v>
      </c>
    </row>
    <row r="16" spans="1:18" x14ac:dyDescent="0.35">
      <c r="D16" s="50" t="s">
        <v>6</v>
      </c>
      <c r="F16" s="50" t="s">
        <v>661</v>
      </c>
      <c r="G16" s="50" t="s">
        <v>662</v>
      </c>
      <c r="H16" s="50" t="s">
        <v>663</v>
      </c>
      <c r="I16" s="50" t="s">
        <v>664</v>
      </c>
      <c r="J16" s="50" t="s">
        <v>665</v>
      </c>
      <c r="K16" s="50" t="s">
        <v>666</v>
      </c>
      <c r="L16" s="50" t="s">
        <v>667</v>
      </c>
      <c r="M16" s="50" t="s">
        <v>668</v>
      </c>
      <c r="N16" s="50" t="s">
        <v>669</v>
      </c>
      <c r="O16" s="50" t="s">
        <v>670</v>
      </c>
      <c r="P16" s="50" t="s">
        <v>671</v>
      </c>
      <c r="Q16" s="50" t="s">
        <v>672</v>
      </c>
      <c r="R16" s="50" t="s">
        <v>673</v>
      </c>
    </row>
    <row r="18" spans="2:18" x14ac:dyDescent="0.35">
      <c r="D18" s="50" t="s">
        <v>21</v>
      </c>
    </row>
    <row r="19" spans="2:18" x14ac:dyDescent="0.35">
      <c r="B19" s="50" t="s">
        <v>674</v>
      </c>
      <c r="D19" s="50" t="s">
        <v>654</v>
      </c>
      <c r="F19" s="50" t="s">
        <v>654</v>
      </c>
      <c r="G19" s="50" t="s">
        <v>654</v>
      </c>
      <c r="H19" s="50" t="s">
        <v>654</v>
      </c>
      <c r="I19" s="50" t="s">
        <v>654</v>
      </c>
      <c r="J19" s="50" t="s">
        <v>654</v>
      </c>
      <c r="K19" s="50" t="s">
        <v>654</v>
      </c>
      <c r="L19" s="50" t="s">
        <v>654</v>
      </c>
      <c r="M19" s="50" t="s">
        <v>654</v>
      </c>
      <c r="N19" s="50" t="s">
        <v>654</v>
      </c>
      <c r="O19" s="50" t="s">
        <v>654</v>
      </c>
      <c r="P19" s="50" t="s">
        <v>654</v>
      </c>
      <c r="Q19" s="50" t="s">
        <v>654</v>
      </c>
      <c r="R19" s="50" t="s">
        <v>654</v>
      </c>
    </row>
    <row r="20" spans="2:18" x14ac:dyDescent="0.35">
      <c r="B20" s="50" t="s">
        <v>675</v>
      </c>
      <c r="D20" s="50" t="s">
        <v>654</v>
      </c>
      <c r="F20" s="50" t="s">
        <v>654</v>
      </c>
      <c r="G20" s="50" t="s">
        <v>654</v>
      </c>
      <c r="H20" s="50" t="s">
        <v>654</v>
      </c>
      <c r="I20" s="50" t="s">
        <v>654</v>
      </c>
      <c r="J20" s="50" t="s">
        <v>654</v>
      </c>
      <c r="K20" s="50" t="s">
        <v>654</v>
      </c>
      <c r="L20" s="50" t="s">
        <v>654</v>
      </c>
      <c r="M20" s="50" t="s">
        <v>654</v>
      </c>
      <c r="N20" s="50" t="s">
        <v>654</v>
      </c>
      <c r="O20" s="50" t="s">
        <v>654</v>
      </c>
      <c r="P20" s="50" t="s">
        <v>654</v>
      </c>
      <c r="Q20" s="50" t="s">
        <v>654</v>
      </c>
      <c r="R20" s="50" t="s">
        <v>654</v>
      </c>
    </row>
    <row r="21" spans="2:18" x14ac:dyDescent="0.35">
      <c r="B21" s="50" t="s">
        <v>676</v>
      </c>
      <c r="D21" s="50" t="s">
        <v>654</v>
      </c>
      <c r="F21" s="50" t="s">
        <v>654</v>
      </c>
      <c r="G21" s="50" t="s">
        <v>654</v>
      </c>
      <c r="H21" s="50" t="s">
        <v>654</v>
      </c>
      <c r="I21" s="50" t="s">
        <v>654</v>
      </c>
      <c r="J21" s="50" t="s">
        <v>654</v>
      </c>
      <c r="K21" s="50" t="s">
        <v>654</v>
      </c>
      <c r="L21" s="50" t="s">
        <v>654</v>
      </c>
      <c r="M21" s="50" t="s">
        <v>654</v>
      </c>
      <c r="N21" s="50" t="s">
        <v>654</v>
      </c>
      <c r="O21" s="50" t="s">
        <v>654</v>
      </c>
      <c r="P21" s="50" t="s">
        <v>654</v>
      </c>
      <c r="Q21" s="50" t="s">
        <v>654</v>
      </c>
      <c r="R21" s="50" t="s">
        <v>654</v>
      </c>
    </row>
    <row r="22" spans="2:18" x14ac:dyDescent="0.35">
      <c r="B22" s="50" t="s">
        <v>677</v>
      </c>
      <c r="D22" s="50" t="s">
        <v>654</v>
      </c>
      <c r="F22" s="50" t="s">
        <v>654</v>
      </c>
      <c r="G22" s="50" t="s">
        <v>654</v>
      </c>
      <c r="H22" s="50" t="s">
        <v>654</v>
      </c>
      <c r="I22" s="50" t="s">
        <v>654</v>
      </c>
      <c r="J22" s="50" t="s">
        <v>654</v>
      </c>
      <c r="K22" s="50" t="s">
        <v>654</v>
      </c>
      <c r="L22" s="50" t="s">
        <v>654</v>
      </c>
      <c r="M22" s="50" t="s">
        <v>654</v>
      </c>
      <c r="N22" s="50" t="s">
        <v>654</v>
      </c>
      <c r="O22" s="50" t="s">
        <v>654</v>
      </c>
      <c r="P22" s="50" t="s">
        <v>654</v>
      </c>
      <c r="Q22" s="50" t="s">
        <v>654</v>
      </c>
      <c r="R22" s="50" t="s">
        <v>654</v>
      </c>
    </row>
    <row r="23" spans="2:18" x14ac:dyDescent="0.35">
      <c r="D23" s="50" t="s">
        <v>23</v>
      </c>
      <c r="F23" s="50" t="s">
        <v>678</v>
      </c>
      <c r="G23" s="50" t="s">
        <v>679</v>
      </c>
      <c r="H23" s="50" t="s">
        <v>680</v>
      </c>
      <c r="I23" s="50" t="s">
        <v>681</v>
      </c>
      <c r="J23" s="50" t="s">
        <v>682</v>
      </c>
      <c r="K23" s="50" t="s">
        <v>683</v>
      </c>
      <c r="L23" s="50" t="s">
        <v>684</v>
      </c>
      <c r="M23" s="50" t="s">
        <v>685</v>
      </c>
      <c r="N23" s="50" t="s">
        <v>686</v>
      </c>
      <c r="O23" s="50" t="s">
        <v>687</v>
      </c>
      <c r="P23" s="50" t="s">
        <v>688</v>
      </c>
      <c r="Q23" s="50" t="s">
        <v>689</v>
      </c>
      <c r="R23" s="50" t="s">
        <v>690</v>
      </c>
    </row>
    <row r="25" spans="2:18" x14ac:dyDescent="0.35">
      <c r="D25" s="50" t="s">
        <v>10</v>
      </c>
      <c r="F25" s="50" t="s">
        <v>691</v>
      </c>
      <c r="G25" s="50" t="s">
        <v>692</v>
      </c>
      <c r="H25" s="50" t="s">
        <v>693</v>
      </c>
      <c r="I25" s="50" t="s">
        <v>694</v>
      </c>
      <c r="J25" s="50" t="s">
        <v>695</v>
      </c>
      <c r="K25" s="50" t="s">
        <v>696</v>
      </c>
      <c r="L25" s="50" t="s">
        <v>697</v>
      </c>
      <c r="M25" s="50" t="s">
        <v>698</v>
      </c>
      <c r="N25" s="50" t="s">
        <v>699</v>
      </c>
      <c r="O25" s="50" t="s">
        <v>700</v>
      </c>
      <c r="P25" s="50" t="s">
        <v>701</v>
      </c>
      <c r="Q25" s="50" t="s">
        <v>702</v>
      </c>
      <c r="R25" s="50" t="s">
        <v>703</v>
      </c>
    </row>
    <row r="27" spans="2:18" x14ac:dyDescent="0.35">
      <c r="D27" s="50" t="s">
        <v>7</v>
      </c>
    </row>
    <row r="28" spans="2:18" x14ac:dyDescent="0.35">
      <c r="B28" s="50" t="s">
        <v>704</v>
      </c>
      <c r="D28" s="50" t="s">
        <v>654</v>
      </c>
      <c r="F28" s="50" t="s">
        <v>654</v>
      </c>
      <c r="G28" s="50" t="s">
        <v>654</v>
      </c>
      <c r="H28" s="50" t="s">
        <v>654</v>
      </c>
      <c r="I28" s="50" t="s">
        <v>654</v>
      </c>
      <c r="J28" s="50" t="s">
        <v>654</v>
      </c>
      <c r="K28" s="50" t="s">
        <v>654</v>
      </c>
      <c r="L28" s="50" t="s">
        <v>654</v>
      </c>
      <c r="M28" s="50" t="s">
        <v>654</v>
      </c>
      <c r="N28" s="50" t="s">
        <v>654</v>
      </c>
      <c r="O28" s="50" t="s">
        <v>654</v>
      </c>
      <c r="P28" s="50" t="s">
        <v>654</v>
      </c>
      <c r="Q28" s="50" t="s">
        <v>654</v>
      </c>
      <c r="R28" s="50" t="s">
        <v>654</v>
      </c>
    </row>
    <row r="29" spans="2:18" x14ac:dyDescent="0.35">
      <c r="B29" s="50" t="s">
        <v>705</v>
      </c>
      <c r="D29" s="50" t="s">
        <v>654</v>
      </c>
      <c r="F29" s="50" t="s">
        <v>654</v>
      </c>
      <c r="G29" s="50" t="s">
        <v>654</v>
      </c>
      <c r="H29" s="50" t="s">
        <v>654</v>
      </c>
      <c r="I29" s="50" t="s">
        <v>654</v>
      </c>
      <c r="J29" s="50" t="s">
        <v>654</v>
      </c>
      <c r="K29" s="50" t="s">
        <v>654</v>
      </c>
      <c r="L29" s="50" t="s">
        <v>654</v>
      </c>
      <c r="M29" s="50" t="s">
        <v>654</v>
      </c>
      <c r="N29" s="50" t="s">
        <v>654</v>
      </c>
      <c r="O29" s="50" t="s">
        <v>654</v>
      </c>
      <c r="P29" s="50" t="s">
        <v>654</v>
      </c>
      <c r="Q29" s="50" t="s">
        <v>654</v>
      </c>
      <c r="R29" s="50" t="s">
        <v>654</v>
      </c>
    </row>
    <row r="30" spans="2:18" x14ac:dyDescent="0.35">
      <c r="B30" s="50" t="s">
        <v>706</v>
      </c>
      <c r="D30" s="50" t="s">
        <v>654</v>
      </c>
      <c r="F30" s="50" t="s">
        <v>654</v>
      </c>
      <c r="G30" s="50" t="s">
        <v>654</v>
      </c>
      <c r="H30" s="50" t="s">
        <v>654</v>
      </c>
      <c r="I30" s="50" t="s">
        <v>654</v>
      </c>
      <c r="J30" s="50" t="s">
        <v>654</v>
      </c>
      <c r="K30" s="50" t="s">
        <v>654</v>
      </c>
      <c r="L30" s="50" t="s">
        <v>654</v>
      </c>
      <c r="M30" s="50" t="s">
        <v>654</v>
      </c>
      <c r="N30" s="50" t="s">
        <v>654</v>
      </c>
      <c r="O30" s="50" t="s">
        <v>654</v>
      </c>
      <c r="P30" s="50" t="s">
        <v>654</v>
      </c>
      <c r="Q30" s="50" t="s">
        <v>654</v>
      </c>
      <c r="R30" s="50" t="s">
        <v>654</v>
      </c>
    </row>
    <row r="31" spans="2:18" x14ac:dyDescent="0.35">
      <c r="B31" s="50" t="s">
        <v>707</v>
      </c>
      <c r="D31" s="50" t="s">
        <v>654</v>
      </c>
      <c r="F31" s="50" t="s">
        <v>654</v>
      </c>
      <c r="G31" s="50" t="s">
        <v>654</v>
      </c>
      <c r="H31" s="50" t="s">
        <v>654</v>
      </c>
      <c r="I31" s="50" t="s">
        <v>654</v>
      </c>
      <c r="J31" s="50" t="s">
        <v>654</v>
      </c>
      <c r="K31" s="50" t="s">
        <v>654</v>
      </c>
      <c r="L31" s="50" t="s">
        <v>654</v>
      </c>
      <c r="M31" s="50" t="s">
        <v>654</v>
      </c>
      <c r="N31" s="50" t="s">
        <v>654</v>
      </c>
      <c r="O31" s="50" t="s">
        <v>654</v>
      </c>
      <c r="P31" s="50" t="s">
        <v>654</v>
      </c>
      <c r="Q31" s="50" t="s">
        <v>654</v>
      </c>
      <c r="R31" s="50" t="s">
        <v>654</v>
      </c>
    </row>
    <row r="32" spans="2:18" x14ac:dyDescent="0.35">
      <c r="B32" s="50" t="s">
        <v>708</v>
      </c>
      <c r="D32" s="50" t="s">
        <v>654</v>
      </c>
      <c r="F32" s="50" t="s">
        <v>654</v>
      </c>
      <c r="G32" s="50" t="s">
        <v>654</v>
      </c>
      <c r="H32" s="50" t="s">
        <v>654</v>
      </c>
      <c r="I32" s="50" t="s">
        <v>654</v>
      </c>
      <c r="J32" s="50" t="s">
        <v>654</v>
      </c>
      <c r="K32" s="50" t="s">
        <v>654</v>
      </c>
      <c r="L32" s="50" t="s">
        <v>654</v>
      </c>
      <c r="M32" s="50" t="s">
        <v>654</v>
      </c>
      <c r="N32" s="50" t="s">
        <v>654</v>
      </c>
      <c r="O32" s="50" t="s">
        <v>654</v>
      </c>
      <c r="P32" s="50" t="s">
        <v>654</v>
      </c>
      <c r="Q32" s="50" t="s">
        <v>654</v>
      </c>
      <c r="R32" s="50" t="s">
        <v>654</v>
      </c>
    </row>
    <row r="33" spans="2:18" x14ac:dyDescent="0.35">
      <c r="B33" s="50" t="s">
        <v>709</v>
      </c>
      <c r="D33" s="50" t="s">
        <v>654</v>
      </c>
      <c r="F33" s="50" t="s">
        <v>654</v>
      </c>
      <c r="G33" s="50" t="s">
        <v>654</v>
      </c>
      <c r="H33" s="50" t="s">
        <v>654</v>
      </c>
      <c r="I33" s="50" t="s">
        <v>654</v>
      </c>
      <c r="J33" s="50" t="s">
        <v>654</v>
      </c>
      <c r="K33" s="50" t="s">
        <v>654</v>
      </c>
      <c r="L33" s="50" t="s">
        <v>654</v>
      </c>
      <c r="M33" s="50" t="s">
        <v>654</v>
      </c>
      <c r="N33" s="50" t="s">
        <v>654</v>
      </c>
      <c r="O33" s="50" t="s">
        <v>654</v>
      </c>
      <c r="P33" s="50" t="s">
        <v>654</v>
      </c>
      <c r="Q33" s="50" t="s">
        <v>654</v>
      </c>
      <c r="R33" s="50" t="s">
        <v>654</v>
      </c>
    </row>
    <row r="34" spans="2:18" x14ac:dyDescent="0.35">
      <c r="B34" s="50" t="s">
        <v>710</v>
      </c>
      <c r="D34" s="50" t="s">
        <v>654</v>
      </c>
      <c r="F34" s="50" t="s">
        <v>654</v>
      </c>
      <c r="G34" s="50" t="s">
        <v>654</v>
      </c>
      <c r="H34" s="50" t="s">
        <v>654</v>
      </c>
      <c r="I34" s="50" t="s">
        <v>654</v>
      </c>
      <c r="J34" s="50" t="s">
        <v>654</v>
      </c>
      <c r="K34" s="50" t="s">
        <v>654</v>
      </c>
      <c r="L34" s="50" t="s">
        <v>654</v>
      </c>
      <c r="M34" s="50" t="s">
        <v>654</v>
      </c>
      <c r="N34" s="50" t="s">
        <v>654</v>
      </c>
      <c r="O34" s="50" t="s">
        <v>654</v>
      </c>
      <c r="P34" s="50" t="s">
        <v>654</v>
      </c>
      <c r="Q34" s="50" t="s">
        <v>654</v>
      </c>
      <c r="R34" s="50" t="s">
        <v>654</v>
      </c>
    </row>
    <row r="35" spans="2:18" x14ac:dyDescent="0.35">
      <c r="D35" s="50" t="s">
        <v>8</v>
      </c>
      <c r="F35" s="50" t="s">
        <v>711</v>
      </c>
      <c r="G35" s="50" t="s">
        <v>712</v>
      </c>
      <c r="H35" s="50" t="s">
        <v>713</v>
      </c>
      <c r="I35" s="50" t="s">
        <v>714</v>
      </c>
      <c r="J35" s="50" t="s">
        <v>715</v>
      </c>
      <c r="K35" s="50" t="s">
        <v>716</v>
      </c>
      <c r="L35" s="50" t="s">
        <v>717</v>
      </c>
      <c r="M35" s="50" t="s">
        <v>718</v>
      </c>
      <c r="N35" s="50" t="s">
        <v>719</v>
      </c>
      <c r="O35" s="50" t="s">
        <v>720</v>
      </c>
      <c r="P35" s="50" t="s">
        <v>721</v>
      </c>
      <c r="Q35" s="50" t="s">
        <v>722</v>
      </c>
      <c r="R35" s="50" t="s">
        <v>723</v>
      </c>
    </row>
    <row r="37" spans="2:18" x14ac:dyDescent="0.35">
      <c r="D37" s="50" t="s">
        <v>24</v>
      </c>
      <c r="F37" s="50" t="s">
        <v>724</v>
      </c>
      <c r="G37" s="50" t="s">
        <v>725</v>
      </c>
      <c r="H37" s="50" t="s">
        <v>726</v>
      </c>
      <c r="I37" s="50" t="s">
        <v>727</v>
      </c>
      <c r="J37" s="50" t="s">
        <v>728</v>
      </c>
      <c r="K37" s="50" t="s">
        <v>729</v>
      </c>
      <c r="L37" s="50" t="s">
        <v>730</v>
      </c>
      <c r="M37" s="50" t="s">
        <v>731</v>
      </c>
      <c r="N37" s="50" t="s">
        <v>732</v>
      </c>
      <c r="O37" s="50" t="s">
        <v>733</v>
      </c>
      <c r="P37" s="50" t="s">
        <v>734</v>
      </c>
      <c r="Q37" s="50" t="s">
        <v>735</v>
      </c>
      <c r="R37" s="50" t="s">
        <v>736</v>
      </c>
    </row>
    <row r="39" spans="2:18" x14ac:dyDescent="0.35">
      <c r="D39" s="50" t="s">
        <v>11</v>
      </c>
    </row>
    <row r="40" spans="2:18" x14ac:dyDescent="0.35">
      <c r="B40" s="50" t="s">
        <v>737</v>
      </c>
      <c r="D40" s="50" t="s">
        <v>654</v>
      </c>
      <c r="F40" s="50" t="s">
        <v>654</v>
      </c>
      <c r="G40" s="50" t="s">
        <v>654</v>
      </c>
      <c r="H40" s="50" t="s">
        <v>654</v>
      </c>
      <c r="I40" s="50" t="s">
        <v>654</v>
      </c>
      <c r="J40" s="50" t="s">
        <v>654</v>
      </c>
      <c r="K40" s="50" t="s">
        <v>654</v>
      </c>
      <c r="L40" s="50" t="s">
        <v>654</v>
      </c>
      <c r="M40" s="50" t="s">
        <v>654</v>
      </c>
      <c r="N40" s="50" t="s">
        <v>654</v>
      </c>
      <c r="O40" s="50" t="s">
        <v>654</v>
      </c>
      <c r="P40" s="50" t="s">
        <v>654</v>
      </c>
      <c r="Q40" s="50" t="s">
        <v>654</v>
      </c>
      <c r="R40" s="50" t="s">
        <v>654</v>
      </c>
    </row>
    <row r="41" spans="2:18" x14ac:dyDescent="0.35">
      <c r="B41" s="50" t="s">
        <v>738</v>
      </c>
      <c r="D41" s="50" t="s">
        <v>654</v>
      </c>
      <c r="F41" s="50" t="s">
        <v>654</v>
      </c>
      <c r="G41" s="50" t="s">
        <v>654</v>
      </c>
      <c r="H41" s="50" t="s">
        <v>654</v>
      </c>
      <c r="I41" s="50" t="s">
        <v>654</v>
      </c>
      <c r="J41" s="50" t="s">
        <v>654</v>
      </c>
      <c r="K41" s="50" t="s">
        <v>654</v>
      </c>
      <c r="L41" s="50" t="s">
        <v>654</v>
      </c>
      <c r="M41" s="50" t="s">
        <v>654</v>
      </c>
      <c r="N41" s="50" t="s">
        <v>654</v>
      </c>
      <c r="O41" s="50" t="s">
        <v>654</v>
      </c>
      <c r="P41" s="50" t="s">
        <v>654</v>
      </c>
      <c r="Q41" s="50" t="s">
        <v>654</v>
      </c>
      <c r="R41" s="50" t="s">
        <v>654</v>
      </c>
    </row>
    <row r="42" spans="2:18" x14ac:dyDescent="0.35">
      <c r="B42" s="50" t="s">
        <v>739</v>
      </c>
      <c r="D42" s="50" t="s">
        <v>654</v>
      </c>
      <c r="F42" s="50" t="s">
        <v>654</v>
      </c>
      <c r="G42" s="50" t="s">
        <v>654</v>
      </c>
      <c r="H42" s="50" t="s">
        <v>654</v>
      </c>
      <c r="I42" s="50" t="s">
        <v>654</v>
      </c>
      <c r="J42" s="50" t="s">
        <v>654</v>
      </c>
      <c r="K42" s="50" t="s">
        <v>654</v>
      </c>
      <c r="L42" s="50" t="s">
        <v>654</v>
      </c>
      <c r="M42" s="50" t="s">
        <v>654</v>
      </c>
      <c r="N42" s="50" t="s">
        <v>654</v>
      </c>
      <c r="O42" s="50" t="s">
        <v>654</v>
      </c>
      <c r="P42" s="50" t="s">
        <v>654</v>
      </c>
      <c r="Q42" s="50" t="s">
        <v>654</v>
      </c>
      <c r="R42" s="50" t="s">
        <v>654</v>
      </c>
    </row>
    <row r="43" spans="2:18" x14ac:dyDescent="0.35">
      <c r="B43" s="50" t="s">
        <v>740</v>
      </c>
      <c r="D43" s="50" t="s">
        <v>654</v>
      </c>
      <c r="F43" s="50" t="s">
        <v>654</v>
      </c>
      <c r="G43" s="50" t="s">
        <v>654</v>
      </c>
      <c r="H43" s="50" t="s">
        <v>654</v>
      </c>
      <c r="I43" s="50" t="s">
        <v>654</v>
      </c>
      <c r="J43" s="50" t="s">
        <v>654</v>
      </c>
      <c r="K43" s="50" t="s">
        <v>654</v>
      </c>
      <c r="L43" s="50" t="s">
        <v>654</v>
      </c>
      <c r="M43" s="50" t="s">
        <v>654</v>
      </c>
      <c r="N43" s="50" t="s">
        <v>654</v>
      </c>
      <c r="O43" s="50" t="s">
        <v>654</v>
      </c>
      <c r="P43" s="50" t="s">
        <v>654</v>
      </c>
      <c r="Q43" s="50" t="s">
        <v>654</v>
      </c>
      <c r="R43" s="50" t="s">
        <v>654</v>
      </c>
    </row>
    <row r="44" spans="2:18" x14ac:dyDescent="0.35">
      <c r="B44" s="50" t="s">
        <v>741</v>
      </c>
      <c r="D44" s="50" t="s">
        <v>654</v>
      </c>
      <c r="F44" s="50" t="s">
        <v>654</v>
      </c>
      <c r="G44" s="50" t="s">
        <v>654</v>
      </c>
      <c r="H44" s="50" t="s">
        <v>654</v>
      </c>
      <c r="I44" s="50" t="s">
        <v>654</v>
      </c>
      <c r="J44" s="50" t="s">
        <v>654</v>
      </c>
      <c r="K44" s="50" t="s">
        <v>654</v>
      </c>
      <c r="L44" s="50" t="s">
        <v>654</v>
      </c>
      <c r="M44" s="50" t="s">
        <v>654</v>
      </c>
      <c r="N44" s="50" t="s">
        <v>654</v>
      </c>
      <c r="O44" s="50" t="s">
        <v>654</v>
      </c>
      <c r="P44" s="50" t="s">
        <v>654</v>
      </c>
      <c r="Q44" s="50" t="s">
        <v>654</v>
      </c>
      <c r="R44" s="50" t="s">
        <v>654</v>
      </c>
    </row>
    <row r="45" spans="2:18" x14ac:dyDescent="0.35">
      <c r="B45" s="50" t="s">
        <v>742</v>
      </c>
      <c r="D45" s="50" t="s">
        <v>654</v>
      </c>
      <c r="F45" s="50" t="s">
        <v>654</v>
      </c>
      <c r="G45" s="50" t="s">
        <v>654</v>
      </c>
      <c r="H45" s="50" t="s">
        <v>654</v>
      </c>
      <c r="I45" s="50" t="s">
        <v>654</v>
      </c>
      <c r="J45" s="50" t="s">
        <v>654</v>
      </c>
      <c r="K45" s="50" t="s">
        <v>654</v>
      </c>
      <c r="L45" s="50" t="s">
        <v>654</v>
      </c>
      <c r="M45" s="50" t="s">
        <v>654</v>
      </c>
      <c r="N45" s="50" t="s">
        <v>654</v>
      </c>
      <c r="O45" s="50" t="s">
        <v>654</v>
      </c>
      <c r="P45" s="50" t="s">
        <v>654</v>
      </c>
      <c r="Q45" s="50" t="s">
        <v>654</v>
      </c>
      <c r="R45" s="50" t="s">
        <v>654</v>
      </c>
    </row>
    <row r="46" spans="2:18" x14ac:dyDescent="0.35">
      <c r="D46" s="50" t="s">
        <v>12</v>
      </c>
      <c r="F46" s="50" t="s">
        <v>743</v>
      </c>
      <c r="G46" s="50" t="s">
        <v>744</v>
      </c>
      <c r="H46" s="50" t="s">
        <v>745</v>
      </c>
      <c r="I46" s="50" t="s">
        <v>746</v>
      </c>
      <c r="J46" s="50" t="s">
        <v>747</v>
      </c>
      <c r="K46" s="50" t="s">
        <v>748</v>
      </c>
      <c r="L46" s="50" t="s">
        <v>749</v>
      </c>
      <c r="M46" s="50" t="s">
        <v>750</v>
      </c>
      <c r="N46" s="50" t="s">
        <v>751</v>
      </c>
      <c r="O46" s="50" t="s">
        <v>752</v>
      </c>
      <c r="P46" s="50" t="s">
        <v>753</v>
      </c>
      <c r="Q46" s="50" t="s">
        <v>754</v>
      </c>
      <c r="R46" s="50" t="s">
        <v>755</v>
      </c>
    </row>
    <row r="48" spans="2:18" x14ac:dyDescent="0.35">
      <c r="D48" s="50" t="s">
        <v>9</v>
      </c>
      <c r="F48" s="50" t="s">
        <v>756</v>
      </c>
      <c r="G48" s="50" t="s">
        <v>757</v>
      </c>
      <c r="H48" s="50" t="s">
        <v>758</v>
      </c>
      <c r="I48" s="50" t="s">
        <v>759</v>
      </c>
      <c r="J48" s="50" t="s">
        <v>760</v>
      </c>
      <c r="K48" s="50" t="s">
        <v>761</v>
      </c>
      <c r="L48" s="50" t="s">
        <v>762</v>
      </c>
      <c r="M48" s="50" t="s">
        <v>763</v>
      </c>
      <c r="N48" s="50" t="s">
        <v>764</v>
      </c>
      <c r="O48" s="50" t="s">
        <v>765</v>
      </c>
      <c r="P48" s="50" t="s">
        <v>766</v>
      </c>
      <c r="Q48" s="50" t="s">
        <v>767</v>
      </c>
      <c r="R48" s="50" t="s">
        <v>768</v>
      </c>
    </row>
    <row r="50" spans="2:18" x14ac:dyDescent="0.35">
      <c r="B50" s="50" t="s">
        <v>769</v>
      </c>
      <c r="D50" s="50" t="s">
        <v>654</v>
      </c>
      <c r="F50" s="50" t="s">
        <v>654</v>
      </c>
      <c r="G50" s="50" t="s">
        <v>654</v>
      </c>
      <c r="H50" s="50" t="s">
        <v>654</v>
      </c>
      <c r="I50" s="50" t="s">
        <v>654</v>
      </c>
      <c r="J50" s="50" t="s">
        <v>654</v>
      </c>
      <c r="K50" s="50" t="s">
        <v>654</v>
      </c>
      <c r="L50" s="50" t="s">
        <v>654</v>
      </c>
      <c r="M50" s="50" t="s">
        <v>654</v>
      </c>
      <c r="N50" s="50" t="s">
        <v>654</v>
      </c>
      <c r="O50" s="50" t="s">
        <v>654</v>
      </c>
      <c r="P50" s="50" t="s">
        <v>654</v>
      </c>
      <c r="Q50" s="50" t="s">
        <v>654</v>
      </c>
      <c r="R50" s="50" t="s">
        <v>654</v>
      </c>
    </row>
    <row r="52" spans="2:18" x14ac:dyDescent="0.35">
      <c r="D52" s="50" t="s">
        <v>13</v>
      </c>
      <c r="F52" s="50" t="s">
        <v>770</v>
      </c>
      <c r="G52" s="50" t="s">
        <v>771</v>
      </c>
      <c r="H52" s="50" t="s">
        <v>772</v>
      </c>
      <c r="I52" s="50" t="s">
        <v>773</v>
      </c>
      <c r="J52" s="50" t="s">
        <v>774</v>
      </c>
      <c r="K52" s="50" t="s">
        <v>775</v>
      </c>
      <c r="L52" s="50" t="s">
        <v>776</v>
      </c>
      <c r="M52" s="50" t="s">
        <v>777</v>
      </c>
      <c r="N52" s="50" t="s">
        <v>778</v>
      </c>
      <c r="O52" s="50" t="s">
        <v>779</v>
      </c>
      <c r="P52" s="50" t="s">
        <v>780</v>
      </c>
      <c r="Q52" s="50" t="s">
        <v>781</v>
      </c>
      <c r="R52" s="50" t="s">
        <v>782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55"/>
  <sheetViews>
    <sheetView workbookViewId="0"/>
  </sheetViews>
  <sheetFormatPr defaultRowHeight="14.5" x14ac:dyDescent="0.35"/>
  <sheetData>
    <row r="1" spans="1:19" x14ac:dyDescent="0.35">
      <c r="A1" s="50" t="s">
        <v>926</v>
      </c>
      <c r="B1" s="50" t="s">
        <v>14</v>
      </c>
      <c r="C1" s="50" t="s">
        <v>14</v>
      </c>
      <c r="E1" s="50" t="s">
        <v>15</v>
      </c>
      <c r="G1" s="50" t="s">
        <v>15</v>
      </c>
      <c r="H1" s="50" t="s">
        <v>15</v>
      </c>
      <c r="I1" s="50" t="s">
        <v>15</v>
      </c>
      <c r="J1" s="50" t="s">
        <v>15</v>
      </c>
      <c r="K1" s="50" t="s">
        <v>15</v>
      </c>
      <c r="L1" s="50" t="s">
        <v>15</v>
      </c>
      <c r="M1" s="50" t="s">
        <v>15</v>
      </c>
      <c r="N1" s="50" t="s">
        <v>15</v>
      </c>
      <c r="O1" s="50" t="s">
        <v>15</v>
      </c>
      <c r="P1" s="50" t="s">
        <v>15</v>
      </c>
      <c r="Q1" s="50" t="s">
        <v>15</v>
      </c>
      <c r="R1" s="50" t="s">
        <v>15</v>
      </c>
      <c r="S1" s="50" t="s">
        <v>15</v>
      </c>
    </row>
    <row r="2" spans="1:19" x14ac:dyDescent="0.35">
      <c r="A2" s="50" t="s">
        <v>14</v>
      </c>
      <c r="B2" s="50" t="s">
        <v>28</v>
      </c>
      <c r="C2" s="50" t="s">
        <v>31</v>
      </c>
      <c r="G2" s="50" t="s">
        <v>18</v>
      </c>
      <c r="H2" s="50" t="s">
        <v>18</v>
      </c>
      <c r="I2" s="50" t="s">
        <v>18</v>
      </c>
      <c r="J2" s="50" t="s">
        <v>18</v>
      </c>
      <c r="K2" s="50" t="s">
        <v>18</v>
      </c>
      <c r="L2" s="50" t="s">
        <v>18</v>
      </c>
      <c r="M2" s="50" t="s">
        <v>18</v>
      </c>
      <c r="N2" s="50" t="s">
        <v>18</v>
      </c>
      <c r="O2" s="50" t="s">
        <v>18</v>
      </c>
      <c r="P2" s="50" t="s">
        <v>18</v>
      </c>
      <c r="Q2" s="50" t="s">
        <v>18</v>
      </c>
      <c r="R2" s="50" t="s">
        <v>18</v>
      </c>
      <c r="S2" s="50" t="s">
        <v>20</v>
      </c>
    </row>
    <row r="3" spans="1:19" x14ac:dyDescent="0.35">
      <c r="B3" s="50" t="s">
        <v>29</v>
      </c>
      <c r="C3" s="50" t="s">
        <v>650</v>
      </c>
    </row>
    <row r="4" spans="1:19" x14ac:dyDescent="0.35">
      <c r="B4" s="50" t="s">
        <v>29</v>
      </c>
      <c r="C4" s="50" t="s">
        <v>651</v>
      </c>
    </row>
    <row r="5" spans="1:19" x14ac:dyDescent="0.35">
      <c r="B5" s="50" t="s">
        <v>30</v>
      </c>
      <c r="C5" s="50" t="s">
        <v>652</v>
      </c>
    </row>
    <row r="6" spans="1:19" x14ac:dyDescent="0.35">
      <c r="B6" s="50" t="s">
        <v>30</v>
      </c>
      <c r="C6" s="50" t="s">
        <v>653</v>
      </c>
    </row>
    <row r="7" spans="1:19" x14ac:dyDescent="0.35">
      <c r="E7" s="50" t="s">
        <v>19</v>
      </c>
      <c r="F7" s="50" t="s">
        <v>376</v>
      </c>
      <c r="R7" s="50" t="s">
        <v>16</v>
      </c>
      <c r="S7" s="50" t="s">
        <v>33</v>
      </c>
    </row>
    <row r="9" spans="1:19" x14ac:dyDescent="0.35">
      <c r="G9" s="50" t="s">
        <v>785</v>
      </c>
      <c r="H9" s="50" t="s">
        <v>786</v>
      </c>
      <c r="I9" s="50" t="s">
        <v>787</v>
      </c>
      <c r="J9" s="50" t="s">
        <v>788</v>
      </c>
      <c r="K9" s="50" t="s">
        <v>789</v>
      </c>
      <c r="L9" s="50" t="s">
        <v>790</v>
      </c>
      <c r="M9" s="50" t="s">
        <v>791</v>
      </c>
      <c r="N9" s="50" t="s">
        <v>792</v>
      </c>
      <c r="O9" s="50" t="s">
        <v>793</v>
      </c>
      <c r="P9" s="50" t="s">
        <v>794</v>
      </c>
      <c r="Q9" s="50" t="s">
        <v>795</v>
      </c>
      <c r="R9" s="50" t="s">
        <v>796</v>
      </c>
      <c r="S9" s="50" t="s">
        <v>33</v>
      </c>
    </row>
    <row r="10" spans="1:19" x14ac:dyDescent="0.35">
      <c r="A10" s="50" t="s">
        <v>14</v>
      </c>
      <c r="B10" s="50" t="s">
        <v>25</v>
      </c>
      <c r="G10" s="50" t="s">
        <v>46</v>
      </c>
      <c r="H10" s="50" t="s">
        <v>797</v>
      </c>
      <c r="I10" s="50" t="s">
        <v>798</v>
      </c>
      <c r="J10" s="50" t="s">
        <v>799</v>
      </c>
      <c r="K10" s="50" t="s">
        <v>800</v>
      </c>
      <c r="L10" s="50" t="s">
        <v>801</v>
      </c>
      <c r="M10" s="50" t="s">
        <v>802</v>
      </c>
      <c r="N10" s="50" t="s">
        <v>803</v>
      </c>
      <c r="O10" s="50" t="s">
        <v>804</v>
      </c>
      <c r="P10" s="50" t="s">
        <v>805</v>
      </c>
      <c r="Q10" s="50" t="s">
        <v>806</v>
      </c>
      <c r="R10" s="50" t="s">
        <v>807</v>
      </c>
      <c r="S10" s="50" t="s">
        <v>808</v>
      </c>
    </row>
    <row r="11" spans="1:19" x14ac:dyDescent="0.35">
      <c r="A11" s="50" t="s">
        <v>14</v>
      </c>
      <c r="G11" s="50" t="s">
        <v>809</v>
      </c>
      <c r="H11" s="50" t="s">
        <v>810</v>
      </c>
      <c r="I11" s="50" t="s">
        <v>811</v>
      </c>
      <c r="J11" s="50" t="s">
        <v>812</v>
      </c>
      <c r="K11" s="50" t="s">
        <v>813</v>
      </c>
      <c r="L11" s="50" t="s">
        <v>814</v>
      </c>
      <c r="M11" s="50" t="s">
        <v>815</v>
      </c>
      <c r="N11" s="50" t="s">
        <v>816</v>
      </c>
      <c r="O11" s="50" t="s">
        <v>817</v>
      </c>
      <c r="P11" s="50" t="s">
        <v>818</v>
      </c>
      <c r="Q11" s="50" t="s">
        <v>819</v>
      </c>
      <c r="R11" s="50" t="s">
        <v>820</v>
      </c>
      <c r="S11" s="50" t="s">
        <v>821</v>
      </c>
    </row>
    <row r="12" spans="1:19" x14ac:dyDescent="0.35">
      <c r="B12" s="50" t="s">
        <v>22</v>
      </c>
      <c r="E12" s="50" t="s">
        <v>5</v>
      </c>
    </row>
    <row r="13" spans="1:19" x14ac:dyDescent="0.35">
      <c r="B13" s="50" t="s">
        <v>655</v>
      </c>
      <c r="E13" s="50" t="s">
        <v>114</v>
      </c>
      <c r="G13" s="50" t="s">
        <v>1008</v>
      </c>
      <c r="H13" s="50" t="s">
        <v>1009</v>
      </c>
      <c r="I13" s="50" t="s">
        <v>1010</v>
      </c>
      <c r="J13" s="50" t="s">
        <v>1011</v>
      </c>
      <c r="K13" s="50" t="s">
        <v>1012</v>
      </c>
      <c r="L13" s="50" t="s">
        <v>1013</v>
      </c>
      <c r="M13" s="50" t="s">
        <v>1014</v>
      </c>
      <c r="N13" s="50" t="s">
        <v>1015</v>
      </c>
      <c r="O13" s="50" t="s">
        <v>1016</v>
      </c>
      <c r="P13" s="50" t="s">
        <v>1017</v>
      </c>
      <c r="Q13" s="50" t="s">
        <v>1018</v>
      </c>
      <c r="R13" s="50" t="s">
        <v>1019</v>
      </c>
      <c r="S13" s="50" t="s">
        <v>1020</v>
      </c>
    </row>
    <row r="14" spans="1:19" x14ac:dyDescent="0.35">
      <c r="B14" s="50" t="s">
        <v>656</v>
      </c>
      <c r="E14" s="50" t="s">
        <v>128</v>
      </c>
      <c r="G14" s="50" t="s">
        <v>1021</v>
      </c>
      <c r="H14" s="50" t="s">
        <v>1022</v>
      </c>
      <c r="I14" s="50" t="s">
        <v>1023</v>
      </c>
      <c r="J14" s="50" t="s">
        <v>1024</v>
      </c>
      <c r="K14" s="50" t="s">
        <v>1025</v>
      </c>
      <c r="L14" s="50" t="s">
        <v>1026</v>
      </c>
      <c r="M14" s="50" t="s">
        <v>1027</v>
      </c>
      <c r="N14" s="50" t="s">
        <v>1028</v>
      </c>
      <c r="O14" s="50" t="s">
        <v>1029</v>
      </c>
      <c r="P14" s="50" t="s">
        <v>1030</v>
      </c>
      <c r="Q14" s="50" t="s">
        <v>1031</v>
      </c>
      <c r="R14" s="50" t="s">
        <v>1032</v>
      </c>
      <c r="S14" s="50" t="s">
        <v>1033</v>
      </c>
    </row>
    <row r="15" spans="1:19" x14ac:dyDescent="0.35">
      <c r="B15" s="50" t="s">
        <v>657</v>
      </c>
      <c r="E15" s="50" t="s">
        <v>142</v>
      </c>
      <c r="G15" s="50" t="s">
        <v>1034</v>
      </c>
      <c r="H15" s="50" t="s">
        <v>1035</v>
      </c>
      <c r="I15" s="50" t="s">
        <v>1036</v>
      </c>
      <c r="J15" s="50" t="s">
        <v>1037</v>
      </c>
      <c r="K15" s="50" t="s">
        <v>1038</v>
      </c>
      <c r="L15" s="50" t="s">
        <v>1039</v>
      </c>
      <c r="M15" s="50" t="s">
        <v>1040</v>
      </c>
      <c r="N15" s="50" t="s">
        <v>1041</v>
      </c>
      <c r="O15" s="50" t="s">
        <v>1042</v>
      </c>
      <c r="P15" s="50" t="s">
        <v>1043</v>
      </c>
      <c r="Q15" s="50" t="s">
        <v>1044</v>
      </c>
      <c r="R15" s="50" t="s">
        <v>1045</v>
      </c>
      <c r="S15" s="50" t="s">
        <v>1046</v>
      </c>
    </row>
    <row r="16" spans="1:19" x14ac:dyDescent="0.35">
      <c r="B16" s="50" t="s">
        <v>658</v>
      </c>
      <c r="E16" s="50" t="s">
        <v>156</v>
      </c>
      <c r="G16" s="50" t="s">
        <v>1047</v>
      </c>
      <c r="H16" s="50" t="s">
        <v>1048</v>
      </c>
      <c r="I16" s="50" t="s">
        <v>1049</v>
      </c>
      <c r="J16" s="50" t="s">
        <v>1050</v>
      </c>
      <c r="K16" s="50" t="s">
        <v>1051</v>
      </c>
      <c r="L16" s="50" t="s">
        <v>1052</v>
      </c>
      <c r="M16" s="50" t="s">
        <v>1053</v>
      </c>
      <c r="N16" s="50" t="s">
        <v>1054</v>
      </c>
      <c r="O16" s="50" t="s">
        <v>1055</v>
      </c>
      <c r="P16" s="50" t="s">
        <v>1056</v>
      </c>
      <c r="Q16" s="50" t="s">
        <v>1057</v>
      </c>
      <c r="R16" s="50" t="s">
        <v>1058</v>
      </c>
      <c r="S16" s="50" t="s">
        <v>1059</v>
      </c>
    </row>
    <row r="17" spans="2:19" x14ac:dyDescent="0.35">
      <c r="B17" s="50" t="s">
        <v>659</v>
      </c>
      <c r="E17" s="50" t="s">
        <v>157</v>
      </c>
      <c r="G17" s="50" t="s">
        <v>1060</v>
      </c>
      <c r="H17" s="50" t="s">
        <v>1061</v>
      </c>
      <c r="I17" s="50" t="s">
        <v>1062</v>
      </c>
      <c r="J17" s="50" t="s">
        <v>1063</v>
      </c>
      <c r="K17" s="50" t="s">
        <v>1064</v>
      </c>
      <c r="L17" s="50" t="s">
        <v>1065</v>
      </c>
      <c r="M17" s="50" t="s">
        <v>1066</v>
      </c>
      <c r="N17" s="50" t="s">
        <v>1067</v>
      </c>
      <c r="O17" s="50" t="s">
        <v>1068</v>
      </c>
      <c r="P17" s="50" t="s">
        <v>1069</v>
      </c>
      <c r="Q17" s="50" t="s">
        <v>1070</v>
      </c>
      <c r="R17" s="50" t="s">
        <v>1071</v>
      </c>
      <c r="S17" s="50" t="s">
        <v>1072</v>
      </c>
    </row>
    <row r="18" spans="2:19" x14ac:dyDescent="0.35">
      <c r="B18" s="50" t="s">
        <v>660</v>
      </c>
      <c r="E18" s="50" t="s">
        <v>158</v>
      </c>
      <c r="G18" s="50" t="s">
        <v>1073</v>
      </c>
      <c r="H18" s="50" t="s">
        <v>1074</v>
      </c>
      <c r="I18" s="50" t="s">
        <v>1075</v>
      </c>
      <c r="J18" s="50" t="s">
        <v>1076</v>
      </c>
      <c r="K18" s="50" t="s">
        <v>1077</v>
      </c>
      <c r="L18" s="50" t="s">
        <v>1078</v>
      </c>
      <c r="M18" s="50" t="s">
        <v>1079</v>
      </c>
      <c r="N18" s="50" t="s">
        <v>1080</v>
      </c>
      <c r="O18" s="50" t="s">
        <v>1081</v>
      </c>
      <c r="P18" s="50" t="s">
        <v>1082</v>
      </c>
      <c r="Q18" s="50" t="s">
        <v>1083</v>
      </c>
      <c r="R18" s="50" t="s">
        <v>1084</v>
      </c>
      <c r="S18" s="50" t="s">
        <v>1085</v>
      </c>
    </row>
    <row r="19" spans="2:19" x14ac:dyDescent="0.35">
      <c r="E19" s="50" t="s">
        <v>6</v>
      </c>
      <c r="G19" s="50" t="s">
        <v>822</v>
      </c>
      <c r="H19" s="50" t="s">
        <v>823</v>
      </c>
      <c r="I19" s="50" t="s">
        <v>824</v>
      </c>
      <c r="J19" s="50" t="s">
        <v>825</v>
      </c>
      <c r="K19" s="50" t="s">
        <v>826</v>
      </c>
      <c r="L19" s="50" t="s">
        <v>827</v>
      </c>
      <c r="M19" s="50" t="s">
        <v>828</v>
      </c>
      <c r="N19" s="50" t="s">
        <v>829</v>
      </c>
      <c r="O19" s="50" t="s">
        <v>830</v>
      </c>
      <c r="P19" s="50" t="s">
        <v>831</v>
      </c>
      <c r="Q19" s="50" t="s">
        <v>832</v>
      </c>
      <c r="R19" s="50" t="s">
        <v>833</v>
      </c>
      <c r="S19" s="50" t="s">
        <v>834</v>
      </c>
    </row>
    <row r="21" spans="2:19" x14ac:dyDescent="0.35">
      <c r="E21" s="50" t="s">
        <v>21</v>
      </c>
    </row>
    <row r="22" spans="2:19" x14ac:dyDescent="0.35">
      <c r="B22" s="50" t="s">
        <v>674</v>
      </c>
      <c r="E22" s="50" t="s">
        <v>955</v>
      </c>
      <c r="G22" s="50" t="s">
        <v>1086</v>
      </c>
      <c r="H22" s="50" t="s">
        <v>1087</v>
      </c>
      <c r="I22" s="50" t="s">
        <v>1088</v>
      </c>
      <c r="J22" s="50" t="s">
        <v>1089</v>
      </c>
      <c r="K22" s="50" t="s">
        <v>1090</v>
      </c>
      <c r="L22" s="50" t="s">
        <v>1091</v>
      </c>
      <c r="M22" s="50" t="s">
        <v>1092</v>
      </c>
      <c r="N22" s="50" t="s">
        <v>1093</v>
      </c>
      <c r="O22" s="50" t="s">
        <v>1094</v>
      </c>
      <c r="P22" s="50" t="s">
        <v>1095</v>
      </c>
      <c r="Q22" s="50" t="s">
        <v>1096</v>
      </c>
      <c r="R22" s="50" t="s">
        <v>1097</v>
      </c>
      <c r="S22" s="50" t="s">
        <v>1098</v>
      </c>
    </row>
    <row r="23" spans="2:19" x14ac:dyDescent="0.35">
      <c r="B23" s="50" t="s">
        <v>675</v>
      </c>
      <c r="E23" s="50" t="s">
        <v>173</v>
      </c>
      <c r="G23" s="50" t="s">
        <v>1099</v>
      </c>
      <c r="H23" s="50" t="s">
        <v>1100</v>
      </c>
      <c r="I23" s="50" t="s">
        <v>1101</v>
      </c>
      <c r="J23" s="50" t="s">
        <v>1102</v>
      </c>
      <c r="K23" s="50" t="s">
        <v>1103</v>
      </c>
      <c r="L23" s="50" t="s">
        <v>1104</v>
      </c>
      <c r="M23" s="50" t="s">
        <v>1105</v>
      </c>
      <c r="N23" s="50" t="s">
        <v>1106</v>
      </c>
      <c r="O23" s="50" t="s">
        <v>1107</v>
      </c>
      <c r="P23" s="50" t="s">
        <v>1108</v>
      </c>
      <c r="Q23" s="50" t="s">
        <v>1109</v>
      </c>
      <c r="R23" s="50" t="s">
        <v>1110</v>
      </c>
      <c r="S23" s="50" t="s">
        <v>1111</v>
      </c>
    </row>
    <row r="24" spans="2:19" x14ac:dyDescent="0.35">
      <c r="B24" s="50" t="s">
        <v>676</v>
      </c>
      <c r="E24" s="50" t="s">
        <v>174</v>
      </c>
      <c r="G24" s="50" t="s">
        <v>1112</v>
      </c>
      <c r="H24" s="50" t="s">
        <v>1113</v>
      </c>
      <c r="I24" s="50" t="s">
        <v>1114</v>
      </c>
      <c r="J24" s="50" t="s">
        <v>1115</v>
      </c>
      <c r="K24" s="50" t="s">
        <v>1116</v>
      </c>
      <c r="L24" s="50" t="s">
        <v>1117</v>
      </c>
      <c r="M24" s="50" t="s">
        <v>1118</v>
      </c>
      <c r="N24" s="50" t="s">
        <v>1119</v>
      </c>
      <c r="O24" s="50" t="s">
        <v>1120</v>
      </c>
      <c r="P24" s="50" t="s">
        <v>1121</v>
      </c>
      <c r="Q24" s="50" t="s">
        <v>1122</v>
      </c>
      <c r="R24" s="50" t="s">
        <v>1123</v>
      </c>
      <c r="S24" s="50" t="s">
        <v>1124</v>
      </c>
    </row>
    <row r="25" spans="2:19" x14ac:dyDescent="0.35">
      <c r="B25" s="50" t="s">
        <v>677</v>
      </c>
      <c r="E25" s="50" t="s">
        <v>175</v>
      </c>
      <c r="G25" s="50" t="s">
        <v>1125</v>
      </c>
      <c r="H25" s="50" t="s">
        <v>1126</v>
      </c>
      <c r="I25" s="50" t="s">
        <v>1127</v>
      </c>
      <c r="J25" s="50" t="s">
        <v>1128</v>
      </c>
      <c r="K25" s="50" t="s">
        <v>1129</v>
      </c>
      <c r="L25" s="50" t="s">
        <v>1130</v>
      </c>
      <c r="M25" s="50" t="s">
        <v>1131</v>
      </c>
      <c r="N25" s="50" t="s">
        <v>1132</v>
      </c>
      <c r="O25" s="50" t="s">
        <v>1133</v>
      </c>
      <c r="P25" s="50" t="s">
        <v>1134</v>
      </c>
      <c r="Q25" s="50" t="s">
        <v>1135</v>
      </c>
      <c r="R25" s="50" t="s">
        <v>1136</v>
      </c>
      <c r="S25" s="50" t="s">
        <v>1137</v>
      </c>
    </row>
    <row r="26" spans="2:19" x14ac:dyDescent="0.35">
      <c r="E26" s="50" t="s">
        <v>23</v>
      </c>
      <c r="G26" s="50" t="s">
        <v>835</v>
      </c>
      <c r="H26" s="50" t="s">
        <v>836</v>
      </c>
      <c r="I26" s="50" t="s">
        <v>837</v>
      </c>
      <c r="J26" s="50" t="s">
        <v>838</v>
      </c>
      <c r="K26" s="50" t="s">
        <v>839</v>
      </c>
      <c r="L26" s="50" t="s">
        <v>840</v>
      </c>
      <c r="M26" s="50" t="s">
        <v>841</v>
      </c>
      <c r="N26" s="50" t="s">
        <v>842</v>
      </c>
      <c r="O26" s="50" t="s">
        <v>843</v>
      </c>
      <c r="P26" s="50" t="s">
        <v>844</v>
      </c>
      <c r="Q26" s="50" t="s">
        <v>845</v>
      </c>
      <c r="R26" s="50" t="s">
        <v>846</v>
      </c>
      <c r="S26" s="50" t="s">
        <v>847</v>
      </c>
    </row>
    <row r="28" spans="2:19" x14ac:dyDescent="0.35">
      <c r="E28" s="50" t="s">
        <v>10</v>
      </c>
      <c r="G28" s="50" t="s">
        <v>848</v>
      </c>
      <c r="H28" s="50" t="s">
        <v>849</v>
      </c>
      <c r="I28" s="50" t="s">
        <v>850</v>
      </c>
      <c r="J28" s="50" t="s">
        <v>851</v>
      </c>
      <c r="K28" s="50" t="s">
        <v>852</v>
      </c>
      <c r="L28" s="50" t="s">
        <v>853</v>
      </c>
      <c r="M28" s="50" t="s">
        <v>854</v>
      </c>
      <c r="N28" s="50" t="s">
        <v>855</v>
      </c>
      <c r="O28" s="50" t="s">
        <v>856</v>
      </c>
      <c r="P28" s="50" t="s">
        <v>857</v>
      </c>
      <c r="Q28" s="50" t="s">
        <v>858</v>
      </c>
      <c r="R28" s="50" t="s">
        <v>859</v>
      </c>
      <c r="S28" s="50" t="s">
        <v>860</v>
      </c>
    </row>
    <row r="30" spans="2:19" x14ac:dyDescent="0.35">
      <c r="E30" s="50" t="s">
        <v>7</v>
      </c>
    </row>
    <row r="31" spans="2:19" x14ac:dyDescent="0.35">
      <c r="B31" s="50" t="s">
        <v>704</v>
      </c>
      <c r="E31" s="50" t="s">
        <v>218</v>
      </c>
      <c r="G31" s="50" t="s">
        <v>1138</v>
      </c>
      <c r="H31" s="50" t="s">
        <v>1139</v>
      </c>
      <c r="I31" s="50" t="s">
        <v>1140</v>
      </c>
      <c r="J31" s="50" t="s">
        <v>1141</v>
      </c>
      <c r="K31" s="50" t="s">
        <v>1142</v>
      </c>
      <c r="L31" s="50" t="s">
        <v>1143</v>
      </c>
      <c r="M31" s="50" t="s">
        <v>1144</v>
      </c>
      <c r="N31" s="50" t="s">
        <v>1145</v>
      </c>
      <c r="O31" s="50" t="s">
        <v>1146</v>
      </c>
      <c r="P31" s="50" t="s">
        <v>1147</v>
      </c>
      <c r="Q31" s="50" t="s">
        <v>1148</v>
      </c>
      <c r="R31" s="50" t="s">
        <v>1149</v>
      </c>
      <c r="S31" s="50" t="s">
        <v>1150</v>
      </c>
    </row>
    <row r="32" spans="2:19" x14ac:dyDescent="0.35">
      <c r="B32" s="50" t="s">
        <v>705</v>
      </c>
      <c r="E32" s="50" t="s">
        <v>232</v>
      </c>
      <c r="G32" s="50" t="s">
        <v>1151</v>
      </c>
      <c r="H32" s="50" t="s">
        <v>1152</v>
      </c>
      <c r="I32" s="50" t="s">
        <v>1153</v>
      </c>
      <c r="J32" s="50" t="s">
        <v>1154</v>
      </c>
      <c r="K32" s="50" t="s">
        <v>1155</v>
      </c>
      <c r="L32" s="50" t="s">
        <v>1156</v>
      </c>
      <c r="M32" s="50" t="s">
        <v>1157</v>
      </c>
      <c r="N32" s="50" t="s">
        <v>1158</v>
      </c>
      <c r="O32" s="50" t="s">
        <v>1159</v>
      </c>
      <c r="P32" s="50" t="s">
        <v>1160</v>
      </c>
      <c r="Q32" s="50" t="s">
        <v>1161</v>
      </c>
      <c r="R32" s="50" t="s">
        <v>1162</v>
      </c>
      <c r="S32" s="50" t="s">
        <v>1163</v>
      </c>
    </row>
    <row r="33" spans="2:19" x14ac:dyDescent="0.35">
      <c r="B33" s="50" t="s">
        <v>706</v>
      </c>
      <c r="E33" s="50" t="s">
        <v>246</v>
      </c>
      <c r="G33" s="50" t="s">
        <v>1164</v>
      </c>
      <c r="H33" s="50" t="s">
        <v>1165</v>
      </c>
      <c r="I33" s="50" t="s">
        <v>1166</v>
      </c>
      <c r="J33" s="50" t="s">
        <v>1167</v>
      </c>
      <c r="K33" s="50" t="s">
        <v>1168</v>
      </c>
      <c r="L33" s="50" t="s">
        <v>1169</v>
      </c>
      <c r="M33" s="50" t="s">
        <v>1170</v>
      </c>
      <c r="N33" s="50" t="s">
        <v>1171</v>
      </c>
      <c r="O33" s="50" t="s">
        <v>1172</v>
      </c>
      <c r="P33" s="50" t="s">
        <v>1173</v>
      </c>
      <c r="Q33" s="50" t="s">
        <v>1174</v>
      </c>
      <c r="R33" s="50" t="s">
        <v>1175</v>
      </c>
      <c r="S33" s="50" t="s">
        <v>1176</v>
      </c>
    </row>
    <row r="34" spans="2:19" x14ac:dyDescent="0.35">
      <c r="B34" s="50" t="s">
        <v>707</v>
      </c>
      <c r="E34" s="50" t="s">
        <v>260</v>
      </c>
      <c r="G34" s="50" t="s">
        <v>1177</v>
      </c>
      <c r="H34" s="50" t="s">
        <v>1178</v>
      </c>
      <c r="I34" s="50" t="s">
        <v>1179</v>
      </c>
      <c r="J34" s="50" t="s">
        <v>1180</v>
      </c>
      <c r="K34" s="50" t="s">
        <v>1181</v>
      </c>
      <c r="L34" s="50" t="s">
        <v>1182</v>
      </c>
      <c r="M34" s="50" t="s">
        <v>1183</v>
      </c>
      <c r="N34" s="50" t="s">
        <v>1184</v>
      </c>
      <c r="O34" s="50" t="s">
        <v>1185</v>
      </c>
      <c r="P34" s="50" t="s">
        <v>1186</v>
      </c>
      <c r="Q34" s="50" t="s">
        <v>1187</v>
      </c>
      <c r="R34" s="50" t="s">
        <v>1188</v>
      </c>
      <c r="S34" s="50" t="s">
        <v>1189</v>
      </c>
    </row>
    <row r="35" spans="2:19" x14ac:dyDescent="0.35">
      <c r="B35" s="50" t="s">
        <v>708</v>
      </c>
      <c r="E35" s="50" t="s">
        <v>1190</v>
      </c>
      <c r="G35" s="50" t="s">
        <v>1191</v>
      </c>
      <c r="H35" s="50" t="s">
        <v>1192</v>
      </c>
      <c r="I35" s="50" t="s">
        <v>1193</v>
      </c>
      <c r="J35" s="50" t="s">
        <v>1194</v>
      </c>
      <c r="K35" s="50" t="s">
        <v>1195</v>
      </c>
      <c r="L35" s="50" t="s">
        <v>1196</v>
      </c>
      <c r="M35" s="50" t="s">
        <v>1197</v>
      </c>
      <c r="N35" s="50" t="s">
        <v>1198</v>
      </c>
      <c r="O35" s="50" t="s">
        <v>1199</v>
      </c>
      <c r="P35" s="50" t="s">
        <v>1200</v>
      </c>
      <c r="Q35" s="50" t="s">
        <v>1201</v>
      </c>
      <c r="R35" s="50" t="s">
        <v>1202</v>
      </c>
      <c r="S35" s="50" t="s">
        <v>1203</v>
      </c>
    </row>
    <row r="36" spans="2:19" x14ac:dyDescent="0.35">
      <c r="B36" s="50" t="s">
        <v>709</v>
      </c>
      <c r="E36" s="50" t="s">
        <v>1204</v>
      </c>
      <c r="G36" s="50" t="s">
        <v>1205</v>
      </c>
      <c r="H36" s="50" t="s">
        <v>1206</v>
      </c>
      <c r="I36" s="50" t="s">
        <v>1207</v>
      </c>
      <c r="J36" s="50" t="s">
        <v>1208</v>
      </c>
      <c r="K36" s="50" t="s">
        <v>1209</v>
      </c>
      <c r="L36" s="50" t="s">
        <v>1210</v>
      </c>
      <c r="M36" s="50" t="s">
        <v>1211</v>
      </c>
      <c r="N36" s="50" t="s">
        <v>1212</v>
      </c>
      <c r="O36" s="50" t="s">
        <v>1213</v>
      </c>
      <c r="P36" s="50" t="s">
        <v>1214</v>
      </c>
      <c r="Q36" s="50" t="s">
        <v>1215</v>
      </c>
      <c r="R36" s="50" t="s">
        <v>1216</v>
      </c>
      <c r="S36" s="50" t="s">
        <v>1217</v>
      </c>
    </row>
    <row r="37" spans="2:19" x14ac:dyDescent="0.35">
      <c r="B37" s="50" t="s">
        <v>710</v>
      </c>
      <c r="E37" s="50" t="s">
        <v>1218</v>
      </c>
      <c r="G37" s="50" t="s">
        <v>1219</v>
      </c>
      <c r="H37" s="50" t="s">
        <v>1220</v>
      </c>
      <c r="I37" s="50" t="s">
        <v>1221</v>
      </c>
      <c r="J37" s="50" t="s">
        <v>1222</v>
      </c>
      <c r="K37" s="50" t="s">
        <v>1223</v>
      </c>
      <c r="L37" s="50" t="s">
        <v>1224</v>
      </c>
      <c r="M37" s="50" t="s">
        <v>1225</v>
      </c>
      <c r="N37" s="50" t="s">
        <v>1226</v>
      </c>
      <c r="O37" s="50" t="s">
        <v>1227</v>
      </c>
      <c r="P37" s="50" t="s">
        <v>1228</v>
      </c>
      <c r="Q37" s="50" t="s">
        <v>1229</v>
      </c>
      <c r="R37" s="50" t="s">
        <v>1230</v>
      </c>
      <c r="S37" s="50" t="s">
        <v>1231</v>
      </c>
    </row>
    <row r="38" spans="2:19" x14ac:dyDescent="0.35">
      <c r="E38" s="50" t="s">
        <v>8</v>
      </c>
      <c r="G38" s="50" t="s">
        <v>861</v>
      </c>
      <c r="H38" s="50" t="s">
        <v>862</v>
      </c>
      <c r="I38" s="50" t="s">
        <v>863</v>
      </c>
      <c r="J38" s="50" t="s">
        <v>864</v>
      </c>
      <c r="K38" s="50" t="s">
        <v>865</v>
      </c>
      <c r="L38" s="50" t="s">
        <v>866</v>
      </c>
      <c r="M38" s="50" t="s">
        <v>867</v>
      </c>
      <c r="N38" s="50" t="s">
        <v>868</v>
      </c>
      <c r="O38" s="50" t="s">
        <v>869</v>
      </c>
      <c r="P38" s="50" t="s">
        <v>870</v>
      </c>
      <c r="Q38" s="50" t="s">
        <v>871</v>
      </c>
      <c r="R38" s="50" t="s">
        <v>872</v>
      </c>
      <c r="S38" s="50" t="s">
        <v>873</v>
      </c>
    </row>
    <row r="40" spans="2:19" x14ac:dyDescent="0.35">
      <c r="E40" s="50" t="s">
        <v>24</v>
      </c>
      <c r="G40" s="50" t="s">
        <v>874</v>
      </c>
      <c r="H40" s="50" t="s">
        <v>875</v>
      </c>
      <c r="I40" s="50" t="s">
        <v>876</v>
      </c>
      <c r="J40" s="50" t="s">
        <v>877</v>
      </c>
      <c r="K40" s="50" t="s">
        <v>878</v>
      </c>
      <c r="L40" s="50" t="s">
        <v>879</v>
      </c>
      <c r="M40" s="50" t="s">
        <v>880</v>
      </c>
      <c r="N40" s="50" t="s">
        <v>881</v>
      </c>
      <c r="O40" s="50" t="s">
        <v>882</v>
      </c>
      <c r="P40" s="50" t="s">
        <v>883</v>
      </c>
      <c r="Q40" s="50" t="s">
        <v>884</v>
      </c>
      <c r="R40" s="50" t="s">
        <v>885</v>
      </c>
      <c r="S40" s="50" t="s">
        <v>886</v>
      </c>
    </row>
    <row r="42" spans="2:19" x14ac:dyDescent="0.35">
      <c r="E42" s="50" t="s">
        <v>11</v>
      </c>
    </row>
    <row r="43" spans="2:19" x14ac:dyDescent="0.35">
      <c r="B43" s="50" t="s">
        <v>737</v>
      </c>
      <c r="E43" s="50" t="s">
        <v>316</v>
      </c>
      <c r="G43" s="50" t="s">
        <v>1232</v>
      </c>
      <c r="H43" s="50" t="s">
        <v>1233</v>
      </c>
      <c r="I43" s="50" t="s">
        <v>1234</v>
      </c>
      <c r="J43" s="50" t="s">
        <v>1235</v>
      </c>
      <c r="K43" s="50" t="s">
        <v>1236</v>
      </c>
      <c r="L43" s="50" t="s">
        <v>1237</v>
      </c>
      <c r="M43" s="50" t="s">
        <v>1238</v>
      </c>
      <c r="N43" s="50" t="s">
        <v>1239</v>
      </c>
      <c r="O43" s="50" t="s">
        <v>1240</v>
      </c>
      <c r="P43" s="50" t="s">
        <v>1241</v>
      </c>
      <c r="Q43" s="50" t="s">
        <v>1242</v>
      </c>
      <c r="R43" s="50" t="s">
        <v>1243</v>
      </c>
      <c r="S43" s="50" t="s">
        <v>1244</v>
      </c>
    </row>
    <row r="44" spans="2:19" x14ac:dyDescent="0.35">
      <c r="B44" s="50" t="s">
        <v>738</v>
      </c>
      <c r="E44" s="50" t="s">
        <v>330</v>
      </c>
      <c r="G44" s="50" t="s">
        <v>1245</v>
      </c>
      <c r="H44" s="50" t="s">
        <v>1246</v>
      </c>
      <c r="I44" s="50" t="s">
        <v>1247</v>
      </c>
      <c r="J44" s="50" t="s">
        <v>1248</v>
      </c>
      <c r="K44" s="50" t="s">
        <v>1249</v>
      </c>
      <c r="L44" s="50" t="s">
        <v>1250</v>
      </c>
      <c r="M44" s="50" t="s">
        <v>1251</v>
      </c>
      <c r="N44" s="50" t="s">
        <v>1252</v>
      </c>
      <c r="O44" s="50" t="s">
        <v>1253</v>
      </c>
      <c r="P44" s="50" t="s">
        <v>1254</v>
      </c>
      <c r="Q44" s="50" t="s">
        <v>1255</v>
      </c>
      <c r="R44" s="50" t="s">
        <v>1256</v>
      </c>
      <c r="S44" s="50" t="s">
        <v>1257</v>
      </c>
    </row>
    <row r="45" spans="2:19" x14ac:dyDescent="0.35">
      <c r="B45" s="50" t="s">
        <v>739</v>
      </c>
      <c r="E45" s="50" t="s">
        <v>344</v>
      </c>
      <c r="G45" s="50" t="s">
        <v>1258</v>
      </c>
      <c r="H45" s="50" t="s">
        <v>1259</v>
      </c>
      <c r="I45" s="50" t="s">
        <v>1260</v>
      </c>
      <c r="J45" s="50" t="s">
        <v>1261</v>
      </c>
      <c r="K45" s="50" t="s">
        <v>1262</v>
      </c>
      <c r="L45" s="50" t="s">
        <v>1263</v>
      </c>
      <c r="M45" s="50" t="s">
        <v>1264</v>
      </c>
      <c r="N45" s="50" t="s">
        <v>1265</v>
      </c>
      <c r="O45" s="50" t="s">
        <v>1266</v>
      </c>
      <c r="P45" s="50" t="s">
        <v>1267</v>
      </c>
      <c r="Q45" s="50" t="s">
        <v>1268</v>
      </c>
      <c r="R45" s="50" t="s">
        <v>1269</v>
      </c>
      <c r="S45" s="50" t="s">
        <v>1270</v>
      </c>
    </row>
    <row r="46" spans="2:19" x14ac:dyDescent="0.35">
      <c r="B46" s="50" t="s">
        <v>740</v>
      </c>
      <c r="E46" s="50" t="s">
        <v>358</v>
      </c>
      <c r="G46" s="50" t="s">
        <v>1271</v>
      </c>
      <c r="H46" s="50" t="s">
        <v>1272</v>
      </c>
      <c r="I46" s="50" t="s">
        <v>1273</v>
      </c>
      <c r="J46" s="50" t="s">
        <v>1274</v>
      </c>
      <c r="K46" s="50" t="s">
        <v>1275</v>
      </c>
      <c r="L46" s="50" t="s">
        <v>1276</v>
      </c>
      <c r="M46" s="50" t="s">
        <v>1277</v>
      </c>
      <c r="N46" s="50" t="s">
        <v>1278</v>
      </c>
      <c r="O46" s="50" t="s">
        <v>1279</v>
      </c>
      <c r="P46" s="50" t="s">
        <v>1280</v>
      </c>
      <c r="Q46" s="50" t="s">
        <v>1281</v>
      </c>
      <c r="R46" s="50" t="s">
        <v>1282</v>
      </c>
      <c r="S46" s="50" t="s">
        <v>1283</v>
      </c>
    </row>
    <row r="47" spans="2:19" x14ac:dyDescent="0.35">
      <c r="B47" s="50" t="s">
        <v>741</v>
      </c>
      <c r="E47" s="50" t="s">
        <v>359</v>
      </c>
      <c r="G47" s="50" t="s">
        <v>1284</v>
      </c>
      <c r="H47" s="50" t="s">
        <v>1285</v>
      </c>
      <c r="I47" s="50" t="s">
        <v>1286</v>
      </c>
      <c r="J47" s="50" t="s">
        <v>1287</v>
      </c>
      <c r="K47" s="50" t="s">
        <v>1288</v>
      </c>
      <c r="L47" s="50" t="s">
        <v>1289</v>
      </c>
      <c r="M47" s="50" t="s">
        <v>1290</v>
      </c>
      <c r="N47" s="50" t="s">
        <v>1291</v>
      </c>
      <c r="O47" s="50" t="s">
        <v>1292</v>
      </c>
      <c r="P47" s="50" t="s">
        <v>1293</v>
      </c>
      <c r="Q47" s="50" t="s">
        <v>1294</v>
      </c>
      <c r="R47" s="50" t="s">
        <v>1295</v>
      </c>
      <c r="S47" s="50" t="s">
        <v>1296</v>
      </c>
    </row>
    <row r="48" spans="2:19" x14ac:dyDescent="0.35">
      <c r="B48" s="50" t="s">
        <v>742</v>
      </c>
      <c r="E48" s="50" t="s">
        <v>360</v>
      </c>
      <c r="G48" s="50" t="s">
        <v>1297</v>
      </c>
      <c r="H48" s="50" t="s">
        <v>1298</v>
      </c>
      <c r="I48" s="50" t="s">
        <v>1299</v>
      </c>
      <c r="J48" s="50" t="s">
        <v>1300</v>
      </c>
      <c r="K48" s="50" t="s">
        <v>1301</v>
      </c>
      <c r="L48" s="50" t="s">
        <v>1302</v>
      </c>
      <c r="M48" s="50" t="s">
        <v>1303</v>
      </c>
      <c r="N48" s="50" t="s">
        <v>1304</v>
      </c>
      <c r="O48" s="50" t="s">
        <v>1305</v>
      </c>
      <c r="P48" s="50" t="s">
        <v>1306</v>
      </c>
      <c r="Q48" s="50" t="s">
        <v>1307</v>
      </c>
      <c r="R48" s="50" t="s">
        <v>1308</v>
      </c>
      <c r="S48" s="50" t="s">
        <v>1309</v>
      </c>
    </row>
    <row r="49" spans="2:19" x14ac:dyDescent="0.35">
      <c r="E49" s="50" t="s">
        <v>12</v>
      </c>
      <c r="G49" s="50" t="s">
        <v>887</v>
      </c>
      <c r="H49" s="50" t="s">
        <v>888</v>
      </c>
      <c r="I49" s="50" t="s">
        <v>889</v>
      </c>
      <c r="J49" s="50" t="s">
        <v>890</v>
      </c>
      <c r="K49" s="50" t="s">
        <v>891</v>
      </c>
      <c r="L49" s="50" t="s">
        <v>892</v>
      </c>
      <c r="M49" s="50" t="s">
        <v>893</v>
      </c>
      <c r="N49" s="50" t="s">
        <v>894</v>
      </c>
      <c r="O49" s="50" t="s">
        <v>895</v>
      </c>
      <c r="P49" s="50" t="s">
        <v>896</v>
      </c>
      <c r="Q49" s="50" t="s">
        <v>897</v>
      </c>
      <c r="R49" s="50" t="s">
        <v>898</v>
      </c>
      <c r="S49" s="50" t="s">
        <v>899</v>
      </c>
    </row>
    <row r="51" spans="2:19" x14ac:dyDescent="0.35">
      <c r="E51" s="50" t="s">
        <v>9</v>
      </c>
      <c r="G51" s="50" t="s">
        <v>900</v>
      </c>
      <c r="H51" s="50" t="s">
        <v>901</v>
      </c>
      <c r="I51" s="50" t="s">
        <v>902</v>
      </c>
      <c r="J51" s="50" t="s">
        <v>903</v>
      </c>
      <c r="K51" s="50" t="s">
        <v>904</v>
      </c>
      <c r="L51" s="50" t="s">
        <v>905</v>
      </c>
      <c r="M51" s="50" t="s">
        <v>906</v>
      </c>
      <c r="N51" s="50" t="s">
        <v>907</v>
      </c>
      <c r="O51" s="50" t="s">
        <v>908</v>
      </c>
      <c r="P51" s="50" t="s">
        <v>909</v>
      </c>
      <c r="Q51" s="50" t="s">
        <v>910</v>
      </c>
      <c r="R51" s="50" t="s">
        <v>911</v>
      </c>
      <c r="S51" s="50" t="s">
        <v>912</v>
      </c>
    </row>
    <row r="53" spans="2:19" x14ac:dyDescent="0.35">
      <c r="B53" s="50" t="s">
        <v>769</v>
      </c>
      <c r="E53" s="50" t="s">
        <v>375</v>
      </c>
      <c r="G53" s="50" t="s">
        <v>1310</v>
      </c>
      <c r="H53" s="50" t="s">
        <v>1311</v>
      </c>
      <c r="I53" s="50" t="s">
        <v>1312</v>
      </c>
      <c r="J53" s="50" t="s">
        <v>1313</v>
      </c>
      <c r="K53" s="50" t="s">
        <v>1314</v>
      </c>
      <c r="L53" s="50" t="s">
        <v>1315</v>
      </c>
      <c r="M53" s="50" t="s">
        <v>1316</v>
      </c>
      <c r="N53" s="50" t="s">
        <v>1317</v>
      </c>
      <c r="O53" s="50" t="s">
        <v>1318</v>
      </c>
      <c r="P53" s="50" t="s">
        <v>1319</v>
      </c>
      <c r="Q53" s="50" t="s">
        <v>1320</v>
      </c>
      <c r="R53" s="50" t="s">
        <v>1321</v>
      </c>
      <c r="S53" s="50" t="s">
        <v>1322</v>
      </c>
    </row>
    <row r="55" spans="2:19" x14ac:dyDescent="0.35">
      <c r="E55" s="50" t="s">
        <v>13</v>
      </c>
      <c r="G55" s="50" t="s">
        <v>913</v>
      </c>
      <c r="H55" s="50" t="s">
        <v>914</v>
      </c>
      <c r="I55" s="50" t="s">
        <v>915</v>
      </c>
      <c r="J55" s="50" t="s">
        <v>916</v>
      </c>
      <c r="K55" s="50" t="s">
        <v>917</v>
      </c>
      <c r="L55" s="50" t="s">
        <v>918</v>
      </c>
      <c r="M55" s="50" t="s">
        <v>919</v>
      </c>
      <c r="N55" s="50" t="s">
        <v>920</v>
      </c>
      <c r="O55" s="50" t="s">
        <v>921</v>
      </c>
      <c r="P55" s="50" t="s">
        <v>922</v>
      </c>
      <c r="Q55" s="50" t="s">
        <v>923</v>
      </c>
      <c r="R55" s="50" t="s">
        <v>924</v>
      </c>
      <c r="S55" s="50" t="s">
        <v>925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60DA141-B1A6-4C94-9CDD-F348A4C12DB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Options</vt:lpstr>
      <vt:lpstr>Income Statement</vt:lpstr>
      <vt:lpstr>Budget</vt:lpstr>
      <vt:lpstr>Variance</vt:lpstr>
      <vt:lpstr>Budget_Name</vt:lpstr>
      <vt:lpstr>Year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Statement Budget and Variance</dc:title>
  <dc:subject>Jet Reports</dc:subject>
  <dc:creator>Stephen J. Little</dc:creator>
  <dc:description>Income Statement, Budget and Variance Overview by Year</dc:description>
  <cp:lastModifiedBy>Haseeb Tariq</cp:lastModifiedBy>
  <cp:lastPrinted>2013-04-29T18:02:58Z</cp:lastPrinted>
  <dcterms:created xsi:type="dcterms:W3CDTF">2011-10-07T16:55:39Z</dcterms:created>
  <dcterms:modified xsi:type="dcterms:W3CDTF">2023-10-20T10:57:53Z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