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lobaldata365-my.sharepoint.com/personal/haseeb_tariq_globaldata365_com/Documents/Office Folder/Global Data 365/Sample Reports/Sample reports for NAV/NAV Sample Reports for Global Data 365/Jet Reports Pack of Reports/"/>
    </mc:Choice>
  </mc:AlternateContent>
  <xr:revisionPtr revIDLastSave="95" documentId="13_ncr:1_{6F8EAEB9-BDD1-401C-828B-105999A92684}" xr6:coauthVersionLast="47" xr6:coauthVersionMax="47" xr10:uidLastSave="{3A1F8E28-CFBF-4FF2-BC8B-B8C8807D9DA9}"/>
  <bookViews>
    <workbookView xWindow="-120" yWindow="-120" windowWidth="29040" windowHeight="17520" firstSheet="1" activeTab="1" xr2:uid="{00000000-000D-0000-FFFF-FFFF00000000}"/>
  </bookViews>
  <sheets>
    <sheet name="Option" sheetId="2" state="hidden" r:id="rId1"/>
    <sheet name="Report" sheetId="1" r:id="rId2"/>
    <sheet name="Sheet2" sheetId="73" state="veryHidden" r:id="rId3"/>
    <sheet name="Sheet3" sheetId="74" state="veryHidden" r:id="rId4"/>
    <sheet name="Sheet1" sheetId="77" state="veryHidden" r:id="rId5"/>
  </sheets>
  <definedNames>
    <definedName name="_xlnm.Print_Area" localSheetId="1">Report!$E$8:$W$243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" i="1" l="1"/>
  <c r="I3" i="1"/>
  <c r="I4" i="1"/>
  <c r="I5" i="1"/>
  <c r="H14" i="1"/>
  <c r="H16" i="1"/>
  <c r="Q16" i="1"/>
  <c r="F19" i="1"/>
  <c r="H19" i="1"/>
  <c r="I19" i="1"/>
  <c r="M19" i="1"/>
  <c r="N19" i="1"/>
  <c r="H124" i="1"/>
  <c r="C19" i="1"/>
  <c r="Q19" i="1"/>
  <c r="P19" i="1"/>
  <c r="R19" i="1"/>
  <c r="V19" i="1"/>
  <c r="F20" i="1"/>
  <c r="H20" i="1"/>
  <c r="I20" i="1"/>
  <c r="M20" i="1"/>
  <c r="N20" i="1"/>
  <c r="H125" i="1"/>
  <c r="C20" i="1"/>
  <c r="Q20" i="1"/>
  <c r="P20" i="1"/>
  <c r="R20" i="1"/>
  <c r="V20" i="1"/>
  <c r="F21" i="1"/>
  <c r="H21" i="1"/>
  <c r="I21" i="1"/>
  <c r="M21" i="1"/>
  <c r="N21" i="1"/>
  <c r="H126" i="1"/>
  <c r="C21" i="1"/>
  <c r="Q21" i="1"/>
  <c r="P21" i="1"/>
  <c r="R21" i="1"/>
  <c r="V21" i="1"/>
  <c r="F22" i="1"/>
  <c r="H22" i="1"/>
  <c r="I22" i="1"/>
  <c r="M22" i="1"/>
  <c r="N22" i="1"/>
  <c r="H127" i="1"/>
  <c r="C22" i="1"/>
  <c r="Q22" i="1"/>
  <c r="P22" i="1"/>
  <c r="R22" i="1"/>
  <c r="V22" i="1"/>
  <c r="F23" i="1"/>
  <c r="H23" i="1"/>
  <c r="I23" i="1"/>
  <c r="M23" i="1"/>
  <c r="N23" i="1"/>
  <c r="H128" i="1"/>
  <c r="C23" i="1"/>
  <c r="Q23" i="1"/>
  <c r="P23" i="1"/>
  <c r="R23" i="1"/>
  <c r="V23" i="1"/>
  <c r="F24" i="1"/>
  <c r="H24" i="1"/>
  <c r="I24" i="1"/>
  <c r="M24" i="1"/>
  <c r="N24" i="1"/>
  <c r="H129" i="1"/>
  <c r="C24" i="1"/>
  <c r="Q24" i="1"/>
  <c r="P24" i="1"/>
  <c r="R24" i="1"/>
  <c r="V24" i="1"/>
  <c r="F25" i="1"/>
  <c r="H25" i="1"/>
  <c r="I25" i="1"/>
  <c r="M25" i="1"/>
  <c r="N25" i="1"/>
  <c r="H130" i="1"/>
  <c r="C25" i="1"/>
  <c r="Q25" i="1"/>
  <c r="P25" i="1"/>
  <c r="R25" i="1"/>
  <c r="V25" i="1"/>
  <c r="F26" i="1"/>
  <c r="H26" i="1"/>
  <c r="I26" i="1"/>
  <c r="M26" i="1"/>
  <c r="N26" i="1"/>
  <c r="H131" i="1"/>
  <c r="C26" i="1"/>
  <c r="Q26" i="1"/>
  <c r="P26" i="1"/>
  <c r="R26" i="1"/>
  <c r="V26" i="1"/>
  <c r="F27" i="1"/>
  <c r="H27" i="1"/>
  <c r="I27" i="1"/>
  <c r="M27" i="1"/>
  <c r="N27" i="1"/>
  <c r="H132" i="1"/>
  <c r="C27" i="1"/>
  <c r="Q27" i="1"/>
  <c r="P27" i="1"/>
  <c r="R27" i="1"/>
  <c r="V27" i="1"/>
  <c r="F28" i="1"/>
  <c r="H28" i="1"/>
  <c r="I28" i="1"/>
  <c r="M28" i="1"/>
  <c r="N28" i="1"/>
  <c r="H133" i="1"/>
  <c r="C28" i="1"/>
  <c r="Q28" i="1"/>
  <c r="P28" i="1"/>
  <c r="R28" i="1"/>
  <c r="V28" i="1"/>
  <c r="F29" i="1"/>
  <c r="H29" i="1"/>
  <c r="I29" i="1"/>
  <c r="M29" i="1"/>
  <c r="N29" i="1"/>
  <c r="H134" i="1"/>
  <c r="C29" i="1"/>
  <c r="Q29" i="1"/>
  <c r="P29" i="1"/>
  <c r="R29" i="1"/>
  <c r="V29" i="1"/>
  <c r="F30" i="1"/>
  <c r="H30" i="1"/>
  <c r="I30" i="1"/>
  <c r="M30" i="1"/>
  <c r="N30" i="1"/>
  <c r="H135" i="1"/>
  <c r="C30" i="1"/>
  <c r="Q30" i="1"/>
  <c r="P30" i="1"/>
  <c r="R30" i="1"/>
  <c r="V30" i="1"/>
  <c r="F31" i="1"/>
  <c r="H31" i="1"/>
  <c r="I31" i="1"/>
  <c r="M31" i="1"/>
  <c r="N31" i="1"/>
  <c r="H136" i="1"/>
  <c r="C31" i="1"/>
  <c r="Q31" i="1"/>
  <c r="P31" i="1"/>
  <c r="R31" i="1"/>
  <c r="V31" i="1"/>
  <c r="F32" i="1"/>
  <c r="H32" i="1"/>
  <c r="I32" i="1"/>
  <c r="M32" i="1"/>
  <c r="N32" i="1"/>
  <c r="H137" i="1"/>
  <c r="C32" i="1"/>
  <c r="Q32" i="1"/>
  <c r="P32" i="1"/>
  <c r="R32" i="1"/>
  <c r="V32" i="1"/>
  <c r="F33" i="1"/>
  <c r="H33" i="1"/>
  <c r="I33" i="1"/>
  <c r="M33" i="1"/>
  <c r="N33" i="1"/>
  <c r="H138" i="1"/>
  <c r="C33" i="1"/>
  <c r="Q33" i="1"/>
  <c r="P33" i="1"/>
  <c r="R33" i="1"/>
  <c r="V33" i="1"/>
  <c r="F34" i="1"/>
  <c r="H34" i="1"/>
  <c r="I34" i="1"/>
  <c r="M34" i="1"/>
  <c r="N34" i="1"/>
  <c r="H139" i="1"/>
  <c r="C34" i="1"/>
  <c r="Q34" i="1"/>
  <c r="P34" i="1"/>
  <c r="R34" i="1"/>
  <c r="V34" i="1"/>
  <c r="F35" i="1"/>
  <c r="H35" i="1"/>
  <c r="I35" i="1"/>
  <c r="M35" i="1"/>
  <c r="N35" i="1"/>
  <c r="H140" i="1"/>
  <c r="C35" i="1"/>
  <c r="Q35" i="1"/>
  <c r="P35" i="1"/>
  <c r="R35" i="1"/>
  <c r="V35" i="1"/>
  <c r="F36" i="1"/>
  <c r="H36" i="1"/>
  <c r="I36" i="1"/>
  <c r="M36" i="1"/>
  <c r="N36" i="1"/>
  <c r="H141" i="1"/>
  <c r="C36" i="1"/>
  <c r="Q36" i="1"/>
  <c r="P36" i="1"/>
  <c r="R36" i="1"/>
  <c r="V36" i="1"/>
  <c r="F37" i="1"/>
  <c r="H37" i="1"/>
  <c r="I37" i="1"/>
  <c r="M37" i="1"/>
  <c r="N37" i="1"/>
  <c r="H142" i="1"/>
  <c r="C37" i="1"/>
  <c r="Q37" i="1"/>
  <c r="P37" i="1"/>
  <c r="R37" i="1"/>
  <c r="V37" i="1"/>
  <c r="F38" i="1"/>
  <c r="H38" i="1"/>
  <c r="I38" i="1"/>
  <c r="M38" i="1"/>
  <c r="N38" i="1"/>
  <c r="H143" i="1"/>
  <c r="C38" i="1"/>
  <c r="Q38" i="1"/>
  <c r="P38" i="1"/>
  <c r="R38" i="1"/>
  <c r="V38" i="1"/>
  <c r="F39" i="1"/>
  <c r="H39" i="1"/>
  <c r="I39" i="1"/>
  <c r="M39" i="1"/>
  <c r="N39" i="1"/>
  <c r="H144" i="1"/>
  <c r="C39" i="1"/>
  <c r="Q39" i="1"/>
  <c r="P39" i="1"/>
  <c r="R39" i="1"/>
  <c r="V39" i="1"/>
  <c r="F40" i="1"/>
  <c r="H40" i="1"/>
  <c r="I40" i="1"/>
  <c r="M40" i="1"/>
  <c r="N40" i="1"/>
  <c r="H145" i="1"/>
  <c r="C40" i="1"/>
  <c r="Q40" i="1"/>
  <c r="P40" i="1"/>
  <c r="R40" i="1"/>
  <c r="V40" i="1"/>
  <c r="F41" i="1"/>
  <c r="H41" i="1"/>
  <c r="I41" i="1"/>
  <c r="M41" i="1"/>
  <c r="N41" i="1"/>
  <c r="H146" i="1"/>
  <c r="C41" i="1"/>
  <c r="Q41" i="1"/>
  <c r="P41" i="1"/>
  <c r="R41" i="1"/>
  <c r="V41" i="1"/>
  <c r="F42" i="1"/>
  <c r="H42" i="1"/>
  <c r="I42" i="1"/>
  <c r="M42" i="1"/>
  <c r="N42" i="1"/>
  <c r="H147" i="1"/>
  <c r="C42" i="1"/>
  <c r="Q42" i="1"/>
  <c r="P42" i="1"/>
  <c r="R42" i="1"/>
  <c r="V42" i="1"/>
  <c r="F43" i="1"/>
  <c r="H43" i="1"/>
  <c r="I43" i="1"/>
  <c r="M43" i="1"/>
  <c r="N43" i="1"/>
  <c r="H148" i="1"/>
  <c r="C43" i="1"/>
  <c r="Q43" i="1"/>
  <c r="P43" i="1"/>
  <c r="R43" i="1"/>
  <c r="V43" i="1"/>
  <c r="F44" i="1"/>
  <c r="H44" i="1"/>
  <c r="I44" i="1"/>
  <c r="M44" i="1"/>
  <c r="N44" i="1"/>
  <c r="H149" i="1"/>
  <c r="C44" i="1"/>
  <c r="Q44" i="1"/>
  <c r="P44" i="1"/>
  <c r="R44" i="1"/>
  <c r="V44" i="1"/>
  <c r="F45" i="1"/>
  <c r="H45" i="1"/>
  <c r="I45" i="1"/>
  <c r="M45" i="1"/>
  <c r="N45" i="1"/>
  <c r="H150" i="1"/>
  <c r="C45" i="1"/>
  <c r="Q45" i="1"/>
  <c r="P45" i="1"/>
  <c r="R45" i="1"/>
  <c r="V45" i="1"/>
  <c r="F46" i="1"/>
  <c r="H46" i="1"/>
  <c r="I46" i="1"/>
  <c r="M46" i="1"/>
  <c r="N46" i="1"/>
  <c r="H151" i="1"/>
  <c r="C46" i="1"/>
  <c r="Q46" i="1"/>
  <c r="P46" i="1"/>
  <c r="R46" i="1"/>
  <c r="V46" i="1"/>
  <c r="F47" i="1"/>
  <c r="H47" i="1"/>
  <c r="I47" i="1"/>
  <c r="M47" i="1"/>
  <c r="N47" i="1"/>
  <c r="H152" i="1"/>
  <c r="C47" i="1"/>
  <c r="Q47" i="1"/>
  <c r="P47" i="1"/>
  <c r="R47" i="1"/>
  <c r="V47" i="1"/>
  <c r="F48" i="1"/>
  <c r="H48" i="1"/>
  <c r="I48" i="1"/>
  <c r="M48" i="1"/>
  <c r="N48" i="1"/>
  <c r="H153" i="1"/>
  <c r="C48" i="1"/>
  <c r="Q48" i="1"/>
  <c r="P48" i="1"/>
  <c r="R48" i="1"/>
  <c r="V48" i="1"/>
  <c r="F49" i="1"/>
  <c r="H49" i="1"/>
  <c r="I49" i="1"/>
  <c r="M49" i="1"/>
  <c r="N49" i="1"/>
  <c r="H154" i="1"/>
  <c r="C49" i="1"/>
  <c r="Q49" i="1"/>
  <c r="P49" i="1"/>
  <c r="R49" i="1"/>
  <c r="V49" i="1"/>
  <c r="F50" i="1"/>
  <c r="H50" i="1"/>
  <c r="I50" i="1"/>
  <c r="M50" i="1"/>
  <c r="N50" i="1"/>
  <c r="H155" i="1"/>
  <c r="C50" i="1"/>
  <c r="Q50" i="1"/>
  <c r="P50" i="1"/>
  <c r="R50" i="1"/>
  <c r="V50" i="1"/>
  <c r="F51" i="1"/>
  <c r="H51" i="1"/>
  <c r="I51" i="1"/>
  <c r="M51" i="1"/>
  <c r="N51" i="1"/>
  <c r="H156" i="1"/>
  <c r="C51" i="1"/>
  <c r="Q51" i="1"/>
  <c r="P51" i="1"/>
  <c r="R51" i="1"/>
  <c r="V51" i="1"/>
  <c r="F52" i="1"/>
  <c r="H52" i="1"/>
  <c r="I52" i="1"/>
  <c r="M52" i="1"/>
  <c r="N52" i="1"/>
  <c r="H157" i="1"/>
  <c r="C52" i="1"/>
  <c r="Q52" i="1"/>
  <c r="P52" i="1"/>
  <c r="R52" i="1"/>
  <c r="V52" i="1"/>
  <c r="F53" i="1"/>
  <c r="H53" i="1"/>
  <c r="I53" i="1"/>
  <c r="M53" i="1"/>
  <c r="N53" i="1"/>
  <c r="H158" i="1"/>
  <c r="C53" i="1"/>
  <c r="Q53" i="1"/>
  <c r="P53" i="1"/>
  <c r="R53" i="1"/>
  <c r="V53" i="1"/>
  <c r="F54" i="1"/>
  <c r="H54" i="1"/>
  <c r="I54" i="1"/>
  <c r="M54" i="1"/>
  <c r="N54" i="1"/>
  <c r="H159" i="1"/>
  <c r="C54" i="1"/>
  <c r="Q54" i="1"/>
  <c r="P54" i="1"/>
  <c r="R54" i="1"/>
  <c r="V54" i="1"/>
  <c r="F55" i="1"/>
  <c r="H55" i="1"/>
  <c r="I55" i="1"/>
  <c r="M55" i="1"/>
  <c r="N55" i="1"/>
  <c r="H160" i="1"/>
  <c r="C55" i="1"/>
  <c r="Q55" i="1"/>
  <c r="P55" i="1"/>
  <c r="R55" i="1"/>
  <c r="V55" i="1"/>
  <c r="F56" i="1"/>
  <c r="H56" i="1"/>
  <c r="I56" i="1"/>
  <c r="M56" i="1"/>
  <c r="N56" i="1"/>
  <c r="H161" i="1"/>
  <c r="C56" i="1"/>
  <c r="Q56" i="1"/>
  <c r="P56" i="1"/>
  <c r="R56" i="1"/>
  <c r="V56" i="1"/>
  <c r="F57" i="1"/>
  <c r="H57" i="1"/>
  <c r="I57" i="1"/>
  <c r="M57" i="1"/>
  <c r="N57" i="1"/>
  <c r="H162" i="1"/>
  <c r="C57" i="1"/>
  <c r="Q57" i="1"/>
  <c r="P57" i="1"/>
  <c r="R57" i="1"/>
  <c r="V57" i="1"/>
  <c r="F58" i="1"/>
  <c r="H58" i="1"/>
  <c r="I58" i="1"/>
  <c r="M58" i="1"/>
  <c r="N58" i="1"/>
  <c r="H163" i="1"/>
  <c r="C58" i="1"/>
  <c r="Q58" i="1"/>
  <c r="P58" i="1"/>
  <c r="R58" i="1"/>
  <c r="V58" i="1"/>
  <c r="F59" i="1"/>
  <c r="H59" i="1"/>
  <c r="I59" i="1"/>
  <c r="M59" i="1"/>
  <c r="N59" i="1"/>
  <c r="H164" i="1"/>
  <c r="C59" i="1"/>
  <c r="Q59" i="1"/>
  <c r="P59" i="1"/>
  <c r="R59" i="1"/>
  <c r="V59" i="1"/>
  <c r="F60" i="1"/>
  <c r="H60" i="1"/>
  <c r="I60" i="1"/>
  <c r="M60" i="1"/>
  <c r="N60" i="1"/>
  <c r="H165" i="1"/>
  <c r="C60" i="1"/>
  <c r="Q60" i="1"/>
  <c r="P60" i="1"/>
  <c r="R60" i="1"/>
  <c r="V60" i="1"/>
  <c r="F61" i="1"/>
  <c r="H61" i="1"/>
  <c r="I61" i="1"/>
  <c r="M61" i="1"/>
  <c r="N61" i="1"/>
  <c r="H166" i="1"/>
  <c r="C61" i="1"/>
  <c r="Q61" i="1"/>
  <c r="P61" i="1"/>
  <c r="R61" i="1"/>
  <c r="V61" i="1"/>
  <c r="F62" i="1"/>
  <c r="H62" i="1"/>
  <c r="I62" i="1"/>
  <c r="M62" i="1"/>
  <c r="N62" i="1"/>
  <c r="H167" i="1"/>
  <c r="C62" i="1"/>
  <c r="Q62" i="1"/>
  <c r="P62" i="1"/>
  <c r="R62" i="1"/>
  <c r="V62" i="1"/>
  <c r="F63" i="1"/>
  <c r="H63" i="1"/>
  <c r="I63" i="1"/>
  <c r="M63" i="1"/>
  <c r="N63" i="1"/>
  <c r="H168" i="1"/>
  <c r="C63" i="1"/>
  <c r="Q63" i="1"/>
  <c r="P63" i="1"/>
  <c r="R63" i="1"/>
  <c r="V63" i="1"/>
  <c r="F64" i="1"/>
  <c r="H64" i="1"/>
  <c r="I64" i="1"/>
  <c r="M64" i="1"/>
  <c r="N64" i="1"/>
  <c r="H169" i="1"/>
  <c r="C64" i="1"/>
  <c r="Q64" i="1"/>
  <c r="P64" i="1"/>
  <c r="R64" i="1"/>
  <c r="V64" i="1"/>
  <c r="F65" i="1"/>
  <c r="H65" i="1"/>
  <c r="I65" i="1"/>
  <c r="M65" i="1"/>
  <c r="N65" i="1"/>
  <c r="H170" i="1"/>
  <c r="C65" i="1"/>
  <c r="Q65" i="1"/>
  <c r="P65" i="1"/>
  <c r="R65" i="1"/>
  <c r="V65" i="1"/>
  <c r="F66" i="1"/>
  <c r="H66" i="1"/>
  <c r="I66" i="1"/>
  <c r="M66" i="1"/>
  <c r="N66" i="1"/>
  <c r="H171" i="1"/>
  <c r="C66" i="1"/>
  <c r="Q66" i="1"/>
  <c r="P66" i="1"/>
  <c r="R66" i="1"/>
  <c r="V66" i="1"/>
  <c r="F67" i="1"/>
  <c r="H67" i="1"/>
  <c r="I67" i="1"/>
  <c r="M67" i="1"/>
  <c r="N67" i="1"/>
  <c r="H172" i="1"/>
  <c r="C67" i="1"/>
  <c r="Q67" i="1"/>
  <c r="P67" i="1"/>
  <c r="R67" i="1"/>
  <c r="V67" i="1"/>
  <c r="F68" i="1"/>
  <c r="H68" i="1"/>
  <c r="I68" i="1"/>
  <c r="M68" i="1"/>
  <c r="N68" i="1"/>
  <c r="H173" i="1"/>
  <c r="C68" i="1"/>
  <c r="Q68" i="1"/>
  <c r="P68" i="1"/>
  <c r="R68" i="1"/>
  <c r="V68" i="1"/>
  <c r="F69" i="1"/>
  <c r="H69" i="1"/>
  <c r="I69" i="1"/>
  <c r="M69" i="1"/>
  <c r="N69" i="1"/>
  <c r="H174" i="1"/>
  <c r="C69" i="1"/>
  <c r="Q69" i="1"/>
  <c r="P69" i="1"/>
  <c r="R69" i="1"/>
  <c r="V69" i="1"/>
  <c r="F70" i="1"/>
  <c r="H70" i="1"/>
  <c r="I70" i="1"/>
  <c r="M70" i="1"/>
  <c r="N70" i="1"/>
  <c r="H175" i="1"/>
  <c r="C70" i="1"/>
  <c r="Q70" i="1"/>
  <c r="P70" i="1"/>
  <c r="R70" i="1"/>
  <c r="V70" i="1"/>
  <c r="F71" i="1"/>
  <c r="H71" i="1"/>
  <c r="I71" i="1"/>
  <c r="M71" i="1"/>
  <c r="N71" i="1"/>
  <c r="H176" i="1"/>
  <c r="C71" i="1"/>
  <c r="Q71" i="1"/>
  <c r="P71" i="1"/>
  <c r="R71" i="1"/>
  <c r="V71" i="1"/>
  <c r="F72" i="1"/>
  <c r="H72" i="1"/>
  <c r="I72" i="1"/>
  <c r="M72" i="1"/>
  <c r="N72" i="1"/>
  <c r="H177" i="1"/>
  <c r="C72" i="1"/>
  <c r="Q72" i="1"/>
  <c r="P72" i="1"/>
  <c r="R72" i="1"/>
  <c r="V72" i="1"/>
  <c r="F73" i="1"/>
  <c r="H73" i="1"/>
  <c r="I73" i="1"/>
  <c r="M73" i="1"/>
  <c r="N73" i="1"/>
  <c r="H178" i="1"/>
  <c r="C73" i="1"/>
  <c r="Q73" i="1"/>
  <c r="P73" i="1"/>
  <c r="R73" i="1"/>
  <c r="V73" i="1"/>
  <c r="F74" i="1"/>
  <c r="H74" i="1"/>
  <c r="I74" i="1"/>
  <c r="M74" i="1"/>
  <c r="N74" i="1"/>
  <c r="H179" i="1"/>
  <c r="C74" i="1"/>
  <c r="Q74" i="1"/>
  <c r="P74" i="1"/>
  <c r="R74" i="1"/>
  <c r="V74" i="1"/>
  <c r="F75" i="1"/>
  <c r="H75" i="1"/>
  <c r="I75" i="1"/>
  <c r="M75" i="1"/>
  <c r="N75" i="1"/>
  <c r="H180" i="1"/>
  <c r="C75" i="1"/>
  <c r="Q75" i="1"/>
  <c r="P75" i="1"/>
  <c r="R75" i="1"/>
  <c r="V75" i="1"/>
  <c r="F76" i="1"/>
  <c r="H76" i="1"/>
  <c r="I76" i="1"/>
  <c r="M76" i="1"/>
  <c r="N76" i="1"/>
  <c r="H181" i="1"/>
  <c r="C76" i="1"/>
  <c r="Q76" i="1"/>
  <c r="P76" i="1"/>
  <c r="R76" i="1"/>
  <c r="V76" i="1"/>
  <c r="F77" i="1"/>
  <c r="H77" i="1"/>
  <c r="I77" i="1"/>
  <c r="M77" i="1"/>
  <c r="N77" i="1"/>
  <c r="H182" i="1"/>
  <c r="C77" i="1"/>
  <c r="Q77" i="1"/>
  <c r="P77" i="1"/>
  <c r="R77" i="1"/>
  <c r="V77" i="1"/>
  <c r="F78" i="1"/>
  <c r="H78" i="1"/>
  <c r="I78" i="1"/>
  <c r="M78" i="1"/>
  <c r="N78" i="1"/>
  <c r="H183" i="1"/>
  <c r="C78" i="1"/>
  <c r="Q78" i="1"/>
  <c r="P78" i="1"/>
  <c r="R78" i="1"/>
  <c r="V78" i="1"/>
  <c r="F79" i="1"/>
  <c r="H79" i="1"/>
  <c r="I79" i="1"/>
  <c r="M79" i="1"/>
  <c r="N79" i="1"/>
  <c r="H184" i="1"/>
  <c r="C79" i="1"/>
  <c r="Q79" i="1"/>
  <c r="P79" i="1"/>
  <c r="R79" i="1"/>
  <c r="V79" i="1"/>
  <c r="F80" i="1"/>
  <c r="H80" i="1"/>
  <c r="I80" i="1"/>
  <c r="M80" i="1"/>
  <c r="N80" i="1"/>
  <c r="H185" i="1"/>
  <c r="C80" i="1"/>
  <c r="Q80" i="1"/>
  <c r="P80" i="1"/>
  <c r="R80" i="1"/>
  <c r="V80" i="1"/>
  <c r="F81" i="1"/>
  <c r="H81" i="1"/>
  <c r="I81" i="1"/>
  <c r="M81" i="1"/>
  <c r="N81" i="1"/>
  <c r="H186" i="1"/>
  <c r="C81" i="1"/>
  <c r="Q81" i="1"/>
  <c r="P81" i="1"/>
  <c r="R81" i="1"/>
  <c r="V81" i="1"/>
  <c r="F82" i="1"/>
  <c r="H82" i="1"/>
  <c r="I82" i="1"/>
  <c r="M82" i="1"/>
  <c r="N82" i="1"/>
  <c r="H187" i="1"/>
  <c r="C82" i="1"/>
  <c r="Q82" i="1"/>
  <c r="P82" i="1"/>
  <c r="R82" i="1"/>
  <c r="V82" i="1"/>
  <c r="F83" i="1"/>
  <c r="H83" i="1"/>
  <c r="I83" i="1"/>
  <c r="M83" i="1"/>
  <c r="N83" i="1"/>
  <c r="H188" i="1"/>
  <c r="C83" i="1"/>
  <c r="Q83" i="1"/>
  <c r="P83" i="1"/>
  <c r="R83" i="1"/>
  <c r="V83" i="1"/>
  <c r="F84" i="1"/>
  <c r="H84" i="1"/>
  <c r="I84" i="1"/>
  <c r="M84" i="1"/>
  <c r="N84" i="1"/>
  <c r="H189" i="1"/>
  <c r="C84" i="1"/>
  <c r="Q84" i="1"/>
  <c r="P84" i="1"/>
  <c r="R84" i="1"/>
  <c r="V84" i="1"/>
  <c r="F85" i="1"/>
  <c r="H85" i="1"/>
  <c r="I85" i="1"/>
  <c r="M85" i="1"/>
  <c r="N85" i="1"/>
  <c r="H190" i="1"/>
  <c r="C85" i="1"/>
  <c r="Q85" i="1"/>
  <c r="P85" i="1"/>
  <c r="R85" i="1"/>
  <c r="V85" i="1"/>
  <c r="F86" i="1"/>
  <c r="H86" i="1"/>
  <c r="I86" i="1"/>
  <c r="M86" i="1"/>
  <c r="N86" i="1"/>
  <c r="H191" i="1"/>
  <c r="C86" i="1"/>
  <c r="Q86" i="1"/>
  <c r="P86" i="1"/>
  <c r="R86" i="1"/>
  <c r="V86" i="1"/>
  <c r="F87" i="1"/>
  <c r="H87" i="1"/>
  <c r="I87" i="1"/>
  <c r="M87" i="1"/>
  <c r="N87" i="1"/>
  <c r="H192" i="1"/>
  <c r="C87" i="1"/>
  <c r="Q87" i="1"/>
  <c r="P87" i="1"/>
  <c r="R87" i="1"/>
  <c r="V87" i="1"/>
  <c r="F88" i="1"/>
  <c r="H88" i="1"/>
  <c r="I88" i="1"/>
  <c r="M88" i="1"/>
  <c r="N88" i="1"/>
  <c r="H193" i="1"/>
  <c r="C88" i="1"/>
  <c r="Q88" i="1"/>
  <c r="P88" i="1"/>
  <c r="R88" i="1"/>
  <c r="V88" i="1"/>
  <c r="F89" i="1"/>
  <c r="H89" i="1"/>
  <c r="I89" i="1"/>
  <c r="M89" i="1"/>
  <c r="N89" i="1"/>
  <c r="H194" i="1"/>
  <c r="C89" i="1"/>
  <c r="Q89" i="1"/>
  <c r="P89" i="1"/>
  <c r="R89" i="1"/>
  <c r="V89" i="1"/>
  <c r="F90" i="1"/>
  <c r="H90" i="1"/>
  <c r="I90" i="1"/>
  <c r="M90" i="1"/>
  <c r="N90" i="1"/>
  <c r="H195" i="1"/>
  <c r="C90" i="1"/>
  <c r="Q90" i="1"/>
  <c r="P90" i="1"/>
  <c r="R90" i="1"/>
  <c r="V90" i="1"/>
  <c r="F91" i="1"/>
  <c r="H91" i="1"/>
  <c r="I91" i="1"/>
  <c r="M91" i="1"/>
  <c r="N91" i="1"/>
  <c r="H196" i="1"/>
  <c r="C91" i="1"/>
  <c r="Q91" i="1"/>
  <c r="P91" i="1"/>
  <c r="R91" i="1"/>
  <c r="V91" i="1"/>
  <c r="F92" i="1"/>
  <c r="H92" i="1"/>
  <c r="I92" i="1"/>
  <c r="M92" i="1"/>
  <c r="N92" i="1"/>
  <c r="H197" i="1"/>
  <c r="C92" i="1"/>
  <c r="Q92" i="1"/>
  <c r="P92" i="1"/>
  <c r="R92" i="1"/>
  <c r="V92" i="1"/>
  <c r="F93" i="1"/>
  <c r="H93" i="1"/>
  <c r="I93" i="1"/>
  <c r="M93" i="1"/>
  <c r="N93" i="1"/>
  <c r="H198" i="1"/>
  <c r="C93" i="1"/>
  <c r="Q93" i="1"/>
  <c r="P93" i="1"/>
  <c r="R93" i="1"/>
  <c r="V93" i="1"/>
  <c r="F94" i="1"/>
  <c r="H94" i="1"/>
  <c r="I94" i="1"/>
  <c r="M94" i="1"/>
  <c r="N94" i="1"/>
  <c r="H199" i="1"/>
  <c r="C94" i="1"/>
  <c r="Q94" i="1"/>
  <c r="P94" i="1"/>
  <c r="R94" i="1"/>
  <c r="V94" i="1"/>
  <c r="F95" i="1"/>
  <c r="H95" i="1"/>
  <c r="I95" i="1"/>
  <c r="M95" i="1"/>
  <c r="N95" i="1"/>
  <c r="H200" i="1"/>
  <c r="C95" i="1"/>
  <c r="Q95" i="1"/>
  <c r="P95" i="1"/>
  <c r="R95" i="1"/>
  <c r="V95" i="1"/>
  <c r="F96" i="1"/>
  <c r="H96" i="1"/>
  <c r="I96" i="1"/>
  <c r="M96" i="1"/>
  <c r="N96" i="1"/>
  <c r="H201" i="1"/>
  <c r="C96" i="1"/>
  <c r="Q96" i="1"/>
  <c r="P96" i="1"/>
  <c r="R96" i="1"/>
  <c r="V96" i="1"/>
  <c r="F97" i="1"/>
  <c r="H97" i="1"/>
  <c r="I97" i="1"/>
  <c r="M97" i="1"/>
  <c r="N97" i="1"/>
  <c r="H202" i="1"/>
  <c r="C97" i="1"/>
  <c r="Q97" i="1"/>
  <c r="P97" i="1"/>
  <c r="R97" i="1"/>
  <c r="V97" i="1"/>
  <c r="F98" i="1"/>
  <c r="H98" i="1"/>
  <c r="I98" i="1"/>
  <c r="M98" i="1"/>
  <c r="N98" i="1"/>
  <c r="H203" i="1"/>
  <c r="C98" i="1"/>
  <c r="Q98" i="1"/>
  <c r="P98" i="1"/>
  <c r="R98" i="1"/>
  <c r="V98" i="1"/>
  <c r="F99" i="1"/>
  <c r="H99" i="1"/>
  <c r="I99" i="1"/>
  <c r="M99" i="1"/>
  <c r="N99" i="1"/>
  <c r="H204" i="1"/>
  <c r="C99" i="1"/>
  <c r="Q99" i="1"/>
  <c r="P99" i="1"/>
  <c r="R99" i="1"/>
  <c r="V99" i="1"/>
  <c r="F100" i="1"/>
  <c r="H100" i="1"/>
  <c r="I100" i="1"/>
  <c r="M100" i="1"/>
  <c r="N100" i="1"/>
  <c r="H205" i="1"/>
  <c r="C100" i="1"/>
  <c r="Q100" i="1"/>
  <c r="P100" i="1"/>
  <c r="R100" i="1"/>
  <c r="V100" i="1"/>
  <c r="F101" i="1"/>
  <c r="H101" i="1"/>
  <c r="I101" i="1"/>
  <c r="M101" i="1"/>
  <c r="N101" i="1"/>
  <c r="H206" i="1"/>
  <c r="C101" i="1"/>
  <c r="Q101" i="1"/>
  <c r="P101" i="1"/>
  <c r="R101" i="1"/>
  <c r="V101" i="1"/>
  <c r="F102" i="1"/>
  <c r="H102" i="1"/>
  <c r="I102" i="1"/>
  <c r="M102" i="1"/>
  <c r="N102" i="1"/>
  <c r="H207" i="1"/>
  <c r="C102" i="1"/>
  <c r="Q102" i="1"/>
  <c r="P102" i="1"/>
  <c r="R102" i="1"/>
  <c r="V102" i="1"/>
  <c r="F103" i="1"/>
  <c r="H103" i="1"/>
  <c r="I103" i="1"/>
  <c r="M103" i="1"/>
  <c r="N103" i="1"/>
  <c r="H208" i="1"/>
  <c r="C103" i="1"/>
  <c r="Q103" i="1"/>
  <c r="P103" i="1"/>
  <c r="R103" i="1"/>
  <c r="V103" i="1"/>
  <c r="F104" i="1"/>
  <c r="H104" i="1"/>
  <c r="I104" i="1"/>
  <c r="M104" i="1"/>
  <c r="N104" i="1"/>
  <c r="H209" i="1"/>
  <c r="C104" i="1"/>
  <c r="Q104" i="1"/>
  <c r="P104" i="1"/>
  <c r="R104" i="1"/>
  <c r="V104" i="1"/>
  <c r="F105" i="1"/>
  <c r="H105" i="1"/>
  <c r="I105" i="1"/>
  <c r="M105" i="1"/>
  <c r="N105" i="1"/>
  <c r="H210" i="1"/>
  <c r="C105" i="1"/>
  <c r="Q105" i="1"/>
  <c r="P105" i="1"/>
  <c r="R105" i="1"/>
  <c r="V105" i="1"/>
  <c r="F106" i="1"/>
  <c r="H106" i="1"/>
  <c r="I106" i="1"/>
  <c r="M106" i="1"/>
  <c r="N106" i="1"/>
  <c r="H211" i="1"/>
  <c r="C106" i="1"/>
  <c r="Q106" i="1"/>
  <c r="P106" i="1"/>
  <c r="R106" i="1"/>
  <c r="V106" i="1"/>
  <c r="F107" i="1"/>
  <c r="H107" i="1"/>
  <c r="I107" i="1"/>
  <c r="M107" i="1"/>
  <c r="N107" i="1"/>
  <c r="H212" i="1"/>
  <c r="C107" i="1"/>
  <c r="Q107" i="1"/>
  <c r="P107" i="1"/>
  <c r="R107" i="1"/>
  <c r="V107" i="1"/>
  <c r="F108" i="1"/>
  <c r="H108" i="1"/>
  <c r="I108" i="1"/>
  <c r="M108" i="1"/>
  <c r="N108" i="1"/>
  <c r="H213" i="1"/>
  <c r="C108" i="1"/>
  <c r="Q108" i="1"/>
  <c r="P108" i="1"/>
  <c r="R108" i="1"/>
  <c r="V108" i="1"/>
  <c r="F109" i="1"/>
  <c r="H109" i="1"/>
  <c r="I109" i="1"/>
  <c r="M109" i="1"/>
  <c r="N109" i="1"/>
  <c r="H214" i="1"/>
  <c r="C109" i="1"/>
  <c r="Q109" i="1"/>
  <c r="P109" i="1"/>
  <c r="R109" i="1"/>
  <c r="V109" i="1"/>
  <c r="F110" i="1"/>
  <c r="H110" i="1"/>
  <c r="I110" i="1"/>
  <c r="M110" i="1"/>
  <c r="N110" i="1"/>
  <c r="H215" i="1"/>
  <c r="C110" i="1"/>
  <c r="Q110" i="1"/>
  <c r="P110" i="1"/>
  <c r="R110" i="1"/>
  <c r="V110" i="1"/>
  <c r="F111" i="1"/>
  <c r="H111" i="1"/>
  <c r="I111" i="1"/>
  <c r="M111" i="1"/>
  <c r="N111" i="1"/>
  <c r="H216" i="1"/>
  <c r="C111" i="1"/>
  <c r="Q111" i="1"/>
  <c r="P111" i="1"/>
  <c r="R111" i="1"/>
  <c r="V111" i="1"/>
  <c r="F112" i="1"/>
  <c r="H112" i="1"/>
  <c r="I112" i="1"/>
  <c r="M112" i="1"/>
  <c r="N112" i="1"/>
  <c r="H217" i="1"/>
  <c r="C112" i="1"/>
  <c r="Q112" i="1"/>
  <c r="P112" i="1"/>
  <c r="R112" i="1"/>
  <c r="V112" i="1"/>
  <c r="F113" i="1"/>
  <c r="H113" i="1"/>
  <c r="I113" i="1"/>
  <c r="M113" i="1"/>
  <c r="N113" i="1"/>
  <c r="H218" i="1"/>
  <c r="C113" i="1"/>
  <c r="Q113" i="1"/>
  <c r="P113" i="1"/>
  <c r="R113" i="1"/>
  <c r="V113" i="1"/>
  <c r="F114" i="1"/>
  <c r="H114" i="1"/>
  <c r="I114" i="1"/>
  <c r="M114" i="1"/>
  <c r="N114" i="1"/>
  <c r="H219" i="1"/>
  <c r="C114" i="1"/>
  <c r="Q114" i="1"/>
  <c r="P114" i="1"/>
  <c r="R114" i="1"/>
  <c r="V114" i="1"/>
  <c r="F115" i="1"/>
  <c r="H115" i="1"/>
  <c r="I115" i="1"/>
  <c r="M115" i="1"/>
  <c r="N115" i="1"/>
  <c r="H220" i="1"/>
  <c r="C115" i="1"/>
  <c r="Q115" i="1"/>
  <c r="P115" i="1"/>
  <c r="R115" i="1"/>
  <c r="V115" i="1"/>
  <c r="F116" i="1"/>
  <c r="H116" i="1"/>
  <c r="I116" i="1"/>
  <c r="M116" i="1"/>
  <c r="N116" i="1"/>
  <c r="H221" i="1"/>
  <c r="C116" i="1"/>
  <c r="Q116" i="1"/>
  <c r="P116" i="1"/>
  <c r="R116" i="1"/>
  <c r="V116" i="1"/>
  <c r="F117" i="1"/>
  <c r="H117" i="1"/>
  <c r="I117" i="1"/>
  <c r="M117" i="1"/>
  <c r="N117" i="1"/>
  <c r="H222" i="1"/>
  <c r="C117" i="1"/>
  <c r="Q117" i="1"/>
  <c r="P117" i="1"/>
  <c r="R117" i="1"/>
  <c r="V117" i="1"/>
  <c r="F118" i="1"/>
  <c r="H118" i="1"/>
  <c r="I118" i="1"/>
  <c r="M118" i="1"/>
  <c r="N118" i="1"/>
  <c r="H223" i="1"/>
  <c r="C118" i="1"/>
  <c r="Q118" i="1"/>
  <c r="P118" i="1"/>
  <c r="R118" i="1"/>
  <c r="V118" i="1"/>
  <c r="M120" i="1"/>
  <c r="N120" i="1"/>
  <c r="T120" i="1"/>
  <c r="U120" i="1"/>
  <c r="V120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D124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W118" i="1"/>
  <c r="E118" i="1"/>
  <c r="W117" i="1"/>
  <c r="E117" i="1"/>
  <c r="W116" i="1"/>
  <c r="E116" i="1"/>
  <c r="W115" i="1"/>
  <c r="E115" i="1"/>
  <c r="W114" i="1"/>
  <c r="E114" i="1"/>
  <c r="W113" i="1"/>
  <c r="E113" i="1"/>
  <c r="W112" i="1"/>
  <c r="E112" i="1"/>
  <c r="W111" i="1"/>
  <c r="E111" i="1"/>
  <c r="W110" i="1"/>
  <c r="E110" i="1"/>
  <c r="W109" i="1"/>
  <c r="E109" i="1"/>
  <c r="W108" i="1"/>
  <c r="E108" i="1"/>
  <c r="W107" i="1"/>
  <c r="E107" i="1"/>
  <c r="W106" i="1"/>
  <c r="E106" i="1"/>
  <c r="W105" i="1"/>
  <c r="E105" i="1"/>
  <c r="W104" i="1"/>
  <c r="E104" i="1"/>
  <c r="W103" i="1"/>
  <c r="E103" i="1"/>
  <c r="W102" i="1"/>
  <c r="E102" i="1"/>
  <c r="W101" i="1"/>
  <c r="E101" i="1"/>
  <c r="W100" i="1"/>
  <c r="E100" i="1"/>
  <c r="W99" i="1"/>
  <c r="E99" i="1"/>
  <c r="W98" i="1"/>
  <c r="E98" i="1"/>
  <c r="W97" i="1"/>
  <c r="E97" i="1"/>
  <c r="W96" i="1"/>
  <c r="E96" i="1"/>
  <c r="W95" i="1"/>
  <c r="E95" i="1"/>
  <c r="W94" i="1"/>
  <c r="E94" i="1"/>
  <c r="W93" i="1"/>
  <c r="E93" i="1"/>
  <c r="W92" i="1"/>
  <c r="E92" i="1"/>
  <c r="W91" i="1"/>
  <c r="E91" i="1"/>
  <c r="W90" i="1"/>
  <c r="E90" i="1"/>
  <c r="W89" i="1"/>
  <c r="E89" i="1"/>
  <c r="W88" i="1"/>
  <c r="E88" i="1"/>
  <c r="W87" i="1"/>
  <c r="E87" i="1"/>
  <c r="W86" i="1"/>
  <c r="E86" i="1"/>
  <c r="W85" i="1"/>
  <c r="E85" i="1"/>
  <c r="W84" i="1"/>
  <c r="E84" i="1"/>
  <c r="W83" i="1"/>
  <c r="E83" i="1"/>
  <c r="W82" i="1"/>
  <c r="E82" i="1"/>
  <c r="W81" i="1"/>
  <c r="E81" i="1"/>
  <c r="W80" i="1"/>
  <c r="E80" i="1"/>
  <c r="W79" i="1"/>
  <c r="E79" i="1"/>
  <c r="W78" i="1"/>
  <c r="E78" i="1"/>
  <c r="W77" i="1"/>
  <c r="E77" i="1"/>
  <c r="W76" i="1"/>
  <c r="E76" i="1"/>
  <c r="W75" i="1"/>
  <c r="E75" i="1"/>
  <c r="W74" i="1"/>
  <c r="E74" i="1"/>
  <c r="W73" i="1"/>
  <c r="E73" i="1"/>
  <c r="W72" i="1"/>
  <c r="E72" i="1"/>
  <c r="W71" i="1"/>
  <c r="E71" i="1"/>
  <c r="W70" i="1"/>
  <c r="E70" i="1"/>
  <c r="W69" i="1"/>
  <c r="E69" i="1"/>
  <c r="W68" i="1"/>
  <c r="E68" i="1"/>
  <c r="W67" i="1"/>
  <c r="E67" i="1"/>
  <c r="W66" i="1"/>
  <c r="E66" i="1"/>
  <c r="W65" i="1"/>
  <c r="E65" i="1"/>
  <c r="W64" i="1"/>
  <c r="E64" i="1"/>
  <c r="W63" i="1"/>
  <c r="E63" i="1"/>
  <c r="W62" i="1"/>
  <c r="E62" i="1"/>
  <c r="W61" i="1"/>
  <c r="E61" i="1"/>
  <c r="W60" i="1"/>
  <c r="E60" i="1"/>
  <c r="W59" i="1"/>
  <c r="E59" i="1"/>
  <c r="W58" i="1"/>
  <c r="E58" i="1"/>
  <c r="W57" i="1"/>
  <c r="E57" i="1"/>
  <c r="W56" i="1"/>
  <c r="E56" i="1"/>
  <c r="W55" i="1"/>
  <c r="E55" i="1"/>
  <c r="W54" i="1"/>
  <c r="E54" i="1"/>
  <c r="W53" i="1"/>
  <c r="E53" i="1"/>
  <c r="W52" i="1"/>
  <c r="E52" i="1"/>
  <c r="W51" i="1"/>
  <c r="E51" i="1"/>
  <c r="W50" i="1"/>
  <c r="E50" i="1"/>
  <c r="W49" i="1"/>
  <c r="E49" i="1"/>
  <c r="W48" i="1"/>
  <c r="E48" i="1"/>
  <c r="W47" i="1"/>
  <c r="E47" i="1"/>
  <c r="W46" i="1"/>
  <c r="E46" i="1"/>
  <c r="W45" i="1"/>
  <c r="E45" i="1"/>
  <c r="W44" i="1"/>
  <c r="E44" i="1"/>
  <c r="W43" i="1"/>
  <c r="E43" i="1"/>
  <c r="W42" i="1"/>
  <c r="E42" i="1"/>
  <c r="W41" i="1"/>
  <c r="E41" i="1"/>
  <c r="W40" i="1"/>
  <c r="E40" i="1"/>
  <c r="W39" i="1"/>
  <c r="E39" i="1"/>
  <c r="W38" i="1"/>
  <c r="E38" i="1"/>
  <c r="W37" i="1"/>
  <c r="E37" i="1"/>
  <c r="W36" i="1"/>
  <c r="E36" i="1"/>
  <c r="W35" i="1"/>
  <c r="E35" i="1"/>
  <c r="W34" i="1"/>
  <c r="E34" i="1"/>
  <c r="W33" i="1"/>
  <c r="E33" i="1"/>
  <c r="W32" i="1"/>
  <c r="E32" i="1"/>
  <c r="W31" i="1"/>
  <c r="E31" i="1"/>
  <c r="W30" i="1"/>
  <c r="E30" i="1"/>
  <c r="W29" i="1"/>
  <c r="E29" i="1"/>
  <c r="W28" i="1"/>
  <c r="E28" i="1"/>
  <c r="W27" i="1"/>
  <c r="E27" i="1"/>
  <c r="W26" i="1"/>
  <c r="E26" i="1"/>
  <c r="W25" i="1"/>
  <c r="E25" i="1"/>
  <c r="W24" i="1"/>
  <c r="E24" i="1"/>
  <c r="W23" i="1"/>
  <c r="E23" i="1"/>
  <c r="W22" i="1"/>
  <c r="E22" i="1"/>
  <c r="W21" i="1"/>
  <c r="E21" i="1"/>
  <c r="W20" i="1"/>
  <c r="E20" i="1"/>
  <c r="E19" i="1"/>
  <c r="W19" i="1"/>
  <c r="Q225" i="1"/>
  <c r="I225" i="1"/>
  <c r="E9" i="2"/>
  <c r="E7" i="2"/>
  <c r="E6" i="2"/>
  <c r="W12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Steve Little</author>
  </authors>
  <commentList>
    <comment ref="D124" authorId="0" shapeId="0" xr:uid="{00000000-0006-0000-0200-000001000000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25" authorId="0" shapeId="0" xr:uid="{466E59B6-608B-4610-B3C2-95BF06A1A560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26" authorId="0" shapeId="0" xr:uid="{44A64CF0-BBB9-4EB6-88F5-B3943571310E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27" authorId="0" shapeId="0" xr:uid="{A734B0A4-A302-44EF-B74D-069B2A2727D9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28" authorId="0" shapeId="0" xr:uid="{86332B70-5133-4F35-B2A4-69A0E7204700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29" authorId="0" shapeId="0" xr:uid="{E862D327-92DE-4059-ACA1-1ACA65F14C8C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30" authorId="0" shapeId="0" xr:uid="{0819759E-9961-46C9-8B6F-C69EC696A4B2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31" authorId="0" shapeId="0" xr:uid="{10A2F7B4-6643-43AD-9F3D-BE00AF2EC470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32" authorId="0" shapeId="0" xr:uid="{C5A1E4B4-DEAB-4C2E-A2D0-29C477DCF557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33" authorId="0" shapeId="0" xr:uid="{9EDBDEB3-AA37-49C5-AE84-E415E9488A6B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34" authorId="0" shapeId="0" xr:uid="{D3AB2A45-E553-41FF-A07E-9AD0D1E2B571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35" authorId="0" shapeId="0" xr:uid="{407EAA53-4642-4A66-AD09-8915E21ED743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36" authorId="0" shapeId="0" xr:uid="{1380B1BA-EC5E-42DA-A02A-E7FBDFD8F234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37" authorId="0" shapeId="0" xr:uid="{1F0A70D8-8E75-4621-99C5-1277E4EA6E6C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38" authorId="0" shapeId="0" xr:uid="{DBE498CE-D8BC-468A-A2EE-5874B89B26C3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39" authorId="0" shapeId="0" xr:uid="{CF0B6E7B-5462-46A6-9FF0-020E991F2269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40" authorId="0" shapeId="0" xr:uid="{A0D5EFFD-A814-4DBC-9D58-6113385A5DDC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41" authorId="0" shapeId="0" xr:uid="{A565BBDE-203D-4019-B265-984D56D6D679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42" authorId="0" shapeId="0" xr:uid="{546FE5E0-9A98-47E1-9402-472F1238F456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43" authorId="0" shapeId="0" xr:uid="{8D5D8118-F7FF-4CF5-AB55-A48071A1BCB9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44" authorId="0" shapeId="0" xr:uid="{9C3CFB8C-F4A4-472F-A7C0-B6A263B45554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45" authorId="0" shapeId="0" xr:uid="{8458BC7B-21FE-4D25-A0A4-E9A99755FCB4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46" authorId="0" shapeId="0" xr:uid="{775B109F-36CC-4F91-B7EA-209759E1972F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47" authorId="0" shapeId="0" xr:uid="{51AE49BE-DE0B-4B7E-A1AD-DE80475798AD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48" authorId="0" shapeId="0" xr:uid="{E31AA851-2210-423F-B3AD-E0DDBB137B84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49" authorId="0" shapeId="0" xr:uid="{5513AF72-CA9A-4365-8C67-69A4E37D768C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50" authorId="0" shapeId="0" xr:uid="{2CA506E3-BBC2-41F6-BE2E-A9E53F0BC9E9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51" authorId="0" shapeId="0" xr:uid="{E1DEFA42-70D5-4BF9-959B-42DA5AA79FA9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52" authorId="0" shapeId="0" xr:uid="{74855E77-8BB2-4A91-B445-D9C4F9ACD2B3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53" authorId="0" shapeId="0" xr:uid="{9E0645E8-385A-47A9-B895-809EFBB4C68E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54" authorId="0" shapeId="0" xr:uid="{244357F2-122D-4CE9-8032-E74E8089AFDF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55" authorId="0" shapeId="0" xr:uid="{04EA42F7-F3C6-4BB1-A128-7573CDEA9B47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56" authorId="0" shapeId="0" xr:uid="{35291E65-F114-4BEA-9108-017A1320C1A9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57" authorId="0" shapeId="0" xr:uid="{A722D2D5-C74C-4036-90E5-2AB88753D77D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58" authorId="0" shapeId="0" xr:uid="{C6E1D99C-81B2-4573-95D3-4E86BA1F2B45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59" authorId="0" shapeId="0" xr:uid="{984A8920-FC29-4778-8A03-04A8B87235EB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60" authorId="0" shapeId="0" xr:uid="{6A12189A-9041-4942-8D66-673A93F23F27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61" authorId="0" shapeId="0" xr:uid="{90C21805-E4B7-4E8B-AABE-E464DBFBE03C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62" authorId="0" shapeId="0" xr:uid="{AB2A2194-E92F-4260-8104-83676FE94C94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63" authorId="0" shapeId="0" xr:uid="{F39F5AAA-AC78-408C-B417-6CCB3231C779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64" authorId="0" shapeId="0" xr:uid="{AD01B23E-08C7-404A-88C0-1F59372BC39F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65" authorId="0" shapeId="0" xr:uid="{C3C4C438-32BF-4E3D-85C6-520F54174DDA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66" authorId="0" shapeId="0" xr:uid="{B743FD87-060E-4BA2-B9EE-8B08C6303DC9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67" authorId="0" shapeId="0" xr:uid="{0240EDC1-3207-4B7B-A05B-357BB299229B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68" authorId="0" shapeId="0" xr:uid="{78B389C5-76B1-455C-BB24-824AC57A5F9B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69" authorId="0" shapeId="0" xr:uid="{3145EA52-E5F1-4002-8F8B-43C59AF57E48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70" authorId="0" shapeId="0" xr:uid="{D532CACE-7CF4-44E0-8595-137A86734843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71" authorId="0" shapeId="0" xr:uid="{BEFD1570-5D61-4B11-A62F-69A1A82316B6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72" authorId="0" shapeId="0" xr:uid="{462DA820-3507-4997-8EB0-414C2A40E141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73" authorId="0" shapeId="0" xr:uid="{55E0F6C3-4F77-445B-8E9B-3D9B8685D45B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74" authorId="0" shapeId="0" xr:uid="{60E4E36E-2974-4590-9D26-35FDAC1FD893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75" authorId="0" shapeId="0" xr:uid="{FCE34EAD-C9FC-4360-80B4-3FB84F75CF18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76" authorId="0" shapeId="0" xr:uid="{784462B8-F280-4603-83AA-C3ABDD7E87F5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77" authorId="0" shapeId="0" xr:uid="{4FAF7609-60D0-416A-BB7B-CADF29D87DF7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78" authorId="0" shapeId="0" xr:uid="{D64F7341-0B47-483D-86C0-718CA94B5221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79" authorId="0" shapeId="0" xr:uid="{ECDE6163-0C17-4BCA-84B9-D01FC4ADA439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80" authorId="0" shapeId="0" xr:uid="{D5BC28F5-447D-4463-BD75-4D99FF30D5EC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81" authorId="0" shapeId="0" xr:uid="{CDB0B51F-5546-4C9B-A466-BE54883E7E4B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82" authorId="0" shapeId="0" xr:uid="{B099A10C-85D9-4865-8B66-1DD5BA1C83D0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83" authorId="0" shapeId="0" xr:uid="{867474E5-4665-4736-B434-A29F3F53937A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84" authorId="0" shapeId="0" xr:uid="{08B7BD51-2CFB-49A2-949B-742A6BA087B6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85" authorId="0" shapeId="0" xr:uid="{8B3F0703-F384-44DC-A0B2-A907F6B875D7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86" authorId="0" shapeId="0" xr:uid="{03249CD5-4F06-4489-B509-308D50E6C9BC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87" authorId="0" shapeId="0" xr:uid="{7779D2E7-1FE6-4DFD-8860-F511500EFC1E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88" authorId="0" shapeId="0" xr:uid="{6A705AD5-ADE6-454F-A069-5D0D9AC59548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89" authorId="0" shapeId="0" xr:uid="{86335C49-F40F-4A08-BBAE-8BC29E43BAC4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90" authorId="0" shapeId="0" xr:uid="{C1634438-B687-4CAB-B055-1E355C2C021A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91" authorId="0" shapeId="0" xr:uid="{D8CDC35C-79B4-4F92-AAD6-C6A52B0815D1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92" authorId="0" shapeId="0" xr:uid="{9A8F0484-4FE3-4B20-9CEE-797D0AAF7B1C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93" authorId="0" shapeId="0" xr:uid="{1E9BD53C-F552-47A1-920B-05AEFDF6B1CE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94" authorId="0" shapeId="0" xr:uid="{1A2E63EA-33B0-44B4-B9FC-FDDC89B1E367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95" authorId="0" shapeId="0" xr:uid="{BB71ABB4-3267-40AD-A1DD-79324D13BA50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96" authorId="0" shapeId="0" xr:uid="{83505F05-423A-4CED-B719-5118CC4AA13B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97" authorId="0" shapeId="0" xr:uid="{E9ED7A98-A55A-4ECC-AC62-B8EB74DA8EFE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98" authorId="0" shapeId="0" xr:uid="{0C5BB29F-4142-499C-BCF9-DFA07BF6F20E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199" authorId="0" shapeId="0" xr:uid="{18E086AF-32FC-4BA9-AAD6-AB024613AEC7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200" authorId="0" shapeId="0" xr:uid="{9B9F67FF-7BF2-4FF4-9D9D-87643EE313AE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201" authorId="0" shapeId="0" xr:uid="{41C03CBF-42C7-4150-B41F-DB7525F7F057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202" authorId="0" shapeId="0" xr:uid="{A2AE39F0-BEA4-44AE-98DD-080C0DE818FD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203" authorId="0" shapeId="0" xr:uid="{F25DB491-171C-4FF4-9BDF-9DDA9B49BD18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204" authorId="0" shapeId="0" xr:uid="{EAA5C16D-20A2-4076-B7FC-B8D67F5AA709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205" authorId="0" shapeId="0" xr:uid="{459BE85C-98B3-404B-BFBB-ACD3A1E4C945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206" authorId="0" shapeId="0" xr:uid="{48CAF53A-CD94-4B43-9326-1395575E5444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207" authorId="0" shapeId="0" xr:uid="{2C4A4EDB-B3C0-4023-9114-E238717EC2CC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208" authorId="0" shapeId="0" xr:uid="{0BE40492-9CA1-4A97-89C6-05883DA67BAC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209" authorId="0" shapeId="0" xr:uid="{AB261437-0D83-4AB8-B687-B8FEF1678E40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210" authorId="0" shapeId="0" xr:uid="{79B9C6BA-9665-49EB-A092-4F7DB8D0F870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211" authorId="0" shapeId="0" xr:uid="{A22A9FEE-3905-4E0E-8648-66D1D44834AF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212" authorId="0" shapeId="0" xr:uid="{42197B8E-9A63-43DE-BE3E-53103F1F91B2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213" authorId="0" shapeId="0" xr:uid="{CF4BC85B-ADCD-4DE4-87E0-CB78F20482AD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214" authorId="0" shapeId="0" xr:uid="{B9B986AB-F93C-4BF4-8EAF-C950FFCCBE4C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215" authorId="0" shapeId="0" xr:uid="{C90AB732-CB71-465E-B455-7B43A1C28929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216" authorId="0" shapeId="0" xr:uid="{63C1EF91-DC55-4989-80C2-2EABD403A9E8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217" authorId="0" shapeId="0" xr:uid="{7717887E-BBCF-41B7-9878-CA3B8A2DF282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218" authorId="0" shapeId="0" xr:uid="{13DEEA04-74AD-456C-B9EE-2BDADD438A72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219" authorId="0" shapeId="0" xr:uid="{DE63931F-EC55-4330-9B81-518EF1BFF74C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220" authorId="0" shapeId="0" xr:uid="{3321E630-8B00-41C9-814C-CE308892A0CD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221" authorId="0" shapeId="0" xr:uid="{2919FD17-3481-443B-ACEA-94FB667FE3AF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222" authorId="0" shapeId="0" xr:uid="{CE7C9D14-D32A-493A-985B-DD9FC8BC2BC0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  <comment ref="D223" authorId="0" shapeId="0" xr:uid="{39128484-67A2-4EFF-A39C-C97A56A1B7DF}">
      <text>
        <r>
          <rPr>
            <b/>
            <sz val="8"/>
            <color indexed="81"/>
            <rFont val="Tahoma"/>
            <family val="2"/>
          </rPr>
          <t>This cell provides a fitler to sort items by contribution.  
It    
the Value Entty Table (5802)
and subtracts the     from the ""17 Sales Amount (Actual)"</t>
        </r>
      </text>
    </comment>
  </commentList>
</comments>
</file>

<file path=xl/sharedStrings.xml><?xml version="1.0" encoding="utf-8"?>
<sst xmlns="http://schemas.openxmlformats.org/spreadsheetml/2006/main" count="2936" uniqueCount="2066">
  <si>
    <t>Lookup</t>
  </si>
  <si>
    <t>Option</t>
  </si>
  <si>
    <t>Hide</t>
  </si>
  <si>
    <t>hide</t>
  </si>
  <si>
    <t>Title</t>
  </si>
  <si>
    <t>Value</t>
  </si>
  <si>
    <t>Options Window</t>
  </si>
  <si>
    <t>Sales - Period Start</t>
  </si>
  <si>
    <t>Sales - Period End</t>
  </si>
  <si>
    <t>Top Number of Items</t>
  </si>
  <si>
    <t>No.</t>
  </si>
  <si>
    <t>Description</t>
  </si>
  <si>
    <t>Period</t>
  </si>
  <si>
    <t>All Items</t>
  </si>
  <si>
    <t>Last Run:</t>
  </si>
  <si>
    <t>fit</t>
  </si>
  <si>
    <t>Sales Amount 
(Actual)</t>
  </si>
  <si>
    <t>Cost Amount
(Actual)</t>
  </si>
  <si>
    <t>minimum width   --</t>
  </si>
  <si>
    <t>Invoiced Quantity</t>
  </si>
  <si>
    <t>Margin</t>
  </si>
  <si>
    <t>Margin %</t>
  </si>
  <si>
    <t>Top Items by Sales Amount and Margin</t>
  </si>
  <si>
    <t>min width---------</t>
  </si>
  <si>
    <t>Auto+Hide+Hidesheet</t>
  </si>
  <si>
    <t>Enter a date using the date format used in your NAV instance</t>
  </si>
  <si>
    <t>Tooltip</t>
  </si>
  <si>
    <t>=NP("Eval","=Option!E6")</t>
  </si>
  <si>
    <t>=NP("Eval","=Option!E7")</t>
  </si>
  <si>
    <t>=NP("Datefilter",$I$2,$I$3)</t>
  </si>
  <si>
    <t>=NP("Eval","=Option!E9")</t>
  </si>
  <si>
    <t>="From "&amp;TEXT(I2,"dd-mmm-yy")&amp;" to "&amp;TEXT(I3,"dd-mmm-yy")</t>
  </si>
  <si>
    <t>=NP("Eval","=NOW()")</t>
  </si>
  <si>
    <t>="Top "&amp;I5&amp;" Items by SALES AMOUNT"</t>
  </si>
  <si>
    <t>="Top "&amp;I5&amp;" Items by MARGIN"</t>
  </si>
  <si>
    <t>=C18+1</t>
  </si>
  <si>
    <t>="@@"&amp;H19</t>
  </si>
  <si>
    <t>=NL("Rows","27 Item",,"64 Datefilter",$I$4,"-78 Sales (LCY)","*","limit=",$I$5)</t>
  </si>
  <si>
    <t>=NF($F19,"1 No.")</t>
  </si>
  <si>
    <t>=NF($F19,"3 Description")</t>
  </si>
  <si>
    <t>=-NL("Sum","5802 Value Entry","14 Invoiced Quantity","4 Item Ledger Entry Type","Sale","3 Posting Date",$I$4,"2 Item No.",$E19)</t>
  </si>
  <si>
    <t>=NL("Sum","5802 Value Entry","17 Sales Amount (Actual)","4 Item Ledger Entry Type","Sale","3 Posting Date",$I$4,"2 Item No.",$E19)</t>
  </si>
  <si>
    <t>=NL("Sum","5802 Value Entry","43 Cost Amount (Actual)","4 Item Ledger Entry Type","Sale","3 Posting Date",$I$4,"2 Item No.",$E19,"105 Entry Type","&lt;&gt;Revaluation")</t>
  </si>
  <si>
    <t>=K19+L19</t>
  </si>
  <si>
    <t>=IF(K19=0,"",M19/K19)</t>
  </si>
  <si>
    <t>="@@"&amp;$Q19</t>
  </si>
  <si>
    <t>=OFFSET($H$25,C19-1,0)</t>
  </si>
  <si>
    <t>=NL("First","27 Item","3 Description","1 No.",P19)</t>
  </si>
  <si>
    <t>=-NL("Sum","5802 Value Entry","14 Invoiced Quantity","4 Item Ledger Entry Type","Sale","3 Posting Date",$I$4,"2 Item No.",$P19)</t>
  </si>
  <si>
    <t>=NL("Sum","5802 Value Entry","17 Sales Amount (Actual)","4 Item Ledger Entry Type","Sale","3 Posting Date",$I$4,"2 Item No.",$P19)</t>
  </si>
  <si>
    <t>=NL("Sum","5802 Value Entry","43 Cost Amount (Actual)","4 Item Ledger Entry Type","Sale","3 Posting Date",$I$4,"2 Item No.",$P19,"105 Entry Type","&lt;&gt;Revaluation")</t>
  </si>
  <si>
    <t>=T19+U19</t>
  </si>
  <si>
    <t>=IF(T19=0,"",V19/T19)</t>
  </si>
  <si>
    <t>=NL("Sum","5802 Value Entry","17 Sales Amount (Actual)","4 Item Ledger Entry Type","Sale","3 Posting Date",$I$4)</t>
  </si>
  <si>
    <t>=NL("Sum","5802 Value Entry","43 Cost Amount (Actual)","4 Item Ledger Entry Type","Sale","3 Posting Date",$I$4,"105 Entry Type","&lt;&gt;Revaluation")</t>
  </si>
  <si>
    <t>=K21+L21</t>
  </si>
  <si>
    <t>=IF(K21=0,"",M21/K21)</t>
  </si>
  <si>
    <t>=K21</t>
  </si>
  <si>
    <t>=L21</t>
  </si>
  <si>
    <t>=M21</t>
  </si>
  <si>
    <t>=N21</t>
  </si>
  <si>
    <t>="-=NL(""Sum"",""5802 Value Entry"",""17 Sales Amount (actual)"",""3 Posting Date"","""&amp;$I$4&amp;""",""2 Item No."",NF(,""1 No.""))+NL(""Sum"",5802,""43 Cost Amount (actual)"",4,""Sale"",3,"""&amp;$I$4&amp;""",""105 Entry Type"",""&lt;&gt;Revaluation"",2,NF(,""1 No.""))"</t>
  </si>
  <si>
    <t>=E24+1</t>
  </si>
  <si>
    <t>=NL("Rows","27 Item",,"64 Datefilter",$I$4,$D$25,"*","limit=",$I$5)</t>
  </si>
  <si>
    <t>=NF($F25,"1 No.")</t>
  </si>
  <si>
    <t>="Top "&amp;I5&amp;" Items by Sales Volume"</t>
  </si>
  <si>
    <t>="Top "&amp;$I$5&amp;" Items by Margin"</t>
  </si>
  <si>
    <t>Auto</t>
  </si>
  <si>
    <t>=C19+1</t>
  </si>
  <si>
    <t>="@@"&amp;H20</t>
  </si>
  <si>
    <t>=-NL("Sum","5802 Value Entry","14 Invoiced Quantity","4 Item Ledger Entry Type","Sale","3 Posting Date",$I$4,"2 Item No.",$E20)</t>
  </si>
  <si>
    <t>=NL("Sum","5802 Value Entry","17 Sales Amount (Actual)","4 Item Ledger Entry Type","Sale","3 Posting Date",$I$4,"2 Item No.",$E20)</t>
  </si>
  <si>
    <t>=NL("Sum","5802 Value Entry","43 Cost Amount (Actual)","4 Item Ledger Entry Type","Sale","3 Posting Date",$I$4,"2 Item No.",$E20,"105 Entry Type","&lt;&gt;Revaluation")</t>
  </si>
  <si>
    <t>=K20+L20</t>
  </si>
  <si>
    <t>=IF(K20=0,"",M20/K20)</t>
  </si>
  <si>
    <t>="@@"&amp;$Q20</t>
  </si>
  <si>
    <t>=NL("First","27 Item","3 Description","1 No.",P20)</t>
  </si>
  <si>
    <t>=-NL("Sum","5802 Value Entry","14 Invoiced Quantity","4 Item Ledger Entry Type","Sale","3 Posting Date",$I$4,"2 Item No.",$P20)</t>
  </si>
  <si>
    <t>=NL("Sum","5802 Value Entry","17 Sales Amount (Actual)","4 Item Ledger Entry Type","Sale","3 Posting Date",$I$4,"2 Item No.",$P20)</t>
  </si>
  <si>
    <t>=NL("Sum","5802 Value Entry","43 Cost Amount (Actual)","4 Item Ledger Entry Type","Sale","3 Posting Date",$I$4,"2 Item No.",$P20,"105 Entry Type","&lt;&gt;Revaluation")</t>
  </si>
  <si>
    <t>=T20+U20</t>
  </si>
  <si>
    <t>=IF(T20=0,"",V20/T20)</t>
  </si>
  <si>
    <t>=C20+1</t>
  </si>
  <si>
    <t>="@@"&amp;H21</t>
  </si>
  <si>
    <t>=-NL("Sum","5802 Value Entry","14 Invoiced Quantity","4 Item Ledger Entry Type","Sale","3 Posting Date",$I$4,"2 Item No.",$E21)</t>
  </si>
  <si>
    <t>=NL("Sum","5802 Value Entry","17 Sales Amount (Actual)","4 Item Ledger Entry Type","Sale","3 Posting Date",$I$4,"2 Item No.",$E21)</t>
  </si>
  <si>
    <t>=NL("Sum","5802 Value Entry","43 Cost Amount (Actual)","4 Item Ledger Entry Type","Sale","3 Posting Date",$I$4,"2 Item No.",$E21,"105 Entry Type","&lt;&gt;Revaluation")</t>
  </si>
  <si>
    <t>="@@"&amp;$Q21</t>
  </si>
  <si>
    <t>=NL("First","27 Item","3 Description","1 No.",P21)</t>
  </si>
  <si>
    <t>=-NL("Sum","5802 Value Entry","14 Invoiced Quantity","4 Item Ledger Entry Type","Sale","3 Posting Date",$I$4,"2 Item No.",$P21)</t>
  </si>
  <si>
    <t>=NL("Sum","5802 Value Entry","17 Sales Amount (Actual)","4 Item Ledger Entry Type","Sale","3 Posting Date",$I$4,"2 Item No.",$P21)</t>
  </si>
  <si>
    <t>=NL("Sum","5802 Value Entry","43 Cost Amount (Actual)","4 Item Ledger Entry Type","Sale","3 Posting Date",$I$4,"2 Item No.",$P21,"105 Entry Type","&lt;&gt;Revaluation")</t>
  </si>
  <si>
    <t>=T21+U21</t>
  </si>
  <si>
    <t>=IF(T21=0,"",V21/T21)</t>
  </si>
  <si>
    <t>=C21+1</t>
  </si>
  <si>
    <t>="@@"&amp;H22</t>
  </si>
  <si>
    <t>=-NL("Sum","5802 Value Entry","14 Invoiced Quantity","4 Item Ledger Entry Type","Sale","3 Posting Date",$I$4,"2 Item No.",$E22)</t>
  </si>
  <si>
    <t>=NL("Sum","5802 Value Entry","17 Sales Amount (Actual)","4 Item Ledger Entry Type","Sale","3 Posting Date",$I$4,"2 Item No.",$E22)</t>
  </si>
  <si>
    <t>=NL("Sum","5802 Value Entry","43 Cost Amount (Actual)","4 Item Ledger Entry Type","Sale","3 Posting Date",$I$4,"2 Item No.",$E22,"105 Entry Type","&lt;&gt;Revaluation")</t>
  </si>
  <si>
    <t>=K22+L22</t>
  </si>
  <si>
    <t>=IF(K22=0,"",M22/K22)</t>
  </si>
  <si>
    <t>="@@"&amp;$Q22</t>
  </si>
  <si>
    <t>=NL("First","27 Item","3 Description","1 No.",P22)</t>
  </si>
  <si>
    <t>=-NL("Sum","5802 Value Entry","14 Invoiced Quantity","4 Item Ledger Entry Type","Sale","3 Posting Date",$I$4,"2 Item No.",$P22)</t>
  </si>
  <si>
    <t>=NL("Sum","5802 Value Entry","17 Sales Amount (Actual)","4 Item Ledger Entry Type","Sale","3 Posting Date",$I$4,"2 Item No.",$P22)</t>
  </si>
  <si>
    <t>=NL("Sum","5802 Value Entry","43 Cost Amount (Actual)","4 Item Ledger Entry Type","Sale","3 Posting Date",$I$4,"2 Item No.",$P22,"105 Entry Type","&lt;&gt;Revaluation")</t>
  </si>
  <si>
    <t>=T22+U22</t>
  </si>
  <si>
    <t>=IF(T22=0,"",V22/T22)</t>
  </si>
  <si>
    <t>=C22+1</t>
  </si>
  <si>
    <t>="@@"&amp;H23</t>
  </si>
  <si>
    <t>=-NL("Sum","5802 Value Entry","14 Invoiced Quantity","4 Item Ledger Entry Type","Sale","3 Posting Date",$I$4,"2 Item No.",$E23)</t>
  </si>
  <si>
    <t>=NL("Sum","5802 Value Entry","17 Sales Amount (Actual)","4 Item Ledger Entry Type","Sale","3 Posting Date",$I$4,"2 Item No.",$E23)</t>
  </si>
  <si>
    <t>=NL("Sum","5802 Value Entry","43 Cost Amount (Actual)","4 Item Ledger Entry Type","Sale","3 Posting Date",$I$4,"2 Item No.",$E23,"105 Entry Type","&lt;&gt;Revaluation")</t>
  </si>
  <si>
    <t>=K23+L23</t>
  </si>
  <si>
    <t>=IF(K23=0,"",M23/K23)</t>
  </si>
  <si>
    <t>="@@"&amp;$Q23</t>
  </si>
  <si>
    <t>=NL("First","27 Item","3 Description","1 No.",P23)</t>
  </si>
  <si>
    <t>=-NL("Sum","5802 Value Entry","14 Invoiced Quantity","4 Item Ledger Entry Type","Sale","3 Posting Date",$I$4,"2 Item No.",$P23)</t>
  </si>
  <si>
    <t>=NL("Sum","5802 Value Entry","17 Sales Amount (Actual)","4 Item Ledger Entry Type","Sale","3 Posting Date",$I$4,"2 Item No.",$P23)</t>
  </si>
  <si>
    <t>=NL("Sum","5802 Value Entry","43 Cost Amount (Actual)","4 Item Ledger Entry Type","Sale","3 Posting Date",$I$4,"2 Item No.",$P23,"105 Entry Type","&lt;&gt;Revaluation")</t>
  </si>
  <si>
    <t>=T23+U23</t>
  </si>
  <si>
    <t>=IF(T23=0,"",V23/T23)</t>
  </si>
  <si>
    <t>=K25+L25</t>
  </si>
  <si>
    <t>=IF(K25=0,"",M25/K25)</t>
  </si>
  <si>
    <t>=NF($F20,"1 No.")</t>
  </si>
  <si>
    <t>=NF($F21,"1 No.")</t>
  </si>
  <si>
    <t>=NF($F22,"1 No.")</t>
  </si>
  <si>
    <t>=NF($F23,"1 No.")</t>
  </si>
  <si>
    <t>=NF($F20,"3 Description")</t>
  </si>
  <si>
    <t>=NF($F21,"3 Description")</t>
  </si>
  <si>
    <t>=NF($F22,"3 Description")</t>
  </si>
  <si>
    <t>=NF($F23,"3 Description")</t>
  </si>
  <si>
    <t>=NF($F29,"1 No.")</t>
  </si>
  <si>
    <t>=NF($F30,"1 No.")</t>
  </si>
  <si>
    <t>=NF($F31,"1 No.")</t>
  </si>
  <si>
    <t>=NF($F32,"1 No.")</t>
  </si>
  <si>
    <t>=NF($F33,"1 No.")</t>
  </si>
  <si>
    <t>Auto+Hide+Values+Formulas=Sheet2,Sheet3+FormulasOnly</t>
  </si>
  <si>
    <t>Auto+Hide+Values+Formulas=Sheet1,Sheet2,Sheet3</t>
  </si>
  <si>
    <t>=OFFSET($H$124,C19-1,0)</t>
  </si>
  <si>
    <t>=OFFSET($H$124,C20-1,0)</t>
  </si>
  <si>
    <t>=OFFSET($H$124,C21-1,0)</t>
  </si>
  <si>
    <t>=OFFSET($H$124,C22-1,0)</t>
  </si>
  <si>
    <t>=OFFSET($H$124,C23-1,0)</t>
  </si>
  <si>
    <t>=C23+1</t>
  </si>
  <si>
    <t>="@@"&amp;H24</t>
  </si>
  <si>
    <t>=-NL("Sum","5802 Value Entry","14 Invoiced Quantity","4 Item Ledger Entry Type","Sale","3 Posting Date",$I$4,"2 Item No.",$E24)</t>
  </si>
  <si>
    <t>=NL("Sum","5802 Value Entry","17 Sales Amount (Actual)","4 Item Ledger Entry Type","Sale","3 Posting Date",$I$4,"2 Item No.",$E24)</t>
  </si>
  <si>
    <t>=NL("Sum","5802 Value Entry","43 Cost Amount (Actual)","4 Item Ledger Entry Type","Sale","3 Posting Date",$I$4,"2 Item No.",$E24,"105 Entry Type","&lt;&gt;Revaluation")</t>
  </si>
  <si>
    <t>=K24+L24</t>
  </si>
  <si>
    <t>=IF(K24=0,"",M24/K24)</t>
  </si>
  <si>
    <t>="@@"&amp;$Q24</t>
  </si>
  <si>
    <t>=OFFSET($H$124,C24-1,0)</t>
  </si>
  <si>
    <t>=NL("First","27 Item","3 Description","1 No.",P24)</t>
  </si>
  <si>
    <t>=-NL("Sum","5802 Value Entry","14 Invoiced Quantity","4 Item Ledger Entry Type","Sale","3 Posting Date",$I$4,"2 Item No.",$P24)</t>
  </si>
  <si>
    <t>=NL("Sum","5802 Value Entry","17 Sales Amount (Actual)","4 Item Ledger Entry Type","Sale","3 Posting Date",$I$4,"2 Item No.",$P24)</t>
  </si>
  <si>
    <t>=NL("Sum","5802 Value Entry","43 Cost Amount (Actual)","4 Item Ledger Entry Type","Sale","3 Posting Date",$I$4,"2 Item No.",$P24,"105 Entry Type","&lt;&gt;Revaluation")</t>
  </si>
  <si>
    <t>=T24+U24</t>
  </si>
  <si>
    <t>=IF(T24=0,"",V24/T24)</t>
  </si>
  <si>
    <t>=C24+1</t>
  </si>
  <si>
    <t>="@@"&amp;H25</t>
  </si>
  <si>
    <t>=-NL("Sum","5802 Value Entry","14 Invoiced Quantity","4 Item Ledger Entry Type","Sale","3 Posting Date",$I$4,"2 Item No.",$E25)</t>
  </si>
  <si>
    <t>=NL("Sum","5802 Value Entry","17 Sales Amount (Actual)","4 Item Ledger Entry Type","Sale","3 Posting Date",$I$4,"2 Item No.",$E25)</t>
  </si>
  <si>
    <t>=NL("Sum","5802 Value Entry","43 Cost Amount (Actual)","4 Item Ledger Entry Type","Sale","3 Posting Date",$I$4,"2 Item No.",$E25,"105 Entry Type","&lt;&gt;Revaluation")</t>
  </si>
  <si>
    <t>="@@"&amp;$Q25</t>
  </si>
  <si>
    <t>=OFFSET($H$124,C25-1,0)</t>
  </si>
  <si>
    <t>=NL("First","27 Item","3 Description","1 No.",P25)</t>
  </si>
  <si>
    <t>=-NL("Sum","5802 Value Entry","14 Invoiced Quantity","4 Item Ledger Entry Type","Sale","3 Posting Date",$I$4,"2 Item No.",$P25)</t>
  </si>
  <si>
    <t>=NL("Sum","5802 Value Entry","17 Sales Amount (Actual)","4 Item Ledger Entry Type","Sale","3 Posting Date",$I$4,"2 Item No.",$P25)</t>
  </si>
  <si>
    <t>=NL("Sum","5802 Value Entry","43 Cost Amount (Actual)","4 Item Ledger Entry Type","Sale","3 Posting Date",$I$4,"2 Item No.",$P25,"105 Entry Type","&lt;&gt;Revaluation")</t>
  </si>
  <si>
    <t>=T25+U25</t>
  </si>
  <si>
    <t>=IF(T25=0,"",V25/T25)</t>
  </si>
  <si>
    <t>=C25+1</t>
  </si>
  <si>
    <t>="@@"&amp;H26</t>
  </si>
  <si>
    <t>=-NL("Sum","5802 Value Entry","14 Invoiced Quantity","4 Item Ledger Entry Type","Sale","3 Posting Date",$I$4,"2 Item No.",$E26)</t>
  </si>
  <si>
    <t>=NL("Sum","5802 Value Entry","17 Sales Amount (Actual)","4 Item Ledger Entry Type","Sale","3 Posting Date",$I$4,"2 Item No.",$E26)</t>
  </si>
  <si>
    <t>=NL("Sum","5802 Value Entry","43 Cost Amount (Actual)","4 Item Ledger Entry Type","Sale","3 Posting Date",$I$4,"2 Item No.",$E26,"105 Entry Type","&lt;&gt;Revaluation")</t>
  </si>
  <si>
    <t>=K26+L26</t>
  </si>
  <si>
    <t>=IF(K26=0,"",M26/K26)</t>
  </si>
  <si>
    <t>="@@"&amp;$Q26</t>
  </si>
  <si>
    <t>=OFFSET($H$124,C26-1,0)</t>
  </si>
  <si>
    <t>=NL("First","27 Item","3 Description","1 No.",P26)</t>
  </si>
  <si>
    <t>=-NL("Sum","5802 Value Entry","14 Invoiced Quantity","4 Item Ledger Entry Type","Sale","3 Posting Date",$I$4,"2 Item No.",$P26)</t>
  </si>
  <si>
    <t>=NL("Sum","5802 Value Entry","17 Sales Amount (Actual)","4 Item Ledger Entry Type","Sale","3 Posting Date",$I$4,"2 Item No.",$P26)</t>
  </si>
  <si>
    <t>=NL("Sum","5802 Value Entry","43 Cost Amount (Actual)","4 Item Ledger Entry Type","Sale","3 Posting Date",$I$4,"2 Item No.",$P26,"105 Entry Type","&lt;&gt;Revaluation")</t>
  </si>
  <si>
    <t>=T26+U26</t>
  </si>
  <si>
    <t>=IF(T26=0,"",V26/T26)</t>
  </si>
  <si>
    <t>=C26+1</t>
  </si>
  <si>
    <t>="@@"&amp;H27</t>
  </si>
  <si>
    <t>=-NL("Sum","5802 Value Entry","14 Invoiced Quantity","4 Item Ledger Entry Type","Sale","3 Posting Date",$I$4,"2 Item No.",$E27)</t>
  </si>
  <si>
    <t>=NL("Sum","5802 Value Entry","17 Sales Amount (Actual)","4 Item Ledger Entry Type","Sale","3 Posting Date",$I$4,"2 Item No.",$E27)</t>
  </si>
  <si>
    <t>=NL("Sum","5802 Value Entry","43 Cost Amount (Actual)","4 Item Ledger Entry Type","Sale","3 Posting Date",$I$4,"2 Item No.",$E27,"105 Entry Type","&lt;&gt;Revaluation")</t>
  </si>
  <si>
    <t>=K27+L27</t>
  </si>
  <si>
    <t>=IF(K27=0,"",M27/K27)</t>
  </si>
  <si>
    <t>="@@"&amp;$Q27</t>
  </si>
  <si>
    <t>=OFFSET($H$124,C27-1,0)</t>
  </si>
  <si>
    <t>=NL("First","27 Item","3 Description","1 No.",P27)</t>
  </si>
  <si>
    <t>=-NL("Sum","5802 Value Entry","14 Invoiced Quantity","4 Item Ledger Entry Type","Sale","3 Posting Date",$I$4,"2 Item No.",$P27)</t>
  </si>
  <si>
    <t>=NL("Sum","5802 Value Entry","17 Sales Amount (Actual)","4 Item Ledger Entry Type","Sale","3 Posting Date",$I$4,"2 Item No.",$P27)</t>
  </si>
  <si>
    <t>=NL("Sum","5802 Value Entry","43 Cost Amount (Actual)","4 Item Ledger Entry Type","Sale","3 Posting Date",$I$4,"2 Item No.",$P27,"105 Entry Type","&lt;&gt;Revaluation")</t>
  </si>
  <si>
    <t>=T27+U27</t>
  </si>
  <si>
    <t>=IF(T27=0,"",V27/T27)</t>
  </si>
  <si>
    <t>=C27+1</t>
  </si>
  <si>
    <t>="@@"&amp;H28</t>
  </si>
  <si>
    <t>=-NL("Sum","5802 Value Entry","14 Invoiced Quantity","4 Item Ledger Entry Type","Sale","3 Posting Date",$I$4,"2 Item No.",$E28)</t>
  </si>
  <si>
    <t>=NL("Sum","5802 Value Entry","17 Sales Amount (Actual)","4 Item Ledger Entry Type","Sale","3 Posting Date",$I$4,"2 Item No.",$E28)</t>
  </si>
  <si>
    <t>=NL("Sum","5802 Value Entry","43 Cost Amount (Actual)","4 Item Ledger Entry Type","Sale","3 Posting Date",$I$4,"2 Item No.",$E28,"105 Entry Type","&lt;&gt;Revaluation")</t>
  </si>
  <si>
    <t>=K28+L28</t>
  </si>
  <si>
    <t>=IF(K28=0,"",M28/K28)</t>
  </si>
  <si>
    <t>="@@"&amp;$Q28</t>
  </si>
  <si>
    <t>=OFFSET($H$124,C28-1,0)</t>
  </si>
  <si>
    <t>=NL("First","27 Item","3 Description","1 No.",P28)</t>
  </si>
  <si>
    <t>=-NL("Sum","5802 Value Entry","14 Invoiced Quantity","4 Item Ledger Entry Type","Sale","3 Posting Date",$I$4,"2 Item No.",$P28)</t>
  </si>
  <si>
    <t>=NL("Sum","5802 Value Entry","17 Sales Amount (Actual)","4 Item Ledger Entry Type","Sale","3 Posting Date",$I$4,"2 Item No.",$P28)</t>
  </si>
  <si>
    <t>=NL("Sum","5802 Value Entry","43 Cost Amount (Actual)","4 Item Ledger Entry Type","Sale","3 Posting Date",$I$4,"2 Item No.",$P28,"105 Entry Type","&lt;&gt;Revaluation")</t>
  </si>
  <si>
    <t>=T28+U28</t>
  </si>
  <si>
    <t>=IF(T28=0,"",V28/T28)</t>
  </si>
  <si>
    <t>=C28+1</t>
  </si>
  <si>
    <t>="@@"&amp;H29</t>
  </si>
  <si>
    <t>=-NL("Sum","5802 Value Entry","14 Invoiced Quantity","4 Item Ledger Entry Type","Sale","3 Posting Date",$I$4,"2 Item No.",$E29)</t>
  </si>
  <si>
    <t>=NL("Sum","5802 Value Entry","17 Sales Amount (Actual)","4 Item Ledger Entry Type","Sale","3 Posting Date",$I$4,"2 Item No.",$E29)</t>
  </si>
  <si>
    <t>=NL("Sum","5802 Value Entry","43 Cost Amount (Actual)","4 Item Ledger Entry Type","Sale","3 Posting Date",$I$4,"2 Item No.",$E29,"105 Entry Type","&lt;&gt;Revaluation")</t>
  </si>
  <si>
    <t>=K29+L29</t>
  </si>
  <si>
    <t>=IF(K29=0,"",M29/K29)</t>
  </si>
  <si>
    <t>="@@"&amp;$Q29</t>
  </si>
  <si>
    <t>=OFFSET($H$124,C29-1,0)</t>
  </si>
  <si>
    <t>=NL("First","27 Item","3 Description","1 No.",P29)</t>
  </si>
  <si>
    <t>=-NL("Sum","5802 Value Entry","14 Invoiced Quantity","4 Item Ledger Entry Type","Sale","3 Posting Date",$I$4,"2 Item No.",$P29)</t>
  </si>
  <si>
    <t>=NL("Sum","5802 Value Entry","17 Sales Amount (Actual)","4 Item Ledger Entry Type","Sale","3 Posting Date",$I$4,"2 Item No.",$P29)</t>
  </si>
  <si>
    <t>=NL("Sum","5802 Value Entry","43 Cost Amount (Actual)","4 Item Ledger Entry Type","Sale","3 Posting Date",$I$4,"2 Item No.",$P29,"105 Entry Type","&lt;&gt;Revaluation")</t>
  </si>
  <si>
    <t>=T29+U29</t>
  </si>
  <si>
    <t>=IF(T29=0,"",V29/T29)</t>
  </si>
  <si>
    <t>=C29+1</t>
  </si>
  <si>
    <t>="@@"&amp;H30</t>
  </si>
  <si>
    <t>=-NL("Sum","5802 Value Entry","14 Invoiced Quantity","4 Item Ledger Entry Type","Sale","3 Posting Date",$I$4,"2 Item No.",$E30)</t>
  </si>
  <si>
    <t>=NL("Sum","5802 Value Entry","17 Sales Amount (Actual)","4 Item Ledger Entry Type","Sale","3 Posting Date",$I$4,"2 Item No.",$E30)</t>
  </si>
  <si>
    <t>=NL("Sum","5802 Value Entry","43 Cost Amount (Actual)","4 Item Ledger Entry Type","Sale","3 Posting Date",$I$4,"2 Item No.",$E30,"105 Entry Type","&lt;&gt;Revaluation")</t>
  </si>
  <si>
    <t>=K30+L30</t>
  </si>
  <si>
    <t>=IF(K30=0,"",M30/K30)</t>
  </si>
  <si>
    <t>="@@"&amp;$Q30</t>
  </si>
  <si>
    <t>=OFFSET($H$124,C30-1,0)</t>
  </si>
  <si>
    <t>=NL("First","27 Item","3 Description","1 No.",P30)</t>
  </si>
  <si>
    <t>=-NL("Sum","5802 Value Entry","14 Invoiced Quantity","4 Item Ledger Entry Type","Sale","3 Posting Date",$I$4,"2 Item No.",$P30)</t>
  </si>
  <si>
    <t>=NL("Sum","5802 Value Entry","17 Sales Amount (Actual)","4 Item Ledger Entry Type","Sale","3 Posting Date",$I$4,"2 Item No.",$P30)</t>
  </si>
  <si>
    <t>=NL("Sum","5802 Value Entry","43 Cost Amount (Actual)","4 Item Ledger Entry Type","Sale","3 Posting Date",$I$4,"2 Item No.",$P30,"105 Entry Type","&lt;&gt;Revaluation")</t>
  </si>
  <si>
    <t>=T30+U30</t>
  </si>
  <si>
    <t>=IF(T30=0,"",V30/T30)</t>
  </si>
  <si>
    <t>=C30+1</t>
  </si>
  <si>
    <t>="@@"&amp;H31</t>
  </si>
  <si>
    <t>=-NL("Sum","5802 Value Entry","14 Invoiced Quantity","4 Item Ledger Entry Type","Sale","3 Posting Date",$I$4,"2 Item No.",$E31)</t>
  </si>
  <si>
    <t>=NL("Sum","5802 Value Entry","17 Sales Amount (Actual)","4 Item Ledger Entry Type","Sale","3 Posting Date",$I$4,"2 Item No.",$E31)</t>
  </si>
  <si>
    <t>=NL("Sum","5802 Value Entry","43 Cost Amount (Actual)","4 Item Ledger Entry Type","Sale","3 Posting Date",$I$4,"2 Item No.",$E31,"105 Entry Type","&lt;&gt;Revaluation")</t>
  </si>
  <si>
    <t>=K31+L31</t>
  </si>
  <si>
    <t>=IF(K31=0,"",M31/K31)</t>
  </si>
  <si>
    <t>="@@"&amp;$Q31</t>
  </si>
  <si>
    <t>=OFFSET($H$124,C31-1,0)</t>
  </si>
  <si>
    <t>=NL("First","27 Item","3 Description","1 No.",P31)</t>
  </si>
  <si>
    <t>=-NL("Sum","5802 Value Entry","14 Invoiced Quantity","4 Item Ledger Entry Type","Sale","3 Posting Date",$I$4,"2 Item No.",$P31)</t>
  </si>
  <si>
    <t>=NL("Sum","5802 Value Entry","17 Sales Amount (Actual)","4 Item Ledger Entry Type","Sale","3 Posting Date",$I$4,"2 Item No.",$P31)</t>
  </si>
  <si>
    <t>=NL("Sum","5802 Value Entry","43 Cost Amount (Actual)","4 Item Ledger Entry Type","Sale","3 Posting Date",$I$4,"2 Item No.",$P31,"105 Entry Type","&lt;&gt;Revaluation")</t>
  </si>
  <si>
    <t>=T31+U31</t>
  </si>
  <si>
    <t>=IF(T31=0,"",V31/T31)</t>
  </si>
  <si>
    <t>=C31+1</t>
  </si>
  <si>
    <t>="@@"&amp;H32</t>
  </si>
  <si>
    <t>=-NL("Sum","5802 Value Entry","14 Invoiced Quantity","4 Item Ledger Entry Type","Sale","3 Posting Date",$I$4,"2 Item No.",$E32)</t>
  </si>
  <si>
    <t>=NL("Sum","5802 Value Entry","17 Sales Amount (Actual)","4 Item Ledger Entry Type","Sale","3 Posting Date",$I$4,"2 Item No.",$E32)</t>
  </si>
  <si>
    <t>=NL("Sum","5802 Value Entry","43 Cost Amount (Actual)","4 Item Ledger Entry Type","Sale","3 Posting Date",$I$4,"2 Item No.",$E32,"105 Entry Type","&lt;&gt;Revaluation")</t>
  </si>
  <si>
    <t>=K32+L32</t>
  </si>
  <si>
    <t>=IF(K32=0,"",M32/K32)</t>
  </si>
  <si>
    <t>="@@"&amp;$Q32</t>
  </si>
  <si>
    <t>=OFFSET($H$124,C32-1,0)</t>
  </si>
  <si>
    <t>=NL("First","27 Item","3 Description","1 No.",P32)</t>
  </si>
  <si>
    <t>=-NL("Sum","5802 Value Entry","14 Invoiced Quantity","4 Item Ledger Entry Type","Sale","3 Posting Date",$I$4,"2 Item No.",$P32)</t>
  </si>
  <si>
    <t>=NL("Sum","5802 Value Entry","17 Sales Amount (Actual)","4 Item Ledger Entry Type","Sale","3 Posting Date",$I$4,"2 Item No.",$P32)</t>
  </si>
  <si>
    <t>=NL("Sum","5802 Value Entry","43 Cost Amount (Actual)","4 Item Ledger Entry Type","Sale","3 Posting Date",$I$4,"2 Item No.",$P32,"105 Entry Type","&lt;&gt;Revaluation")</t>
  </si>
  <si>
    <t>=T32+U32</t>
  </si>
  <si>
    <t>=IF(T32=0,"",V32/T32)</t>
  </si>
  <si>
    <t>=C32+1</t>
  </si>
  <si>
    <t>="@@"&amp;H33</t>
  </si>
  <si>
    <t>=-NL("Sum","5802 Value Entry","14 Invoiced Quantity","4 Item Ledger Entry Type","Sale","3 Posting Date",$I$4,"2 Item No.",$E33)</t>
  </si>
  <si>
    <t>=NL("Sum","5802 Value Entry","17 Sales Amount (Actual)","4 Item Ledger Entry Type","Sale","3 Posting Date",$I$4,"2 Item No.",$E33)</t>
  </si>
  <si>
    <t>=NL("Sum","5802 Value Entry","43 Cost Amount (Actual)","4 Item Ledger Entry Type","Sale","3 Posting Date",$I$4,"2 Item No.",$E33,"105 Entry Type","&lt;&gt;Revaluation")</t>
  </si>
  <si>
    <t>=K33+L33</t>
  </si>
  <si>
    <t>=IF(K33=0,"",M33/K33)</t>
  </si>
  <si>
    <t>="@@"&amp;$Q33</t>
  </si>
  <si>
    <t>=OFFSET($H$124,C33-1,0)</t>
  </si>
  <si>
    <t>=NL("First","27 Item","3 Description","1 No.",P33)</t>
  </si>
  <si>
    <t>=-NL("Sum","5802 Value Entry","14 Invoiced Quantity","4 Item Ledger Entry Type","Sale","3 Posting Date",$I$4,"2 Item No.",$P33)</t>
  </si>
  <si>
    <t>=NL("Sum","5802 Value Entry","17 Sales Amount (Actual)","4 Item Ledger Entry Type","Sale","3 Posting Date",$I$4,"2 Item No.",$P33)</t>
  </si>
  <si>
    <t>=NL("Sum","5802 Value Entry","43 Cost Amount (Actual)","4 Item Ledger Entry Type","Sale","3 Posting Date",$I$4,"2 Item No.",$P33,"105 Entry Type","&lt;&gt;Revaluation")</t>
  </si>
  <si>
    <t>=T33+U33</t>
  </si>
  <si>
    <t>=IF(T33=0,"",V33/T33)</t>
  </si>
  <si>
    <t>=C33+1</t>
  </si>
  <si>
    <t>="@@"&amp;H34</t>
  </si>
  <si>
    <t>=-NL("Sum","5802 Value Entry","14 Invoiced Quantity","4 Item Ledger Entry Type","Sale","3 Posting Date",$I$4,"2 Item No.",$E34)</t>
  </si>
  <si>
    <t>=NL("Sum","5802 Value Entry","17 Sales Amount (Actual)","4 Item Ledger Entry Type","Sale","3 Posting Date",$I$4,"2 Item No.",$E34)</t>
  </si>
  <si>
    <t>=NL("Sum","5802 Value Entry","43 Cost Amount (Actual)","4 Item Ledger Entry Type","Sale","3 Posting Date",$I$4,"2 Item No.",$E34,"105 Entry Type","&lt;&gt;Revaluation")</t>
  </si>
  <si>
    <t>=K34+L34</t>
  </si>
  <si>
    <t>=IF(K34=0,"",M34/K34)</t>
  </si>
  <si>
    <t>="@@"&amp;$Q34</t>
  </si>
  <si>
    <t>=OFFSET($H$124,C34-1,0)</t>
  </si>
  <si>
    <t>=NL("First","27 Item","3 Description","1 No.",P34)</t>
  </si>
  <si>
    <t>=-NL("Sum","5802 Value Entry","14 Invoiced Quantity","4 Item Ledger Entry Type","Sale","3 Posting Date",$I$4,"2 Item No.",$P34)</t>
  </si>
  <si>
    <t>=NL("Sum","5802 Value Entry","17 Sales Amount (Actual)","4 Item Ledger Entry Type","Sale","3 Posting Date",$I$4,"2 Item No.",$P34)</t>
  </si>
  <si>
    <t>=NL("Sum","5802 Value Entry","43 Cost Amount (Actual)","4 Item Ledger Entry Type","Sale","3 Posting Date",$I$4,"2 Item No.",$P34,"105 Entry Type","&lt;&gt;Revaluation")</t>
  </si>
  <si>
    <t>=T34+U34</t>
  </si>
  <si>
    <t>=IF(T34=0,"",V34/T34)</t>
  </si>
  <si>
    <t>=C34+1</t>
  </si>
  <si>
    <t>="@@"&amp;H35</t>
  </si>
  <si>
    <t>=-NL("Sum","5802 Value Entry","14 Invoiced Quantity","4 Item Ledger Entry Type","Sale","3 Posting Date",$I$4,"2 Item No.",$E35)</t>
  </si>
  <si>
    <t>=NL("Sum","5802 Value Entry","17 Sales Amount (Actual)","4 Item Ledger Entry Type","Sale","3 Posting Date",$I$4,"2 Item No.",$E35)</t>
  </si>
  <si>
    <t>=NL("Sum","5802 Value Entry","43 Cost Amount (Actual)","4 Item Ledger Entry Type","Sale","3 Posting Date",$I$4,"2 Item No.",$E35,"105 Entry Type","&lt;&gt;Revaluation")</t>
  </si>
  <si>
    <t>=K35+L35</t>
  </si>
  <si>
    <t>=IF(K35=0,"",M35/K35)</t>
  </si>
  <si>
    <t>="@@"&amp;$Q35</t>
  </si>
  <si>
    <t>=OFFSET($H$124,C35-1,0)</t>
  </si>
  <si>
    <t>=NL("First","27 Item","3 Description","1 No.",P35)</t>
  </si>
  <si>
    <t>=-NL("Sum","5802 Value Entry","14 Invoiced Quantity","4 Item Ledger Entry Type","Sale","3 Posting Date",$I$4,"2 Item No.",$P35)</t>
  </si>
  <si>
    <t>=NL("Sum","5802 Value Entry","17 Sales Amount (Actual)","4 Item Ledger Entry Type","Sale","3 Posting Date",$I$4,"2 Item No.",$P35)</t>
  </si>
  <si>
    <t>=NL("Sum","5802 Value Entry","43 Cost Amount (Actual)","4 Item Ledger Entry Type","Sale","3 Posting Date",$I$4,"2 Item No.",$P35,"105 Entry Type","&lt;&gt;Revaluation")</t>
  </si>
  <si>
    <t>=T35+U35</t>
  </si>
  <si>
    <t>=IF(T35=0,"",V35/T35)</t>
  </si>
  <si>
    <t>=C35+1</t>
  </si>
  <si>
    <t>="@@"&amp;H36</t>
  </si>
  <si>
    <t>=-NL("Sum","5802 Value Entry","14 Invoiced Quantity","4 Item Ledger Entry Type","Sale","3 Posting Date",$I$4,"2 Item No.",$E36)</t>
  </si>
  <si>
    <t>=NL("Sum","5802 Value Entry","17 Sales Amount (Actual)","4 Item Ledger Entry Type","Sale","3 Posting Date",$I$4,"2 Item No.",$E36)</t>
  </si>
  <si>
    <t>=NL("Sum","5802 Value Entry","43 Cost Amount (Actual)","4 Item Ledger Entry Type","Sale","3 Posting Date",$I$4,"2 Item No.",$E36,"105 Entry Type","&lt;&gt;Revaluation")</t>
  </si>
  <si>
    <t>=K36+L36</t>
  </si>
  <si>
    <t>=IF(K36=0,"",M36/K36)</t>
  </si>
  <si>
    <t>="@@"&amp;$Q36</t>
  </si>
  <si>
    <t>=OFFSET($H$124,C36-1,0)</t>
  </si>
  <si>
    <t>=NL("First","27 Item","3 Description","1 No.",P36)</t>
  </si>
  <si>
    <t>=-NL("Sum","5802 Value Entry","14 Invoiced Quantity","4 Item Ledger Entry Type","Sale","3 Posting Date",$I$4,"2 Item No.",$P36)</t>
  </si>
  <si>
    <t>=NL("Sum","5802 Value Entry","17 Sales Amount (Actual)","4 Item Ledger Entry Type","Sale","3 Posting Date",$I$4,"2 Item No.",$P36)</t>
  </si>
  <si>
    <t>=NL("Sum","5802 Value Entry","43 Cost Amount (Actual)","4 Item Ledger Entry Type","Sale","3 Posting Date",$I$4,"2 Item No.",$P36,"105 Entry Type","&lt;&gt;Revaluation")</t>
  </si>
  <si>
    <t>=T36+U36</t>
  </si>
  <si>
    <t>=IF(T36=0,"",V36/T36)</t>
  </si>
  <si>
    <t>=C36+1</t>
  </si>
  <si>
    <t>="@@"&amp;H37</t>
  </si>
  <si>
    <t>=-NL("Sum","5802 Value Entry","14 Invoiced Quantity","4 Item Ledger Entry Type","Sale","3 Posting Date",$I$4,"2 Item No.",$E37)</t>
  </si>
  <si>
    <t>=NL("Sum","5802 Value Entry","17 Sales Amount (Actual)","4 Item Ledger Entry Type","Sale","3 Posting Date",$I$4,"2 Item No.",$E37)</t>
  </si>
  <si>
    <t>=NL("Sum","5802 Value Entry","43 Cost Amount (Actual)","4 Item Ledger Entry Type","Sale","3 Posting Date",$I$4,"2 Item No.",$E37,"105 Entry Type","&lt;&gt;Revaluation")</t>
  </si>
  <si>
    <t>=K37+L37</t>
  </si>
  <si>
    <t>=IF(K37=0,"",M37/K37)</t>
  </si>
  <si>
    <t>="@@"&amp;$Q37</t>
  </si>
  <si>
    <t>=OFFSET($H$124,C37-1,0)</t>
  </si>
  <si>
    <t>=NL("First","27 Item","3 Description","1 No.",P37)</t>
  </si>
  <si>
    <t>=-NL("Sum","5802 Value Entry","14 Invoiced Quantity","4 Item Ledger Entry Type","Sale","3 Posting Date",$I$4,"2 Item No.",$P37)</t>
  </si>
  <si>
    <t>=NL("Sum","5802 Value Entry","17 Sales Amount (Actual)","4 Item Ledger Entry Type","Sale","3 Posting Date",$I$4,"2 Item No.",$P37)</t>
  </si>
  <si>
    <t>=NL("Sum","5802 Value Entry","43 Cost Amount (Actual)","4 Item Ledger Entry Type","Sale","3 Posting Date",$I$4,"2 Item No.",$P37,"105 Entry Type","&lt;&gt;Revaluation")</t>
  </si>
  <si>
    <t>=T37+U37</t>
  </si>
  <si>
    <t>=IF(T37=0,"",V37/T37)</t>
  </si>
  <si>
    <t>=C37+1</t>
  </si>
  <si>
    <t>="@@"&amp;H38</t>
  </si>
  <si>
    <t>=-NL("Sum","5802 Value Entry","14 Invoiced Quantity","4 Item Ledger Entry Type","Sale","3 Posting Date",$I$4,"2 Item No.",$E38)</t>
  </si>
  <si>
    <t>=NL("Sum","5802 Value Entry","17 Sales Amount (Actual)","4 Item Ledger Entry Type","Sale","3 Posting Date",$I$4,"2 Item No.",$E38)</t>
  </si>
  <si>
    <t>=NL("Sum","5802 Value Entry","43 Cost Amount (Actual)","4 Item Ledger Entry Type","Sale","3 Posting Date",$I$4,"2 Item No.",$E38,"105 Entry Type","&lt;&gt;Revaluation")</t>
  </si>
  <si>
    <t>=K38+L38</t>
  </si>
  <si>
    <t>=IF(K38=0,"",M38/K38)</t>
  </si>
  <si>
    <t>="@@"&amp;$Q38</t>
  </si>
  <si>
    <t>=OFFSET($H$124,C38-1,0)</t>
  </si>
  <si>
    <t>=NL("First","27 Item","3 Description","1 No.",P38)</t>
  </si>
  <si>
    <t>=-NL("Sum","5802 Value Entry","14 Invoiced Quantity","4 Item Ledger Entry Type","Sale","3 Posting Date",$I$4,"2 Item No.",$P38)</t>
  </si>
  <si>
    <t>=NL("Sum","5802 Value Entry","17 Sales Amount (Actual)","4 Item Ledger Entry Type","Sale","3 Posting Date",$I$4,"2 Item No.",$P38)</t>
  </si>
  <si>
    <t>=NL("Sum","5802 Value Entry","43 Cost Amount (Actual)","4 Item Ledger Entry Type","Sale","3 Posting Date",$I$4,"2 Item No.",$P38,"105 Entry Type","&lt;&gt;Revaluation")</t>
  </si>
  <si>
    <t>=T38+U38</t>
  </si>
  <si>
    <t>=IF(T38=0,"",V38/T38)</t>
  </si>
  <si>
    <t>=C38+1</t>
  </si>
  <si>
    <t>="@@"&amp;H39</t>
  </si>
  <si>
    <t>=-NL("Sum","5802 Value Entry","14 Invoiced Quantity","4 Item Ledger Entry Type","Sale","3 Posting Date",$I$4,"2 Item No.",$E39)</t>
  </si>
  <si>
    <t>=NL("Sum","5802 Value Entry","17 Sales Amount (Actual)","4 Item Ledger Entry Type","Sale","3 Posting Date",$I$4,"2 Item No.",$E39)</t>
  </si>
  <si>
    <t>=NL("Sum","5802 Value Entry","43 Cost Amount (Actual)","4 Item Ledger Entry Type","Sale","3 Posting Date",$I$4,"2 Item No.",$E39,"105 Entry Type","&lt;&gt;Revaluation")</t>
  </si>
  <si>
    <t>=K39+L39</t>
  </si>
  <si>
    <t>=IF(K39=0,"",M39/K39)</t>
  </si>
  <si>
    <t>="@@"&amp;$Q39</t>
  </si>
  <si>
    <t>=OFFSET($H$124,C39-1,0)</t>
  </si>
  <si>
    <t>=NL("First","27 Item","3 Description","1 No.",P39)</t>
  </si>
  <si>
    <t>=-NL("Sum","5802 Value Entry","14 Invoiced Quantity","4 Item Ledger Entry Type","Sale","3 Posting Date",$I$4,"2 Item No.",$P39)</t>
  </si>
  <si>
    <t>=NL("Sum","5802 Value Entry","17 Sales Amount (Actual)","4 Item Ledger Entry Type","Sale","3 Posting Date",$I$4,"2 Item No.",$P39)</t>
  </si>
  <si>
    <t>=NL("Sum","5802 Value Entry","43 Cost Amount (Actual)","4 Item Ledger Entry Type","Sale","3 Posting Date",$I$4,"2 Item No.",$P39,"105 Entry Type","&lt;&gt;Revaluation")</t>
  </si>
  <si>
    <t>=T39+U39</t>
  </si>
  <si>
    <t>=IF(T39=0,"",V39/T39)</t>
  </si>
  <si>
    <t>=C39+1</t>
  </si>
  <si>
    <t>="@@"&amp;H40</t>
  </si>
  <si>
    <t>=-NL("Sum","5802 Value Entry","14 Invoiced Quantity","4 Item Ledger Entry Type","Sale","3 Posting Date",$I$4,"2 Item No.",$E40)</t>
  </si>
  <si>
    <t>=NL("Sum","5802 Value Entry","17 Sales Amount (Actual)","4 Item Ledger Entry Type","Sale","3 Posting Date",$I$4,"2 Item No.",$E40)</t>
  </si>
  <si>
    <t>=NL("Sum","5802 Value Entry","43 Cost Amount (Actual)","4 Item Ledger Entry Type","Sale","3 Posting Date",$I$4,"2 Item No.",$E40,"105 Entry Type","&lt;&gt;Revaluation")</t>
  </si>
  <si>
    <t>=K40+L40</t>
  </si>
  <si>
    <t>=IF(K40=0,"",M40/K40)</t>
  </si>
  <si>
    <t>="@@"&amp;$Q40</t>
  </si>
  <si>
    <t>=OFFSET($H$124,C40-1,0)</t>
  </si>
  <si>
    <t>=NL("First","27 Item","3 Description","1 No.",P40)</t>
  </si>
  <si>
    <t>=-NL("Sum","5802 Value Entry","14 Invoiced Quantity","4 Item Ledger Entry Type","Sale","3 Posting Date",$I$4,"2 Item No.",$P40)</t>
  </si>
  <si>
    <t>=NL("Sum","5802 Value Entry","17 Sales Amount (Actual)","4 Item Ledger Entry Type","Sale","3 Posting Date",$I$4,"2 Item No.",$P40)</t>
  </si>
  <si>
    <t>=NL("Sum","5802 Value Entry","43 Cost Amount (Actual)","4 Item Ledger Entry Type","Sale","3 Posting Date",$I$4,"2 Item No.",$P40,"105 Entry Type","&lt;&gt;Revaluation")</t>
  </si>
  <si>
    <t>=T40+U40</t>
  </si>
  <si>
    <t>=IF(T40=0,"",V40/T40)</t>
  </si>
  <si>
    <t>=C40+1</t>
  </si>
  <si>
    <t>="@@"&amp;H41</t>
  </si>
  <si>
    <t>=-NL("Sum","5802 Value Entry","14 Invoiced Quantity","4 Item Ledger Entry Type","Sale","3 Posting Date",$I$4,"2 Item No.",$E41)</t>
  </si>
  <si>
    <t>=NL("Sum","5802 Value Entry","17 Sales Amount (Actual)","4 Item Ledger Entry Type","Sale","3 Posting Date",$I$4,"2 Item No.",$E41)</t>
  </si>
  <si>
    <t>=NL("Sum","5802 Value Entry","43 Cost Amount (Actual)","4 Item Ledger Entry Type","Sale","3 Posting Date",$I$4,"2 Item No.",$E41,"105 Entry Type","&lt;&gt;Revaluation")</t>
  </si>
  <si>
    <t>=K41+L41</t>
  </si>
  <si>
    <t>=IF(K41=0,"",M41/K41)</t>
  </si>
  <si>
    <t>="@@"&amp;$Q41</t>
  </si>
  <si>
    <t>=OFFSET($H$124,C41-1,0)</t>
  </si>
  <si>
    <t>=NL("First","27 Item","3 Description","1 No.",P41)</t>
  </si>
  <si>
    <t>=-NL("Sum","5802 Value Entry","14 Invoiced Quantity","4 Item Ledger Entry Type","Sale","3 Posting Date",$I$4,"2 Item No.",$P41)</t>
  </si>
  <si>
    <t>=NL("Sum","5802 Value Entry","17 Sales Amount (Actual)","4 Item Ledger Entry Type","Sale","3 Posting Date",$I$4,"2 Item No.",$P41)</t>
  </si>
  <si>
    <t>=NL("Sum","5802 Value Entry","43 Cost Amount (Actual)","4 Item Ledger Entry Type","Sale","3 Posting Date",$I$4,"2 Item No.",$P41,"105 Entry Type","&lt;&gt;Revaluation")</t>
  </si>
  <si>
    <t>=T41+U41</t>
  </si>
  <si>
    <t>=IF(T41=0,"",V41/T41)</t>
  </si>
  <si>
    <t>=C41+1</t>
  </si>
  <si>
    <t>="@@"&amp;H42</t>
  </si>
  <si>
    <t>=-NL("Sum","5802 Value Entry","14 Invoiced Quantity","4 Item Ledger Entry Type","Sale","3 Posting Date",$I$4,"2 Item No.",$E42)</t>
  </si>
  <si>
    <t>=NL("Sum","5802 Value Entry","17 Sales Amount (Actual)","4 Item Ledger Entry Type","Sale","3 Posting Date",$I$4,"2 Item No.",$E42)</t>
  </si>
  <si>
    <t>=NL("Sum","5802 Value Entry","43 Cost Amount (Actual)","4 Item Ledger Entry Type","Sale","3 Posting Date",$I$4,"2 Item No.",$E42,"105 Entry Type","&lt;&gt;Revaluation")</t>
  </si>
  <si>
    <t>=K42+L42</t>
  </si>
  <si>
    <t>=IF(K42=0,"",M42/K42)</t>
  </si>
  <si>
    <t>="@@"&amp;$Q42</t>
  </si>
  <si>
    <t>=OFFSET($H$124,C42-1,0)</t>
  </si>
  <si>
    <t>=NL("First","27 Item","3 Description","1 No.",P42)</t>
  </si>
  <si>
    <t>=-NL("Sum","5802 Value Entry","14 Invoiced Quantity","4 Item Ledger Entry Type","Sale","3 Posting Date",$I$4,"2 Item No.",$P42)</t>
  </si>
  <si>
    <t>=NL("Sum","5802 Value Entry","17 Sales Amount (Actual)","4 Item Ledger Entry Type","Sale","3 Posting Date",$I$4,"2 Item No.",$P42)</t>
  </si>
  <si>
    <t>=NL("Sum","5802 Value Entry","43 Cost Amount (Actual)","4 Item Ledger Entry Type","Sale","3 Posting Date",$I$4,"2 Item No.",$P42,"105 Entry Type","&lt;&gt;Revaluation")</t>
  </si>
  <si>
    <t>=T42+U42</t>
  </si>
  <si>
    <t>=IF(T42=0,"",V42/T42)</t>
  </si>
  <si>
    <t>=C42+1</t>
  </si>
  <si>
    <t>="@@"&amp;H43</t>
  </si>
  <si>
    <t>=-NL("Sum","5802 Value Entry","14 Invoiced Quantity","4 Item Ledger Entry Type","Sale","3 Posting Date",$I$4,"2 Item No.",$E43)</t>
  </si>
  <si>
    <t>=NL("Sum","5802 Value Entry","17 Sales Amount (Actual)","4 Item Ledger Entry Type","Sale","3 Posting Date",$I$4,"2 Item No.",$E43)</t>
  </si>
  <si>
    <t>=NL("Sum","5802 Value Entry","43 Cost Amount (Actual)","4 Item Ledger Entry Type","Sale","3 Posting Date",$I$4,"2 Item No.",$E43,"105 Entry Type","&lt;&gt;Revaluation")</t>
  </si>
  <si>
    <t>=K43+L43</t>
  </si>
  <si>
    <t>=IF(K43=0,"",M43/K43)</t>
  </si>
  <si>
    <t>="@@"&amp;$Q43</t>
  </si>
  <si>
    <t>=OFFSET($H$124,C43-1,0)</t>
  </si>
  <si>
    <t>=NL("First","27 Item","3 Description","1 No.",P43)</t>
  </si>
  <si>
    <t>=-NL("Sum","5802 Value Entry","14 Invoiced Quantity","4 Item Ledger Entry Type","Sale","3 Posting Date",$I$4,"2 Item No.",$P43)</t>
  </si>
  <si>
    <t>=NL("Sum","5802 Value Entry","17 Sales Amount (Actual)","4 Item Ledger Entry Type","Sale","3 Posting Date",$I$4,"2 Item No.",$P43)</t>
  </si>
  <si>
    <t>=NL("Sum","5802 Value Entry","43 Cost Amount (Actual)","4 Item Ledger Entry Type","Sale","3 Posting Date",$I$4,"2 Item No.",$P43,"105 Entry Type","&lt;&gt;Revaluation")</t>
  </si>
  <si>
    <t>=T43+U43</t>
  </si>
  <si>
    <t>=IF(T43=0,"",V43/T43)</t>
  </si>
  <si>
    <t>=C43+1</t>
  </si>
  <si>
    <t>="@@"&amp;H44</t>
  </si>
  <si>
    <t>=-NL("Sum","5802 Value Entry","14 Invoiced Quantity","4 Item Ledger Entry Type","Sale","3 Posting Date",$I$4,"2 Item No.",$E44)</t>
  </si>
  <si>
    <t>=NL("Sum","5802 Value Entry","17 Sales Amount (Actual)","4 Item Ledger Entry Type","Sale","3 Posting Date",$I$4,"2 Item No.",$E44)</t>
  </si>
  <si>
    <t>=NL("Sum","5802 Value Entry","43 Cost Amount (Actual)","4 Item Ledger Entry Type","Sale","3 Posting Date",$I$4,"2 Item No.",$E44,"105 Entry Type","&lt;&gt;Revaluation")</t>
  </si>
  <si>
    <t>=K44+L44</t>
  </si>
  <si>
    <t>=IF(K44=0,"",M44/K44)</t>
  </si>
  <si>
    <t>="@@"&amp;$Q44</t>
  </si>
  <si>
    <t>=OFFSET($H$124,C44-1,0)</t>
  </si>
  <si>
    <t>=NL("First","27 Item","3 Description","1 No.",P44)</t>
  </si>
  <si>
    <t>=-NL("Sum","5802 Value Entry","14 Invoiced Quantity","4 Item Ledger Entry Type","Sale","3 Posting Date",$I$4,"2 Item No.",$P44)</t>
  </si>
  <si>
    <t>=NL("Sum","5802 Value Entry","17 Sales Amount (Actual)","4 Item Ledger Entry Type","Sale","3 Posting Date",$I$4,"2 Item No.",$P44)</t>
  </si>
  <si>
    <t>=NL("Sum","5802 Value Entry","43 Cost Amount (Actual)","4 Item Ledger Entry Type","Sale","3 Posting Date",$I$4,"2 Item No.",$P44,"105 Entry Type","&lt;&gt;Revaluation")</t>
  </si>
  <si>
    <t>=T44+U44</t>
  </si>
  <si>
    <t>=IF(T44=0,"",V44/T44)</t>
  </si>
  <si>
    <t>=C44+1</t>
  </si>
  <si>
    <t>="@@"&amp;H45</t>
  </si>
  <si>
    <t>=-NL("Sum","5802 Value Entry","14 Invoiced Quantity","4 Item Ledger Entry Type","Sale","3 Posting Date",$I$4,"2 Item No.",$E45)</t>
  </si>
  <si>
    <t>=NL("Sum","5802 Value Entry","17 Sales Amount (Actual)","4 Item Ledger Entry Type","Sale","3 Posting Date",$I$4,"2 Item No.",$E45)</t>
  </si>
  <si>
    <t>=NL("Sum","5802 Value Entry","43 Cost Amount (Actual)","4 Item Ledger Entry Type","Sale","3 Posting Date",$I$4,"2 Item No.",$E45,"105 Entry Type","&lt;&gt;Revaluation")</t>
  </si>
  <si>
    <t>=K45+L45</t>
  </si>
  <si>
    <t>=IF(K45=0,"",M45/K45)</t>
  </si>
  <si>
    <t>="@@"&amp;$Q45</t>
  </si>
  <si>
    <t>=OFFSET($H$124,C45-1,0)</t>
  </si>
  <si>
    <t>=NL("First","27 Item","3 Description","1 No.",P45)</t>
  </si>
  <si>
    <t>=-NL("Sum","5802 Value Entry","14 Invoiced Quantity","4 Item Ledger Entry Type","Sale","3 Posting Date",$I$4,"2 Item No.",$P45)</t>
  </si>
  <si>
    <t>=NL("Sum","5802 Value Entry","17 Sales Amount (Actual)","4 Item Ledger Entry Type","Sale","3 Posting Date",$I$4,"2 Item No.",$P45)</t>
  </si>
  <si>
    <t>=NL("Sum","5802 Value Entry","43 Cost Amount (Actual)","4 Item Ledger Entry Type","Sale","3 Posting Date",$I$4,"2 Item No.",$P45,"105 Entry Type","&lt;&gt;Revaluation")</t>
  </si>
  <si>
    <t>=T45+U45</t>
  </si>
  <si>
    <t>=IF(T45=0,"",V45/T45)</t>
  </si>
  <si>
    <t>=C45+1</t>
  </si>
  <si>
    <t>="@@"&amp;H46</t>
  </si>
  <si>
    <t>=-NL("Sum","5802 Value Entry","14 Invoiced Quantity","4 Item Ledger Entry Type","Sale","3 Posting Date",$I$4,"2 Item No.",$E46)</t>
  </si>
  <si>
    <t>=NL("Sum","5802 Value Entry","17 Sales Amount (Actual)","4 Item Ledger Entry Type","Sale","3 Posting Date",$I$4,"2 Item No.",$E46)</t>
  </si>
  <si>
    <t>=NL("Sum","5802 Value Entry","43 Cost Amount (Actual)","4 Item Ledger Entry Type","Sale","3 Posting Date",$I$4,"2 Item No.",$E46,"105 Entry Type","&lt;&gt;Revaluation")</t>
  </si>
  <si>
    <t>=K46+L46</t>
  </si>
  <si>
    <t>=IF(K46=0,"",M46/K46)</t>
  </si>
  <si>
    <t>="@@"&amp;$Q46</t>
  </si>
  <si>
    <t>=OFFSET($H$124,C46-1,0)</t>
  </si>
  <si>
    <t>=NL("First","27 Item","3 Description","1 No.",P46)</t>
  </si>
  <si>
    <t>=-NL("Sum","5802 Value Entry","14 Invoiced Quantity","4 Item Ledger Entry Type","Sale","3 Posting Date",$I$4,"2 Item No.",$P46)</t>
  </si>
  <si>
    <t>=NL("Sum","5802 Value Entry","17 Sales Amount (Actual)","4 Item Ledger Entry Type","Sale","3 Posting Date",$I$4,"2 Item No.",$P46)</t>
  </si>
  <si>
    <t>=NL("Sum","5802 Value Entry","43 Cost Amount (Actual)","4 Item Ledger Entry Type","Sale","3 Posting Date",$I$4,"2 Item No.",$P46,"105 Entry Type","&lt;&gt;Revaluation")</t>
  </si>
  <si>
    <t>=T46+U46</t>
  </si>
  <si>
    <t>=IF(T46=0,"",V46/T46)</t>
  </si>
  <si>
    <t>=C46+1</t>
  </si>
  <si>
    <t>="@@"&amp;H47</t>
  </si>
  <si>
    <t>=-NL("Sum","5802 Value Entry","14 Invoiced Quantity","4 Item Ledger Entry Type","Sale","3 Posting Date",$I$4,"2 Item No.",$E47)</t>
  </si>
  <si>
    <t>=NL("Sum","5802 Value Entry","17 Sales Amount (Actual)","4 Item Ledger Entry Type","Sale","3 Posting Date",$I$4,"2 Item No.",$E47)</t>
  </si>
  <si>
    <t>=NL("Sum","5802 Value Entry","43 Cost Amount (Actual)","4 Item Ledger Entry Type","Sale","3 Posting Date",$I$4,"2 Item No.",$E47,"105 Entry Type","&lt;&gt;Revaluation")</t>
  </si>
  <si>
    <t>=K47+L47</t>
  </si>
  <si>
    <t>=IF(K47=0,"",M47/K47)</t>
  </si>
  <si>
    <t>="@@"&amp;$Q47</t>
  </si>
  <si>
    <t>=OFFSET($H$124,C47-1,0)</t>
  </si>
  <si>
    <t>=NL("First","27 Item","3 Description","1 No.",P47)</t>
  </si>
  <si>
    <t>=-NL("Sum","5802 Value Entry","14 Invoiced Quantity","4 Item Ledger Entry Type","Sale","3 Posting Date",$I$4,"2 Item No.",$P47)</t>
  </si>
  <si>
    <t>=NL("Sum","5802 Value Entry","17 Sales Amount (Actual)","4 Item Ledger Entry Type","Sale","3 Posting Date",$I$4,"2 Item No.",$P47)</t>
  </si>
  <si>
    <t>=NL("Sum","5802 Value Entry","43 Cost Amount (Actual)","4 Item Ledger Entry Type","Sale","3 Posting Date",$I$4,"2 Item No.",$P47,"105 Entry Type","&lt;&gt;Revaluation")</t>
  </si>
  <si>
    <t>=T47+U47</t>
  </si>
  <si>
    <t>=IF(T47=0,"",V47/T47)</t>
  </si>
  <si>
    <t>=C47+1</t>
  </si>
  <si>
    <t>="@@"&amp;H48</t>
  </si>
  <si>
    <t>=-NL("Sum","5802 Value Entry","14 Invoiced Quantity","4 Item Ledger Entry Type","Sale","3 Posting Date",$I$4,"2 Item No.",$E48)</t>
  </si>
  <si>
    <t>=NL("Sum","5802 Value Entry","17 Sales Amount (Actual)","4 Item Ledger Entry Type","Sale","3 Posting Date",$I$4,"2 Item No.",$E48)</t>
  </si>
  <si>
    <t>=NL("Sum","5802 Value Entry","43 Cost Amount (Actual)","4 Item Ledger Entry Type","Sale","3 Posting Date",$I$4,"2 Item No.",$E48,"105 Entry Type","&lt;&gt;Revaluation")</t>
  </si>
  <si>
    <t>=K48+L48</t>
  </si>
  <si>
    <t>=IF(K48=0,"",M48/K48)</t>
  </si>
  <si>
    <t>="@@"&amp;$Q48</t>
  </si>
  <si>
    <t>=OFFSET($H$124,C48-1,0)</t>
  </si>
  <si>
    <t>=NL("First","27 Item","3 Description","1 No.",P48)</t>
  </si>
  <si>
    <t>=-NL("Sum","5802 Value Entry","14 Invoiced Quantity","4 Item Ledger Entry Type","Sale","3 Posting Date",$I$4,"2 Item No.",$P48)</t>
  </si>
  <si>
    <t>=NL("Sum","5802 Value Entry","17 Sales Amount (Actual)","4 Item Ledger Entry Type","Sale","3 Posting Date",$I$4,"2 Item No.",$P48)</t>
  </si>
  <si>
    <t>=NL("Sum","5802 Value Entry","43 Cost Amount (Actual)","4 Item Ledger Entry Type","Sale","3 Posting Date",$I$4,"2 Item No.",$P48,"105 Entry Type","&lt;&gt;Revaluation")</t>
  </si>
  <si>
    <t>=T48+U48</t>
  </si>
  <si>
    <t>=IF(T48=0,"",V48/T48)</t>
  </si>
  <si>
    <t>=C48+1</t>
  </si>
  <si>
    <t>="@@"&amp;H49</t>
  </si>
  <si>
    <t>=-NL("Sum","5802 Value Entry","14 Invoiced Quantity","4 Item Ledger Entry Type","Sale","3 Posting Date",$I$4,"2 Item No.",$E49)</t>
  </si>
  <si>
    <t>=NL("Sum","5802 Value Entry","17 Sales Amount (Actual)","4 Item Ledger Entry Type","Sale","3 Posting Date",$I$4,"2 Item No.",$E49)</t>
  </si>
  <si>
    <t>=NL("Sum","5802 Value Entry","43 Cost Amount (Actual)","4 Item Ledger Entry Type","Sale","3 Posting Date",$I$4,"2 Item No.",$E49,"105 Entry Type","&lt;&gt;Revaluation")</t>
  </si>
  <si>
    <t>=K49+L49</t>
  </si>
  <si>
    <t>=IF(K49=0,"",M49/K49)</t>
  </si>
  <si>
    <t>="@@"&amp;$Q49</t>
  </si>
  <si>
    <t>=OFFSET($H$124,C49-1,0)</t>
  </si>
  <si>
    <t>=NL("First","27 Item","3 Description","1 No.",P49)</t>
  </si>
  <si>
    <t>=-NL("Sum","5802 Value Entry","14 Invoiced Quantity","4 Item Ledger Entry Type","Sale","3 Posting Date",$I$4,"2 Item No.",$P49)</t>
  </si>
  <si>
    <t>=NL("Sum","5802 Value Entry","17 Sales Amount (Actual)","4 Item Ledger Entry Type","Sale","3 Posting Date",$I$4,"2 Item No.",$P49)</t>
  </si>
  <si>
    <t>=NL("Sum","5802 Value Entry","43 Cost Amount (Actual)","4 Item Ledger Entry Type","Sale","3 Posting Date",$I$4,"2 Item No.",$P49,"105 Entry Type","&lt;&gt;Revaluation")</t>
  </si>
  <si>
    <t>=T49+U49</t>
  </si>
  <si>
    <t>=IF(T49=0,"",V49/T49)</t>
  </si>
  <si>
    <t>=C49+1</t>
  </si>
  <si>
    <t>="@@"&amp;H50</t>
  </si>
  <si>
    <t>=-NL("Sum","5802 Value Entry","14 Invoiced Quantity","4 Item Ledger Entry Type","Sale","3 Posting Date",$I$4,"2 Item No.",$E50)</t>
  </si>
  <si>
    <t>=NL("Sum","5802 Value Entry","17 Sales Amount (Actual)","4 Item Ledger Entry Type","Sale","3 Posting Date",$I$4,"2 Item No.",$E50)</t>
  </si>
  <si>
    <t>=NL("Sum","5802 Value Entry","43 Cost Amount (Actual)","4 Item Ledger Entry Type","Sale","3 Posting Date",$I$4,"2 Item No.",$E50,"105 Entry Type","&lt;&gt;Revaluation")</t>
  </si>
  <si>
    <t>=K50+L50</t>
  </si>
  <si>
    <t>=IF(K50=0,"",M50/K50)</t>
  </si>
  <si>
    <t>="@@"&amp;$Q50</t>
  </si>
  <si>
    <t>=OFFSET($H$124,C50-1,0)</t>
  </si>
  <si>
    <t>=NL("First","27 Item","3 Description","1 No.",P50)</t>
  </si>
  <si>
    <t>=-NL("Sum","5802 Value Entry","14 Invoiced Quantity","4 Item Ledger Entry Type","Sale","3 Posting Date",$I$4,"2 Item No.",$P50)</t>
  </si>
  <si>
    <t>=NL("Sum","5802 Value Entry","17 Sales Amount (Actual)","4 Item Ledger Entry Type","Sale","3 Posting Date",$I$4,"2 Item No.",$P50)</t>
  </si>
  <si>
    <t>=NL("Sum","5802 Value Entry","43 Cost Amount (Actual)","4 Item Ledger Entry Type","Sale","3 Posting Date",$I$4,"2 Item No.",$P50,"105 Entry Type","&lt;&gt;Revaluation")</t>
  </si>
  <si>
    <t>=T50+U50</t>
  </si>
  <si>
    <t>=IF(T50=0,"",V50/T50)</t>
  </si>
  <si>
    <t>=C50+1</t>
  </si>
  <si>
    <t>="@@"&amp;H51</t>
  </si>
  <si>
    <t>=-NL("Sum","5802 Value Entry","14 Invoiced Quantity","4 Item Ledger Entry Type","Sale","3 Posting Date",$I$4,"2 Item No.",$E51)</t>
  </si>
  <si>
    <t>=NL("Sum","5802 Value Entry","17 Sales Amount (Actual)","4 Item Ledger Entry Type","Sale","3 Posting Date",$I$4,"2 Item No.",$E51)</t>
  </si>
  <si>
    <t>=NL("Sum","5802 Value Entry","43 Cost Amount (Actual)","4 Item Ledger Entry Type","Sale","3 Posting Date",$I$4,"2 Item No.",$E51,"105 Entry Type","&lt;&gt;Revaluation")</t>
  </si>
  <si>
    <t>=K51+L51</t>
  </si>
  <si>
    <t>=IF(K51=0,"",M51/K51)</t>
  </si>
  <si>
    <t>="@@"&amp;$Q51</t>
  </si>
  <si>
    <t>=OFFSET($H$124,C51-1,0)</t>
  </si>
  <si>
    <t>=NL("First","27 Item","3 Description","1 No.",P51)</t>
  </si>
  <si>
    <t>=-NL("Sum","5802 Value Entry","14 Invoiced Quantity","4 Item Ledger Entry Type","Sale","3 Posting Date",$I$4,"2 Item No.",$P51)</t>
  </si>
  <si>
    <t>=NL("Sum","5802 Value Entry","17 Sales Amount (Actual)","4 Item Ledger Entry Type","Sale","3 Posting Date",$I$4,"2 Item No.",$P51)</t>
  </si>
  <si>
    <t>=NL("Sum","5802 Value Entry","43 Cost Amount (Actual)","4 Item Ledger Entry Type","Sale","3 Posting Date",$I$4,"2 Item No.",$P51,"105 Entry Type","&lt;&gt;Revaluation")</t>
  </si>
  <si>
    <t>=T51+U51</t>
  </si>
  <si>
    <t>=IF(T51=0,"",V51/T51)</t>
  </si>
  <si>
    <t>=C51+1</t>
  </si>
  <si>
    <t>="@@"&amp;H52</t>
  </si>
  <si>
    <t>=-NL("Sum","5802 Value Entry","14 Invoiced Quantity","4 Item Ledger Entry Type","Sale","3 Posting Date",$I$4,"2 Item No.",$E52)</t>
  </si>
  <si>
    <t>=NL("Sum","5802 Value Entry","17 Sales Amount (Actual)","4 Item Ledger Entry Type","Sale","3 Posting Date",$I$4,"2 Item No.",$E52)</t>
  </si>
  <si>
    <t>=NL("Sum","5802 Value Entry","43 Cost Amount (Actual)","4 Item Ledger Entry Type","Sale","3 Posting Date",$I$4,"2 Item No.",$E52,"105 Entry Type","&lt;&gt;Revaluation")</t>
  </si>
  <si>
    <t>=K52+L52</t>
  </si>
  <si>
    <t>=IF(K52=0,"",M52/K52)</t>
  </si>
  <si>
    <t>="@@"&amp;$Q52</t>
  </si>
  <si>
    <t>=OFFSET($H$124,C52-1,0)</t>
  </si>
  <si>
    <t>=NL("First","27 Item","3 Description","1 No.",P52)</t>
  </si>
  <si>
    <t>=-NL("Sum","5802 Value Entry","14 Invoiced Quantity","4 Item Ledger Entry Type","Sale","3 Posting Date",$I$4,"2 Item No.",$P52)</t>
  </si>
  <si>
    <t>=NL("Sum","5802 Value Entry","17 Sales Amount (Actual)","4 Item Ledger Entry Type","Sale","3 Posting Date",$I$4,"2 Item No.",$P52)</t>
  </si>
  <si>
    <t>=NL("Sum","5802 Value Entry","43 Cost Amount (Actual)","4 Item Ledger Entry Type","Sale","3 Posting Date",$I$4,"2 Item No.",$P52,"105 Entry Type","&lt;&gt;Revaluation")</t>
  </si>
  <si>
    <t>=T52+U52</t>
  </si>
  <si>
    <t>=IF(T52=0,"",V52/T52)</t>
  </si>
  <si>
    <t>=C52+1</t>
  </si>
  <si>
    <t>="@@"&amp;H53</t>
  </si>
  <si>
    <t>=-NL("Sum","5802 Value Entry","14 Invoiced Quantity","4 Item Ledger Entry Type","Sale","3 Posting Date",$I$4,"2 Item No.",$E53)</t>
  </si>
  <si>
    <t>=NL("Sum","5802 Value Entry","17 Sales Amount (Actual)","4 Item Ledger Entry Type","Sale","3 Posting Date",$I$4,"2 Item No.",$E53)</t>
  </si>
  <si>
    <t>=NL("Sum","5802 Value Entry","43 Cost Amount (Actual)","4 Item Ledger Entry Type","Sale","3 Posting Date",$I$4,"2 Item No.",$E53,"105 Entry Type","&lt;&gt;Revaluation")</t>
  </si>
  <si>
    <t>=K53+L53</t>
  </si>
  <si>
    <t>=IF(K53=0,"",M53/K53)</t>
  </si>
  <si>
    <t>="@@"&amp;$Q53</t>
  </si>
  <si>
    <t>=OFFSET($H$124,C53-1,0)</t>
  </si>
  <si>
    <t>=NL("First","27 Item","3 Description","1 No.",P53)</t>
  </si>
  <si>
    <t>=-NL("Sum","5802 Value Entry","14 Invoiced Quantity","4 Item Ledger Entry Type","Sale","3 Posting Date",$I$4,"2 Item No.",$P53)</t>
  </si>
  <si>
    <t>=NL("Sum","5802 Value Entry","17 Sales Amount (Actual)","4 Item Ledger Entry Type","Sale","3 Posting Date",$I$4,"2 Item No.",$P53)</t>
  </si>
  <si>
    <t>=NL("Sum","5802 Value Entry","43 Cost Amount (Actual)","4 Item Ledger Entry Type","Sale","3 Posting Date",$I$4,"2 Item No.",$P53,"105 Entry Type","&lt;&gt;Revaluation")</t>
  </si>
  <si>
    <t>=T53+U53</t>
  </si>
  <si>
    <t>=IF(T53=0,"",V53/T53)</t>
  </si>
  <si>
    <t>=C53+1</t>
  </si>
  <si>
    <t>="@@"&amp;H54</t>
  </si>
  <si>
    <t>=-NL("Sum","5802 Value Entry","14 Invoiced Quantity","4 Item Ledger Entry Type","Sale","3 Posting Date",$I$4,"2 Item No.",$E54)</t>
  </si>
  <si>
    <t>=NL("Sum","5802 Value Entry","17 Sales Amount (Actual)","4 Item Ledger Entry Type","Sale","3 Posting Date",$I$4,"2 Item No.",$E54)</t>
  </si>
  <si>
    <t>=NL("Sum","5802 Value Entry","43 Cost Amount (Actual)","4 Item Ledger Entry Type","Sale","3 Posting Date",$I$4,"2 Item No.",$E54,"105 Entry Type","&lt;&gt;Revaluation")</t>
  </si>
  <si>
    <t>=K54+L54</t>
  </si>
  <si>
    <t>=IF(K54=0,"",M54/K54)</t>
  </si>
  <si>
    <t>="@@"&amp;$Q54</t>
  </si>
  <si>
    <t>=OFFSET($H$124,C54-1,0)</t>
  </si>
  <si>
    <t>=NL("First","27 Item","3 Description","1 No.",P54)</t>
  </si>
  <si>
    <t>=-NL("Sum","5802 Value Entry","14 Invoiced Quantity","4 Item Ledger Entry Type","Sale","3 Posting Date",$I$4,"2 Item No.",$P54)</t>
  </si>
  <si>
    <t>=NL("Sum","5802 Value Entry","17 Sales Amount (Actual)","4 Item Ledger Entry Type","Sale","3 Posting Date",$I$4,"2 Item No.",$P54)</t>
  </si>
  <si>
    <t>=NL("Sum","5802 Value Entry","43 Cost Amount (Actual)","4 Item Ledger Entry Type","Sale","3 Posting Date",$I$4,"2 Item No.",$P54,"105 Entry Type","&lt;&gt;Revaluation")</t>
  </si>
  <si>
    <t>=T54+U54</t>
  </si>
  <si>
    <t>=IF(T54=0,"",V54/T54)</t>
  </si>
  <si>
    <t>=C54+1</t>
  </si>
  <si>
    <t>="@@"&amp;H55</t>
  </si>
  <si>
    <t>=-NL("Sum","5802 Value Entry","14 Invoiced Quantity","4 Item Ledger Entry Type","Sale","3 Posting Date",$I$4,"2 Item No.",$E55)</t>
  </si>
  <si>
    <t>=NL("Sum","5802 Value Entry","17 Sales Amount (Actual)","4 Item Ledger Entry Type","Sale","3 Posting Date",$I$4,"2 Item No.",$E55)</t>
  </si>
  <si>
    <t>=NL("Sum","5802 Value Entry","43 Cost Amount (Actual)","4 Item Ledger Entry Type","Sale","3 Posting Date",$I$4,"2 Item No.",$E55,"105 Entry Type","&lt;&gt;Revaluation")</t>
  </si>
  <si>
    <t>=K55+L55</t>
  </si>
  <si>
    <t>=IF(K55=0,"",M55/K55)</t>
  </si>
  <si>
    <t>="@@"&amp;$Q55</t>
  </si>
  <si>
    <t>=OFFSET($H$124,C55-1,0)</t>
  </si>
  <si>
    <t>=NL("First","27 Item","3 Description","1 No.",P55)</t>
  </si>
  <si>
    <t>=-NL("Sum","5802 Value Entry","14 Invoiced Quantity","4 Item Ledger Entry Type","Sale","3 Posting Date",$I$4,"2 Item No.",$P55)</t>
  </si>
  <si>
    <t>=NL("Sum","5802 Value Entry","17 Sales Amount (Actual)","4 Item Ledger Entry Type","Sale","3 Posting Date",$I$4,"2 Item No.",$P55)</t>
  </si>
  <si>
    <t>=NL("Sum","5802 Value Entry","43 Cost Amount (Actual)","4 Item Ledger Entry Type","Sale","3 Posting Date",$I$4,"2 Item No.",$P55,"105 Entry Type","&lt;&gt;Revaluation")</t>
  </si>
  <si>
    <t>=T55+U55</t>
  </si>
  <si>
    <t>=IF(T55=0,"",V55/T55)</t>
  </si>
  <si>
    <t>=C55+1</t>
  </si>
  <si>
    <t>="@@"&amp;H56</t>
  </si>
  <si>
    <t>=-NL("Sum","5802 Value Entry","14 Invoiced Quantity","4 Item Ledger Entry Type","Sale","3 Posting Date",$I$4,"2 Item No.",$E56)</t>
  </si>
  <si>
    <t>=NL("Sum","5802 Value Entry","17 Sales Amount (Actual)","4 Item Ledger Entry Type","Sale","3 Posting Date",$I$4,"2 Item No.",$E56)</t>
  </si>
  <si>
    <t>=NL("Sum","5802 Value Entry","43 Cost Amount (Actual)","4 Item Ledger Entry Type","Sale","3 Posting Date",$I$4,"2 Item No.",$E56,"105 Entry Type","&lt;&gt;Revaluation")</t>
  </si>
  <si>
    <t>=K56+L56</t>
  </si>
  <si>
    <t>=IF(K56=0,"",M56/K56)</t>
  </si>
  <si>
    <t>="@@"&amp;$Q56</t>
  </si>
  <si>
    <t>=OFFSET($H$124,C56-1,0)</t>
  </si>
  <si>
    <t>=NL("First","27 Item","3 Description","1 No.",P56)</t>
  </si>
  <si>
    <t>=-NL("Sum","5802 Value Entry","14 Invoiced Quantity","4 Item Ledger Entry Type","Sale","3 Posting Date",$I$4,"2 Item No.",$P56)</t>
  </si>
  <si>
    <t>=NL("Sum","5802 Value Entry","17 Sales Amount (Actual)","4 Item Ledger Entry Type","Sale","3 Posting Date",$I$4,"2 Item No.",$P56)</t>
  </si>
  <si>
    <t>=NL("Sum","5802 Value Entry","43 Cost Amount (Actual)","4 Item Ledger Entry Type","Sale","3 Posting Date",$I$4,"2 Item No.",$P56,"105 Entry Type","&lt;&gt;Revaluation")</t>
  </si>
  <si>
    <t>=T56+U56</t>
  </si>
  <si>
    <t>=IF(T56=0,"",V56/T56)</t>
  </si>
  <si>
    <t>=C56+1</t>
  </si>
  <si>
    <t>="@@"&amp;H57</t>
  </si>
  <si>
    <t>=-NL("Sum","5802 Value Entry","14 Invoiced Quantity","4 Item Ledger Entry Type","Sale","3 Posting Date",$I$4,"2 Item No.",$E57)</t>
  </si>
  <si>
    <t>=NL("Sum","5802 Value Entry","17 Sales Amount (Actual)","4 Item Ledger Entry Type","Sale","3 Posting Date",$I$4,"2 Item No.",$E57)</t>
  </si>
  <si>
    <t>=NL("Sum","5802 Value Entry","43 Cost Amount (Actual)","4 Item Ledger Entry Type","Sale","3 Posting Date",$I$4,"2 Item No.",$E57,"105 Entry Type","&lt;&gt;Revaluation")</t>
  </si>
  <si>
    <t>=K57+L57</t>
  </si>
  <si>
    <t>=IF(K57=0,"",M57/K57)</t>
  </si>
  <si>
    <t>="@@"&amp;$Q57</t>
  </si>
  <si>
    <t>=OFFSET($H$124,C57-1,0)</t>
  </si>
  <si>
    <t>=NL("First","27 Item","3 Description","1 No.",P57)</t>
  </si>
  <si>
    <t>=-NL("Sum","5802 Value Entry","14 Invoiced Quantity","4 Item Ledger Entry Type","Sale","3 Posting Date",$I$4,"2 Item No.",$P57)</t>
  </si>
  <si>
    <t>=NL("Sum","5802 Value Entry","17 Sales Amount (Actual)","4 Item Ledger Entry Type","Sale","3 Posting Date",$I$4,"2 Item No.",$P57)</t>
  </si>
  <si>
    <t>=NL("Sum","5802 Value Entry","43 Cost Amount (Actual)","4 Item Ledger Entry Type","Sale","3 Posting Date",$I$4,"2 Item No.",$P57,"105 Entry Type","&lt;&gt;Revaluation")</t>
  </si>
  <si>
    <t>=T57+U57</t>
  </si>
  <si>
    <t>=IF(T57=0,"",V57/T57)</t>
  </si>
  <si>
    <t>=C57+1</t>
  </si>
  <si>
    <t>="@@"&amp;H58</t>
  </si>
  <si>
    <t>=-NL("Sum","5802 Value Entry","14 Invoiced Quantity","4 Item Ledger Entry Type","Sale","3 Posting Date",$I$4,"2 Item No.",$E58)</t>
  </si>
  <si>
    <t>=NL("Sum","5802 Value Entry","17 Sales Amount (Actual)","4 Item Ledger Entry Type","Sale","3 Posting Date",$I$4,"2 Item No.",$E58)</t>
  </si>
  <si>
    <t>=NL("Sum","5802 Value Entry","43 Cost Amount (Actual)","4 Item Ledger Entry Type","Sale","3 Posting Date",$I$4,"2 Item No.",$E58,"105 Entry Type","&lt;&gt;Revaluation")</t>
  </si>
  <si>
    <t>=K58+L58</t>
  </si>
  <si>
    <t>=IF(K58=0,"",M58/K58)</t>
  </si>
  <si>
    <t>="@@"&amp;$Q58</t>
  </si>
  <si>
    <t>=OFFSET($H$124,C58-1,0)</t>
  </si>
  <si>
    <t>=NL("First","27 Item","3 Description","1 No.",P58)</t>
  </si>
  <si>
    <t>=-NL("Sum","5802 Value Entry","14 Invoiced Quantity","4 Item Ledger Entry Type","Sale","3 Posting Date",$I$4,"2 Item No.",$P58)</t>
  </si>
  <si>
    <t>=NL("Sum","5802 Value Entry","17 Sales Amount (Actual)","4 Item Ledger Entry Type","Sale","3 Posting Date",$I$4,"2 Item No.",$P58)</t>
  </si>
  <si>
    <t>=NL("Sum","5802 Value Entry","43 Cost Amount (Actual)","4 Item Ledger Entry Type","Sale","3 Posting Date",$I$4,"2 Item No.",$P58,"105 Entry Type","&lt;&gt;Revaluation")</t>
  </si>
  <si>
    <t>=T58+U58</t>
  </si>
  <si>
    <t>=IF(T58=0,"",V58/T58)</t>
  </si>
  <si>
    <t>=C58+1</t>
  </si>
  <si>
    <t>="@@"&amp;H59</t>
  </si>
  <si>
    <t>=-NL("Sum","5802 Value Entry","14 Invoiced Quantity","4 Item Ledger Entry Type","Sale","3 Posting Date",$I$4,"2 Item No.",$E59)</t>
  </si>
  <si>
    <t>=NL("Sum","5802 Value Entry","17 Sales Amount (Actual)","4 Item Ledger Entry Type","Sale","3 Posting Date",$I$4,"2 Item No.",$E59)</t>
  </si>
  <si>
    <t>=NL("Sum","5802 Value Entry","43 Cost Amount (Actual)","4 Item Ledger Entry Type","Sale","3 Posting Date",$I$4,"2 Item No.",$E59,"105 Entry Type","&lt;&gt;Revaluation")</t>
  </si>
  <si>
    <t>=K59+L59</t>
  </si>
  <si>
    <t>=IF(K59=0,"",M59/K59)</t>
  </si>
  <si>
    <t>="@@"&amp;$Q59</t>
  </si>
  <si>
    <t>=OFFSET($H$124,C59-1,0)</t>
  </si>
  <si>
    <t>=NL("First","27 Item","3 Description","1 No.",P59)</t>
  </si>
  <si>
    <t>=-NL("Sum","5802 Value Entry","14 Invoiced Quantity","4 Item Ledger Entry Type","Sale","3 Posting Date",$I$4,"2 Item No.",$P59)</t>
  </si>
  <si>
    <t>=NL("Sum","5802 Value Entry","17 Sales Amount (Actual)","4 Item Ledger Entry Type","Sale","3 Posting Date",$I$4,"2 Item No.",$P59)</t>
  </si>
  <si>
    <t>=NL("Sum","5802 Value Entry","43 Cost Amount (Actual)","4 Item Ledger Entry Type","Sale","3 Posting Date",$I$4,"2 Item No.",$P59,"105 Entry Type","&lt;&gt;Revaluation")</t>
  </si>
  <si>
    <t>=T59+U59</t>
  </si>
  <si>
    <t>=IF(T59=0,"",V59/T59)</t>
  </si>
  <si>
    <t>=C59+1</t>
  </si>
  <si>
    <t>="@@"&amp;H60</t>
  </si>
  <si>
    <t>=-NL("Sum","5802 Value Entry","14 Invoiced Quantity","4 Item Ledger Entry Type","Sale","3 Posting Date",$I$4,"2 Item No.",$E60)</t>
  </si>
  <si>
    <t>=NL("Sum","5802 Value Entry","17 Sales Amount (Actual)","4 Item Ledger Entry Type","Sale","3 Posting Date",$I$4,"2 Item No.",$E60)</t>
  </si>
  <si>
    <t>=NL("Sum","5802 Value Entry","43 Cost Amount (Actual)","4 Item Ledger Entry Type","Sale","3 Posting Date",$I$4,"2 Item No.",$E60,"105 Entry Type","&lt;&gt;Revaluation")</t>
  </si>
  <si>
    <t>=K60+L60</t>
  </si>
  <si>
    <t>=IF(K60=0,"",M60/K60)</t>
  </si>
  <si>
    <t>="@@"&amp;$Q60</t>
  </si>
  <si>
    <t>=OFFSET($H$124,C60-1,0)</t>
  </si>
  <si>
    <t>=NL("First","27 Item","3 Description","1 No.",P60)</t>
  </si>
  <si>
    <t>=-NL("Sum","5802 Value Entry","14 Invoiced Quantity","4 Item Ledger Entry Type","Sale","3 Posting Date",$I$4,"2 Item No.",$P60)</t>
  </si>
  <si>
    <t>=NL("Sum","5802 Value Entry","17 Sales Amount (Actual)","4 Item Ledger Entry Type","Sale","3 Posting Date",$I$4,"2 Item No.",$P60)</t>
  </si>
  <si>
    <t>=NL("Sum","5802 Value Entry","43 Cost Amount (Actual)","4 Item Ledger Entry Type","Sale","3 Posting Date",$I$4,"2 Item No.",$P60,"105 Entry Type","&lt;&gt;Revaluation")</t>
  </si>
  <si>
    <t>=T60+U60</t>
  </si>
  <si>
    <t>=IF(T60=0,"",V60/T60)</t>
  </si>
  <si>
    <t>=C60+1</t>
  </si>
  <si>
    <t>="@@"&amp;H61</t>
  </si>
  <si>
    <t>=-NL("Sum","5802 Value Entry","14 Invoiced Quantity","4 Item Ledger Entry Type","Sale","3 Posting Date",$I$4,"2 Item No.",$E61)</t>
  </si>
  <si>
    <t>=NL("Sum","5802 Value Entry","17 Sales Amount (Actual)","4 Item Ledger Entry Type","Sale","3 Posting Date",$I$4,"2 Item No.",$E61)</t>
  </si>
  <si>
    <t>=NL("Sum","5802 Value Entry","43 Cost Amount (Actual)","4 Item Ledger Entry Type","Sale","3 Posting Date",$I$4,"2 Item No.",$E61,"105 Entry Type","&lt;&gt;Revaluation")</t>
  </si>
  <si>
    <t>=K61+L61</t>
  </si>
  <si>
    <t>=IF(K61=0,"",M61/K61)</t>
  </si>
  <si>
    <t>="@@"&amp;$Q61</t>
  </si>
  <si>
    <t>=OFFSET($H$124,C61-1,0)</t>
  </si>
  <si>
    <t>=NL("First","27 Item","3 Description","1 No.",P61)</t>
  </si>
  <si>
    <t>=-NL("Sum","5802 Value Entry","14 Invoiced Quantity","4 Item Ledger Entry Type","Sale","3 Posting Date",$I$4,"2 Item No.",$P61)</t>
  </si>
  <si>
    <t>=NL("Sum","5802 Value Entry","17 Sales Amount (Actual)","4 Item Ledger Entry Type","Sale","3 Posting Date",$I$4,"2 Item No.",$P61)</t>
  </si>
  <si>
    <t>=NL("Sum","5802 Value Entry","43 Cost Amount (Actual)","4 Item Ledger Entry Type","Sale","3 Posting Date",$I$4,"2 Item No.",$P61,"105 Entry Type","&lt;&gt;Revaluation")</t>
  </si>
  <si>
    <t>=T61+U61</t>
  </si>
  <si>
    <t>=IF(T61=0,"",V61/T61)</t>
  </si>
  <si>
    <t>=C61+1</t>
  </si>
  <si>
    <t>="@@"&amp;H62</t>
  </si>
  <si>
    <t>=-NL("Sum","5802 Value Entry","14 Invoiced Quantity","4 Item Ledger Entry Type","Sale","3 Posting Date",$I$4,"2 Item No.",$E62)</t>
  </si>
  <si>
    <t>=NL("Sum","5802 Value Entry","17 Sales Amount (Actual)","4 Item Ledger Entry Type","Sale","3 Posting Date",$I$4,"2 Item No.",$E62)</t>
  </si>
  <si>
    <t>=NL("Sum","5802 Value Entry","43 Cost Amount (Actual)","4 Item Ledger Entry Type","Sale","3 Posting Date",$I$4,"2 Item No.",$E62,"105 Entry Type","&lt;&gt;Revaluation")</t>
  </si>
  <si>
    <t>=K62+L62</t>
  </si>
  <si>
    <t>=IF(K62=0,"",M62/K62)</t>
  </si>
  <si>
    <t>="@@"&amp;$Q62</t>
  </si>
  <si>
    <t>=OFFSET($H$124,C62-1,0)</t>
  </si>
  <si>
    <t>=NL("First","27 Item","3 Description","1 No.",P62)</t>
  </si>
  <si>
    <t>=-NL("Sum","5802 Value Entry","14 Invoiced Quantity","4 Item Ledger Entry Type","Sale","3 Posting Date",$I$4,"2 Item No.",$P62)</t>
  </si>
  <si>
    <t>=NL("Sum","5802 Value Entry","17 Sales Amount (Actual)","4 Item Ledger Entry Type","Sale","3 Posting Date",$I$4,"2 Item No.",$P62)</t>
  </si>
  <si>
    <t>=NL("Sum","5802 Value Entry","43 Cost Amount (Actual)","4 Item Ledger Entry Type","Sale","3 Posting Date",$I$4,"2 Item No.",$P62,"105 Entry Type","&lt;&gt;Revaluation")</t>
  </si>
  <si>
    <t>=T62+U62</t>
  </si>
  <si>
    <t>=IF(T62=0,"",V62/T62)</t>
  </si>
  <si>
    <t>=C62+1</t>
  </si>
  <si>
    <t>="@@"&amp;H63</t>
  </si>
  <si>
    <t>=-NL("Sum","5802 Value Entry","14 Invoiced Quantity","4 Item Ledger Entry Type","Sale","3 Posting Date",$I$4,"2 Item No.",$E63)</t>
  </si>
  <si>
    <t>=NL("Sum","5802 Value Entry","17 Sales Amount (Actual)","4 Item Ledger Entry Type","Sale","3 Posting Date",$I$4,"2 Item No.",$E63)</t>
  </si>
  <si>
    <t>=NL("Sum","5802 Value Entry","43 Cost Amount (Actual)","4 Item Ledger Entry Type","Sale","3 Posting Date",$I$4,"2 Item No.",$E63,"105 Entry Type","&lt;&gt;Revaluation")</t>
  </si>
  <si>
    <t>=K63+L63</t>
  </si>
  <si>
    <t>=IF(K63=0,"",M63/K63)</t>
  </si>
  <si>
    <t>="@@"&amp;$Q63</t>
  </si>
  <si>
    <t>=OFFSET($H$124,C63-1,0)</t>
  </si>
  <si>
    <t>=NL("First","27 Item","3 Description","1 No.",P63)</t>
  </si>
  <si>
    <t>=-NL("Sum","5802 Value Entry","14 Invoiced Quantity","4 Item Ledger Entry Type","Sale","3 Posting Date",$I$4,"2 Item No.",$P63)</t>
  </si>
  <si>
    <t>=NL("Sum","5802 Value Entry","17 Sales Amount (Actual)","4 Item Ledger Entry Type","Sale","3 Posting Date",$I$4,"2 Item No.",$P63)</t>
  </si>
  <si>
    <t>=NL("Sum","5802 Value Entry","43 Cost Amount (Actual)","4 Item Ledger Entry Type","Sale","3 Posting Date",$I$4,"2 Item No.",$P63,"105 Entry Type","&lt;&gt;Revaluation")</t>
  </si>
  <si>
    <t>=T63+U63</t>
  </si>
  <si>
    <t>=IF(T63=0,"",V63/T63)</t>
  </si>
  <si>
    <t>=C63+1</t>
  </si>
  <si>
    <t>="@@"&amp;H64</t>
  </si>
  <si>
    <t>=-NL("Sum","5802 Value Entry","14 Invoiced Quantity","4 Item Ledger Entry Type","Sale","3 Posting Date",$I$4,"2 Item No.",$E64)</t>
  </si>
  <si>
    <t>=NL("Sum","5802 Value Entry","17 Sales Amount (Actual)","4 Item Ledger Entry Type","Sale","3 Posting Date",$I$4,"2 Item No.",$E64)</t>
  </si>
  <si>
    <t>=NL("Sum","5802 Value Entry","43 Cost Amount (Actual)","4 Item Ledger Entry Type","Sale","3 Posting Date",$I$4,"2 Item No.",$E64,"105 Entry Type","&lt;&gt;Revaluation")</t>
  </si>
  <si>
    <t>=K64+L64</t>
  </si>
  <si>
    <t>=IF(K64=0,"",M64/K64)</t>
  </si>
  <si>
    <t>="@@"&amp;$Q64</t>
  </si>
  <si>
    <t>=OFFSET($H$124,C64-1,0)</t>
  </si>
  <si>
    <t>=NL("First","27 Item","3 Description","1 No.",P64)</t>
  </si>
  <si>
    <t>=-NL("Sum","5802 Value Entry","14 Invoiced Quantity","4 Item Ledger Entry Type","Sale","3 Posting Date",$I$4,"2 Item No.",$P64)</t>
  </si>
  <si>
    <t>=NL("Sum","5802 Value Entry","17 Sales Amount (Actual)","4 Item Ledger Entry Type","Sale","3 Posting Date",$I$4,"2 Item No.",$P64)</t>
  </si>
  <si>
    <t>=NL("Sum","5802 Value Entry","43 Cost Amount (Actual)","4 Item Ledger Entry Type","Sale","3 Posting Date",$I$4,"2 Item No.",$P64,"105 Entry Type","&lt;&gt;Revaluation")</t>
  </si>
  <si>
    <t>=T64+U64</t>
  </si>
  <si>
    <t>=IF(T64=0,"",V64/T64)</t>
  </si>
  <si>
    <t>=C64+1</t>
  </si>
  <si>
    <t>="@@"&amp;H65</t>
  </si>
  <si>
    <t>=-NL("Sum","5802 Value Entry","14 Invoiced Quantity","4 Item Ledger Entry Type","Sale","3 Posting Date",$I$4,"2 Item No.",$E65)</t>
  </si>
  <si>
    <t>=NL("Sum","5802 Value Entry","17 Sales Amount (Actual)","4 Item Ledger Entry Type","Sale","3 Posting Date",$I$4,"2 Item No.",$E65)</t>
  </si>
  <si>
    <t>=NL("Sum","5802 Value Entry","43 Cost Amount (Actual)","4 Item Ledger Entry Type","Sale","3 Posting Date",$I$4,"2 Item No.",$E65,"105 Entry Type","&lt;&gt;Revaluation")</t>
  </si>
  <si>
    <t>=K65+L65</t>
  </si>
  <si>
    <t>=IF(K65=0,"",M65/K65)</t>
  </si>
  <si>
    <t>="@@"&amp;$Q65</t>
  </si>
  <si>
    <t>=OFFSET($H$124,C65-1,0)</t>
  </si>
  <si>
    <t>=NL("First","27 Item","3 Description","1 No.",P65)</t>
  </si>
  <si>
    <t>=-NL("Sum","5802 Value Entry","14 Invoiced Quantity","4 Item Ledger Entry Type","Sale","3 Posting Date",$I$4,"2 Item No.",$P65)</t>
  </si>
  <si>
    <t>=NL("Sum","5802 Value Entry","17 Sales Amount (Actual)","4 Item Ledger Entry Type","Sale","3 Posting Date",$I$4,"2 Item No.",$P65)</t>
  </si>
  <si>
    <t>=NL("Sum","5802 Value Entry","43 Cost Amount (Actual)","4 Item Ledger Entry Type","Sale","3 Posting Date",$I$4,"2 Item No.",$P65,"105 Entry Type","&lt;&gt;Revaluation")</t>
  </si>
  <si>
    <t>=T65+U65</t>
  </si>
  <si>
    <t>=IF(T65=0,"",V65/T65)</t>
  </si>
  <si>
    <t>=C65+1</t>
  </si>
  <si>
    <t>="@@"&amp;H66</t>
  </si>
  <si>
    <t>=-NL("Sum","5802 Value Entry","14 Invoiced Quantity","4 Item Ledger Entry Type","Sale","3 Posting Date",$I$4,"2 Item No.",$E66)</t>
  </si>
  <si>
    <t>=NL("Sum","5802 Value Entry","17 Sales Amount (Actual)","4 Item Ledger Entry Type","Sale","3 Posting Date",$I$4,"2 Item No.",$E66)</t>
  </si>
  <si>
    <t>=NL("Sum","5802 Value Entry","43 Cost Amount (Actual)","4 Item Ledger Entry Type","Sale","3 Posting Date",$I$4,"2 Item No.",$E66,"105 Entry Type","&lt;&gt;Revaluation")</t>
  </si>
  <si>
    <t>=K66+L66</t>
  </si>
  <si>
    <t>=IF(K66=0,"",M66/K66)</t>
  </si>
  <si>
    <t>="@@"&amp;$Q66</t>
  </si>
  <si>
    <t>=OFFSET($H$124,C66-1,0)</t>
  </si>
  <si>
    <t>=NL("First","27 Item","3 Description","1 No.",P66)</t>
  </si>
  <si>
    <t>=-NL("Sum","5802 Value Entry","14 Invoiced Quantity","4 Item Ledger Entry Type","Sale","3 Posting Date",$I$4,"2 Item No.",$P66)</t>
  </si>
  <si>
    <t>=NL("Sum","5802 Value Entry","17 Sales Amount (Actual)","4 Item Ledger Entry Type","Sale","3 Posting Date",$I$4,"2 Item No.",$P66)</t>
  </si>
  <si>
    <t>=NL("Sum","5802 Value Entry","43 Cost Amount (Actual)","4 Item Ledger Entry Type","Sale","3 Posting Date",$I$4,"2 Item No.",$P66,"105 Entry Type","&lt;&gt;Revaluation")</t>
  </si>
  <si>
    <t>=T66+U66</t>
  </si>
  <si>
    <t>=IF(T66=0,"",V66/T66)</t>
  </si>
  <si>
    <t>=C66+1</t>
  </si>
  <si>
    <t>="@@"&amp;H67</t>
  </si>
  <si>
    <t>=-NL("Sum","5802 Value Entry","14 Invoiced Quantity","4 Item Ledger Entry Type","Sale","3 Posting Date",$I$4,"2 Item No.",$E67)</t>
  </si>
  <si>
    <t>=NL("Sum","5802 Value Entry","17 Sales Amount (Actual)","4 Item Ledger Entry Type","Sale","3 Posting Date",$I$4,"2 Item No.",$E67)</t>
  </si>
  <si>
    <t>=NL("Sum","5802 Value Entry","43 Cost Amount (Actual)","4 Item Ledger Entry Type","Sale","3 Posting Date",$I$4,"2 Item No.",$E67,"105 Entry Type","&lt;&gt;Revaluation")</t>
  </si>
  <si>
    <t>=K67+L67</t>
  </si>
  <si>
    <t>=IF(K67=0,"",M67/K67)</t>
  </si>
  <si>
    <t>="@@"&amp;$Q67</t>
  </si>
  <si>
    <t>=OFFSET($H$124,C67-1,0)</t>
  </si>
  <si>
    <t>=NL("First","27 Item","3 Description","1 No.",P67)</t>
  </si>
  <si>
    <t>=-NL("Sum","5802 Value Entry","14 Invoiced Quantity","4 Item Ledger Entry Type","Sale","3 Posting Date",$I$4,"2 Item No.",$P67)</t>
  </si>
  <si>
    <t>=NL("Sum","5802 Value Entry","17 Sales Amount (Actual)","4 Item Ledger Entry Type","Sale","3 Posting Date",$I$4,"2 Item No.",$P67)</t>
  </si>
  <si>
    <t>=NL("Sum","5802 Value Entry","43 Cost Amount (Actual)","4 Item Ledger Entry Type","Sale","3 Posting Date",$I$4,"2 Item No.",$P67,"105 Entry Type","&lt;&gt;Revaluation")</t>
  </si>
  <si>
    <t>=T67+U67</t>
  </si>
  <si>
    <t>=IF(T67=0,"",V67/T67)</t>
  </si>
  <si>
    <t>=C67+1</t>
  </si>
  <si>
    <t>="@@"&amp;H68</t>
  </si>
  <si>
    <t>=-NL("Sum","5802 Value Entry","14 Invoiced Quantity","4 Item Ledger Entry Type","Sale","3 Posting Date",$I$4,"2 Item No.",$E68)</t>
  </si>
  <si>
    <t>=NL("Sum","5802 Value Entry","17 Sales Amount (Actual)","4 Item Ledger Entry Type","Sale","3 Posting Date",$I$4,"2 Item No.",$E68)</t>
  </si>
  <si>
    <t>=NL("Sum","5802 Value Entry","43 Cost Amount (Actual)","4 Item Ledger Entry Type","Sale","3 Posting Date",$I$4,"2 Item No.",$E68,"105 Entry Type","&lt;&gt;Revaluation")</t>
  </si>
  <si>
    <t>=K68+L68</t>
  </si>
  <si>
    <t>=IF(K68=0,"",M68/K68)</t>
  </si>
  <si>
    <t>="@@"&amp;$Q68</t>
  </si>
  <si>
    <t>=OFFSET($H$124,C68-1,0)</t>
  </si>
  <si>
    <t>=NL("First","27 Item","3 Description","1 No.",P68)</t>
  </si>
  <si>
    <t>=-NL("Sum","5802 Value Entry","14 Invoiced Quantity","4 Item Ledger Entry Type","Sale","3 Posting Date",$I$4,"2 Item No.",$P68)</t>
  </si>
  <si>
    <t>=NL("Sum","5802 Value Entry","17 Sales Amount (Actual)","4 Item Ledger Entry Type","Sale","3 Posting Date",$I$4,"2 Item No.",$P68)</t>
  </si>
  <si>
    <t>=NL("Sum","5802 Value Entry","43 Cost Amount (Actual)","4 Item Ledger Entry Type","Sale","3 Posting Date",$I$4,"2 Item No.",$P68,"105 Entry Type","&lt;&gt;Revaluation")</t>
  </si>
  <si>
    <t>=T68+U68</t>
  </si>
  <si>
    <t>=IF(T68=0,"",V68/T68)</t>
  </si>
  <si>
    <t>=C68+1</t>
  </si>
  <si>
    <t>="@@"&amp;H69</t>
  </si>
  <si>
    <t>=-NL("Sum","5802 Value Entry","14 Invoiced Quantity","4 Item Ledger Entry Type","Sale","3 Posting Date",$I$4,"2 Item No.",$E69)</t>
  </si>
  <si>
    <t>=NL("Sum","5802 Value Entry","17 Sales Amount (Actual)","4 Item Ledger Entry Type","Sale","3 Posting Date",$I$4,"2 Item No.",$E69)</t>
  </si>
  <si>
    <t>=NL("Sum","5802 Value Entry","43 Cost Amount (Actual)","4 Item Ledger Entry Type","Sale","3 Posting Date",$I$4,"2 Item No.",$E69,"105 Entry Type","&lt;&gt;Revaluation")</t>
  </si>
  <si>
    <t>=K69+L69</t>
  </si>
  <si>
    <t>=IF(K69=0,"",M69/K69)</t>
  </si>
  <si>
    <t>="@@"&amp;$Q69</t>
  </si>
  <si>
    <t>=OFFSET($H$124,C69-1,0)</t>
  </si>
  <si>
    <t>=NL("First","27 Item","3 Description","1 No.",P69)</t>
  </si>
  <si>
    <t>=-NL("Sum","5802 Value Entry","14 Invoiced Quantity","4 Item Ledger Entry Type","Sale","3 Posting Date",$I$4,"2 Item No.",$P69)</t>
  </si>
  <si>
    <t>=NL("Sum","5802 Value Entry","17 Sales Amount (Actual)","4 Item Ledger Entry Type","Sale","3 Posting Date",$I$4,"2 Item No.",$P69)</t>
  </si>
  <si>
    <t>=NL("Sum","5802 Value Entry","43 Cost Amount (Actual)","4 Item Ledger Entry Type","Sale","3 Posting Date",$I$4,"2 Item No.",$P69,"105 Entry Type","&lt;&gt;Revaluation")</t>
  </si>
  <si>
    <t>=T69+U69</t>
  </si>
  <si>
    <t>=IF(T69=0,"",V69/T69)</t>
  </si>
  <si>
    <t>=C69+1</t>
  </si>
  <si>
    <t>="@@"&amp;H70</t>
  </si>
  <si>
    <t>=-NL("Sum","5802 Value Entry","14 Invoiced Quantity","4 Item Ledger Entry Type","Sale","3 Posting Date",$I$4,"2 Item No.",$E70)</t>
  </si>
  <si>
    <t>=NL("Sum","5802 Value Entry","17 Sales Amount (Actual)","4 Item Ledger Entry Type","Sale","3 Posting Date",$I$4,"2 Item No.",$E70)</t>
  </si>
  <si>
    <t>=NL("Sum","5802 Value Entry","43 Cost Amount (Actual)","4 Item Ledger Entry Type","Sale","3 Posting Date",$I$4,"2 Item No.",$E70,"105 Entry Type","&lt;&gt;Revaluation")</t>
  </si>
  <si>
    <t>=K70+L70</t>
  </si>
  <si>
    <t>=IF(K70=0,"",M70/K70)</t>
  </si>
  <si>
    <t>="@@"&amp;$Q70</t>
  </si>
  <si>
    <t>=OFFSET($H$124,C70-1,0)</t>
  </si>
  <si>
    <t>=NL("First","27 Item","3 Description","1 No.",P70)</t>
  </si>
  <si>
    <t>=-NL("Sum","5802 Value Entry","14 Invoiced Quantity","4 Item Ledger Entry Type","Sale","3 Posting Date",$I$4,"2 Item No.",$P70)</t>
  </si>
  <si>
    <t>=NL("Sum","5802 Value Entry","17 Sales Amount (Actual)","4 Item Ledger Entry Type","Sale","3 Posting Date",$I$4,"2 Item No.",$P70)</t>
  </si>
  <si>
    <t>=NL("Sum","5802 Value Entry","43 Cost Amount (Actual)","4 Item Ledger Entry Type","Sale","3 Posting Date",$I$4,"2 Item No.",$P70,"105 Entry Type","&lt;&gt;Revaluation")</t>
  </si>
  <si>
    <t>=T70+U70</t>
  </si>
  <si>
    <t>=IF(T70=0,"",V70/T70)</t>
  </si>
  <si>
    <t>=C70+1</t>
  </si>
  <si>
    <t>="@@"&amp;H71</t>
  </si>
  <si>
    <t>=-NL("Sum","5802 Value Entry","14 Invoiced Quantity","4 Item Ledger Entry Type","Sale","3 Posting Date",$I$4,"2 Item No.",$E71)</t>
  </si>
  <si>
    <t>=NL("Sum","5802 Value Entry","17 Sales Amount (Actual)","4 Item Ledger Entry Type","Sale","3 Posting Date",$I$4,"2 Item No.",$E71)</t>
  </si>
  <si>
    <t>=NL("Sum","5802 Value Entry","43 Cost Amount (Actual)","4 Item Ledger Entry Type","Sale","3 Posting Date",$I$4,"2 Item No.",$E71,"105 Entry Type","&lt;&gt;Revaluation")</t>
  </si>
  <si>
    <t>=K71+L71</t>
  </si>
  <si>
    <t>=IF(K71=0,"",M71/K71)</t>
  </si>
  <si>
    <t>="@@"&amp;$Q71</t>
  </si>
  <si>
    <t>=OFFSET($H$124,C71-1,0)</t>
  </si>
  <si>
    <t>=NL("First","27 Item","3 Description","1 No.",P71)</t>
  </si>
  <si>
    <t>=-NL("Sum","5802 Value Entry","14 Invoiced Quantity","4 Item Ledger Entry Type","Sale","3 Posting Date",$I$4,"2 Item No.",$P71)</t>
  </si>
  <si>
    <t>=NL("Sum","5802 Value Entry","17 Sales Amount (Actual)","4 Item Ledger Entry Type","Sale","3 Posting Date",$I$4,"2 Item No.",$P71)</t>
  </si>
  <si>
    <t>=NL("Sum","5802 Value Entry","43 Cost Amount (Actual)","4 Item Ledger Entry Type","Sale","3 Posting Date",$I$4,"2 Item No.",$P71,"105 Entry Type","&lt;&gt;Revaluation")</t>
  </si>
  <si>
    <t>=T71+U71</t>
  </si>
  <si>
    <t>=IF(T71=0,"",V71/T71)</t>
  </si>
  <si>
    <t>=C71+1</t>
  </si>
  <si>
    <t>="@@"&amp;H72</t>
  </si>
  <si>
    <t>=-NL("Sum","5802 Value Entry","14 Invoiced Quantity","4 Item Ledger Entry Type","Sale","3 Posting Date",$I$4,"2 Item No.",$E72)</t>
  </si>
  <si>
    <t>=NL("Sum","5802 Value Entry","17 Sales Amount (Actual)","4 Item Ledger Entry Type","Sale","3 Posting Date",$I$4,"2 Item No.",$E72)</t>
  </si>
  <si>
    <t>=NL("Sum","5802 Value Entry","43 Cost Amount (Actual)","4 Item Ledger Entry Type","Sale","3 Posting Date",$I$4,"2 Item No.",$E72,"105 Entry Type","&lt;&gt;Revaluation")</t>
  </si>
  <si>
    <t>=K72+L72</t>
  </si>
  <si>
    <t>=IF(K72=0,"",M72/K72)</t>
  </si>
  <si>
    <t>="@@"&amp;$Q72</t>
  </si>
  <si>
    <t>=OFFSET($H$124,C72-1,0)</t>
  </si>
  <si>
    <t>=NL("First","27 Item","3 Description","1 No.",P72)</t>
  </si>
  <si>
    <t>=-NL("Sum","5802 Value Entry","14 Invoiced Quantity","4 Item Ledger Entry Type","Sale","3 Posting Date",$I$4,"2 Item No.",$P72)</t>
  </si>
  <si>
    <t>=NL("Sum","5802 Value Entry","17 Sales Amount (Actual)","4 Item Ledger Entry Type","Sale","3 Posting Date",$I$4,"2 Item No.",$P72)</t>
  </si>
  <si>
    <t>=NL("Sum","5802 Value Entry","43 Cost Amount (Actual)","4 Item Ledger Entry Type","Sale","3 Posting Date",$I$4,"2 Item No.",$P72,"105 Entry Type","&lt;&gt;Revaluation")</t>
  </si>
  <si>
    <t>=T72+U72</t>
  </si>
  <si>
    <t>=IF(T72=0,"",V72/T72)</t>
  </si>
  <si>
    <t>=C72+1</t>
  </si>
  <si>
    <t>="@@"&amp;H73</t>
  </si>
  <si>
    <t>=-NL("Sum","5802 Value Entry","14 Invoiced Quantity","4 Item Ledger Entry Type","Sale","3 Posting Date",$I$4,"2 Item No.",$E73)</t>
  </si>
  <si>
    <t>=NL("Sum","5802 Value Entry","17 Sales Amount (Actual)","4 Item Ledger Entry Type","Sale","3 Posting Date",$I$4,"2 Item No.",$E73)</t>
  </si>
  <si>
    <t>=NL("Sum","5802 Value Entry","43 Cost Amount (Actual)","4 Item Ledger Entry Type","Sale","3 Posting Date",$I$4,"2 Item No.",$E73,"105 Entry Type","&lt;&gt;Revaluation")</t>
  </si>
  <si>
    <t>=K73+L73</t>
  </si>
  <si>
    <t>=IF(K73=0,"",M73/K73)</t>
  </si>
  <si>
    <t>="@@"&amp;$Q73</t>
  </si>
  <si>
    <t>=OFFSET($H$124,C73-1,0)</t>
  </si>
  <si>
    <t>=NL("First","27 Item","3 Description","1 No.",P73)</t>
  </si>
  <si>
    <t>=-NL("Sum","5802 Value Entry","14 Invoiced Quantity","4 Item Ledger Entry Type","Sale","3 Posting Date",$I$4,"2 Item No.",$P73)</t>
  </si>
  <si>
    <t>=NL("Sum","5802 Value Entry","17 Sales Amount (Actual)","4 Item Ledger Entry Type","Sale","3 Posting Date",$I$4,"2 Item No.",$P73)</t>
  </si>
  <si>
    <t>=NL("Sum","5802 Value Entry","43 Cost Amount (Actual)","4 Item Ledger Entry Type","Sale","3 Posting Date",$I$4,"2 Item No.",$P73,"105 Entry Type","&lt;&gt;Revaluation")</t>
  </si>
  <si>
    <t>=T73+U73</t>
  </si>
  <si>
    <t>=IF(T73=0,"",V73/T73)</t>
  </si>
  <si>
    <t>=C73+1</t>
  </si>
  <si>
    <t>="@@"&amp;H74</t>
  </si>
  <si>
    <t>=-NL("Sum","5802 Value Entry","14 Invoiced Quantity","4 Item Ledger Entry Type","Sale","3 Posting Date",$I$4,"2 Item No.",$E74)</t>
  </si>
  <si>
    <t>=NL("Sum","5802 Value Entry","17 Sales Amount (Actual)","4 Item Ledger Entry Type","Sale","3 Posting Date",$I$4,"2 Item No.",$E74)</t>
  </si>
  <si>
    <t>=NL("Sum","5802 Value Entry","43 Cost Amount (Actual)","4 Item Ledger Entry Type","Sale","3 Posting Date",$I$4,"2 Item No.",$E74,"105 Entry Type","&lt;&gt;Revaluation")</t>
  </si>
  <si>
    <t>=K74+L74</t>
  </si>
  <si>
    <t>=IF(K74=0,"",M74/K74)</t>
  </si>
  <si>
    <t>="@@"&amp;$Q74</t>
  </si>
  <si>
    <t>=OFFSET($H$124,C74-1,0)</t>
  </si>
  <si>
    <t>=NL("First","27 Item","3 Description","1 No.",P74)</t>
  </si>
  <si>
    <t>=-NL("Sum","5802 Value Entry","14 Invoiced Quantity","4 Item Ledger Entry Type","Sale","3 Posting Date",$I$4,"2 Item No.",$P74)</t>
  </si>
  <si>
    <t>=NL("Sum","5802 Value Entry","17 Sales Amount (Actual)","4 Item Ledger Entry Type","Sale","3 Posting Date",$I$4,"2 Item No.",$P74)</t>
  </si>
  <si>
    <t>=NL("Sum","5802 Value Entry","43 Cost Amount (Actual)","4 Item Ledger Entry Type","Sale","3 Posting Date",$I$4,"2 Item No.",$P74,"105 Entry Type","&lt;&gt;Revaluation")</t>
  </si>
  <si>
    <t>=T74+U74</t>
  </si>
  <si>
    <t>=IF(T74=0,"",V74/T74)</t>
  </si>
  <si>
    <t>=C74+1</t>
  </si>
  <si>
    <t>="@@"&amp;H75</t>
  </si>
  <si>
    <t>=-NL("Sum","5802 Value Entry","14 Invoiced Quantity","4 Item Ledger Entry Type","Sale","3 Posting Date",$I$4,"2 Item No.",$E75)</t>
  </si>
  <si>
    <t>=NL("Sum","5802 Value Entry","17 Sales Amount (Actual)","4 Item Ledger Entry Type","Sale","3 Posting Date",$I$4,"2 Item No.",$E75)</t>
  </si>
  <si>
    <t>=NL("Sum","5802 Value Entry","43 Cost Amount (Actual)","4 Item Ledger Entry Type","Sale","3 Posting Date",$I$4,"2 Item No.",$E75,"105 Entry Type","&lt;&gt;Revaluation")</t>
  </si>
  <si>
    <t>=K75+L75</t>
  </si>
  <si>
    <t>=IF(K75=0,"",M75/K75)</t>
  </si>
  <si>
    <t>="@@"&amp;$Q75</t>
  </si>
  <si>
    <t>=OFFSET($H$124,C75-1,0)</t>
  </si>
  <si>
    <t>=NL("First","27 Item","3 Description","1 No.",P75)</t>
  </si>
  <si>
    <t>=-NL("Sum","5802 Value Entry","14 Invoiced Quantity","4 Item Ledger Entry Type","Sale","3 Posting Date",$I$4,"2 Item No.",$P75)</t>
  </si>
  <si>
    <t>=NL("Sum","5802 Value Entry","17 Sales Amount (Actual)","4 Item Ledger Entry Type","Sale","3 Posting Date",$I$4,"2 Item No.",$P75)</t>
  </si>
  <si>
    <t>=NL("Sum","5802 Value Entry","43 Cost Amount (Actual)","4 Item Ledger Entry Type","Sale","3 Posting Date",$I$4,"2 Item No.",$P75,"105 Entry Type","&lt;&gt;Revaluation")</t>
  </si>
  <si>
    <t>=T75+U75</t>
  </si>
  <si>
    <t>=IF(T75=0,"",V75/T75)</t>
  </si>
  <si>
    <t>=C75+1</t>
  </si>
  <si>
    <t>="@@"&amp;H76</t>
  </si>
  <si>
    <t>=-NL("Sum","5802 Value Entry","14 Invoiced Quantity","4 Item Ledger Entry Type","Sale","3 Posting Date",$I$4,"2 Item No.",$E76)</t>
  </si>
  <si>
    <t>=NL("Sum","5802 Value Entry","17 Sales Amount (Actual)","4 Item Ledger Entry Type","Sale","3 Posting Date",$I$4,"2 Item No.",$E76)</t>
  </si>
  <si>
    <t>=NL("Sum","5802 Value Entry","43 Cost Amount (Actual)","4 Item Ledger Entry Type","Sale","3 Posting Date",$I$4,"2 Item No.",$E76,"105 Entry Type","&lt;&gt;Revaluation")</t>
  </si>
  <si>
    <t>=K76+L76</t>
  </si>
  <si>
    <t>=IF(K76=0,"",M76/K76)</t>
  </si>
  <si>
    <t>="@@"&amp;$Q76</t>
  </si>
  <si>
    <t>=OFFSET($H$124,C76-1,0)</t>
  </si>
  <si>
    <t>=NL("First","27 Item","3 Description","1 No.",P76)</t>
  </si>
  <si>
    <t>=-NL("Sum","5802 Value Entry","14 Invoiced Quantity","4 Item Ledger Entry Type","Sale","3 Posting Date",$I$4,"2 Item No.",$P76)</t>
  </si>
  <si>
    <t>=NL("Sum","5802 Value Entry","17 Sales Amount (Actual)","4 Item Ledger Entry Type","Sale","3 Posting Date",$I$4,"2 Item No.",$P76)</t>
  </si>
  <si>
    <t>=NL("Sum","5802 Value Entry","43 Cost Amount (Actual)","4 Item Ledger Entry Type","Sale","3 Posting Date",$I$4,"2 Item No.",$P76,"105 Entry Type","&lt;&gt;Revaluation")</t>
  </si>
  <si>
    <t>=T76+U76</t>
  </si>
  <si>
    <t>=IF(T76=0,"",V76/T76)</t>
  </si>
  <si>
    <t>=C76+1</t>
  </si>
  <si>
    <t>="@@"&amp;H77</t>
  </si>
  <si>
    <t>=-NL("Sum","5802 Value Entry","14 Invoiced Quantity","4 Item Ledger Entry Type","Sale","3 Posting Date",$I$4,"2 Item No.",$E77)</t>
  </si>
  <si>
    <t>=NL("Sum","5802 Value Entry","17 Sales Amount (Actual)","4 Item Ledger Entry Type","Sale","3 Posting Date",$I$4,"2 Item No.",$E77)</t>
  </si>
  <si>
    <t>=NL("Sum","5802 Value Entry","43 Cost Amount (Actual)","4 Item Ledger Entry Type","Sale","3 Posting Date",$I$4,"2 Item No.",$E77,"105 Entry Type","&lt;&gt;Revaluation")</t>
  </si>
  <si>
    <t>=K77+L77</t>
  </si>
  <si>
    <t>=IF(K77=0,"",M77/K77)</t>
  </si>
  <si>
    <t>="@@"&amp;$Q77</t>
  </si>
  <si>
    <t>=OFFSET($H$124,C77-1,0)</t>
  </si>
  <si>
    <t>=NL("First","27 Item","3 Description","1 No.",P77)</t>
  </si>
  <si>
    <t>=-NL("Sum","5802 Value Entry","14 Invoiced Quantity","4 Item Ledger Entry Type","Sale","3 Posting Date",$I$4,"2 Item No.",$P77)</t>
  </si>
  <si>
    <t>=NL("Sum","5802 Value Entry","17 Sales Amount (Actual)","4 Item Ledger Entry Type","Sale","3 Posting Date",$I$4,"2 Item No.",$P77)</t>
  </si>
  <si>
    <t>=NL("Sum","5802 Value Entry","43 Cost Amount (Actual)","4 Item Ledger Entry Type","Sale","3 Posting Date",$I$4,"2 Item No.",$P77,"105 Entry Type","&lt;&gt;Revaluation")</t>
  </si>
  <si>
    <t>=T77+U77</t>
  </si>
  <si>
    <t>=IF(T77=0,"",V77/T77)</t>
  </si>
  <si>
    <t>=C77+1</t>
  </si>
  <si>
    <t>="@@"&amp;H78</t>
  </si>
  <si>
    <t>=-NL("Sum","5802 Value Entry","14 Invoiced Quantity","4 Item Ledger Entry Type","Sale","3 Posting Date",$I$4,"2 Item No.",$E78)</t>
  </si>
  <si>
    <t>=NL("Sum","5802 Value Entry","17 Sales Amount (Actual)","4 Item Ledger Entry Type","Sale","3 Posting Date",$I$4,"2 Item No.",$E78)</t>
  </si>
  <si>
    <t>=NL("Sum","5802 Value Entry","43 Cost Amount (Actual)","4 Item Ledger Entry Type","Sale","3 Posting Date",$I$4,"2 Item No.",$E78,"105 Entry Type","&lt;&gt;Revaluation")</t>
  </si>
  <si>
    <t>=K78+L78</t>
  </si>
  <si>
    <t>=IF(K78=0,"",M78/K78)</t>
  </si>
  <si>
    <t>="@@"&amp;$Q78</t>
  </si>
  <si>
    <t>=OFFSET($H$124,C78-1,0)</t>
  </si>
  <si>
    <t>=NL("First","27 Item","3 Description","1 No.",P78)</t>
  </si>
  <si>
    <t>=-NL("Sum","5802 Value Entry","14 Invoiced Quantity","4 Item Ledger Entry Type","Sale","3 Posting Date",$I$4,"2 Item No.",$P78)</t>
  </si>
  <si>
    <t>=NL("Sum","5802 Value Entry","17 Sales Amount (Actual)","4 Item Ledger Entry Type","Sale","3 Posting Date",$I$4,"2 Item No.",$P78)</t>
  </si>
  <si>
    <t>=NL("Sum","5802 Value Entry","43 Cost Amount (Actual)","4 Item Ledger Entry Type","Sale","3 Posting Date",$I$4,"2 Item No.",$P78,"105 Entry Type","&lt;&gt;Revaluation")</t>
  </si>
  <si>
    <t>=T78+U78</t>
  </si>
  <si>
    <t>=IF(T78=0,"",V78/T78)</t>
  </si>
  <si>
    <t>=C78+1</t>
  </si>
  <si>
    <t>="@@"&amp;H79</t>
  </si>
  <si>
    <t>=-NL("Sum","5802 Value Entry","14 Invoiced Quantity","4 Item Ledger Entry Type","Sale","3 Posting Date",$I$4,"2 Item No.",$E79)</t>
  </si>
  <si>
    <t>=NL("Sum","5802 Value Entry","17 Sales Amount (Actual)","4 Item Ledger Entry Type","Sale","3 Posting Date",$I$4,"2 Item No.",$E79)</t>
  </si>
  <si>
    <t>=NL("Sum","5802 Value Entry","43 Cost Amount (Actual)","4 Item Ledger Entry Type","Sale","3 Posting Date",$I$4,"2 Item No.",$E79,"105 Entry Type","&lt;&gt;Revaluation")</t>
  </si>
  <si>
    <t>=K79+L79</t>
  </si>
  <si>
    <t>=IF(K79=0,"",M79/K79)</t>
  </si>
  <si>
    <t>="@@"&amp;$Q79</t>
  </si>
  <si>
    <t>=OFFSET($H$124,C79-1,0)</t>
  </si>
  <si>
    <t>=NL("First","27 Item","3 Description","1 No.",P79)</t>
  </si>
  <si>
    <t>=-NL("Sum","5802 Value Entry","14 Invoiced Quantity","4 Item Ledger Entry Type","Sale","3 Posting Date",$I$4,"2 Item No.",$P79)</t>
  </si>
  <si>
    <t>=NL("Sum","5802 Value Entry","17 Sales Amount (Actual)","4 Item Ledger Entry Type","Sale","3 Posting Date",$I$4,"2 Item No.",$P79)</t>
  </si>
  <si>
    <t>=NL("Sum","5802 Value Entry","43 Cost Amount (Actual)","4 Item Ledger Entry Type","Sale","3 Posting Date",$I$4,"2 Item No.",$P79,"105 Entry Type","&lt;&gt;Revaluation")</t>
  </si>
  <si>
    <t>=T79+U79</t>
  </si>
  <si>
    <t>=IF(T79=0,"",V79/T79)</t>
  </si>
  <si>
    <t>=C79+1</t>
  </si>
  <si>
    <t>="@@"&amp;H80</t>
  </si>
  <si>
    <t>=-NL("Sum","5802 Value Entry","14 Invoiced Quantity","4 Item Ledger Entry Type","Sale","3 Posting Date",$I$4,"2 Item No.",$E80)</t>
  </si>
  <si>
    <t>=NL("Sum","5802 Value Entry","17 Sales Amount (Actual)","4 Item Ledger Entry Type","Sale","3 Posting Date",$I$4,"2 Item No.",$E80)</t>
  </si>
  <si>
    <t>=NL("Sum","5802 Value Entry","43 Cost Amount (Actual)","4 Item Ledger Entry Type","Sale","3 Posting Date",$I$4,"2 Item No.",$E80,"105 Entry Type","&lt;&gt;Revaluation")</t>
  </si>
  <si>
    <t>=K80+L80</t>
  </si>
  <si>
    <t>=IF(K80=0,"",M80/K80)</t>
  </si>
  <si>
    <t>="@@"&amp;$Q80</t>
  </si>
  <si>
    <t>=OFFSET($H$124,C80-1,0)</t>
  </si>
  <si>
    <t>=NL("First","27 Item","3 Description","1 No.",P80)</t>
  </si>
  <si>
    <t>=-NL("Sum","5802 Value Entry","14 Invoiced Quantity","4 Item Ledger Entry Type","Sale","3 Posting Date",$I$4,"2 Item No.",$P80)</t>
  </si>
  <si>
    <t>=NL("Sum","5802 Value Entry","17 Sales Amount (Actual)","4 Item Ledger Entry Type","Sale","3 Posting Date",$I$4,"2 Item No.",$P80)</t>
  </si>
  <si>
    <t>=NL("Sum","5802 Value Entry","43 Cost Amount (Actual)","4 Item Ledger Entry Type","Sale","3 Posting Date",$I$4,"2 Item No.",$P80,"105 Entry Type","&lt;&gt;Revaluation")</t>
  </si>
  <si>
    <t>=T80+U80</t>
  </si>
  <si>
    <t>=IF(T80=0,"",V80/T80)</t>
  </si>
  <si>
    <t>=C80+1</t>
  </si>
  <si>
    <t>="@@"&amp;H81</t>
  </si>
  <si>
    <t>=-NL("Sum","5802 Value Entry","14 Invoiced Quantity","4 Item Ledger Entry Type","Sale","3 Posting Date",$I$4,"2 Item No.",$E81)</t>
  </si>
  <si>
    <t>=NL("Sum","5802 Value Entry","17 Sales Amount (Actual)","4 Item Ledger Entry Type","Sale","3 Posting Date",$I$4,"2 Item No.",$E81)</t>
  </si>
  <si>
    <t>=NL("Sum","5802 Value Entry","43 Cost Amount (Actual)","4 Item Ledger Entry Type","Sale","3 Posting Date",$I$4,"2 Item No.",$E81,"105 Entry Type","&lt;&gt;Revaluation")</t>
  </si>
  <si>
    <t>=K81+L81</t>
  </si>
  <si>
    <t>=IF(K81=0,"",M81/K81)</t>
  </si>
  <si>
    <t>="@@"&amp;$Q81</t>
  </si>
  <si>
    <t>=OFFSET($H$124,C81-1,0)</t>
  </si>
  <si>
    <t>=NL("First","27 Item","3 Description","1 No.",P81)</t>
  </si>
  <si>
    <t>=-NL("Sum","5802 Value Entry","14 Invoiced Quantity","4 Item Ledger Entry Type","Sale","3 Posting Date",$I$4,"2 Item No.",$P81)</t>
  </si>
  <si>
    <t>=NL("Sum","5802 Value Entry","17 Sales Amount (Actual)","4 Item Ledger Entry Type","Sale","3 Posting Date",$I$4,"2 Item No.",$P81)</t>
  </si>
  <si>
    <t>=NL("Sum","5802 Value Entry","43 Cost Amount (Actual)","4 Item Ledger Entry Type","Sale","3 Posting Date",$I$4,"2 Item No.",$P81,"105 Entry Type","&lt;&gt;Revaluation")</t>
  </si>
  <si>
    <t>=T81+U81</t>
  </si>
  <si>
    <t>=IF(T81=0,"",V81/T81)</t>
  </si>
  <si>
    <t>=C81+1</t>
  </si>
  <si>
    <t>="@@"&amp;H82</t>
  </si>
  <si>
    <t>=-NL("Sum","5802 Value Entry","14 Invoiced Quantity","4 Item Ledger Entry Type","Sale","3 Posting Date",$I$4,"2 Item No.",$E82)</t>
  </si>
  <si>
    <t>=NL("Sum","5802 Value Entry","17 Sales Amount (Actual)","4 Item Ledger Entry Type","Sale","3 Posting Date",$I$4,"2 Item No.",$E82)</t>
  </si>
  <si>
    <t>=NL("Sum","5802 Value Entry","43 Cost Amount (Actual)","4 Item Ledger Entry Type","Sale","3 Posting Date",$I$4,"2 Item No.",$E82,"105 Entry Type","&lt;&gt;Revaluation")</t>
  </si>
  <si>
    <t>=K82+L82</t>
  </si>
  <si>
    <t>=IF(K82=0,"",M82/K82)</t>
  </si>
  <si>
    <t>="@@"&amp;$Q82</t>
  </si>
  <si>
    <t>=OFFSET($H$124,C82-1,0)</t>
  </si>
  <si>
    <t>=NL("First","27 Item","3 Description","1 No.",P82)</t>
  </si>
  <si>
    <t>=-NL("Sum","5802 Value Entry","14 Invoiced Quantity","4 Item Ledger Entry Type","Sale","3 Posting Date",$I$4,"2 Item No.",$P82)</t>
  </si>
  <si>
    <t>=NL("Sum","5802 Value Entry","17 Sales Amount (Actual)","4 Item Ledger Entry Type","Sale","3 Posting Date",$I$4,"2 Item No.",$P82)</t>
  </si>
  <si>
    <t>=NL("Sum","5802 Value Entry","43 Cost Amount (Actual)","4 Item Ledger Entry Type","Sale","3 Posting Date",$I$4,"2 Item No.",$P82,"105 Entry Type","&lt;&gt;Revaluation")</t>
  </si>
  <si>
    <t>=T82+U82</t>
  </si>
  <si>
    <t>=IF(T82=0,"",V82/T82)</t>
  </si>
  <si>
    <t>=C82+1</t>
  </si>
  <si>
    <t>="@@"&amp;H83</t>
  </si>
  <si>
    <t>=-NL("Sum","5802 Value Entry","14 Invoiced Quantity","4 Item Ledger Entry Type","Sale","3 Posting Date",$I$4,"2 Item No.",$E83)</t>
  </si>
  <si>
    <t>=NL("Sum","5802 Value Entry","17 Sales Amount (Actual)","4 Item Ledger Entry Type","Sale","3 Posting Date",$I$4,"2 Item No.",$E83)</t>
  </si>
  <si>
    <t>=NL("Sum","5802 Value Entry","43 Cost Amount (Actual)","4 Item Ledger Entry Type","Sale","3 Posting Date",$I$4,"2 Item No.",$E83,"105 Entry Type","&lt;&gt;Revaluation")</t>
  </si>
  <si>
    <t>=K83+L83</t>
  </si>
  <si>
    <t>=IF(K83=0,"",M83/K83)</t>
  </si>
  <si>
    <t>="@@"&amp;$Q83</t>
  </si>
  <si>
    <t>=OFFSET($H$124,C83-1,0)</t>
  </si>
  <si>
    <t>=NL("First","27 Item","3 Description","1 No.",P83)</t>
  </si>
  <si>
    <t>=-NL("Sum","5802 Value Entry","14 Invoiced Quantity","4 Item Ledger Entry Type","Sale","3 Posting Date",$I$4,"2 Item No.",$P83)</t>
  </si>
  <si>
    <t>=NL("Sum","5802 Value Entry","17 Sales Amount (Actual)","4 Item Ledger Entry Type","Sale","3 Posting Date",$I$4,"2 Item No.",$P83)</t>
  </si>
  <si>
    <t>=NL("Sum","5802 Value Entry","43 Cost Amount (Actual)","4 Item Ledger Entry Type","Sale","3 Posting Date",$I$4,"2 Item No.",$P83,"105 Entry Type","&lt;&gt;Revaluation")</t>
  </si>
  <si>
    <t>=T83+U83</t>
  </si>
  <si>
    <t>=IF(T83=0,"",V83/T83)</t>
  </si>
  <si>
    <t>=C83+1</t>
  </si>
  <si>
    <t>="@@"&amp;H84</t>
  </si>
  <si>
    <t>=-NL("Sum","5802 Value Entry","14 Invoiced Quantity","4 Item Ledger Entry Type","Sale","3 Posting Date",$I$4,"2 Item No.",$E84)</t>
  </si>
  <si>
    <t>=NL("Sum","5802 Value Entry","17 Sales Amount (Actual)","4 Item Ledger Entry Type","Sale","3 Posting Date",$I$4,"2 Item No.",$E84)</t>
  </si>
  <si>
    <t>=NL("Sum","5802 Value Entry","43 Cost Amount (Actual)","4 Item Ledger Entry Type","Sale","3 Posting Date",$I$4,"2 Item No.",$E84,"105 Entry Type","&lt;&gt;Revaluation")</t>
  </si>
  <si>
    <t>=K84+L84</t>
  </si>
  <si>
    <t>=IF(K84=0,"",M84/K84)</t>
  </si>
  <si>
    <t>="@@"&amp;$Q84</t>
  </si>
  <si>
    <t>=OFFSET($H$124,C84-1,0)</t>
  </si>
  <si>
    <t>=NL("First","27 Item","3 Description","1 No.",P84)</t>
  </si>
  <si>
    <t>=-NL("Sum","5802 Value Entry","14 Invoiced Quantity","4 Item Ledger Entry Type","Sale","3 Posting Date",$I$4,"2 Item No.",$P84)</t>
  </si>
  <si>
    <t>=NL("Sum","5802 Value Entry","17 Sales Amount (Actual)","4 Item Ledger Entry Type","Sale","3 Posting Date",$I$4,"2 Item No.",$P84)</t>
  </si>
  <si>
    <t>=NL("Sum","5802 Value Entry","43 Cost Amount (Actual)","4 Item Ledger Entry Type","Sale","3 Posting Date",$I$4,"2 Item No.",$P84,"105 Entry Type","&lt;&gt;Revaluation")</t>
  </si>
  <si>
    <t>=T84+U84</t>
  </si>
  <si>
    <t>=IF(T84=0,"",V84/T84)</t>
  </si>
  <si>
    <t>=C84+1</t>
  </si>
  <si>
    <t>="@@"&amp;H85</t>
  </si>
  <si>
    <t>=-NL("Sum","5802 Value Entry","14 Invoiced Quantity","4 Item Ledger Entry Type","Sale","3 Posting Date",$I$4,"2 Item No.",$E85)</t>
  </si>
  <si>
    <t>=NL("Sum","5802 Value Entry","17 Sales Amount (Actual)","4 Item Ledger Entry Type","Sale","3 Posting Date",$I$4,"2 Item No.",$E85)</t>
  </si>
  <si>
    <t>=NL("Sum","5802 Value Entry","43 Cost Amount (Actual)","4 Item Ledger Entry Type","Sale","3 Posting Date",$I$4,"2 Item No.",$E85,"105 Entry Type","&lt;&gt;Revaluation")</t>
  </si>
  <si>
    <t>=K85+L85</t>
  </si>
  <si>
    <t>=IF(K85=0,"",M85/K85)</t>
  </si>
  <si>
    <t>="@@"&amp;$Q85</t>
  </si>
  <si>
    <t>=OFFSET($H$124,C85-1,0)</t>
  </si>
  <si>
    <t>=NL("First","27 Item","3 Description","1 No.",P85)</t>
  </si>
  <si>
    <t>=-NL("Sum","5802 Value Entry","14 Invoiced Quantity","4 Item Ledger Entry Type","Sale","3 Posting Date",$I$4,"2 Item No.",$P85)</t>
  </si>
  <si>
    <t>=NL("Sum","5802 Value Entry","17 Sales Amount (Actual)","4 Item Ledger Entry Type","Sale","3 Posting Date",$I$4,"2 Item No.",$P85)</t>
  </si>
  <si>
    <t>=NL("Sum","5802 Value Entry","43 Cost Amount (Actual)","4 Item Ledger Entry Type","Sale","3 Posting Date",$I$4,"2 Item No.",$P85,"105 Entry Type","&lt;&gt;Revaluation")</t>
  </si>
  <si>
    <t>=T85+U85</t>
  </si>
  <si>
    <t>=IF(T85=0,"",V85/T85)</t>
  </si>
  <si>
    <t>=C85+1</t>
  </si>
  <si>
    <t>="@@"&amp;H86</t>
  </si>
  <si>
    <t>=-NL("Sum","5802 Value Entry","14 Invoiced Quantity","4 Item Ledger Entry Type","Sale","3 Posting Date",$I$4,"2 Item No.",$E86)</t>
  </si>
  <si>
    <t>=NL("Sum","5802 Value Entry","17 Sales Amount (Actual)","4 Item Ledger Entry Type","Sale","3 Posting Date",$I$4,"2 Item No.",$E86)</t>
  </si>
  <si>
    <t>=NL("Sum","5802 Value Entry","43 Cost Amount (Actual)","4 Item Ledger Entry Type","Sale","3 Posting Date",$I$4,"2 Item No.",$E86,"105 Entry Type","&lt;&gt;Revaluation")</t>
  </si>
  <si>
    <t>=K86+L86</t>
  </si>
  <si>
    <t>=IF(K86=0,"",M86/K86)</t>
  </si>
  <si>
    <t>="@@"&amp;$Q86</t>
  </si>
  <si>
    <t>=OFFSET($H$124,C86-1,0)</t>
  </si>
  <si>
    <t>=NL("First","27 Item","3 Description","1 No.",P86)</t>
  </si>
  <si>
    <t>=-NL("Sum","5802 Value Entry","14 Invoiced Quantity","4 Item Ledger Entry Type","Sale","3 Posting Date",$I$4,"2 Item No.",$P86)</t>
  </si>
  <si>
    <t>=NL("Sum","5802 Value Entry","17 Sales Amount (Actual)","4 Item Ledger Entry Type","Sale","3 Posting Date",$I$4,"2 Item No.",$P86)</t>
  </si>
  <si>
    <t>=NL("Sum","5802 Value Entry","43 Cost Amount (Actual)","4 Item Ledger Entry Type","Sale","3 Posting Date",$I$4,"2 Item No.",$P86,"105 Entry Type","&lt;&gt;Revaluation")</t>
  </si>
  <si>
    <t>=T86+U86</t>
  </si>
  <si>
    <t>=IF(T86=0,"",V86/T86)</t>
  </si>
  <si>
    <t>=C86+1</t>
  </si>
  <si>
    <t>="@@"&amp;H87</t>
  </si>
  <si>
    <t>=-NL("Sum","5802 Value Entry","14 Invoiced Quantity","4 Item Ledger Entry Type","Sale","3 Posting Date",$I$4,"2 Item No.",$E87)</t>
  </si>
  <si>
    <t>=NL("Sum","5802 Value Entry","17 Sales Amount (Actual)","4 Item Ledger Entry Type","Sale","3 Posting Date",$I$4,"2 Item No.",$E87)</t>
  </si>
  <si>
    <t>=NL("Sum","5802 Value Entry","43 Cost Amount (Actual)","4 Item Ledger Entry Type","Sale","3 Posting Date",$I$4,"2 Item No.",$E87,"105 Entry Type","&lt;&gt;Revaluation")</t>
  </si>
  <si>
    <t>=K87+L87</t>
  </si>
  <si>
    <t>=IF(K87=0,"",M87/K87)</t>
  </si>
  <si>
    <t>="@@"&amp;$Q87</t>
  </si>
  <si>
    <t>=OFFSET($H$124,C87-1,0)</t>
  </si>
  <si>
    <t>=NL("First","27 Item","3 Description","1 No.",P87)</t>
  </si>
  <si>
    <t>=-NL("Sum","5802 Value Entry","14 Invoiced Quantity","4 Item Ledger Entry Type","Sale","3 Posting Date",$I$4,"2 Item No.",$P87)</t>
  </si>
  <si>
    <t>=NL("Sum","5802 Value Entry","17 Sales Amount (Actual)","4 Item Ledger Entry Type","Sale","3 Posting Date",$I$4,"2 Item No.",$P87)</t>
  </si>
  <si>
    <t>=NL("Sum","5802 Value Entry","43 Cost Amount (Actual)","4 Item Ledger Entry Type","Sale","3 Posting Date",$I$4,"2 Item No.",$P87,"105 Entry Type","&lt;&gt;Revaluation")</t>
  </si>
  <si>
    <t>=T87+U87</t>
  </si>
  <si>
    <t>=IF(T87=0,"",V87/T87)</t>
  </si>
  <si>
    <t>=C87+1</t>
  </si>
  <si>
    <t>="@@"&amp;H88</t>
  </si>
  <si>
    <t>=-NL("Sum","5802 Value Entry","14 Invoiced Quantity","4 Item Ledger Entry Type","Sale","3 Posting Date",$I$4,"2 Item No.",$E88)</t>
  </si>
  <si>
    <t>=NL("Sum","5802 Value Entry","17 Sales Amount (Actual)","4 Item Ledger Entry Type","Sale","3 Posting Date",$I$4,"2 Item No.",$E88)</t>
  </si>
  <si>
    <t>=NL("Sum","5802 Value Entry","43 Cost Amount (Actual)","4 Item Ledger Entry Type","Sale","3 Posting Date",$I$4,"2 Item No.",$E88,"105 Entry Type","&lt;&gt;Revaluation")</t>
  </si>
  <si>
    <t>=K88+L88</t>
  </si>
  <si>
    <t>=IF(K88=0,"",M88/K88)</t>
  </si>
  <si>
    <t>="@@"&amp;$Q88</t>
  </si>
  <si>
    <t>=OFFSET($H$124,C88-1,0)</t>
  </si>
  <si>
    <t>=NL("First","27 Item","3 Description","1 No.",P88)</t>
  </si>
  <si>
    <t>=-NL("Sum","5802 Value Entry","14 Invoiced Quantity","4 Item Ledger Entry Type","Sale","3 Posting Date",$I$4,"2 Item No.",$P88)</t>
  </si>
  <si>
    <t>=NL("Sum","5802 Value Entry","17 Sales Amount (Actual)","4 Item Ledger Entry Type","Sale","3 Posting Date",$I$4,"2 Item No.",$P88)</t>
  </si>
  <si>
    <t>=NL("Sum","5802 Value Entry","43 Cost Amount (Actual)","4 Item Ledger Entry Type","Sale","3 Posting Date",$I$4,"2 Item No.",$P88,"105 Entry Type","&lt;&gt;Revaluation")</t>
  </si>
  <si>
    <t>=T88+U88</t>
  </si>
  <si>
    <t>=IF(T88=0,"",V88/T88)</t>
  </si>
  <si>
    <t>=C88+1</t>
  </si>
  <si>
    <t>="@@"&amp;H89</t>
  </si>
  <si>
    <t>=-NL("Sum","5802 Value Entry","14 Invoiced Quantity","4 Item Ledger Entry Type","Sale","3 Posting Date",$I$4,"2 Item No.",$E89)</t>
  </si>
  <si>
    <t>=NL("Sum","5802 Value Entry","17 Sales Amount (Actual)","4 Item Ledger Entry Type","Sale","3 Posting Date",$I$4,"2 Item No.",$E89)</t>
  </si>
  <si>
    <t>=NL("Sum","5802 Value Entry","43 Cost Amount (Actual)","4 Item Ledger Entry Type","Sale","3 Posting Date",$I$4,"2 Item No.",$E89,"105 Entry Type","&lt;&gt;Revaluation")</t>
  </si>
  <si>
    <t>=K89+L89</t>
  </si>
  <si>
    <t>=IF(K89=0,"",M89/K89)</t>
  </si>
  <si>
    <t>="@@"&amp;$Q89</t>
  </si>
  <si>
    <t>=OFFSET($H$124,C89-1,0)</t>
  </si>
  <si>
    <t>=NL("First","27 Item","3 Description","1 No.",P89)</t>
  </si>
  <si>
    <t>=-NL("Sum","5802 Value Entry","14 Invoiced Quantity","4 Item Ledger Entry Type","Sale","3 Posting Date",$I$4,"2 Item No.",$P89)</t>
  </si>
  <si>
    <t>=NL("Sum","5802 Value Entry","17 Sales Amount (Actual)","4 Item Ledger Entry Type","Sale","3 Posting Date",$I$4,"2 Item No.",$P89)</t>
  </si>
  <si>
    <t>=NL("Sum","5802 Value Entry","43 Cost Amount (Actual)","4 Item Ledger Entry Type","Sale","3 Posting Date",$I$4,"2 Item No.",$P89,"105 Entry Type","&lt;&gt;Revaluation")</t>
  </si>
  <si>
    <t>=T89+U89</t>
  </si>
  <si>
    <t>=IF(T89=0,"",V89/T89)</t>
  </si>
  <si>
    <t>=C89+1</t>
  </si>
  <si>
    <t>="@@"&amp;H90</t>
  </si>
  <si>
    <t>=-NL("Sum","5802 Value Entry","14 Invoiced Quantity","4 Item Ledger Entry Type","Sale","3 Posting Date",$I$4,"2 Item No.",$E90)</t>
  </si>
  <si>
    <t>=NL("Sum","5802 Value Entry","17 Sales Amount (Actual)","4 Item Ledger Entry Type","Sale","3 Posting Date",$I$4,"2 Item No.",$E90)</t>
  </si>
  <si>
    <t>=NL("Sum","5802 Value Entry","43 Cost Amount (Actual)","4 Item Ledger Entry Type","Sale","3 Posting Date",$I$4,"2 Item No.",$E90,"105 Entry Type","&lt;&gt;Revaluation")</t>
  </si>
  <si>
    <t>=K90+L90</t>
  </si>
  <si>
    <t>=IF(K90=0,"",M90/K90)</t>
  </si>
  <si>
    <t>="@@"&amp;$Q90</t>
  </si>
  <si>
    <t>=OFFSET($H$124,C90-1,0)</t>
  </si>
  <si>
    <t>=NL("First","27 Item","3 Description","1 No.",P90)</t>
  </si>
  <si>
    <t>=-NL("Sum","5802 Value Entry","14 Invoiced Quantity","4 Item Ledger Entry Type","Sale","3 Posting Date",$I$4,"2 Item No.",$P90)</t>
  </si>
  <si>
    <t>=NL("Sum","5802 Value Entry","17 Sales Amount (Actual)","4 Item Ledger Entry Type","Sale","3 Posting Date",$I$4,"2 Item No.",$P90)</t>
  </si>
  <si>
    <t>=NL("Sum","5802 Value Entry","43 Cost Amount (Actual)","4 Item Ledger Entry Type","Sale","3 Posting Date",$I$4,"2 Item No.",$P90,"105 Entry Type","&lt;&gt;Revaluation")</t>
  </si>
  <si>
    <t>=T90+U90</t>
  </si>
  <si>
    <t>=IF(T90=0,"",V90/T90)</t>
  </si>
  <si>
    <t>=C90+1</t>
  </si>
  <si>
    <t>="@@"&amp;H91</t>
  </si>
  <si>
    <t>=-NL("Sum","5802 Value Entry","14 Invoiced Quantity","4 Item Ledger Entry Type","Sale","3 Posting Date",$I$4,"2 Item No.",$E91)</t>
  </si>
  <si>
    <t>=NL("Sum","5802 Value Entry","17 Sales Amount (Actual)","4 Item Ledger Entry Type","Sale","3 Posting Date",$I$4,"2 Item No.",$E91)</t>
  </si>
  <si>
    <t>=NL("Sum","5802 Value Entry","43 Cost Amount (Actual)","4 Item Ledger Entry Type","Sale","3 Posting Date",$I$4,"2 Item No.",$E91,"105 Entry Type","&lt;&gt;Revaluation")</t>
  </si>
  <si>
    <t>=K91+L91</t>
  </si>
  <si>
    <t>=IF(K91=0,"",M91/K91)</t>
  </si>
  <si>
    <t>="@@"&amp;$Q91</t>
  </si>
  <si>
    <t>=OFFSET($H$124,C91-1,0)</t>
  </si>
  <si>
    <t>=NL("First","27 Item","3 Description","1 No.",P91)</t>
  </si>
  <si>
    <t>=-NL("Sum","5802 Value Entry","14 Invoiced Quantity","4 Item Ledger Entry Type","Sale","3 Posting Date",$I$4,"2 Item No.",$P91)</t>
  </si>
  <si>
    <t>=NL("Sum","5802 Value Entry","17 Sales Amount (Actual)","4 Item Ledger Entry Type","Sale","3 Posting Date",$I$4,"2 Item No.",$P91)</t>
  </si>
  <si>
    <t>=NL("Sum","5802 Value Entry","43 Cost Amount (Actual)","4 Item Ledger Entry Type","Sale","3 Posting Date",$I$4,"2 Item No.",$P91,"105 Entry Type","&lt;&gt;Revaluation")</t>
  </si>
  <si>
    <t>=T91+U91</t>
  </si>
  <si>
    <t>=IF(T91=0,"",V91/T91)</t>
  </si>
  <si>
    <t>=C91+1</t>
  </si>
  <si>
    <t>="@@"&amp;H92</t>
  </si>
  <si>
    <t>=-NL("Sum","5802 Value Entry","14 Invoiced Quantity","4 Item Ledger Entry Type","Sale","3 Posting Date",$I$4,"2 Item No.",$E92)</t>
  </si>
  <si>
    <t>=NL("Sum","5802 Value Entry","17 Sales Amount (Actual)","4 Item Ledger Entry Type","Sale","3 Posting Date",$I$4,"2 Item No.",$E92)</t>
  </si>
  <si>
    <t>=NL("Sum","5802 Value Entry","43 Cost Amount (Actual)","4 Item Ledger Entry Type","Sale","3 Posting Date",$I$4,"2 Item No.",$E92,"105 Entry Type","&lt;&gt;Revaluation")</t>
  </si>
  <si>
    <t>=K92+L92</t>
  </si>
  <si>
    <t>=IF(K92=0,"",M92/K92)</t>
  </si>
  <si>
    <t>="@@"&amp;$Q92</t>
  </si>
  <si>
    <t>=OFFSET($H$124,C92-1,0)</t>
  </si>
  <si>
    <t>=NL("First","27 Item","3 Description","1 No.",P92)</t>
  </si>
  <si>
    <t>=-NL("Sum","5802 Value Entry","14 Invoiced Quantity","4 Item Ledger Entry Type","Sale","3 Posting Date",$I$4,"2 Item No.",$P92)</t>
  </si>
  <si>
    <t>=NL("Sum","5802 Value Entry","17 Sales Amount (Actual)","4 Item Ledger Entry Type","Sale","3 Posting Date",$I$4,"2 Item No.",$P92)</t>
  </si>
  <si>
    <t>=NL("Sum","5802 Value Entry","43 Cost Amount (Actual)","4 Item Ledger Entry Type","Sale","3 Posting Date",$I$4,"2 Item No.",$P92,"105 Entry Type","&lt;&gt;Revaluation")</t>
  </si>
  <si>
    <t>=T92+U92</t>
  </si>
  <si>
    <t>=IF(T92=0,"",V92/T92)</t>
  </si>
  <si>
    <t>=C92+1</t>
  </si>
  <si>
    <t>="@@"&amp;H93</t>
  </si>
  <si>
    <t>=-NL("Sum","5802 Value Entry","14 Invoiced Quantity","4 Item Ledger Entry Type","Sale","3 Posting Date",$I$4,"2 Item No.",$E93)</t>
  </si>
  <si>
    <t>=NL("Sum","5802 Value Entry","17 Sales Amount (Actual)","4 Item Ledger Entry Type","Sale","3 Posting Date",$I$4,"2 Item No.",$E93)</t>
  </si>
  <si>
    <t>=NL("Sum","5802 Value Entry","43 Cost Amount (Actual)","4 Item Ledger Entry Type","Sale","3 Posting Date",$I$4,"2 Item No.",$E93,"105 Entry Type","&lt;&gt;Revaluation")</t>
  </si>
  <si>
    <t>=K93+L93</t>
  </si>
  <si>
    <t>=IF(K93=0,"",M93/K93)</t>
  </si>
  <si>
    <t>="@@"&amp;$Q93</t>
  </si>
  <si>
    <t>=OFFSET($H$124,C93-1,0)</t>
  </si>
  <si>
    <t>=NL("First","27 Item","3 Description","1 No.",P93)</t>
  </si>
  <si>
    <t>=-NL("Sum","5802 Value Entry","14 Invoiced Quantity","4 Item Ledger Entry Type","Sale","3 Posting Date",$I$4,"2 Item No.",$P93)</t>
  </si>
  <si>
    <t>=NL("Sum","5802 Value Entry","17 Sales Amount (Actual)","4 Item Ledger Entry Type","Sale","3 Posting Date",$I$4,"2 Item No.",$P93)</t>
  </si>
  <si>
    <t>=NL("Sum","5802 Value Entry","43 Cost Amount (Actual)","4 Item Ledger Entry Type","Sale","3 Posting Date",$I$4,"2 Item No.",$P93,"105 Entry Type","&lt;&gt;Revaluation")</t>
  </si>
  <si>
    <t>=T93+U93</t>
  </si>
  <si>
    <t>=IF(T93=0,"",V93/T93)</t>
  </si>
  <si>
    <t>=C93+1</t>
  </si>
  <si>
    <t>="@@"&amp;H94</t>
  </si>
  <si>
    <t>=-NL("Sum","5802 Value Entry","14 Invoiced Quantity","4 Item Ledger Entry Type","Sale","3 Posting Date",$I$4,"2 Item No.",$E94)</t>
  </si>
  <si>
    <t>=NL("Sum","5802 Value Entry","17 Sales Amount (Actual)","4 Item Ledger Entry Type","Sale","3 Posting Date",$I$4,"2 Item No.",$E94)</t>
  </si>
  <si>
    <t>=NL("Sum","5802 Value Entry","43 Cost Amount (Actual)","4 Item Ledger Entry Type","Sale","3 Posting Date",$I$4,"2 Item No.",$E94,"105 Entry Type","&lt;&gt;Revaluation")</t>
  </si>
  <si>
    <t>=K94+L94</t>
  </si>
  <si>
    <t>=IF(K94=0,"",M94/K94)</t>
  </si>
  <si>
    <t>="@@"&amp;$Q94</t>
  </si>
  <si>
    <t>=OFFSET($H$124,C94-1,0)</t>
  </si>
  <si>
    <t>=NL("First","27 Item","3 Description","1 No.",P94)</t>
  </si>
  <si>
    <t>=-NL("Sum","5802 Value Entry","14 Invoiced Quantity","4 Item Ledger Entry Type","Sale","3 Posting Date",$I$4,"2 Item No.",$P94)</t>
  </si>
  <si>
    <t>=NL("Sum","5802 Value Entry","17 Sales Amount (Actual)","4 Item Ledger Entry Type","Sale","3 Posting Date",$I$4,"2 Item No.",$P94)</t>
  </si>
  <si>
    <t>=NL("Sum","5802 Value Entry","43 Cost Amount (Actual)","4 Item Ledger Entry Type","Sale","3 Posting Date",$I$4,"2 Item No.",$P94,"105 Entry Type","&lt;&gt;Revaluation")</t>
  </si>
  <si>
    <t>=T94+U94</t>
  </si>
  <si>
    <t>=IF(T94=0,"",V94/T94)</t>
  </si>
  <si>
    <t>=C94+1</t>
  </si>
  <si>
    <t>="@@"&amp;H95</t>
  </si>
  <si>
    <t>=-NL("Sum","5802 Value Entry","14 Invoiced Quantity","4 Item Ledger Entry Type","Sale","3 Posting Date",$I$4,"2 Item No.",$E95)</t>
  </si>
  <si>
    <t>=NL("Sum","5802 Value Entry","17 Sales Amount (Actual)","4 Item Ledger Entry Type","Sale","3 Posting Date",$I$4,"2 Item No.",$E95)</t>
  </si>
  <si>
    <t>=NL("Sum","5802 Value Entry","43 Cost Amount (Actual)","4 Item Ledger Entry Type","Sale","3 Posting Date",$I$4,"2 Item No.",$E95,"105 Entry Type","&lt;&gt;Revaluation")</t>
  </si>
  <si>
    <t>=K95+L95</t>
  </si>
  <si>
    <t>=IF(K95=0,"",M95/K95)</t>
  </si>
  <si>
    <t>="@@"&amp;$Q95</t>
  </si>
  <si>
    <t>=OFFSET($H$124,C95-1,0)</t>
  </si>
  <si>
    <t>=NL("First","27 Item","3 Description","1 No.",P95)</t>
  </si>
  <si>
    <t>=-NL("Sum","5802 Value Entry","14 Invoiced Quantity","4 Item Ledger Entry Type","Sale","3 Posting Date",$I$4,"2 Item No.",$P95)</t>
  </si>
  <si>
    <t>=NL("Sum","5802 Value Entry","17 Sales Amount (Actual)","4 Item Ledger Entry Type","Sale","3 Posting Date",$I$4,"2 Item No.",$P95)</t>
  </si>
  <si>
    <t>=NL("Sum","5802 Value Entry","43 Cost Amount (Actual)","4 Item Ledger Entry Type","Sale","3 Posting Date",$I$4,"2 Item No.",$P95,"105 Entry Type","&lt;&gt;Revaluation")</t>
  </si>
  <si>
    <t>=T95+U95</t>
  </si>
  <si>
    <t>=IF(T95=0,"",V95/T95)</t>
  </si>
  <si>
    <t>=C95+1</t>
  </si>
  <si>
    <t>="@@"&amp;H96</t>
  </si>
  <si>
    <t>=-NL("Sum","5802 Value Entry","14 Invoiced Quantity","4 Item Ledger Entry Type","Sale","3 Posting Date",$I$4,"2 Item No.",$E96)</t>
  </si>
  <si>
    <t>=NL("Sum","5802 Value Entry","17 Sales Amount (Actual)","4 Item Ledger Entry Type","Sale","3 Posting Date",$I$4,"2 Item No.",$E96)</t>
  </si>
  <si>
    <t>=NL("Sum","5802 Value Entry","43 Cost Amount (Actual)","4 Item Ledger Entry Type","Sale","3 Posting Date",$I$4,"2 Item No.",$E96,"105 Entry Type","&lt;&gt;Revaluation")</t>
  </si>
  <si>
    <t>=K96+L96</t>
  </si>
  <si>
    <t>=IF(K96=0,"",M96/K96)</t>
  </si>
  <si>
    <t>="@@"&amp;$Q96</t>
  </si>
  <si>
    <t>=OFFSET($H$124,C96-1,0)</t>
  </si>
  <si>
    <t>=NL("First","27 Item","3 Description","1 No.",P96)</t>
  </si>
  <si>
    <t>=-NL("Sum","5802 Value Entry","14 Invoiced Quantity","4 Item Ledger Entry Type","Sale","3 Posting Date",$I$4,"2 Item No.",$P96)</t>
  </si>
  <si>
    <t>=NL("Sum","5802 Value Entry","17 Sales Amount (Actual)","4 Item Ledger Entry Type","Sale","3 Posting Date",$I$4,"2 Item No.",$P96)</t>
  </si>
  <si>
    <t>=NL("Sum","5802 Value Entry","43 Cost Amount (Actual)","4 Item Ledger Entry Type","Sale","3 Posting Date",$I$4,"2 Item No.",$P96,"105 Entry Type","&lt;&gt;Revaluation")</t>
  </si>
  <si>
    <t>=T96+U96</t>
  </si>
  <si>
    <t>=IF(T96=0,"",V96/T96)</t>
  </si>
  <si>
    <t>=C96+1</t>
  </si>
  <si>
    <t>="@@"&amp;H97</t>
  </si>
  <si>
    <t>=-NL("Sum","5802 Value Entry","14 Invoiced Quantity","4 Item Ledger Entry Type","Sale","3 Posting Date",$I$4,"2 Item No.",$E97)</t>
  </si>
  <si>
    <t>=NL("Sum","5802 Value Entry","17 Sales Amount (Actual)","4 Item Ledger Entry Type","Sale","3 Posting Date",$I$4,"2 Item No.",$E97)</t>
  </si>
  <si>
    <t>=NL("Sum","5802 Value Entry","43 Cost Amount (Actual)","4 Item Ledger Entry Type","Sale","3 Posting Date",$I$4,"2 Item No.",$E97,"105 Entry Type","&lt;&gt;Revaluation")</t>
  </si>
  <si>
    <t>=K97+L97</t>
  </si>
  <si>
    <t>=IF(K97=0,"",M97/K97)</t>
  </si>
  <si>
    <t>="@@"&amp;$Q97</t>
  </si>
  <si>
    <t>=OFFSET($H$124,C97-1,0)</t>
  </si>
  <si>
    <t>=NL("First","27 Item","3 Description","1 No.",P97)</t>
  </si>
  <si>
    <t>=-NL("Sum","5802 Value Entry","14 Invoiced Quantity","4 Item Ledger Entry Type","Sale","3 Posting Date",$I$4,"2 Item No.",$P97)</t>
  </si>
  <si>
    <t>=NL("Sum","5802 Value Entry","17 Sales Amount (Actual)","4 Item Ledger Entry Type","Sale","3 Posting Date",$I$4,"2 Item No.",$P97)</t>
  </si>
  <si>
    <t>=NL("Sum","5802 Value Entry","43 Cost Amount (Actual)","4 Item Ledger Entry Type","Sale","3 Posting Date",$I$4,"2 Item No.",$P97,"105 Entry Type","&lt;&gt;Revaluation")</t>
  </si>
  <si>
    <t>=T97+U97</t>
  </si>
  <si>
    <t>=IF(T97=0,"",V97/T97)</t>
  </si>
  <si>
    <t>=C97+1</t>
  </si>
  <si>
    <t>="@@"&amp;H98</t>
  </si>
  <si>
    <t>=-NL("Sum","5802 Value Entry","14 Invoiced Quantity","4 Item Ledger Entry Type","Sale","3 Posting Date",$I$4,"2 Item No.",$E98)</t>
  </si>
  <si>
    <t>=NL("Sum","5802 Value Entry","17 Sales Amount (Actual)","4 Item Ledger Entry Type","Sale","3 Posting Date",$I$4,"2 Item No.",$E98)</t>
  </si>
  <si>
    <t>=NL("Sum","5802 Value Entry","43 Cost Amount (Actual)","4 Item Ledger Entry Type","Sale","3 Posting Date",$I$4,"2 Item No.",$E98,"105 Entry Type","&lt;&gt;Revaluation")</t>
  </si>
  <si>
    <t>=K98+L98</t>
  </si>
  <si>
    <t>=IF(K98=0,"",M98/K98)</t>
  </si>
  <si>
    <t>="@@"&amp;$Q98</t>
  </si>
  <si>
    <t>=OFFSET($H$124,C98-1,0)</t>
  </si>
  <si>
    <t>=NL("First","27 Item","3 Description","1 No.",P98)</t>
  </si>
  <si>
    <t>=-NL("Sum","5802 Value Entry","14 Invoiced Quantity","4 Item Ledger Entry Type","Sale","3 Posting Date",$I$4,"2 Item No.",$P98)</t>
  </si>
  <si>
    <t>=NL("Sum","5802 Value Entry","17 Sales Amount (Actual)","4 Item Ledger Entry Type","Sale","3 Posting Date",$I$4,"2 Item No.",$P98)</t>
  </si>
  <si>
    <t>=NL("Sum","5802 Value Entry","43 Cost Amount (Actual)","4 Item Ledger Entry Type","Sale","3 Posting Date",$I$4,"2 Item No.",$P98,"105 Entry Type","&lt;&gt;Revaluation")</t>
  </si>
  <si>
    <t>=T98+U98</t>
  </si>
  <si>
    <t>=IF(T98=0,"",V98/T98)</t>
  </si>
  <si>
    <t>=C98+1</t>
  </si>
  <si>
    <t>="@@"&amp;H99</t>
  </si>
  <si>
    <t>=-NL("Sum","5802 Value Entry","14 Invoiced Quantity","4 Item Ledger Entry Type","Sale","3 Posting Date",$I$4,"2 Item No.",$E99)</t>
  </si>
  <si>
    <t>=NL("Sum","5802 Value Entry","17 Sales Amount (Actual)","4 Item Ledger Entry Type","Sale","3 Posting Date",$I$4,"2 Item No.",$E99)</t>
  </si>
  <si>
    <t>=NL("Sum","5802 Value Entry","43 Cost Amount (Actual)","4 Item Ledger Entry Type","Sale","3 Posting Date",$I$4,"2 Item No.",$E99,"105 Entry Type","&lt;&gt;Revaluation")</t>
  </si>
  <si>
    <t>=K99+L99</t>
  </si>
  <si>
    <t>=IF(K99=0,"",M99/K99)</t>
  </si>
  <si>
    <t>="@@"&amp;$Q99</t>
  </si>
  <si>
    <t>=OFFSET($H$124,C99-1,0)</t>
  </si>
  <si>
    <t>=NL("First","27 Item","3 Description","1 No.",P99)</t>
  </si>
  <si>
    <t>=-NL("Sum","5802 Value Entry","14 Invoiced Quantity","4 Item Ledger Entry Type","Sale","3 Posting Date",$I$4,"2 Item No.",$P99)</t>
  </si>
  <si>
    <t>=NL("Sum","5802 Value Entry","17 Sales Amount (Actual)","4 Item Ledger Entry Type","Sale","3 Posting Date",$I$4,"2 Item No.",$P99)</t>
  </si>
  <si>
    <t>=NL("Sum","5802 Value Entry","43 Cost Amount (Actual)","4 Item Ledger Entry Type","Sale","3 Posting Date",$I$4,"2 Item No.",$P99,"105 Entry Type","&lt;&gt;Revaluation")</t>
  </si>
  <si>
    <t>=T99+U99</t>
  </si>
  <si>
    <t>=IF(T99=0,"",V99/T99)</t>
  </si>
  <si>
    <t>=C99+1</t>
  </si>
  <si>
    <t>="@@"&amp;H100</t>
  </si>
  <si>
    <t>=-NL("Sum","5802 Value Entry","14 Invoiced Quantity","4 Item Ledger Entry Type","Sale","3 Posting Date",$I$4,"2 Item No.",$E100)</t>
  </si>
  <si>
    <t>=NL("Sum","5802 Value Entry","17 Sales Amount (Actual)","4 Item Ledger Entry Type","Sale","3 Posting Date",$I$4,"2 Item No.",$E100)</t>
  </si>
  <si>
    <t>=NL("Sum","5802 Value Entry","43 Cost Amount (Actual)","4 Item Ledger Entry Type","Sale","3 Posting Date",$I$4,"2 Item No.",$E100,"105 Entry Type","&lt;&gt;Revaluation")</t>
  </si>
  <si>
    <t>=K100+L100</t>
  </si>
  <si>
    <t>=IF(K100=0,"",M100/K100)</t>
  </si>
  <si>
    <t>="@@"&amp;$Q100</t>
  </si>
  <si>
    <t>=OFFSET($H$124,C100-1,0)</t>
  </si>
  <si>
    <t>=NL("First","27 Item","3 Description","1 No.",P100)</t>
  </si>
  <si>
    <t>=-NL("Sum","5802 Value Entry","14 Invoiced Quantity","4 Item Ledger Entry Type","Sale","3 Posting Date",$I$4,"2 Item No.",$P100)</t>
  </si>
  <si>
    <t>=NL("Sum","5802 Value Entry","17 Sales Amount (Actual)","4 Item Ledger Entry Type","Sale","3 Posting Date",$I$4,"2 Item No.",$P100)</t>
  </si>
  <si>
    <t>=NL("Sum","5802 Value Entry","43 Cost Amount (Actual)","4 Item Ledger Entry Type","Sale","3 Posting Date",$I$4,"2 Item No.",$P100,"105 Entry Type","&lt;&gt;Revaluation")</t>
  </si>
  <si>
    <t>=T100+U100</t>
  </si>
  <si>
    <t>=IF(T100=0,"",V100/T100)</t>
  </si>
  <si>
    <t>=C100+1</t>
  </si>
  <si>
    <t>="@@"&amp;H101</t>
  </si>
  <si>
    <t>=-NL("Sum","5802 Value Entry","14 Invoiced Quantity","4 Item Ledger Entry Type","Sale","3 Posting Date",$I$4,"2 Item No.",$E101)</t>
  </si>
  <si>
    <t>=NL("Sum","5802 Value Entry","17 Sales Amount (Actual)","4 Item Ledger Entry Type","Sale","3 Posting Date",$I$4,"2 Item No.",$E101)</t>
  </si>
  <si>
    <t>=NL("Sum","5802 Value Entry","43 Cost Amount (Actual)","4 Item Ledger Entry Type","Sale","3 Posting Date",$I$4,"2 Item No.",$E101,"105 Entry Type","&lt;&gt;Revaluation")</t>
  </si>
  <si>
    <t>=K101+L101</t>
  </si>
  <si>
    <t>=IF(K101=0,"",M101/K101)</t>
  </si>
  <si>
    <t>="@@"&amp;$Q101</t>
  </si>
  <si>
    <t>=OFFSET($H$124,C101-1,0)</t>
  </si>
  <si>
    <t>=NL("First","27 Item","3 Description","1 No.",P101)</t>
  </si>
  <si>
    <t>=-NL("Sum","5802 Value Entry","14 Invoiced Quantity","4 Item Ledger Entry Type","Sale","3 Posting Date",$I$4,"2 Item No.",$P101)</t>
  </si>
  <si>
    <t>=NL("Sum","5802 Value Entry","17 Sales Amount (Actual)","4 Item Ledger Entry Type","Sale","3 Posting Date",$I$4,"2 Item No.",$P101)</t>
  </si>
  <si>
    <t>=NL("Sum","5802 Value Entry","43 Cost Amount (Actual)","4 Item Ledger Entry Type","Sale","3 Posting Date",$I$4,"2 Item No.",$P101,"105 Entry Type","&lt;&gt;Revaluation")</t>
  </si>
  <si>
    <t>=T101+U101</t>
  </si>
  <si>
    <t>=IF(T101=0,"",V101/T101)</t>
  </si>
  <si>
    <t>=C101+1</t>
  </si>
  <si>
    <t>="@@"&amp;H102</t>
  </si>
  <si>
    <t>=-NL("Sum","5802 Value Entry","14 Invoiced Quantity","4 Item Ledger Entry Type","Sale","3 Posting Date",$I$4,"2 Item No.",$E102)</t>
  </si>
  <si>
    <t>=NL("Sum","5802 Value Entry","17 Sales Amount (Actual)","4 Item Ledger Entry Type","Sale","3 Posting Date",$I$4,"2 Item No.",$E102)</t>
  </si>
  <si>
    <t>=NL("Sum","5802 Value Entry","43 Cost Amount (Actual)","4 Item Ledger Entry Type","Sale","3 Posting Date",$I$4,"2 Item No.",$E102,"105 Entry Type","&lt;&gt;Revaluation")</t>
  </si>
  <si>
    <t>=K102+L102</t>
  </si>
  <si>
    <t>=IF(K102=0,"",M102/K102)</t>
  </si>
  <si>
    <t>="@@"&amp;$Q102</t>
  </si>
  <si>
    <t>=OFFSET($H$124,C102-1,0)</t>
  </si>
  <si>
    <t>=NL("First","27 Item","3 Description","1 No.",P102)</t>
  </si>
  <si>
    <t>=-NL("Sum","5802 Value Entry","14 Invoiced Quantity","4 Item Ledger Entry Type","Sale","3 Posting Date",$I$4,"2 Item No.",$P102)</t>
  </si>
  <si>
    <t>=NL("Sum","5802 Value Entry","17 Sales Amount (Actual)","4 Item Ledger Entry Type","Sale","3 Posting Date",$I$4,"2 Item No.",$P102)</t>
  </si>
  <si>
    <t>=NL("Sum","5802 Value Entry","43 Cost Amount (Actual)","4 Item Ledger Entry Type","Sale","3 Posting Date",$I$4,"2 Item No.",$P102,"105 Entry Type","&lt;&gt;Revaluation")</t>
  </si>
  <si>
    <t>=T102+U102</t>
  </si>
  <si>
    <t>=IF(T102=0,"",V102/T102)</t>
  </si>
  <si>
    <t>=C102+1</t>
  </si>
  <si>
    <t>="@@"&amp;H103</t>
  </si>
  <si>
    <t>=-NL("Sum","5802 Value Entry","14 Invoiced Quantity","4 Item Ledger Entry Type","Sale","3 Posting Date",$I$4,"2 Item No.",$E103)</t>
  </si>
  <si>
    <t>=NL("Sum","5802 Value Entry","17 Sales Amount (Actual)","4 Item Ledger Entry Type","Sale","3 Posting Date",$I$4,"2 Item No.",$E103)</t>
  </si>
  <si>
    <t>=NL("Sum","5802 Value Entry","43 Cost Amount (Actual)","4 Item Ledger Entry Type","Sale","3 Posting Date",$I$4,"2 Item No.",$E103,"105 Entry Type","&lt;&gt;Revaluation")</t>
  </si>
  <si>
    <t>=K103+L103</t>
  </si>
  <si>
    <t>=IF(K103=0,"",M103/K103)</t>
  </si>
  <si>
    <t>="@@"&amp;$Q103</t>
  </si>
  <si>
    <t>=OFFSET($H$124,C103-1,0)</t>
  </si>
  <si>
    <t>=NL("First","27 Item","3 Description","1 No.",P103)</t>
  </si>
  <si>
    <t>=-NL("Sum","5802 Value Entry","14 Invoiced Quantity","4 Item Ledger Entry Type","Sale","3 Posting Date",$I$4,"2 Item No.",$P103)</t>
  </si>
  <si>
    <t>=NL("Sum","5802 Value Entry","17 Sales Amount (Actual)","4 Item Ledger Entry Type","Sale","3 Posting Date",$I$4,"2 Item No.",$P103)</t>
  </si>
  <si>
    <t>=NL("Sum","5802 Value Entry","43 Cost Amount (Actual)","4 Item Ledger Entry Type","Sale","3 Posting Date",$I$4,"2 Item No.",$P103,"105 Entry Type","&lt;&gt;Revaluation")</t>
  </si>
  <si>
    <t>=T103+U103</t>
  </si>
  <si>
    <t>=IF(T103=0,"",V103/T103)</t>
  </si>
  <si>
    <t>=C103+1</t>
  </si>
  <si>
    <t>="@@"&amp;H104</t>
  </si>
  <si>
    <t>=-NL("Sum","5802 Value Entry","14 Invoiced Quantity","4 Item Ledger Entry Type","Sale","3 Posting Date",$I$4,"2 Item No.",$E104)</t>
  </si>
  <si>
    <t>=NL("Sum","5802 Value Entry","17 Sales Amount (Actual)","4 Item Ledger Entry Type","Sale","3 Posting Date",$I$4,"2 Item No.",$E104)</t>
  </si>
  <si>
    <t>=NL("Sum","5802 Value Entry","43 Cost Amount (Actual)","4 Item Ledger Entry Type","Sale","3 Posting Date",$I$4,"2 Item No.",$E104,"105 Entry Type","&lt;&gt;Revaluation")</t>
  </si>
  <si>
    <t>=K104+L104</t>
  </si>
  <si>
    <t>=IF(K104=0,"",M104/K104)</t>
  </si>
  <si>
    <t>="@@"&amp;$Q104</t>
  </si>
  <si>
    <t>=OFFSET($H$124,C104-1,0)</t>
  </si>
  <si>
    <t>=NL("First","27 Item","3 Description","1 No.",P104)</t>
  </si>
  <si>
    <t>=-NL("Sum","5802 Value Entry","14 Invoiced Quantity","4 Item Ledger Entry Type","Sale","3 Posting Date",$I$4,"2 Item No.",$P104)</t>
  </si>
  <si>
    <t>=NL("Sum","5802 Value Entry","17 Sales Amount (Actual)","4 Item Ledger Entry Type","Sale","3 Posting Date",$I$4,"2 Item No.",$P104)</t>
  </si>
  <si>
    <t>=NL("Sum","5802 Value Entry","43 Cost Amount (Actual)","4 Item Ledger Entry Type","Sale","3 Posting Date",$I$4,"2 Item No.",$P104,"105 Entry Type","&lt;&gt;Revaluation")</t>
  </si>
  <si>
    <t>=T104+U104</t>
  </si>
  <si>
    <t>=IF(T104=0,"",V104/T104)</t>
  </si>
  <si>
    <t>=C104+1</t>
  </si>
  <si>
    <t>="@@"&amp;H105</t>
  </si>
  <si>
    <t>=-NL("Sum","5802 Value Entry","14 Invoiced Quantity","4 Item Ledger Entry Type","Sale","3 Posting Date",$I$4,"2 Item No.",$E105)</t>
  </si>
  <si>
    <t>=NL("Sum","5802 Value Entry","17 Sales Amount (Actual)","4 Item Ledger Entry Type","Sale","3 Posting Date",$I$4,"2 Item No.",$E105)</t>
  </si>
  <si>
    <t>=NL("Sum","5802 Value Entry","43 Cost Amount (Actual)","4 Item Ledger Entry Type","Sale","3 Posting Date",$I$4,"2 Item No.",$E105,"105 Entry Type","&lt;&gt;Revaluation")</t>
  </si>
  <si>
    <t>=K105+L105</t>
  </si>
  <si>
    <t>=IF(K105=0,"",M105/K105)</t>
  </si>
  <si>
    <t>="@@"&amp;$Q105</t>
  </si>
  <si>
    <t>=OFFSET($H$124,C105-1,0)</t>
  </si>
  <si>
    <t>=NL("First","27 Item","3 Description","1 No.",P105)</t>
  </si>
  <si>
    <t>=-NL("Sum","5802 Value Entry","14 Invoiced Quantity","4 Item Ledger Entry Type","Sale","3 Posting Date",$I$4,"2 Item No.",$P105)</t>
  </si>
  <si>
    <t>=NL("Sum","5802 Value Entry","17 Sales Amount (Actual)","4 Item Ledger Entry Type","Sale","3 Posting Date",$I$4,"2 Item No.",$P105)</t>
  </si>
  <si>
    <t>=NL("Sum","5802 Value Entry","43 Cost Amount (Actual)","4 Item Ledger Entry Type","Sale","3 Posting Date",$I$4,"2 Item No.",$P105,"105 Entry Type","&lt;&gt;Revaluation")</t>
  </si>
  <si>
    <t>=T105+U105</t>
  </si>
  <si>
    <t>=IF(T105=0,"",V105/T105)</t>
  </si>
  <si>
    <t>=C105+1</t>
  </si>
  <si>
    <t>="@@"&amp;H106</t>
  </si>
  <si>
    <t>=-NL("Sum","5802 Value Entry","14 Invoiced Quantity","4 Item Ledger Entry Type","Sale","3 Posting Date",$I$4,"2 Item No.",$E106)</t>
  </si>
  <si>
    <t>=NL("Sum","5802 Value Entry","17 Sales Amount (Actual)","4 Item Ledger Entry Type","Sale","3 Posting Date",$I$4,"2 Item No.",$E106)</t>
  </si>
  <si>
    <t>=NL("Sum","5802 Value Entry","43 Cost Amount (Actual)","4 Item Ledger Entry Type","Sale","3 Posting Date",$I$4,"2 Item No.",$E106,"105 Entry Type","&lt;&gt;Revaluation")</t>
  </si>
  <si>
    <t>=K106+L106</t>
  </si>
  <si>
    <t>=IF(K106=0,"",M106/K106)</t>
  </si>
  <si>
    <t>="@@"&amp;$Q106</t>
  </si>
  <si>
    <t>=OFFSET($H$124,C106-1,0)</t>
  </si>
  <si>
    <t>=NL("First","27 Item","3 Description","1 No.",P106)</t>
  </si>
  <si>
    <t>=-NL("Sum","5802 Value Entry","14 Invoiced Quantity","4 Item Ledger Entry Type","Sale","3 Posting Date",$I$4,"2 Item No.",$P106)</t>
  </si>
  <si>
    <t>=NL("Sum","5802 Value Entry","17 Sales Amount (Actual)","4 Item Ledger Entry Type","Sale","3 Posting Date",$I$4,"2 Item No.",$P106)</t>
  </si>
  <si>
    <t>=NL("Sum","5802 Value Entry","43 Cost Amount (Actual)","4 Item Ledger Entry Type","Sale","3 Posting Date",$I$4,"2 Item No.",$P106,"105 Entry Type","&lt;&gt;Revaluation")</t>
  </si>
  <si>
    <t>=T106+U106</t>
  </si>
  <si>
    <t>=IF(T106=0,"",V106/T106)</t>
  </si>
  <si>
    <t>=C106+1</t>
  </si>
  <si>
    <t>="@@"&amp;H107</t>
  </si>
  <si>
    <t>=-NL("Sum","5802 Value Entry","14 Invoiced Quantity","4 Item Ledger Entry Type","Sale","3 Posting Date",$I$4,"2 Item No.",$E107)</t>
  </si>
  <si>
    <t>=NL("Sum","5802 Value Entry","17 Sales Amount (Actual)","4 Item Ledger Entry Type","Sale","3 Posting Date",$I$4,"2 Item No.",$E107)</t>
  </si>
  <si>
    <t>=NL("Sum","5802 Value Entry","43 Cost Amount (Actual)","4 Item Ledger Entry Type","Sale","3 Posting Date",$I$4,"2 Item No.",$E107,"105 Entry Type","&lt;&gt;Revaluation")</t>
  </si>
  <si>
    <t>=K107+L107</t>
  </si>
  <si>
    <t>=IF(K107=0,"",M107/K107)</t>
  </si>
  <si>
    <t>="@@"&amp;$Q107</t>
  </si>
  <si>
    <t>=OFFSET($H$124,C107-1,0)</t>
  </si>
  <si>
    <t>=NL("First","27 Item","3 Description","1 No.",P107)</t>
  </si>
  <si>
    <t>=-NL("Sum","5802 Value Entry","14 Invoiced Quantity","4 Item Ledger Entry Type","Sale","3 Posting Date",$I$4,"2 Item No.",$P107)</t>
  </si>
  <si>
    <t>=NL("Sum","5802 Value Entry","17 Sales Amount (Actual)","4 Item Ledger Entry Type","Sale","3 Posting Date",$I$4,"2 Item No.",$P107)</t>
  </si>
  <si>
    <t>=NL("Sum","5802 Value Entry","43 Cost Amount (Actual)","4 Item Ledger Entry Type","Sale","3 Posting Date",$I$4,"2 Item No.",$P107,"105 Entry Type","&lt;&gt;Revaluation")</t>
  </si>
  <si>
    <t>=T107+U107</t>
  </si>
  <si>
    <t>=IF(T107=0,"",V107/T107)</t>
  </si>
  <si>
    <t>=C107+1</t>
  </si>
  <si>
    <t>="@@"&amp;H108</t>
  </si>
  <si>
    <t>=-NL("Sum","5802 Value Entry","14 Invoiced Quantity","4 Item Ledger Entry Type","Sale","3 Posting Date",$I$4,"2 Item No.",$E108)</t>
  </si>
  <si>
    <t>=NL("Sum","5802 Value Entry","17 Sales Amount (Actual)","4 Item Ledger Entry Type","Sale","3 Posting Date",$I$4,"2 Item No.",$E108)</t>
  </si>
  <si>
    <t>=NL("Sum","5802 Value Entry","43 Cost Amount (Actual)","4 Item Ledger Entry Type","Sale","3 Posting Date",$I$4,"2 Item No.",$E108,"105 Entry Type","&lt;&gt;Revaluation")</t>
  </si>
  <si>
    <t>=K108+L108</t>
  </si>
  <si>
    <t>=IF(K108=0,"",M108/K108)</t>
  </si>
  <si>
    <t>="@@"&amp;$Q108</t>
  </si>
  <si>
    <t>=OFFSET($H$124,C108-1,0)</t>
  </si>
  <si>
    <t>=NL("First","27 Item","3 Description","1 No.",P108)</t>
  </si>
  <si>
    <t>=-NL("Sum","5802 Value Entry","14 Invoiced Quantity","4 Item Ledger Entry Type","Sale","3 Posting Date",$I$4,"2 Item No.",$P108)</t>
  </si>
  <si>
    <t>=NL("Sum","5802 Value Entry","17 Sales Amount (Actual)","4 Item Ledger Entry Type","Sale","3 Posting Date",$I$4,"2 Item No.",$P108)</t>
  </si>
  <si>
    <t>=NL("Sum","5802 Value Entry","43 Cost Amount (Actual)","4 Item Ledger Entry Type","Sale","3 Posting Date",$I$4,"2 Item No.",$P108,"105 Entry Type","&lt;&gt;Revaluation")</t>
  </si>
  <si>
    <t>=T108+U108</t>
  </si>
  <si>
    <t>=IF(T108=0,"",V108/T108)</t>
  </si>
  <si>
    <t>=C108+1</t>
  </si>
  <si>
    <t>="@@"&amp;H109</t>
  </si>
  <si>
    <t>=-NL("Sum","5802 Value Entry","14 Invoiced Quantity","4 Item Ledger Entry Type","Sale","3 Posting Date",$I$4,"2 Item No.",$E109)</t>
  </si>
  <si>
    <t>=NL("Sum","5802 Value Entry","17 Sales Amount (Actual)","4 Item Ledger Entry Type","Sale","3 Posting Date",$I$4,"2 Item No.",$E109)</t>
  </si>
  <si>
    <t>=NL("Sum","5802 Value Entry","43 Cost Amount (Actual)","4 Item Ledger Entry Type","Sale","3 Posting Date",$I$4,"2 Item No.",$E109,"105 Entry Type","&lt;&gt;Revaluation")</t>
  </si>
  <si>
    <t>=K109+L109</t>
  </si>
  <si>
    <t>=IF(K109=0,"",M109/K109)</t>
  </si>
  <si>
    <t>="@@"&amp;$Q109</t>
  </si>
  <si>
    <t>=OFFSET($H$124,C109-1,0)</t>
  </si>
  <si>
    <t>=NL("First","27 Item","3 Description","1 No.",P109)</t>
  </si>
  <si>
    <t>=-NL("Sum","5802 Value Entry","14 Invoiced Quantity","4 Item Ledger Entry Type","Sale","3 Posting Date",$I$4,"2 Item No.",$P109)</t>
  </si>
  <si>
    <t>=NL("Sum","5802 Value Entry","17 Sales Amount (Actual)","4 Item Ledger Entry Type","Sale","3 Posting Date",$I$4,"2 Item No.",$P109)</t>
  </si>
  <si>
    <t>=NL("Sum","5802 Value Entry","43 Cost Amount (Actual)","4 Item Ledger Entry Type","Sale","3 Posting Date",$I$4,"2 Item No.",$P109,"105 Entry Type","&lt;&gt;Revaluation")</t>
  </si>
  <si>
    <t>=T109+U109</t>
  </si>
  <si>
    <t>=IF(T109=0,"",V109/T109)</t>
  </si>
  <si>
    <t>=C109+1</t>
  </si>
  <si>
    <t>="@@"&amp;H110</t>
  </si>
  <si>
    <t>=-NL("Sum","5802 Value Entry","14 Invoiced Quantity","4 Item Ledger Entry Type","Sale","3 Posting Date",$I$4,"2 Item No.",$E110)</t>
  </si>
  <si>
    <t>=NL("Sum","5802 Value Entry","17 Sales Amount (Actual)","4 Item Ledger Entry Type","Sale","3 Posting Date",$I$4,"2 Item No.",$E110)</t>
  </si>
  <si>
    <t>=NL("Sum","5802 Value Entry","43 Cost Amount (Actual)","4 Item Ledger Entry Type","Sale","3 Posting Date",$I$4,"2 Item No.",$E110,"105 Entry Type","&lt;&gt;Revaluation")</t>
  </si>
  <si>
    <t>=K110+L110</t>
  </si>
  <si>
    <t>=IF(K110=0,"",M110/K110)</t>
  </si>
  <si>
    <t>="@@"&amp;$Q110</t>
  </si>
  <si>
    <t>=OFFSET($H$124,C110-1,0)</t>
  </si>
  <si>
    <t>=NL("First","27 Item","3 Description","1 No.",P110)</t>
  </si>
  <si>
    <t>=-NL("Sum","5802 Value Entry","14 Invoiced Quantity","4 Item Ledger Entry Type","Sale","3 Posting Date",$I$4,"2 Item No.",$P110)</t>
  </si>
  <si>
    <t>=NL("Sum","5802 Value Entry","17 Sales Amount (Actual)","4 Item Ledger Entry Type","Sale","3 Posting Date",$I$4,"2 Item No.",$P110)</t>
  </si>
  <si>
    <t>=NL("Sum","5802 Value Entry","43 Cost Amount (Actual)","4 Item Ledger Entry Type","Sale","3 Posting Date",$I$4,"2 Item No.",$P110,"105 Entry Type","&lt;&gt;Revaluation")</t>
  </si>
  <si>
    <t>=T110+U110</t>
  </si>
  <si>
    <t>=IF(T110=0,"",V110/T110)</t>
  </si>
  <si>
    <t>=C110+1</t>
  </si>
  <si>
    <t>="@@"&amp;H111</t>
  </si>
  <si>
    <t>=-NL("Sum","5802 Value Entry","14 Invoiced Quantity","4 Item Ledger Entry Type","Sale","3 Posting Date",$I$4,"2 Item No.",$E111)</t>
  </si>
  <si>
    <t>=NL("Sum","5802 Value Entry","17 Sales Amount (Actual)","4 Item Ledger Entry Type","Sale","3 Posting Date",$I$4,"2 Item No.",$E111)</t>
  </si>
  <si>
    <t>=NL("Sum","5802 Value Entry","43 Cost Amount (Actual)","4 Item Ledger Entry Type","Sale","3 Posting Date",$I$4,"2 Item No.",$E111,"105 Entry Type","&lt;&gt;Revaluation")</t>
  </si>
  <si>
    <t>=K111+L111</t>
  </si>
  <si>
    <t>=IF(K111=0,"",M111/K111)</t>
  </si>
  <si>
    <t>="@@"&amp;$Q111</t>
  </si>
  <si>
    <t>=OFFSET($H$124,C111-1,0)</t>
  </si>
  <si>
    <t>=NL("First","27 Item","3 Description","1 No.",P111)</t>
  </si>
  <si>
    <t>=-NL("Sum","5802 Value Entry","14 Invoiced Quantity","4 Item Ledger Entry Type","Sale","3 Posting Date",$I$4,"2 Item No.",$P111)</t>
  </si>
  <si>
    <t>=NL("Sum","5802 Value Entry","17 Sales Amount (Actual)","4 Item Ledger Entry Type","Sale","3 Posting Date",$I$4,"2 Item No.",$P111)</t>
  </si>
  <si>
    <t>=NL("Sum","5802 Value Entry","43 Cost Amount (Actual)","4 Item Ledger Entry Type","Sale","3 Posting Date",$I$4,"2 Item No.",$P111,"105 Entry Type","&lt;&gt;Revaluation")</t>
  </si>
  <si>
    <t>=T111+U111</t>
  </si>
  <si>
    <t>=IF(T111=0,"",V111/T111)</t>
  </si>
  <si>
    <t>=C111+1</t>
  </si>
  <si>
    <t>="@@"&amp;H112</t>
  </si>
  <si>
    <t>=-NL("Sum","5802 Value Entry","14 Invoiced Quantity","4 Item Ledger Entry Type","Sale","3 Posting Date",$I$4,"2 Item No.",$E112)</t>
  </si>
  <si>
    <t>=NL("Sum","5802 Value Entry","17 Sales Amount (Actual)","4 Item Ledger Entry Type","Sale","3 Posting Date",$I$4,"2 Item No.",$E112)</t>
  </si>
  <si>
    <t>=NL("Sum","5802 Value Entry","43 Cost Amount (Actual)","4 Item Ledger Entry Type","Sale","3 Posting Date",$I$4,"2 Item No.",$E112,"105 Entry Type","&lt;&gt;Revaluation")</t>
  </si>
  <si>
    <t>=K112+L112</t>
  </si>
  <si>
    <t>=IF(K112=0,"",M112/K112)</t>
  </si>
  <si>
    <t>="@@"&amp;$Q112</t>
  </si>
  <si>
    <t>=OFFSET($H$124,C112-1,0)</t>
  </si>
  <si>
    <t>=NL("First","27 Item","3 Description","1 No.",P112)</t>
  </si>
  <si>
    <t>=-NL("Sum","5802 Value Entry","14 Invoiced Quantity","4 Item Ledger Entry Type","Sale","3 Posting Date",$I$4,"2 Item No.",$P112)</t>
  </si>
  <si>
    <t>=NL("Sum","5802 Value Entry","17 Sales Amount (Actual)","4 Item Ledger Entry Type","Sale","3 Posting Date",$I$4,"2 Item No.",$P112)</t>
  </si>
  <si>
    <t>=NL("Sum","5802 Value Entry","43 Cost Amount (Actual)","4 Item Ledger Entry Type","Sale","3 Posting Date",$I$4,"2 Item No.",$P112,"105 Entry Type","&lt;&gt;Revaluation")</t>
  </si>
  <si>
    <t>=T112+U112</t>
  </si>
  <si>
    <t>=IF(T112=0,"",V112/T112)</t>
  </si>
  <si>
    <t>=C112+1</t>
  </si>
  <si>
    <t>="@@"&amp;H113</t>
  </si>
  <si>
    <t>=-NL("Sum","5802 Value Entry","14 Invoiced Quantity","4 Item Ledger Entry Type","Sale","3 Posting Date",$I$4,"2 Item No.",$E113)</t>
  </si>
  <si>
    <t>=NL("Sum","5802 Value Entry","17 Sales Amount (Actual)","4 Item Ledger Entry Type","Sale","3 Posting Date",$I$4,"2 Item No.",$E113)</t>
  </si>
  <si>
    <t>=NL("Sum","5802 Value Entry","43 Cost Amount (Actual)","4 Item Ledger Entry Type","Sale","3 Posting Date",$I$4,"2 Item No.",$E113,"105 Entry Type","&lt;&gt;Revaluation")</t>
  </si>
  <si>
    <t>=K113+L113</t>
  </si>
  <si>
    <t>=IF(K113=0,"",M113/K113)</t>
  </si>
  <si>
    <t>="@@"&amp;$Q113</t>
  </si>
  <si>
    <t>=OFFSET($H$124,C113-1,0)</t>
  </si>
  <si>
    <t>=NL("First","27 Item","3 Description","1 No.",P113)</t>
  </si>
  <si>
    <t>=-NL("Sum","5802 Value Entry","14 Invoiced Quantity","4 Item Ledger Entry Type","Sale","3 Posting Date",$I$4,"2 Item No.",$P113)</t>
  </si>
  <si>
    <t>=NL("Sum","5802 Value Entry","17 Sales Amount (Actual)","4 Item Ledger Entry Type","Sale","3 Posting Date",$I$4,"2 Item No.",$P113)</t>
  </si>
  <si>
    <t>=NL("Sum","5802 Value Entry","43 Cost Amount (Actual)","4 Item Ledger Entry Type","Sale","3 Posting Date",$I$4,"2 Item No.",$P113,"105 Entry Type","&lt;&gt;Revaluation")</t>
  </si>
  <si>
    <t>=T113+U113</t>
  </si>
  <si>
    <t>=IF(T113=0,"",V113/T113)</t>
  </si>
  <si>
    <t>=C113+1</t>
  </si>
  <si>
    <t>="@@"&amp;H114</t>
  </si>
  <si>
    <t>=-NL("Sum","5802 Value Entry","14 Invoiced Quantity","4 Item Ledger Entry Type","Sale","3 Posting Date",$I$4,"2 Item No.",$E114)</t>
  </si>
  <si>
    <t>=NL("Sum","5802 Value Entry","17 Sales Amount (Actual)","4 Item Ledger Entry Type","Sale","3 Posting Date",$I$4,"2 Item No.",$E114)</t>
  </si>
  <si>
    <t>=NL("Sum","5802 Value Entry","43 Cost Amount (Actual)","4 Item Ledger Entry Type","Sale","3 Posting Date",$I$4,"2 Item No.",$E114,"105 Entry Type","&lt;&gt;Revaluation")</t>
  </si>
  <si>
    <t>=K114+L114</t>
  </si>
  <si>
    <t>=IF(K114=0,"",M114/K114)</t>
  </si>
  <si>
    <t>="@@"&amp;$Q114</t>
  </si>
  <si>
    <t>=OFFSET($H$124,C114-1,0)</t>
  </si>
  <si>
    <t>=NL("First","27 Item","3 Description","1 No.",P114)</t>
  </si>
  <si>
    <t>=-NL("Sum","5802 Value Entry","14 Invoiced Quantity","4 Item Ledger Entry Type","Sale","3 Posting Date",$I$4,"2 Item No.",$P114)</t>
  </si>
  <si>
    <t>=NL("Sum","5802 Value Entry","17 Sales Amount (Actual)","4 Item Ledger Entry Type","Sale","3 Posting Date",$I$4,"2 Item No.",$P114)</t>
  </si>
  <si>
    <t>=NL("Sum","5802 Value Entry","43 Cost Amount (Actual)","4 Item Ledger Entry Type","Sale","3 Posting Date",$I$4,"2 Item No.",$P114,"105 Entry Type","&lt;&gt;Revaluation")</t>
  </si>
  <si>
    <t>=T114+U114</t>
  </si>
  <si>
    <t>=IF(T114=0,"",V114/T114)</t>
  </si>
  <si>
    <t>=C114+1</t>
  </si>
  <si>
    <t>="@@"&amp;H115</t>
  </si>
  <si>
    <t>=-NL("Sum","5802 Value Entry","14 Invoiced Quantity","4 Item Ledger Entry Type","Sale","3 Posting Date",$I$4,"2 Item No.",$E115)</t>
  </si>
  <si>
    <t>=NL("Sum","5802 Value Entry","17 Sales Amount (Actual)","4 Item Ledger Entry Type","Sale","3 Posting Date",$I$4,"2 Item No.",$E115)</t>
  </si>
  <si>
    <t>=NL("Sum","5802 Value Entry","43 Cost Amount (Actual)","4 Item Ledger Entry Type","Sale","3 Posting Date",$I$4,"2 Item No.",$E115,"105 Entry Type","&lt;&gt;Revaluation")</t>
  </si>
  <si>
    <t>=K115+L115</t>
  </si>
  <si>
    <t>=IF(K115=0,"",M115/K115)</t>
  </si>
  <si>
    <t>="@@"&amp;$Q115</t>
  </si>
  <si>
    <t>=OFFSET($H$124,C115-1,0)</t>
  </si>
  <si>
    <t>=NL("First","27 Item","3 Description","1 No.",P115)</t>
  </si>
  <si>
    <t>=-NL("Sum","5802 Value Entry","14 Invoiced Quantity","4 Item Ledger Entry Type","Sale","3 Posting Date",$I$4,"2 Item No.",$P115)</t>
  </si>
  <si>
    <t>=NL("Sum","5802 Value Entry","17 Sales Amount (Actual)","4 Item Ledger Entry Type","Sale","3 Posting Date",$I$4,"2 Item No.",$P115)</t>
  </si>
  <si>
    <t>=NL("Sum","5802 Value Entry","43 Cost Amount (Actual)","4 Item Ledger Entry Type","Sale","3 Posting Date",$I$4,"2 Item No.",$P115,"105 Entry Type","&lt;&gt;Revaluation")</t>
  </si>
  <si>
    <t>=T115+U115</t>
  </si>
  <si>
    <t>=IF(T115=0,"",V115/T115)</t>
  </si>
  <si>
    <t>=C115+1</t>
  </si>
  <si>
    <t>="@@"&amp;H116</t>
  </si>
  <si>
    <t>=-NL("Sum","5802 Value Entry","14 Invoiced Quantity","4 Item Ledger Entry Type","Sale","3 Posting Date",$I$4,"2 Item No.",$E116)</t>
  </si>
  <si>
    <t>=NL("Sum","5802 Value Entry","17 Sales Amount (Actual)","4 Item Ledger Entry Type","Sale","3 Posting Date",$I$4,"2 Item No.",$E116)</t>
  </si>
  <si>
    <t>=NL("Sum","5802 Value Entry","43 Cost Amount (Actual)","4 Item Ledger Entry Type","Sale","3 Posting Date",$I$4,"2 Item No.",$E116,"105 Entry Type","&lt;&gt;Revaluation")</t>
  </si>
  <si>
    <t>=K116+L116</t>
  </si>
  <si>
    <t>=IF(K116=0,"",M116/K116)</t>
  </si>
  <si>
    <t>="@@"&amp;$Q116</t>
  </si>
  <si>
    <t>=OFFSET($H$124,C116-1,0)</t>
  </si>
  <si>
    <t>=NL("First","27 Item","3 Description","1 No.",P116)</t>
  </si>
  <si>
    <t>=-NL("Sum","5802 Value Entry","14 Invoiced Quantity","4 Item Ledger Entry Type","Sale","3 Posting Date",$I$4,"2 Item No.",$P116)</t>
  </si>
  <si>
    <t>=NL("Sum","5802 Value Entry","17 Sales Amount (Actual)","4 Item Ledger Entry Type","Sale","3 Posting Date",$I$4,"2 Item No.",$P116)</t>
  </si>
  <si>
    <t>=NL("Sum","5802 Value Entry","43 Cost Amount (Actual)","4 Item Ledger Entry Type","Sale","3 Posting Date",$I$4,"2 Item No.",$P116,"105 Entry Type","&lt;&gt;Revaluation")</t>
  </si>
  <si>
    <t>=T116+U116</t>
  </si>
  <si>
    <t>=IF(T116=0,"",V116/T116)</t>
  </si>
  <si>
    <t>=C116+1</t>
  </si>
  <si>
    <t>="@@"&amp;H117</t>
  </si>
  <si>
    <t>=-NL("Sum","5802 Value Entry","14 Invoiced Quantity","4 Item Ledger Entry Type","Sale","3 Posting Date",$I$4,"2 Item No.",$E117)</t>
  </si>
  <si>
    <t>=NL("Sum","5802 Value Entry","17 Sales Amount (Actual)","4 Item Ledger Entry Type","Sale","3 Posting Date",$I$4,"2 Item No.",$E117)</t>
  </si>
  <si>
    <t>=NL("Sum","5802 Value Entry","43 Cost Amount (Actual)","4 Item Ledger Entry Type","Sale","3 Posting Date",$I$4,"2 Item No.",$E117,"105 Entry Type","&lt;&gt;Revaluation")</t>
  </si>
  <si>
    <t>=K117+L117</t>
  </si>
  <si>
    <t>=IF(K117=0,"",M117/K117)</t>
  </si>
  <si>
    <t>="@@"&amp;$Q117</t>
  </si>
  <si>
    <t>=OFFSET($H$124,C117-1,0)</t>
  </si>
  <si>
    <t>=NL("First","27 Item","3 Description","1 No.",P117)</t>
  </si>
  <si>
    <t>=-NL("Sum","5802 Value Entry","14 Invoiced Quantity","4 Item Ledger Entry Type","Sale","3 Posting Date",$I$4,"2 Item No.",$P117)</t>
  </si>
  <si>
    <t>=NL("Sum","5802 Value Entry","17 Sales Amount (Actual)","4 Item Ledger Entry Type","Sale","3 Posting Date",$I$4,"2 Item No.",$P117)</t>
  </si>
  <si>
    <t>=NL("Sum","5802 Value Entry","43 Cost Amount (Actual)","4 Item Ledger Entry Type","Sale","3 Posting Date",$I$4,"2 Item No.",$P117,"105 Entry Type","&lt;&gt;Revaluation")</t>
  </si>
  <si>
    <t>=T117+U117</t>
  </si>
  <si>
    <t>=IF(T117=0,"",V117/T117)</t>
  </si>
  <si>
    <t>=C117+1</t>
  </si>
  <si>
    <t>="@@"&amp;H118</t>
  </si>
  <si>
    <t>=-NL("Sum","5802 Value Entry","14 Invoiced Quantity","4 Item Ledger Entry Type","Sale","3 Posting Date",$I$4,"2 Item No.",$E118)</t>
  </si>
  <si>
    <t>=NL("Sum","5802 Value Entry","17 Sales Amount (Actual)","4 Item Ledger Entry Type","Sale","3 Posting Date",$I$4,"2 Item No.",$E118)</t>
  </si>
  <si>
    <t>=NL("Sum","5802 Value Entry","43 Cost Amount (Actual)","4 Item Ledger Entry Type","Sale","3 Posting Date",$I$4,"2 Item No.",$E118,"105 Entry Type","&lt;&gt;Revaluation")</t>
  </si>
  <si>
    <t>=K118+L118</t>
  </si>
  <si>
    <t>=IF(K118=0,"",M118/K118)</t>
  </si>
  <si>
    <t>="@@"&amp;$Q118</t>
  </si>
  <si>
    <t>=OFFSET($H$124,C118-1,0)</t>
  </si>
  <si>
    <t>=NL("First","27 Item","3 Description","1 No.",P118)</t>
  </si>
  <si>
    <t>=-NL("Sum","5802 Value Entry","14 Invoiced Quantity","4 Item Ledger Entry Type","Sale","3 Posting Date",$I$4,"2 Item No.",$P118)</t>
  </si>
  <si>
    <t>=NL("Sum","5802 Value Entry","17 Sales Amount (Actual)","4 Item Ledger Entry Type","Sale","3 Posting Date",$I$4,"2 Item No.",$P118)</t>
  </si>
  <si>
    <t>=NL("Sum","5802 Value Entry","43 Cost Amount (Actual)","4 Item Ledger Entry Type","Sale","3 Posting Date",$I$4,"2 Item No.",$P118,"105 Entry Type","&lt;&gt;Revaluation")</t>
  </si>
  <si>
    <t>=T118+U118</t>
  </si>
  <si>
    <t>=IF(T118=0,"",V118/T118)</t>
  </si>
  <si>
    <t>=K120+L120</t>
  </si>
  <si>
    <t>=IF(K120=0,"",M120/K120)</t>
  </si>
  <si>
    <t>=K120</t>
  </si>
  <si>
    <t>=L120</t>
  </si>
  <si>
    <t>=M120</t>
  </si>
  <si>
    <t>=N120</t>
  </si>
  <si>
    <t>=E123+1</t>
  </si>
  <si>
    <t>=NL("Rows","27 Item",,"64 Datefilter",$I$4,$D$124,"*","limit=",$I$5)</t>
  </si>
  <si>
    <t>=E124+1</t>
  </si>
  <si>
    <t>=E125+1</t>
  </si>
  <si>
    <t>=E126+1</t>
  </si>
  <si>
    <t>=E127+1</t>
  </si>
  <si>
    <t>=E128+1</t>
  </si>
  <si>
    <t>=E129+1</t>
  </si>
  <si>
    <t>=E130+1</t>
  </si>
  <si>
    <t>=E131+1</t>
  </si>
  <si>
    <t>=E132+1</t>
  </si>
  <si>
    <t>=E133+1</t>
  </si>
  <si>
    <t>=E134+1</t>
  </si>
  <si>
    <t>=E135+1</t>
  </si>
  <si>
    <t>=E136+1</t>
  </si>
  <si>
    <t>=E137+1</t>
  </si>
  <si>
    <t>=E138+1</t>
  </si>
  <si>
    <t>=E139+1</t>
  </si>
  <si>
    <t>=E140+1</t>
  </si>
  <si>
    <t>=E141+1</t>
  </si>
  <si>
    <t>=E142+1</t>
  </si>
  <si>
    <t>=E143+1</t>
  </si>
  <si>
    <t>=E144+1</t>
  </si>
  <si>
    <t>=E145+1</t>
  </si>
  <si>
    <t>=E146+1</t>
  </si>
  <si>
    <t>=E147+1</t>
  </si>
  <si>
    <t>=E148+1</t>
  </si>
  <si>
    <t>=E149+1</t>
  </si>
  <si>
    <t>=E150+1</t>
  </si>
  <si>
    <t>=E151+1</t>
  </si>
  <si>
    <t>=E152+1</t>
  </si>
  <si>
    <t>=E153+1</t>
  </si>
  <si>
    <t>=E154+1</t>
  </si>
  <si>
    <t>=E155+1</t>
  </si>
  <si>
    <t>=E156+1</t>
  </si>
  <si>
    <t>=E157+1</t>
  </si>
  <si>
    <t>=E158+1</t>
  </si>
  <si>
    <t>=E159+1</t>
  </si>
  <si>
    <t>=E160+1</t>
  </si>
  <si>
    <t>=E161+1</t>
  </si>
  <si>
    <t>=E162+1</t>
  </si>
  <si>
    <t>=E163+1</t>
  </si>
  <si>
    <t>=E164+1</t>
  </si>
  <si>
    <t>=E165+1</t>
  </si>
  <si>
    <t>=E166+1</t>
  </si>
  <si>
    <t>=E167+1</t>
  </si>
  <si>
    <t>=E168+1</t>
  </si>
  <si>
    <t>=E169+1</t>
  </si>
  <si>
    <t>=E170+1</t>
  </si>
  <si>
    <t>=E171+1</t>
  </si>
  <si>
    <t>=E172+1</t>
  </si>
  <si>
    <t>=E173+1</t>
  </si>
  <si>
    <t>=E174+1</t>
  </si>
  <si>
    <t>=E175+1</t>
  </si>
  <si>
    <t>=E176+1</t>
  </si>
  <si>
    <t>=E177+1</t>
  </si>
  <si>
    <t>=E178+1</t>
  </si>
  <si>
    <t>=E179+1</t>
  </si>
  <si>
    <t>=E180+1</t>
  </si>
  <si>
    <t>=E181+1</t>
  </si>
  <si>
    <t>=E182+1</t>
  </si>
  <si>
    <t>=E183+1</t>
  </si>
  <si>
    <t>=E184+1</t>
  </si>
  <si>
    <t>=E185+1</t>
  </si>
  <si>
    <t>=E186+1</t>
  </si>
  <si>
    <t>=E187+1</t>
  </si>
  <si>
    <t>=E188+1</t>
  </si>
  <si>
    <t>=E189+1</t>
  </si>
  <si>
    <t>=E190+1</t>
  </si>
  <si>
    <t>=E191+1</t>
  </si>
  <si>
    <t>=E192+1</t>
  </si>
  <si>
    <t>=E193+1</t>
  </si>
  <si>
    <t>=E194+1</t>
  </si>
  <si>
    <t>=E195+1</t>
  </si>
  <si>
    <t>=E196+1</t>
  </si>
  <si>
    <t>=E197+1</t>
  </si>
  <si>
    <t>=E198+1</t>
  </si>
  <si>
    <t>=E199+1</t>
  </si>
  <si>
    <t>=E200+1</t>
  </si>
  <si>
    <t>=E201+1</t>
  </si>
  <si>
    <t>=E202+1</t>
  </si>
  <si>
    <t>=E203+1</t>
  </si>
  <si>
    <t>=E204+1</t>
  </si>
  <si>
    <t>=E205+1</t>
  </si>
  <si>
    <t>=E206+1</t>
  </si>
  <si>
    <t>=E207+1</t>
  </si>
  <si>
    <t>=E208+1</t>
  </si>
  <si>
    <t>=E209+1</t>
  </si>
  <si>
    <t>=E210+1</t>
  </si>
  <si>
    <t>=E211+1</t>
  </si>
  <si>
    <t>=E212+1</t>
  </si>
  <si>
    <t>=E213+1</t>
  </si>
  <si>
    <t>=E214+1</t>
  </si>
  <si>
    <t>=E215+1</t>
  </si>
  <si>
    <t>=E216+1</t>
  </si>
  <si>
    <t>=E217+1</t>
  </si>
  <si>
    <t>=E218+1</t>
  </si>
  <si>
    <t>=E219+1</t>
  </si>
  <si>
    <t>=E220+1</t>
  </si>
  <si>
    <t>=E221+1</t>
  </si>
  <si>
    <t>=E222+1</t>
  </si>
  <si>
    <t>=NF($F24,"1 No.")</t>
  </si>
  <si>
    <t>=NF($F26,"1 No.")</t>
  </si>
  <si>
    <t>=NF($F27,"1 No.")</t>
  </si>
  <si>
    <t>=NF($F28,"1 No.")</t>
  </si>
  <si>
    <t>=NF($F34,"1 No.")</t>
  </si>
  <si>
    <t>=NF($F35,"1 No.")</t>
  </si>
  <si>
    <t>=NF($F36,"1 No.")</t>
  </si>
  <si>
    <t>=NF($F37,"1 No.")</t>
  </si>
  <si>
    <t>=NF($F38,"1 No.")</t>
  </si>
  <si>
    <t>=NF($F39,"1 No.")</t>
  </si>
  <si>
    <t>=NF($F40,"1 No.")</t>
  </si>
  <si>
    <t>=NF($F41,"1 No.")</t>
  </si>
  <si>
    <t>=NF($F42,"1 No.")</t>
  </si>
  <si>
    <t>=NF($F43,"1 No.")</t>
  </si>
  <si>
    <t>=NF($F44,"1 No.")</t>
  </si>
  <si>
    <t>=NF($F45,"1 No.")</t>
  </si>
  <si>
    <t>=NF($F46,"1 No.")</t>
  </si>
  <si>
    <t>=NF($F47,"1 No.")</t>
  </si>
  <si>
    <t>=NF($F48,"1 No.")</t>
  </si>
  <si>
    <t>=NF($F49,"1 No.")</t>
  </si>
  <si>
    <t>=NF($F50,"1 No.")</t>
  </si>
  <si>
    <t>=NF($F51,"1 No.")</t>
  </si>
  <si>
    <t>=NF($F52,"1 No.")</t>
  </si>
  <si>
    <t>=NF($F53,"1 No.")</t>
  </si>
  <si>
    <t>=NF($F54,"1 No.")</t>
  </si>
  <si>
    <t>=NF($F55,"1 No.")</t>
  </si>
  <si>
    <t>=NF($F56,"1 No.")</t>
  </si>
  <si>
    <t>=NF($F57,"1 No.")</t>
  </si>
  <si>
    <t>=NF($F58,"1 No.")</t>
  </si>
  <si>
    <t>=NF($F59,"1 No.")</t>
  </si>
  <si>
    <t>=NF($F60,"1 No.")</t>
  </si>
  <si>
    <t>=NF($F61,"1 No.")</t>
  </si>
  <si>
    <t>=NF($F62,"1 No.")</t>
  </si>
  <si>
    <t>=NF($F63,"1 No.")</t>
  </si>
  <si>
    <t>=NF($F64,"1 No.")</t>
  </si>
  <si>
    <t>=NF($F65,"1 No.")</t>
  </si>
  <si>
    <t>=NF($F66,"1 No.")</t>
  </si>
  <si>
    <t>=NF($F67,"1 No.")</t>
  </si>
  <si>
    <t>=NF($F68,"1 No.")</t>
  </si>
  <si>
    <t>=NF($F69,"1 No.")</t>
  </si>
  <si>
    <t>=NF($F70,"1 No.")</t>
  </si>
  <si>
    <t>=NF($F71,"1 No.")</t>
  </si>
  <si>
    <t>=NF($F72,"1 No.")</t>
  </si>
  <si>
    <t>=NF($F73,"1 No.")</t>
  </si>
  <si>
    <t>=NF($F74,"1 No.")</t>
  </si>
  <si>
    <t>=NF($F75,"1 No.")</t>
  </si>
  <si>
    <t>=NF($F76,"1 No.")</t>
  </si>
  <si>
    <t>=NF($F77,"1 No.")</t>
  </si>
  <si>
    <t>=NF($F78,"1 No.")</t>
  </si>
  <si>
    <t>=NF($F79,"1 No.")</t>
  </si>
  <si>
    <t>=NF($F80,"1 No.")</t>
  </si>
  <si>
    <t>=NF($F81,"1 No.")</t>
  </si>
  <si>
    <t>=NF($F82,"1 No.")</t>
  </si>
  <si>
    <t>=NF($F83,"1 No.")</t>
  </si>
  <si>
    <t>=NF($F84,"1 No.")</t>
  </si>
  <si>
    <t>=NF($F85,"1 No.")</t>
  </si>
  <si>
    <t>=NF($F86,"1 No.")</t>
  </si>
  <si>
    <t>=NF($F87,"1 No.")</t>
  </si>
  <si>
    <t>=NF($F88,"1 No.")</t>
  </si>
  <si>
    <t>=NF($F89,"1 No.")</t>
  </si>
  <si>
    <t>=NF($F90,"1 No.")</t>
  </si>
  <si>
    <t>=NF($F91,"1 No.")</t>
  </si>
  <si>
    <t>=NF($F92,"1 No.")</t>
  </si>
  <si>
    <t>=NF($F93,"1 No.")</t>
  </si>
  <si>
    <t>=NF($F94,"1 No.")</t>
  </si>
  <si>
    <t>=NF($F95,"1 No.")</t>
  </si>
  <si>
    <t>=NF($F96,"1 No.")</t>
  </si>
  <si>
    <t>=NF($F97,"1 No.")</t>
  </si>
  <si>
    <t>=NF($F98,"1 No.")</t>
  </si>
  <si>
    <t>=NF($F99,"1 No.")</t>
  </si>
  <si>
    <t>=NF($F100,"1 No.")</t>
  </si>
  <si>
    <t>=NF($F101,"1 No.")</t>
  </si>
  <si>
    <t>=NF($F102,"1 No.")</t>
  </si>
  <si>
    <t>=NF($F103,"1 No.")</t>
  </si>
  <si>
    <t>=NF($F104,"1 No.")</t>
  </si>
  <si>
    <t>=NF($F105,"1 No.")</t>
  </si>
  <si>
    <t>=NF($F106,"1 No.")</t>
  </si>
  <si>
    <t>=NF($F107,"1 No.")</t>
  </si>
  <si>
    <t>=NF($F108,"1 No.")</t>
  </si>
  <si>
    <t>=NF($F109,"1 No.")</t>
  </si>
  <si>
    <t>=NF($F110,"1 No.")</t>
  </si>
  <si>
    <t>=NF($F111,"1 No.")</t>
  </si>
  <si>
    <t>=NF($F112,"1 No.")</t>
  </si>
  <si>
    <t>=NF($F113,"1 No.")</t>
  </si>
  <si>
    <t>=NF($F114,"1 No.")</t>
  </si>
  <si>
    <t>=NF($F115,"1 No.")</t>
  </si>
  <si>
    <t>=NF($F116,"1 No.")</t>
  </si>
  <si>
    <t>=NF($F117,"1 No.")</t>
  </si>
  <si>
    <t>=NF($F118,"1 No.")</t>
  </si>
  <si>
    <t>=NF($F24,"3 Description")</t>
  </si>
  <si>
    <t>=NF($F25,"3 Description")</t>
  </si>
  <si>
    <t>=NF($F26,"3 Description")</t>
  </si>
  <si>
    <t>=NF($F27,"3 Description")</t>
  </si>
  <si>
    <t>=NF($F28,"3 Description")</t>
  </si>
  <si>
    <t>=NF($F29,"3 Description")</t>
  </si>
  <si>
    <t>=NF($F30,"3 Description")</t>
  </si>
  <si>
    <t>=NF($F31,"3 Description")</t>
  </si>
  <si>
    <t>=NF($F32,"3 Description")</t>
  </si>
  <si>
    <t>=NF($F33,"3 Description")</t>
  </si>
  <si>
    <t>=NF($F34,"3 Description")</t>
  </si>
  <si>
    <t>=NF($F35,"3 Description")</t>
  </si>
  <si>
    <t>=NF($F36,"3 Description")</t>
  </si>
  <si>
    <t>=NF($F37,"3 Description")</t>
  </si>
  <si>
    <t>=NF($F38,"3 Description")</t>
  </si>
  <si>
    <t>=NF($F39,"3 Description")</t>
  </si>
  <si>
    <t>=NF($F40,"3 Description")</t>
  </si>
  <si>
    <t>=NF($F41,"3 Description")</t>
  </si>
  <si>
    <t>=NF($F42,"3 Description")</t>
  </si>
  <si>
    <t>=NF($F43,"3 Description")</t>
  </si>
  <si>
    <t>=NF($F44,"3 Description")</t>
  </si>
  <si>
    <t>=NF($F45,"3 Description")</t>
  </si>
  <si>
    <t>=NF($F46,"3 Description")</t>
  </si>
  <si>
    <t>=NF($F47,"3 Description")</t>
  </si>
  <si>
    <t>=NF($F48,"3 Description")</t>
  </si>
  <si>
    <t>=NF($F49,"3 Description")</t>
  </si>
  <si>
    <t>=NF($F50,"3 Description")</t>
  </si>
  <si>
    <t>=NF($F51,"3 Description")</t>
  </si>
  <si>
    <t>=NF($F52,"3 Description")</t>
  </si>
  <si>
    <t>=NF($F53,"3 Description")</t>
  </si>
  <si>
    <t>=NF($F54,"3 Description")</t>
  </si>
  <si>
    <t>=NF($F55,"3 Description")</t>
  </si>
  <si>
    <t>=NF($F56,"3 Description")</t>
  </si>
  <si>
    <t>=NF($F57,"3 Description")</t>
  </si>
  <si>
    <t>=NF($F58,"3 Description")</t>
  </si>
  <si>
    <t>=NF($F59,"3 Description")</t>
  </si>
  <si>
    <t>=NF($F60,"3 Description")</t>
  </si>
  <si>
    <t>=NF($F61,"3 Description")</t>
  </si>
  <si>
    <t>=NF($F62,"3 Description")</t>
  </si>
  <si>
    <t>=NF($F63,"3 Description")</t>
  </si>
  <si>
    <t>=NF($F64,"3 Description")</t>
  </si>
  <si>
    <t>=NF($F65,"3 Description")</t>
  </si>
  <si>
    <t>=NF($F66,"3 Description")</t>
  </si>
  <si>
    <t>=NF($F67,"3 Description")</t>
  </si>
  <si>
    <t>=NF($F68,"3 Description")</t>
  </si>
  <si>
    <t>=NF($F69,"3 Description")</t>
  </si>
  <si>
    <t>=NF($F70,"3 Description")</t>
  </si>
  <si>
    <t>=NF($F71,"3 Description")</t>
  </si>
  <si>
    <t>=NF($F72,"3 Description")</t>
  </si>
  <si>
    <t>=NF($F73,"3 Description")</t>
  </si>
  <si>
    <t>=NF($F74,"3 Description")</t>
  </si>
  <si>
    <t>=NF($F75,"3 Description")</t>
  </si>
  <si>
    <t>=NF($F76,"3 Description")</t>
  </si>
  <si>
    <t>=NF($F77,"3 Description")</t>
  </si>
  <si>
    <t>=NF($F78,"3 Description")</t>
  </si>
  <si>
    <t>=NF($F79,"3 Description")</t>
  </si>
  <si>
    <t>=NF($F80,"3 Description")</t>
  </si>
  <si>
    <t>=NF($F81,"3 Description")</t>
  </si>
  <si>
    <t>=NF($F82,"3 Description")</t>
  </si>
  <si>
    <t>=NF($F83,"3 Description")</t>
  </si>
  <si>
    <t>=NF($F84,"3 Description")</t>
  </si>
  <si>
    <t>=NF($F85,"3 Description")</t>
  </si>
  <si>
    <t>=NF($F86,"3 Description")</t>
  </si>
  <si>
    <t>=NF($F87,"3 Description")</t>
  </si>
  <si>
    <t>=NF($F88,"3 Description")</t>
  </si>
  <si>
    <t>=NF($F89,"3 Description")</t>
  </si>
  <si>
    <t>=NF($F90,"3 Description")</t>
  </si>
  <si>
    <t>=NF($F91,"3 Description")</t>
  </si>
  <si>
    <t>=NF($F92,"3 Description")</t>
  </si>
  <si>
    <t>=NF($F93,"3 Description")</t>
  </si>
  <si>
    <t>=NF($F94,"3 Description")</t>
  </si>
  <si>
    <t>=NF($F95,"3 Description")</t>
  </si>
  <si>
    <t>=NF($F96,"3 Description")</t>
  </si>
  <si>
    <t>=NF($F97,"3 Description")</t>
  </si>
  <si>
    <t>=NF($F98,"3 Description")</t>
  </si>
  <si>
    <t>=NF($F99,"3 Description")</t>
  </si>
  <si>
    <t>=NF($F100,"3 Description")</t>
  </si>
  <si>
    <t>=NF($F101,"3 Description")</t>
  </si>
  <si>
    <t>=NF($F102,"3 Description")</t>
  </si>
  <si>
    <t>=NF($F103,"3 Description")</t>
  </si>
  <si>
    <t>=NF($F104,"3 Description")</t>
  </si>
  <si>
    <t>=NF($F105,"3 Description")</t>
  </si>
  <si>
    <t>=NF($F106,"3 Description")</t>
  </si>
  <si>
    <t>=NF($F107,"3 Description")</t>
  </si>
  <si>
    <t>=NF($F108,"3 Description")</t>
  </si>
  <si>
    <t>=NF($F109,"3 Description")</t>
  </si>
  <si>
    <t>=NF($F110,"3 Description")</t>
  </si>
  <si>
    <t>=NF($F111,"3 Description")</t>
  </si>
  <si>
    <t>=NF($F112,"3 Description")</t>
  </si>
  <si>
    <t>=NF($F113,"3 Description")</t>
  </si>
  <si>
    <t>=NF($F114,"3 Description")</t>
  </si>
  <si>
    <t>=NF($F115,"3 Description")</t>
  </si>
  <si>
    <t>=NF($F116,"3 Description")</t>
  </si>
  <si>
    <t>=NF($F117,"3 Description")</t>
  </si>
  <si>
    <t>=NF($F118,"3 Description")</t>
  </si>
  <si>
    <t>=NF($F124,"1 No.")</t>
  </si>
  <si>
    <t>=NF($F125,"1 No.")</t>
  </si>
  <si>
    <t>=NF($F126,"1 No.")</t>
  </si>
  <si>
    <t>=NF($F127,"1 No.")</t>
  </si>
  <si>
    <t>=NF($F128,"1 No.")</t>
  </si>
  <si>
    <t>=NF($F129,"1 No.")</t>
  </si>
  <si>
    <t>=NF($F130,"1 No.")</t>
  </si>
  <si>
    <t>=NF($F131,"1 No.")</t>
  </si>
  <si>
    <t>=NF($F132,"1 No.")</t>
  </si>
  <si>
    <t>=NF($F133,"1 No.")</t>
  </si>
  <si>
    <t>=NF($F134,"1 No.")</t>
  </si>
  <si>
    <t>=NF($F135,"1 No.")</t>
  </si>
  <si>
    <t>=NF($F136,"1 No.")</t>
  </si>
  <si>
    <t>=NF($F137,"1 No.")</t>
  </si>
  <si>
    <t>=NF($F138,"1 No.")</t>
  </si>
  <si>
    <t>=NF($F139,"1 No.")</t>
  </si>
  <si>
    <t>=NF($F140,"1 No.")</t>
  </si>
  <si>
    <t>=NF($F141,"1 No.")</t>
  </si>
  <si>
    <t>=NF($F142,"1 No.")</t>
  </si>
  <si>
    <t>=NF($F143,"1 No.")</t>
  </si>
  <si>
    <t>=NF($F144,"1 No.")</t>
  </si>
  <si>
    <t>=NF($F145,"1 No.")</t>
  </si>
  <si>
    <t>=NF($F146,"1 No.")</t>
  </si>
  <si>
    <t>=NF($F147,"1 No.")</t>
  </si>
  <si>
    <t>=NF($F148,"1 No.")</t>
  </si>
  <si>
    <t>=NF($F149,"1 No.")</t>
  </si>
  <si>
    <t>=NF($F150,"1 No.")</t>
  </si>
  <si>
    <t>=NF($F151,"1 No.")</t>
  </si>
  <si>
    <t>=NF($F152,"1 No.")</t>
  </si>
  <si>
    <t>=NF($F153,"1 No.")</t>
  </si>
  <si>
    <t>=NF($F154,"1 No.")</t>
  </si>
  <si>
    <t>=NF($F155,"1 No.")</t>
  </si>
  <si>
    <t>=NF($F156,"1 No.")</t>
  </si>
  <si>
    <t>=NF($F157,"1 No.")</t>
  </si>
  <si>
    <t>=NF($F158,"1 No.")</t>
  </si>
  <si>
    <t>=NF($F159,"1 No.")</t>
  </si>
  <si>
    <t>=NF($F160,"1 No.")</t>
  </si>
  <si>
    <t>=NF($F161,"1 No.")</t>
  </si>
  <si>
    <t>=NF($F162,"1 No.")</t>
  </si>
  <si>
    <t>=NF($F163,"1 No.")</t>
  </si>
  <si>
    <t>=NF($F164,"1 No.")</t>
  </si>
  <si>
    <t>=NF($F165,"1 No.")</t>
  </si>
  <si>
    <t>=NF($F166,"1 No.")</t>
  </si>
  <si>
    <t>=NF($F167,"1 No.")</t>
  </si>
  <si>
    <t>=NF($F168,"1 No.")</t>
  </si>
  <si>
    <t>=NF($F169,"1 No.")</t>
  </si>
  <si>
    <t>=NF($F170,"1 No.")</t>
  </si>
  <si>
    <t>=NF($F171,"1 No.")</t>
  </si>
  <si>
    <t>=NF($F172,"1 No.")</t>
  </si>
  <si>
    <t>=NF($F173,"1 No.")</t>
  </si>
  <si>
    <t>=NF($F174,"1 No.")</t>
  </si>
  <si>
    <t>=NF($F175,"1 No.")</t>
  </si>
  <si>
    <t>=NF($F176,"1 No.")</t>
  </si>
  <si>
    <t>=NF($F177,"1 No.")</t>
  </si>
  <si>
    <t>=NF($F178,"1 No.")</t>
  </si>
  <si>
    <t>=NF($F179,"1 No.")</t>
  </si>
  <si>
    <t>=NF($F180,"1 No.")</t>
  </si>
  <si>
    <t>=NF($F181,"1 No.")</t>
  </si>
  <si>
    <t>=NF($F182,"1 No.")</t>
  </si>
  <si>
    <t>=NF($F183,"1 No.")</t>
  </si>
  <si>
    <t>=NF($F184,"1 No.")</t>
  </si>
  <si>
    <t>=NF($F185,"1 No.")</t>
  </si>
  <si>
    <t>=NF($F186,"1 No.")</t>
  </si>
  <si>
    <t>=NF($F187,"1 No.")</t>
  </si>
  <si>
    <t>=NF($F188,"1 No.")</t>
  </si>
  <si>
    <t>=NF($F189,"1 No.")</t>
  </si>
  <si>
    <t>=NF($F190,"1 No.")</t>
  </si>
  <si>
    <t>=NF($F191,"1 No.")</t>
  </si>
  <si>
    <t>=NF($F192,"1 No.")</t>
  </si>
  <si>
    <t>=NF($F193,"1 No.")</t>
  </si>
  <si>
    <t>=NF($F194,"1 No.")</t>
  </si>
  <si>
    <t>=NF($F195,"1 No.")</t>
  </si>
  <si>
    <t>=NF($F196,"1 No.")</t>
  </si>
  <si>
    <t>=NF($F197,"1 No.")</t>
  </si>
  <si>
    <t>=NF($F198,"1 No.")</t>
  </si>
  <si>
    <t>=NF($F199,"1 No.")</t>
  </si>
  <si>
    <t>=NF($F200,"1 No.")</t>
  </si>
  <si>
    <t>=NF($F201,"1 No.")</t>
  </si>
  <si>
    <t>=NF($F202,"1 No.")</t>
  </si>
  <si>
    <t>=NF($F203,"1 No.")</t>
  </si>
  <si>
    <t>=NF($F204,"1 No.")</t>
  </si>
  <si>
    <t>=NF($F205,"1 No.")</t>
  </si>
  <si>
    <t>=NF($F206,"1 No.")</t>
  </si>
  <si>
    <t>=NF($F207,"1 No.")</t>
  </si>
  <si>
    <t>=NF($F208,"1 No.")</t>
  </si>
  <si>
    <t>=NF($F209,"1 No.")</t>
  </si>
  <si>
    <t>=NF($F210,"1 No.")</t>
  </si>
  <si>
    <t>=NF($F211,"1 No.")</t>
  </si>
  <si>
    <t>=NF($F212,"1 No.")</t>
  </si>
  <si>
    <t>=NF($F213,"1 No.")</t>
  </si>
  <si>
    <t>=NF($F214,"1 No.")</t>
  </si>
  <si>
    <t>=NF($F215,"1 No.")</t>
  </si>
  <si>
    <t>=NF($F216,"1 No.")</t>
  </si>
  <si>
    <t>=NF($F217,"1 No.")</t>
  </si>
  <si>
    <t>=NF($F218,"1 No.")</t>
  </si>
  <si>
    <t>=NF($F219,"1 No.")</t>
  </si>
  <si>
    <t>=NF($F220,"1 No.")</t>
  </si>
  <si>
    <t>=NF($F221,"1 No.")</t>
  </si>
  <si>
    <t>=NF($F222,"1 No.")</t>
  </si>
  <si>
    <t>=NF($F223,"1 No.")</t>
  </si>
  <si>
    <t>Auto+Hide+Values+Formulas=Sheet1,Sheet2,Sheet3+FormulasOnly</t>
  </si>
  <si>
    <t>="""NAV"",""CRONUS JetCorp USA"",""27"",""1"",""C100019"""</t>
  </si>
  <si>
    <t>="""NAV"",""CRONUS JetCorp USA"",""27"",""1"",""C100004"""</t>
  </si>
  <si>
    <t>="""NAV"",""CRONUS JetCorp USA"",""27"",""1"",""C100005"""</t>
  </si>
  <si>
    <t>="""NAV"",""CRONUS JetCorp USA"",""27"",""1"",""C100017"""</t>
  </si>
  <si>
    <t>="""NAV"",""CRONUS JetCorp USA"",""27"",""1"",""C100040"""</t>
  </si>
  <si>
    <t>="""NAV"",""CRONUS JetCorp USA"",""27"",""1"",""C100031"""</t>
  </si>
  <si>
    <t>="""NAV"",""CRONUS JetCorp USA"",""27"",""1"",""S100009"""</t>
  </si>
  <si>
    <t>="""NAV"",""CRONUS JetCorp USA"",""27"",""1"",""C100055"""</t>
  </si>
  <si>
    <t>="""NAV"",""CRONUS JetCorp USA"",""27"",""1"",""C100003"""</t>
  </si>
  <si>
    <t>="""NAV"",""CRONUS JetCorp USA"",""27"",""1"",""C100051"""</t>
  </si>
  <si>
    <t>="""NAV"",""CRONUS JetCorp USA"",""27"",""1"",""S100010"""</t>
  </si>
  <si>
    <t>="""NAV"",""CRONUS JetCorp USA"",""27"",""1"",""S100004"""</t>
  </si>
  <si>
    <t>="""NAV"",""CRONUS JetCorp USA"",""27"",""1"",""C100054"""</t>
  </si>
  <si>
    <t>="""NAV"",""CRONUS JetCorp USA"",""27"",""1"",""C100045"""</t>
  </si>
  <si>
    <t>="""NAV"",""CRONUS JetCorp USA"",""27"",""1"",""S100021"""</t>
  </si>
  <si>
    <t>="""NAV"",""CRONUS JetCorp USA"",""27"",""1"",""C100018"""</t>
  </si>
  <si>
    <t>="""NAV"",""CRONUS JetCorp USA"",""27"",""1"",""S100018"""</t>
  </si>
  <si>
    <t>="""NAV"",""CRONUS JetCorp USA"",""27"",""1"",""S100005"""</t>
  </si>
  <si>
    <t>="""NAV"",""CRONUS JetCorp USA"",""27"",""1"",""C100043"""</t>
  </si>
  <si>
    <t>="""NAV"",""CRONUS JetCorp USA"",""27"",""1"",""C100032"""</t>
  </si>
  <si>
    <t>="""NAV"",""CRONUS JetCorp USA"",""27"",""1"",""C100021"""</t>
  </si>
  <si>
    <t>="""NAV"",""CRONUS JetCorp USA"",""27"",""1"",""S100001"""</t>
  </si>
  <si>
    <t>="""NAV"",""CRONUS JetCorp USA"",""27"",""1"",""C100020"""</t>
  </si>
  <si>
    <t>="""NAV"",""CRONUS JetCorp USA"",""27"",""1"",""C100027"""</t>
  </si>
  <si>
    <t>="""NAV"",""CRONUS JetCorp USA"",""27"",""1"",""S100016"""</t>
  </si>
  <si>
    <t>="""NAV"",""CRONUS JetCorp USA"",""27"",""1"",""C100011"""</t>
  </si>
  <si>
    <t>="""NAV"",""CRONUS JetCorp USA"",""27"",""1"",""C100010"""</t>
  </si>
  <si>
    <t>="""NAV"",""CRONUS JetCorp USA"",""27"",""1"",""C100026"""</t>
  </si>
  <si>
    <t>="""NAV"",""CRONUS JetCorp USA"",""27"",""1"",""C100002"""</t>
  </si>
  <si>
    <t>="""NAV"",""CRONUS JetCorp USA"",""27"",""1"",""C100028"""</t>
  </si>
  <si>
    <t>="""NAV"",""CRONUS JetCorp USA"",""27"",""1"",""S100014"""</t>
  </si>
  <si>
    <t>="""NAV"",""CRONUS JetCorp USA"",""27"",""1"",""S100019"""</t>
  </si>
  <si>
    <t>="""NAV"",""CRONUS JetCorp USA"",""27"",""1"",""S100017"""</t>
  </si>
  <si>
    <t>="""NAV"",""CRONUS JetCorp USA"",""27"",""1"",""S100006"""</t>
  </si>
  <si>
    <t>="""NAV"",""CRONUS JetCorp USA"",""27"",""1"",""S100008"""</t>
  </si>
  <si>
    <t>="""NAV"",""CRONUS JetCorp USA"",""27"",""1"",""C100049"""</t>
  </si>
  <si>
    <t>="""NAV"",""CRONUS JetCorp USA"",""27"",""1"",""S100007"""</t>
  </si>
  <si>
    <t>="""NAV"",""CRONUS JetCorp USA"",""27"",""1"",""C100029"""</t>
  </si>
  <si>
    <t>="""NAV"",""CRONUS JetCorp USA"",""27"",""1"",""S100026"""</t>
  </si>
  <si>
    <t>="""NAV"",""CRONUS JetCorp USA"",""27"",""1"",""E100012"""</t>
  </si>
  <si>
    <t>="""NAV"",""CRONUS JetCorp USA"",""27"",""1"",""C100046"""</t>
  </si>
  <si>
    <t>="""NAV"",""CRONUS JetCorp USA"",""27"",""1"",""S200012"""</t>
  </si>
  <si>
    <t>="""NAV"",""CRONUS JetCorp USA"",""27"",""1"",""S100012"""</t>
  </si>
  <si>
    <t>="""NAV"",""CRONUS JetCorp USA"",""27"",""1"",""S200007"""</t>
  </si>
  <si>
    <t>="""NAV"",""CRONUS JetCorp USA"",""27"",""1"",""E100016"""</t>
  </si>
  <si>
    <t>="""NAV"",""CRONUS JetCorp USA"",""27"",""1"",""S100020"""</t>
  </si>
  <si>
    <t>="""NAV"",""CRONUS JetCorp USA"",""27"",""1"",""C100030"""</t>
  </si>
  <si>
    <t>="""NAV"",""CRONUS JetCorp USA"",""27"",""1"",""E100020"""</t>
  </si>
  <si>
    <t>="""NAV"",""CRONUS JetCorp USA"",""27"",""1"",""S200019"""</t>
  </si>
  <si>
    <t>="""NAV"",""CRONUS JetCorp USA"",""27"",""1"",""S100002"""</t>
  </si>
  <si>
    <t>="""NAV"",""CRONUS JetCorp USA"",""27"",""1"",""C100025"""</t>
  </si>
  <si>
    <t>="""NAV"",""CRONUS JetCorp USA"",""27"",""1"",""C100014"""</t>
  </si>
  <si>
    <t>="""NAV"",""CRONUS JetCorp USA"",""27"",""1"",""S100015"""</t>
  </si>
  <si>
    <t>="""NAV"",""CRONUS JetCorp USA"",""27"",""1"",""E100033"""</t>
  </si>
  <si>
    <t>="""NAV"",""CRONUS JetCorp USA"",""27"",""1"",""E100014"""</t>
  </si>
  <si>
    <t>="""NAV"",""CRONUS JetCorp USA"",""27"",""1"",""C100037"""</t>
  </si>
  <si>
    <t>="""NAV"",""CRONUS JetCorp USA"",""27"",""1"",""C100024"""</t>
  </si>
  <si>
    <t>="""NAV"",""CRONUS JetCorp USA"",""27"",""1"",""S200017"""</t>
  </si>
  <si>
    <t>="""NAV"",""CRONUS JetCorp USA"",""27"",""1"",""C100056"""</t>
  </si>
  <si>
    <t>="""NAV"",""CRONUS JetCorp USA"",""27"",""1"",""C100041"""</t>
  </si>
  <si>
    <t>="""NAV"",""CRONUS JetCorp USA"",""27"",""1"",""C100033"""</t>
  </si>
  <si>
    <t>="""NAV"",""CRONUS JetCorp USA"",""27"",""1"",""S100013"""</t>
  </si>
  <si>
    <t>="""NAV"",""CRONUS JetCorp USA"",""27"",""1"",""C100022"""</t>
  </si>
  <si>
    <t>="""NAV"",""CRONUS JetCorp USA"",""27"",""1"",""E100021"""</t>
  </si>
  <si>
    <t>="""NAV"",""CRONUS JetCorp USA"",""27"",""1"",""C100008"""</t>
  </si>
  <si>
    <t>="""NAV"",""CRONUS JetCorp USA"",""27"",""1"",""E100013"""</t>
  </si>
  <si>
    <t>="""NAV"",""CRONUS JetCorp USA"",""27"",""1"",""E100001"""</t>
  </si>
  <si>
    <t>="""NAV"",""CRONUS JetCorp USA"",""27"",""1"",""E100018"""</t>
  </si>
  <si>
    <t>="""NAV"",""CRONUS JetCorp USA"",""27"",""1"",""E100019"""</t>
  </si>
  <si>
    <t>="""NAV"",""CRONUS JetCorp USA"",""27"",""1"",""C100035"""</t>
  </si>
  <si>
    <t>="""NAV"",""CRONUS JetCorp USA"",""27"",""1"",""E100022"""</t>
  </si>
  <si>
    <t>="""NAV"",""CRONUS JetCorp USA"",""27"",""1"",""S200004"""</t>
  </si>
  <si>
    <t>="""NAV"",""CRONUS JetCorp USA"",""27"",""1"",""E100034"""</t>
  </si>
  <si>
    <t>="""NAV"",""CRONUS JetCorp USA"",""27"",""1"",""S200020"""</t>
  </si>
  <si>
    <t>="""NAV"",""CRONUS JetCorp USA"",""27"",""1"",""C100009"""</t>
  </si>
  <si>
    <t>="""NAV"",""CRONUS JetCorp USA"",""27"",""1"",""C100023"""</t>
  </si>
  <si>
    <t>="""NAV"",""CRONUS JetCorp USA"",""27"",""1"",""E100004"""</t>
  </si>
  <si>
    <t>="""NAV"",""CRONUS JetCorp USA"",""27"",""1"",""E100038"""</t>
  </si>
  <si>
    <t>="""NAV"",""CRONUS JetCorp USA"",""27"",""1"",""S100003"""</t>
  </si>
  <si>
    <t>="""NAV"",""CRONUS JetCorp USA"",""27"",""1"",""S200015"""</t>
  </si>
  <si>
    <t>="""NAV"",""CRONUS JetCorp USA"",""27"",""1"",""C100048"""</t>
  </si>
  <si>
    <t>="""NAV"",""CRONUS JetCorp USA"",""27"",""1"",""C100053"""</t>
  </si>
  <si>
    <t>="""NAV"",""CRONUS JetCorp USA"",""27"",""1"",""C100052"""</t>
  </si>
  <si>
    <t>="""NAV"",""CRONUS JetCorp USA"",""27"",""1"",""C100066"""</t>
  </si>
  <si>
    <t>="""NAV"",""CRONUS JetCorp USA"",""27"",""1"",""E100011"""</t>
  </si>
  <si>
    <t>="""NAV"",""CRONUS JetCorp USA"",""27"",""1"",""C100038"""</t>
  </si>
  <si>
    <t>="""NAV"",""CRONUS JetCorp USA"",""27"",""1"",""E100015"""</t>
  </si>
  <si>
    <t>="""NAV"",""CRONUS JetCorp USA"",""27"",""1"",""E100017"""</t>
  </si>
  <si>
    <t>="""NAV"",""CRONUS JetCorp USA"",""27"",""1"",""S200031"""</t>
  </si>
  <si>
    <t>="""NAV"",""CRONUS JetCorp USA"",""27"",""1"",""S200018"""</t>
  </si>
  <si>
    <t>="""NAV"",""CRONUS JetCorp USA"",""27"",""1"",""E100047"""</t>
  </si>
  <si>
    <t>="""NAV"",""CRONUS JetCorp USA"",""27"",""1"",""E100023"""</t>
  </si>
  <si>
    <t>="""NAV"",""CRONUS JetCorp USA"",""27"",""1"",""S200006"""</t>
  </si>
  <si>
    <t>="""NAV"",""CRONUS JetCorp USA"",""27"",""1"",""E100003"""</t>
  </si>
  <si>
    <t>="""NAV"",""CRONUS JetCorp USA"",""27"",""1"",""E100024"""</t>
  </si>
  <si>
    <t>="""NAV"",""CRONUS JetCorp USA"",""27"",""1"",""E100042"""</t>
  </si>
  <si>
    <t>="""NAV"",""CRONUS JetCorp USA"",""27"",""1"",""S200021"""</t>
  </si>
  <si>
    <t>="""NAV"",""CRONUS JetCorp USA"",""27"",""1"",""S200022"""</t>
  </si>
  <si>
    <t>="""NAV"",""CRONUS JetCorp USA"",""27"",""1"",""S200024"""</t>
  </si>
  <si>
    <t>="""NAV"",""CRONUS JetCorp USA"",""27"",""1"",""E100005"""</t>
  </si>
  <si>
    <t>="""NAV"",""CRONUS JetCorp USA"",""27"",""1"",""C100044"""</t>
  </si>
  <si>
    <t>="""NAV"",""CRONUS JetCorp USA"",""27"",""1"",""E100002"""</t>
  </si>
  <si>
    <t>="""NAV"",""CRONUS JetCorp USA"",""27"",""1"",""E100027"""</t>
  </si>
  <si>
    <t>="""NAV"",""CRONUS JetCorp USA"",""27"",""1"",""S100011"""</t>
  </si>
  <si>
    <t>="""NAV"",""CRONUS JetCorp USA"",""27"",""1"",""C100047"""</t>
  </si>
  <si>
    <t>="""NAV"",""CRONUS JetCorp USA"",""27"",""1"",""E100035"""</t>
  </si>
  <si>
    <t>="""NAV"",""CRONUS JetCorp USA"",""27"",""1"",""S100024"""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</si>
</sst>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_);_(* \(#,##0\);_(* &quot;-&quot;_);_(@_)"/>
    <numFmt numFmtId="165" formatCode="_(* #,##0.00_);_(* \(#,##0.00\);_(* &quot;-&quot;??_);_(@_)"/>
    <numFmt numFmtId="166" formatCode="_-* #,##0.00\ _€_-;\-* #,##0.00\ _€_-;_-* &quot;-&quot;??\ _€_-;_-@_-"/>
    <numFmt numFmtId="167" formatCode="_-* #,##0.0\ _€_-;\-* #,##0.0\ _€_-;_-* &quot;-&quot;??\ _€_-;_-@_-"/>
    <numFmt numFmtId="168" formatCode="_-* #,##0\ _€_-;\-* #,##0\ _€_-;_-* &quot;-&quot;??\ _€_-;_-@_-"/>
    <numFmt numFmtId="169" formatCode="0%__"/>
    <numFmt numFmtId="170" formatCode="m/d/yyyy\ h:mm\ AM/PM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4"/>
      <color theme="3"/>
      <name val="Arial"/>
      <family val="2"/>
    </font>
    <font>
      <sz val="11"/>
      <color theme="3"/>
      <name val="Calibri"/>
      <family val="2"/>
      <scheme val="minor"/>
    </font>
    <font>
      <b/>
      <sz val="16"/>
      <color theme="3"/>
      <name val="Arial"/>
      <family val="2"/>
    </font>
    <font>
      <sz val="11"/>
      <color theme="0" tint="-0.499984740745262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3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8"/>
      <color theme="3"/>
      <name val="Cambria"/>
      <family val="2"/>
      <scheme val="major"/>
    </font>
    <font>
      <b/>
      <u/>
      <sz val="22"/>
      <color theme="3"/>
      <name val="Cambria"/>
      <family val="2"/>
      <scheme val="major"/>
    </font>
    <font>
      <sz val="12"/>
      <color theme="0" tint="-0.249977111117893"/>
      <name val="Calibri"/>
      <family val="2"/>
      <scheme val="minor"/>
    </font>
    <font>
      <b/>
      <sz val="8"/>
      <color indexed="81"/>
      <name val="Tahoma"/>
      <family val="2"/>
    </font>
    <font>
      <b/>
      <i/>
      <sz val="14"/>
      <color theme="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  <xf numFmtId="165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</cellStyleXfs>
  <cellXfs count="59">
    <xf numFmtId="0" fontId="0" fillId="0" borderId="0" xfId="0"/>
    <xf numFmtId="167" fontId="0" fillId="0" borderId="0" xfId="1" applyNumberFormat="1" applyFont="1"/>
    <xf numFmtId="168" fontId="0" fillId="0" borderId="0" xfId="1" applyNumberFormat="1" applyFont="1"/>
    <xf numFmtId="0" fontId="3" fillId="0" borderId="0" xfId="0" applyFont="1" applyAlignment="1">
      <alignment horizontal="left"/>
    </xf>
    <xf numFmtId="22" fontId="4" fillId="0" borderId="0" xfId="0" applyNumberFormat="1" applyFont="1"/>
    <xf numFmtId="167" fontId="0" fillId="0" borderId="0" xfId="1" applyNumberFormat="1" applyFont="1" applyFill="1"/>
    <xf numFmtId="0" fontId="2" fillId="0" borderId="0" xfId="0" applyFont="1" applyAlignment="1">
      <alignment horizontal="left"/>
    </xf>
    <xf numFmtId="168" fontId="2" fillId="0" borderId="0" xfId="1" applyNumberFormat="1" applyFont="1" applyFill="1"/>
    <xf numFmtId="168" fontId="0" fillId="0" borderId="0" xfId="0" applyNumberFormat="1"/>
    <xf numFmtId="14" fontId="0" fillId="0" borderId="0" xfId="0" applyNumberFormat="1"/>
    <xf numFmtId="9" fontId="0" fillId="0" borderId="0" xfId="2" applyFont="1"/>
    <xf numFmtId="0" fontId="5" fillId="0" borderId="0" xfId="0" applyFont="1"/>
    <xf numFmtId="22" fontId="5" fillId="0" borderId="0" xfId="0" applyNumberFormat="1" applyFont="1" applyAlignment="1">
      <alignment horizontal="right"/>
    </xf>
    <xf numFmtId="0" fontId="6" fillId="5" borderId="0" xfId="0" applyFont="1" applyFill="1"/>
    <xf numFmtId="167" fontId="6" fillId="5" borderId="0" xfId="1" applyNumberFormat="1" applyFont="1" applyFill="1"/>
    <xf numFmtId="14" fontId="6" fillId="5" borderId="0" xfId="0" applyNumberFormat="1" applyFont="1" applyFill="1"/>
    <xf numFmtId="14" fontId="6" fillId="5" borderId="0" xfId="0" applyNumberFormat="1" applyFont="1" applyFill="1" applyAlignment="1">
      <alignment horizontal="right"/>
    </xf>
    <xf numFmtId="0" fontId="6" fillId="5" borderId="0" xfId="0" applyFont="1" applyFill="1" applyAlignment="1">
      <alignment horizontal="right"/>
    </xf>
    <xf numFmtId="0" fontId="7" fillId="4" borderId="5" xfId="0" applyFont="1" applyFill="1" applyBorder="1" applyAlignment="1">
      <alignment wrapText="1"/>
    </xf>
    <xf numFmtId="0" fontId="7" fillId="4" borderId="0" xfId="0" applyFont="1" applyFill="1" applyAlignment="1">
      <alignment wrapText="1"/>
    </xf>
    <xf numFmtId="0" fontId="7" fillId="4" borderId="0" xfId="0" applyFont="1" applyFill="1" applyAlignment="1">
      <alignment horizontal="center" wrapText="1"/>
    </xf>
    <xf numFmtId="0" fontId="7" fillId="4" borderId="6" xfId="0" applyFont="1" applyFill="1" applyBorder="1" applyAlignment="1">
      <alignment horizontal="center" wrapText="1"/>
    </xf>
    <xf numFmtId="0" fontId="8" fillId="0" borderId="0" xfId="0" applyFont="1"/>
    <xf numFmtId="0" fontId="9" fillId="0" borderId="5" xfId="0" applyFont="1" applyBorder="1"/>
    <xf numFmtId="0" fontId="9" fillId="0" borderId="0" xfId="0" applyFont="1"/>
    <xf numFmtId="0" fontId="9" fillId="0" borderId="6" xfId="0" applyFont="1" applyBorder="1"/>
    <xf numFmtId="0" fontId="8" fillId="0" borderId="5" xfId="0" applyFont="1" applyBorder="1"/>
    <xf numFmtId="0" fontId="8" fillId="0" borderId="6" xfId="0" applyFont="1" applyBorder="1"/>
    <xf numFmtId="164" fontId="8" fillId="0" borderId="0" xfId="1" applyNumberFormat="1" applyFont="1" applyBorder="1"/>
    <xf numFmtId="169" fontId="8" fillId="0" borderId="6" xfId="2" applyNumberFormat="1" applyFont="1" applyBorder="1"/>
    <xf numFmtId="164" fontId="8" fillId="0" borderId="0" xfId="0" applyNumberFormat="1" applyFont="1"/>
    <xf numFmtId="169" fontId="8" fillId="0" borderId="6" xfId="0" applyNumberFormat="1" applyFont="1" applyBorder="1"/>
    <xf numFmtId="164" fontId="7" fillId="3" borderId="8" xfId="1" applyNumberFormat="1" applyFont="1" applyFill="1" applyBorder="1"/>
    <xf numFmtId="169" fontId="7" fillId="3" borderId="9" xfId="2" applyNumberFormat="1" applyFont="1" applyFill="1" applyBorder="1"/>
    <xf numFmtId="0" fontId="7" fillId="4" borderId="0" xfId="0" applyFont="1" applyFill="1" applyAlignment="1">
      <alignment horizontal="right" wrapText="1"/>
    </xf>
    <xf numFmtId="0" fontId="0" fillId="0" borderId="0" xfId="0" applyAlignment="1">
      <alignment horizontal="left"/>
    </xf>
    <xf numFmtId="0" fontId="0" fillId="5" borderId="0" xfId="0" applyFill="1"/>
    <xf numFmtId="0" fontId="8" fillId="5" borderId="0" xfId="0" applyFont="1" applyFill="1"/>
    <xf numFmtId="0" fontId="14" fillId="5" borderId="0" xfId="0" applyFont="1" applyFill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" xfId="0" applyBorder="1"/>
    <xf numFmtId="0" fontId="0" fillId="0" borderId="16" xfId="0" applyBorder="1"/>
    <xf numFmtId="0" fontId="0" fillId="0" borderId="0" xfId="0" quotePrefix="1"/>
    <xf numFmtId="0" fontId="0" fillId="0" borderId="0" xfId="0" quotePrefix="1" applyAlignment="1">
      <alignment wrapText="1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70" fontId="5" fillId="0" borderId="0" xfId="0" applyNumberFormat="1" applyFont="1" applyAlignment="1">
      <alignment horizontal="right"/>
    </xf>
    <xf numFmtId="22" fontId="5" fillId="0" borderId="0" xfId="0" applyNumberFormat="1" applyFont="1" applyAlignment="1">
      <alignment horizontal="left"/>
    </xf>
    <xf numFmtId="0" fontId="13" fillId="0" borderId="0" xfId="8" applyFont="1" applyAlignment="1">
      <alignment horizontal="left"/>
    </xf>
    <xf numFmtId="0" fontId="16" fillId="4" borderId="2" xfId="0" applyFont="1" applyFill="1" applyBorder="1" applyAlignment="1">
      <alignment horizontal="center"/>
    </xf>
    <xf numFmtId="0" fontId="16" fillId="4" borderId="3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left"/>
    </xf>
    <xf numFmtId="0" fontId="7" fillId="3" borderId="8" xfId="0" applyFont="1" applyFill="1" applyBorder="1" applyAlignment="1">
      <alignment horizontal="left"/>
    </xf>
  </cellXfs>
  <cellStyles count="10">
    <cellStyle name="Comma" xfId="1" builtinId="3"/>
    <cellStyle name="Comma 2" xfId="4" xr:uid="{00000000-0005-0000-0000-000001000000}"/>
    <cellStyle name="Hyperlink 3" xfId="9" xr:uid="{00000000-0005-0000-0000-000003000000}"/>
    <cellStyle name="Normal" xfId="0" builtinId="0"/>
    <cellStyle name="Normal 2" xfId="5" xr:uid="{00000000-0005-0000-0000-000005000000}"/>
    <cellStyle name="Normal 2 2" xfId="6" xr:uid="{00000000-0005-0000-0000-000006000000}"/>
    <cellStyle name="Normal 2 3" xfId="7" xr:uid="{00000000-0005-0000-0000-000007000000}"/>
    <cellStyle name="Normal 2 4" xfId="3" xr:uid="{00000000-0005-0000-0000-000008000000}"/>
    <cellStyle name="Percent" xfId="2" builtinId="5"/>
    <cellStyle name="Title" xfId="8" builtin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9"/>
  <sheetViews>
    <sheetView workbookViewId="0"/>
  </sheetViews>
  <sheetFormatPr defaultColWidth="11.42578125" defaultRowHeight="15" x14ac:dyDescent="0.25"/>
  <cols>
    <col min="1" max="1" width="11.42578125" hidden="1" customWidth="1"/>
    <col min="4" max="4" width="27.140625" bestFit="1" customWidth="1"/>
  </cols>
  <sheetData>
    <row r="1" spans="1:7" hidden="1" x14ac:dyDescent="0.25">
      <c r="A1" t="s">
        <v>24</v>
      </c>
      <c r="D1" t="s">
        <v>4</v>
      </c>
      <c r="E1" t="s">
        <v>5</v>
      </c>
      <c r="F1" t="s">
        <v>0</v>
      </c>
      <c r="G1" t="s">
        <v>26</v>
      </c>
    </row>
    <row r="4" spans="1:7" x14ac:dyDescent="0.25">
      <c r="D4" s="46" t="s">
        <v>6</v>
      </c>
      <c r="E4" s="47"/>
      <c r="F4" s="48"/>
    </row>
    <row r="5" spans="1:7" x14ac:dyDescent="0.25">
      <c r="D5" s="39"/>
      <c r="F5" s="40"/>
    </row>
    <row r="6" spans="1:7" x14ac:dyDescent="0.25">
      <c r="A6" t="s">
        <v>1</v>
      </c>
      <c r="D6" s="39" t="s">
        <v>7</v>
      </c>
      <c r="E6" s="9" t="str">
        <f>"1/1/2019"</f>
        <v>1/1/2019</v>
      </c>
      <c r="F6" s="40"/>
      <c r="G6" t="s">
        <v>25</v>
      </c>
    </row>
    <row r="7" spans="1:7" x14ac:dyDescent="0.25">
      <c r="A7" t="s">
        <v>1</v>
      </c>
      <c r="D7" s="39" t="s">
        <v>8</v>
      </c>
      <c r="E7" s="9" t="str">
        <f>"10/1/2019"</f>
        <v>10/1/2019</v>
      </c>
      <c r="F7" s="40"/>
      <c r="G7" t="s">
        <v>25</v>
      </c>
    </row>
    <row r="8" spans="1:7" x14ac:dyDescent="0.25">
      <c r="D8" s="39"/>
      <c r="E8" s="9"/>
      <c r="F8" s="40"/>
    </row>
    <row r="9" spans="1:7" x14ac:dyDescent="0.25">
      <c r="A9" t="s">
        <v>1</v>
      </c>
      <c r="D9" s="41" t="s">
        <v>9</v>
      </c>
      <c r="E9" s="42" t="str">
        <f>"100"</f>
        <v>100</v>
      </c>
      <c r="F9" s="43"/>
    </row>
  </sheetData>
  <mergeCells count="1">
    <mergeCell ref="D4:F4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B234"/>
  <sheetViews>
    <sheetView showGridLines="0" tabSelected="1" topLeftCell="G8" zoomScale="70" zoomScaleNormal="70" workbookViewId="0">
      <selection activeCell="N11" sqref="N11"/>
    </sheetView>
  </sheetViews>
  <sheetFormatPr defaultColWidth="11.42578125" defaultRowHeight="15" x14ac:dyDescent="0.25"/>
  <cols>
    <col min="1" max="2" width="11.42578125" style="13" hidden="1" customWidth="1"/>
    <col min="3" max="3" width="3.85546875" style="13" hidden="1" customWidth="1"/>
    <col min="4" max="4" width="19.28515625" style="13" hidden="1" customWidth="1"/>
    <col min="5" max="5" width="15.42578125" style="13" hidden="1" customWidth="1"/>
    <col min="6" max="6" width="12.42578125" style="13" hidden="1" customWidth="1"/>
    <col min="7" max="7" width="5" customWidth="1"/>
    <col min="8" max="8" width="20.5703125" bestFit="1" customWidth="1"/>
    <col min="9" max="9" width="47.28515625" bestFit="1" customWidth="1"/>
    <col min="10" max="10" width="18.85546875" style="1" bestFit="1" customWidth="1"/>
    <col min="11" max="12" width="18.28515625" bestFit="1" customWidth="1"/>
    <col min="13" max="13" width="10.5703125" bestFit="1" customWidth="1"/>
    <col min="14" max="14" width="10.28515625" bestFit="1" customWidth="1"/>
    <col min="15" max="15" width="3" bestFit="1" customWidth="1"/>
    <col min="16" max="16" width="3" style="36" hidden="1" customWidth="1"/>
    <col min="17" max="17" width="18.28515625" bestFit="1" customWidth="1"/>
    <col min="18" max="18" width="37.7109375" bestFit="1" customWidth="1"/>
    <col min="19" max="19" width="18.85546875" bestFit="1" customWidth="1"/>
    <col min="20" max="21" width="18.28515625" bestFit="1" customWidth="1"/>
    <col min="22" max="23" width="19.28515625" bestFit="1" customWidth="1"/>
  </cols>
  <sheetData>
    <row r="1" spans="1:23" s="13" customFormat="1" hidden="1" x14ac:dyDescent="0.25">
      <c r="A1" s="13" t="s">
        <v>138</v>
      </c>
      <c r="B1" s="13" t="s">
        <v>3</v>
      </c>
      <c r="C1" s="13" t="s">
        <v>3</v>
      </c>
      <c r="D1" s="13" t="s">
        <v>3</v>
      </c>
      <c r="E1" s="13" t="s">
        <v>3</v>
      </c>
      <c r="F1" s="13" t="s">
        <v>3</v>
      </c>
      <c r="H1" s="13" t="s">
        <v>15</v>
      </c>
      <c r="I1" s="13" t="s">
        <v>15</v>
      </c>
      <c r="J1" s="13" t="s">
        <v>15</v>
      </c>
      <c r="K1" s="13" t="s">
        <v>15</v>
      </c>
      <c r="L1" s="13" t="s">
        <v>15</v>
      </c>
      <c r="M1" s="13" t="s">
        <v>15</v>
      </c>
      <c r="N1" s="13" t="s">
        <v>15</v>
      </c>
      <c r="O1" s="13" t="s">
        <v>15</v>
      </c>
      <c r="P1" s="13" t="s">
        <v>2</v>
      </c>
      <c r="Q1" s="13" t="s">
        <v>15</v>
      </c>
      <c r="R1" s="13" t="s">
        <v>15</v>
      </c>
      <c r="S1" s="13" t="s">
        <v>15</v>
      </c>
      <c r="T1" s="13" t="s">
        <v>15</v>
      </c>
      <c r="U1" s="13" t="s">
        <v>15</v>
      </c>
      <c r="V1" s="13" t="s">
        <v>15</v>
      </c>
      <c r="W1" s="13" t="s">
        <v>15</v>
      </c>
    </row>
    <row r="2" spans="1:23" s="13" customFormat="1" hidden="1" x14ac:dyDescent="0.25">
      <c r="A2" s="13" t="s">
        <v>2</v>
      </c>
      <c r="H2" s="13" t="s">
        <v>7</v>
      </c>
      <c r="I2" s="15" t="str">
        <f>"1/1/2019"</f>
        <v>1/1/2019</v>
      </c>
      <c r="J2" s="14"/>
      <c r="K2" s="13" t="s">
        <v>18</v>
      </c>
      <c r="L2" s="13" t="s">
        <v>18</v>
      </c>
      <c r="Q2" s="13" t="s">
        <v>18</v>
      </c>
      <c r="T2" s="13" t="s">
        <v>18</v>
      </c>
      <c r="U2" s="13" t="s">
        <v>18</v>
      </c>
      <c r="V2" s="13" t="s">
        <v>23</v>
      </c>
      <c r="W2" s="13" t="s">
        <v>23</v>
      </c>
    </row>
    <row r="3" spans="1:23" s="13" customFormat="1" hidden="1" x14ac:dyDescent="0.25">
      <c r="A3" s="13" t="s">
        <v>2</v>
      </c>
      <c r="H3" s="13" t="s">
        <v>8</v>
      </c>
      <c r="I3" s="15" t="str">
        <f>"10/1/2019"</f>
        <v>10/1/2019</v>
      </c>
      <c r="J3" s="14"/>
    </row>
    <row r="4" spans="1:23" s="13" customFormat="1" hidden="1" x14ac:dyDescent="0.25">
      <c r="A4" s="13" t="s">
        <v>2</v>
      </c>
      <c r="H4" s="13" t="s">
        <v>12</v>
      </c>
      <c r="I4" s="16" t="str">
        <f>"01/01/2019..10/01/2019"</f>
        <v>01/01/2019..10/01/2019</v>
      </c>
      <c r="J4" s="14"/>
    </row>
    <row r="5" spans="1:23" s="13" customFormat="1" hidden="1" x14ac:dyDescent="0.25">
      <c r="A5" s="13" t="s">
        <v>2</v>
      </c>
      <c r="H5" s="13" t="s">
        <v>9</v>
      </c>
      <c r="I5" s="17" t="str">
        <f>"100"</f>
        <v>100</v>
      </c>
      <c r="J5" s="14"/>
    </row>
    <row r="6" spans="1:23" s="13" customFormat="1" hidden="1" x14ac:dyDescent="0.25">
      <c r="A6" s="13" t="s">
        <v>2</v>
      </c>
      <c r="I6" s="17"/>
      <c r="J6" s="14"/>
    </row>
    <row r="7" spans="1:23" s="13" customFormat="1" hidden="1" x14ac:dyDescent="0.25">
      <c r="A7" s="13" t="s">
        <v>2</v>
      </c>
      <c r="J7" s="14"/>
    </row>
    <row r="9" spans="1:23" ht="27" x14ac:dyDescent="0.35">
      <c r="H9" s="53" t="s">
        <v>22</v>
      </c>
      <c r="I9" s="53"/>
      <c r="J9" s="53"/>
      <c r="K9" s="53"/>
      <c r="L9" s="53"/>
      <c r="M9" s="35"/>
    </row>
    <row r="10" spans="1:23" ht="20.25" x14ac:dyDescent="0.3">
      <c r="H10" s="11"/>
      <c r="U10" s="12"/>
      <c r="V10" s="12"/>
      <c r="W10" s="12"/>
    </row>
    <row r="11" spans="1:23" ht="20.25" x14ac:dyDescent="0.3">
      <c r="H11" s="11"/>
      <c r="U11" s="12"/>
      <c r="V11" s="12"/>
      <c r="W11" s="12"/>
    </row>
    <row r="12" spans="1:23" ht="20.25" x14ac:dyDescent="0.3">
      <c r="H12" s="11"/>
      <c r="U12" s="12"/>
      <c r="V12" s="12"/>
      <c r="W12" s="12"/>
    </row>
    <row r="13" spans="1:23" ht="20.25" x14ac:dyDescent="0.3">
      <c r="H13" s="11"/>
      <c r="U13" s="12"/>
      <c r="V13" s="12"/>
      <c r="W13" s="12"/>
    </row>
    <row r="14" spans="1:23" ht="20.25" x14ac:dyDescent="0.3">
      <c r="H14" s="52" t="str">
        <f>"From "&amp;TEXT(I2,"dd-mmm-yy")&amp;" to "&amp;TEXT(I3,"dd-mmm-yy")</f>
        <v>From 01-Jan-19 to 10-Jan-19</v>
      </c>
      <c r="I14" s="52"/>
      <c r="J14" s="52"/>
      <c r="K14" s="52"/>
      <c r="U14" s="11" t="s">
        <v>14</v>
      </c>
      <c r="V14" s="51">
        <v>45173.60527777778</v>
      </c>
      <c r="W14" s="51"/>
    </row>
    <row r="15" spans="1:23" ht="18.75" thickBot="1" x14ac:dyDescent="0.3">
      <c r="H15" s="3"/>
      <c r="I15" s="3"/>
      <c r="J15" s="4"/>
      <c r="K15" s="4"/>
      <c r="L15" s="4"/>
      <c r="M15" s="4"/>
      <c r="N15" s="4"/>
    </row>
    <row r="16" spans="1:23" ht="18.75" x14ac:dyDescent="0.3">
      <c r="H16" s="54" t="str">
        <f>"Top "&amp;I5&amp;" Items by SALES AMOUNT"</f>
        <v>Top 100 Items by SALES AMOUNT</v>
      </c>
      <c r="I16" s="55"/>
      <c r="J16" s="55"/>
      <c r="K16" s="55"/>
      <c r="L16" s="55"/>
      <c r="M16" s="55"/>
      <c r="N16" s="56"/>
      <c r="Q16" s="54" t="str">
        <f>"Top "&amp;I5&amp;" Items by MARGIN"</f>
        <v>Top 100 Items by MARGIN</v>
      </c>
      <c r="R16" s="55"/>
      <c r="S16" s="55"/>
      <c r="T16" s="55"/>
      <c r="U16" s="55"/>
      <c r="V16" s="55"/>
      <c r="W16" s="56"/>
    </row>
    <row r="17" spans="1:23" ht="31.5" x14ac:dyDescent="0.25">
      <c r="H17" s="18" t="s">
        <v>10</v>
      </c>
      <c r="I17" s="19" t="s">
        <v>11</v>
      </c>
      <c r="J17" s="34" t="s">
        <v>19</v>
      </c>
      <c r="K17" s="34" t="s">
        <v>16</v>
      </c>
      <c r="L17" s="34" t="s">
        <v>17</v>
      </c>
      <c r="M17" s="20" t="s">
        <v>20</v>
      </c>
      <c r="N17" s="21" t="s">
        <v>21</v>
      </c>
      <c r="O17" s="22"/>
      <c r="P17" s="37"/>
      <c r="Q17" s="18" t="s">
        <v>10</v>
      </c>
      <c r="R17" s="19" t="s">
        <v>11</v>
      </c>
      <c r="S17" s="34" t="s">
        <v>19</v>
      </c>
      <c r="T17" s="34" t="s">
        <v>16</v>
      </c>
      <c r="U17" s="34" t="s">
        <v>17</v>
      </c>
      <c r="V17" s="20" t="s">
        <v>20</v>
      </c>
      <c r="W17" s="21" t="s">
        <v>21</v>
      </c>
    </row>
    <row r="18" spans="1:23" ht="15.75" x14ac:dyDescent="0.25">
      <c r="E18" s="15"/>
      <c r="F18" s="15"/>
      <c r="H18" s="23"/>
      <c r="I18" s="24"/>
      <c r="J18" s="24"/>
      <c r="K18" s="24"/>
      <c r="L18" s="24"/>
      <c r="M18" s="24"/>
      <c r="N18" s="25"/>
      <c r="O18" s="22"/>
      <c r="P18" s="37"/>
      <c r="Q18" s="26"/>
      <c r="R18" s="22"/>
      <c r="S18" s="22"/>
      <c r="T18" s="22"/>
      <c r="U18" s="22"/>
      <c r="V18" s="22"/>
      <c r="W18" s="27"/>
    </row>
    <row r="19" spans="1:23" ht="15.75" x14ac:dyDescent="0.25">
      <c r="C19" s="13">
        <f>C18+1</f>
        <v>1</v>
      </c>
      <c r="E19" s="13" t="str">
        <f>"@@"&amp;H19</f>
        <v>@@C100006</v>
      </c>
      <c r="F19" s="13" t="str">
        <f>"""NAV"",""CRONUS JetCorp USA"",""27"",""1"",""C100006"""</f>
        <v>"NAV","CRONUS JetCorp USA","27","1","C100006"</v>
      </c>
      <c r="H19" s="26" t="str">
        <f>"C100006"</f>
        <v>C100006</v>
      </c>
      <c r="I19" s="22" t="str">
        <f>"Cherry Finished Crystal Award- Large"</f>
        <v>Cherry Finished Crystal Award- Large</v>
      </c>
      <c r="J19" s="28">
        <v>360</v>
      </c>
      <c r="K19" s="28">
        <v>71860.070000000007</v>
      </c>
      <c r="L19" s="28">
        <v>-34214.410000000003</v>
      </c>
      <c r="M19" s="28">
        <f>K19+L19</f>
        <v>37645.660000000003</v>
      </c>
      <c r="N19" s="29">
        <f>IF(K19=0,"",M19/K19)</f>
        <v>0.52387452447513616</v>
      </c>
      <c r="O19" s="22"/>
      <c r="P19" s="38" t="str">
        <f ca="1">"@@"&amp;$Q19</f>
        <v>@@C100006</v>
      </c>
      <c r="Q19" s="26" t="str">
        <f ca="1">OFFSET($H$124,C19-1,0)</f>
        <v>C100006</v>
      </c>
      <c r="R19" s="22" t="str">
        <f>"Cherry Finished Crystal Award- Large"</f>
        <v>Cherry Finished Crystal Award- Large</v>
      </c>
      <c r="S19" s="28">
        <v>360</v>
      </c>
      <c r="T19" s="28">
        <v>71860.070000000007</v>
      </c>
      <c r="U19" s="28">
        <v>-34214.410000000003</v>
      </c>
      <c r="V19" s="28">
        <f>T19+U19</f>
        <v>37645.660000000003</v>
      </c>
      <c r="W19" s="29">
        <f>IF(T19=0,"",V19/T19)</f>
        <v>0.52387452447513616</v>
      </c>
    </row>
    <row r="20" spans="1:23" ht="15.75" x14ac:dyDescent="0.25">
      <c r="A20" s="13" t="s">
        <v>67</v>
      </c>
      <c r="C20" s="13">
        <f t="shared" ref="C20:C83" si="0">C19+1</f>
        <v>2</v>
      </c>
      <c r="E20" s="13" t="str">
        <f t="shared" ref="E20:E83" si="1">"@@"&amp;H20</f>
        <v>@@C100019</v>
      </c>
      <c r="F20" s="13" t="str">
        <f>"""NAV"",""CRONUS JetCorp USA"",""27"",""1"",""C100019"""</f>
        <v>"NAV","CRONUS JetCorp USA","27","1","C100019"</v>
      </c>
      <c r="H20" s="26" t="str">
        <f>"C100019"</f>
        <v>C100019</v>
      </c>
      <c r="I20" s="22" t="str">
        <f>"Black Duffel Bag"</f>
        <v>Black Duffel Bag</v>
      </c>
      <c r="J20" s="28">
        <v>768</v>
      </c>
      <c r="K20" s="28">
        <v>52766.02</v>
      </c>
      <c r="L20" s="28">
        <v>-32809.06</v>
      </c>
      <c r="M20" s="28">
        <f>K20+L20</f>
        <v>19956.96</v>
      </c>
      <c r="N20" s="29">
        <f>IF(K20=0,"",M20/K20)</f>
        <v>0.37821613227603673</v>
      </c>
      <c r="O20" s="22"/>
      <c r="P20" s="38" t="str">
        <f ca="1">"@@"&amp;$Q20</f>
        <v>@@C100004</v>
      </c>
      <c r="Q20" s="26" t="str">
        <f ca="1">OFFSET($H$124,C20-1,0)</f>
        <v>C100004</v>
      </c>
      <c r="R20" s="22" t="str">
        <f>"Walnut Medallian Plate"</f>
        <v>Walnut Medallian Plate</v>
      </c>
      <c r="S20" s="28">
        <v>866</v>
      </c>
      <c r="T20" s="28">
        <v>49722.170000000006</v>
      </c>
      <c r="U20" s="28">
        <v>-26499.550000000003</v>
      </c>
      <c r="V20" s="28">
        <f>T20+U20</f>
        <v>23222.620000000003</v>
      </c>
      <c r="W20" s="29">
        <f t="shared" ref="W20:W83" si="2">IF(T20=0,"",V20/T20)</f>
        <v>0.46704759667568813</v>
      </c>
    </row>
    <row r="21" spans="1:23" ht="15.75" x14ac:dyDescent="0.25">
      <c r="A21" s="13" t="s">
        <v>67</v>
      </c>
      <c r="C21" s="13">
        <f t="shared" si="0"/>
        <v>3</v>
      </c>
      <c r="E21" s="13" t="str">
        <f t="shared" si="1"/>
        <v>@@C100004</v>
      </c>
      <c r="F21" s="13" t="str">
        <f>"""NAV"",""CRONUS JetCorp USA"",""27"",""1"",""C100004"""</f>
        <v>"NAV","CRONUS JetCorp USA","27","1","C100004"</v>
      </c>
      <c r="H21" s="26" t="str">
        <f>"C100004"</f>
        <v>C100004</v>
      </c>
      <c r="I21" s="22" t="str">
        <f>"Walnut Medallian Plate"</f>
        <v>Walnut Medallian Plate</v>
      </c>
      <c r="J21" s="28">
        <v>866</v>
      </c>
      <c r="K21" s="28">
        <v>49722.170000000006</v>
      </c>
      <c r="L21" s="28">
        <v>-26499.550000000003</v>
      </c>
      <c r="M21" s="28">
        <f>K21+L21</f>
        <v>23222.620000000003</v>
      </c>
      <c r="N21" s="29">
        <f>IF(K21=0,"",M21/K21)</f>
        <v>0.46704759667568813</v>
      </c>
      <c r="O21" s="22"/>
      <c r="P21" s="38" t="str">
        <f ca="1">"@@"&amp;$Q21</f>
        <v>@@C100005</v>
      </c>
      <c r="Q21" s="26" t="str">
        <f ca="1">OFFSET($H$124,C21-1,0)</f>
        <v>C100005</v>
      </c>
      <c r="R21" s="22" t="str">
        <f>"Cherry Finished Crystal Award"</f>
        <v>Cherry Finished Crystal Award</v>
      </c>
      <c r="S21" s="28">
        <v>364</v>
      </c>
      <c r="T21" s="28">
        <v>47165.329999999994</v>
      </c>
      <c r="U21" s="28">
        <v>-25818.52</v>
      </c>
      <c r="V21" s="28">
        <f>T21+U21</f>
        <v>21346.809999999994</v>
      </c>
      <c r="W21" s="29">
        <f t="shared" si="2"/>
        <v>0.45259537037056663</v>
      </c>
    </row>
    <row r="22" spans="1:23" ht="15.75" x14ac:dyDescent="0.25">
      <c r="A22" s="13" t="s">
        <v>67</v>
      </c>
      <c r="C22" s="13">
        <f t="shared" si="0"/>
        <v>4</v>
      </c>
      <c r="E22" s="13" t="str">
        <f t="shared" si="1"/>
        <v>@@C100005</v>
      </c>
      <c r="F22" s="13" t="str">
        <f>"""NAV"",""CRONUS JetCorp USA"",""27"",""1"",""C100005"""</f>
        <v>"NAV","CRONUS JetCorp USA","27","1","C100005"</v>
      </c>
      <c r="H22" s="26" t="str">
        <f>"C100005"</f>
        <v>C100005</v>
      </c>
      <c r="I22" s="22" t="str">
        <f>"Cherry Finished Crystal Award"</f>
        <v>Cherry Finished Crystal Award</v>
      </c>
      <c r="J22" s="28">
        <v>364</v>
      </c>
      <c r="K22" s="28">
        <v>47165.329999999994</v>
      </c>
      <c r="L22" s="28">
        <v>-25818.52</v>
      </c>
      <c r="M22" s="28">
        <f>K22+L22</f>
        <v>21346.809999999994</v>
      </c>
      <c r="N22" s="29">
        <f>IF(K22=0,"",M22/K22)</f>
        <v>0.45259537037056663</v>
      </c>
      <c r="O22" s="22"/>
      <c r="P22" s="38" t="str">
        <f ca="1">"@@"&amp;$Q22</f>
        <v>@@C100019</v>
      </c>
      <c r="Q22" s="26" t="str">
        <f ca="1">OFFSET($H$124,C22-1,0)</f>
        <v>C100019</v>
      </c>
      <c r="R22" s="22" t="str">
        <f>"Black Duffel Bag"</f>
        <v>Black Duffel Bag</v>
      </c>
      <c r="S22" s="28">
        <v>768</v>
      </c>
      <c r="T22" s="28">
        <v>52766.02</v>
      </c>
      <c r="U22" s="28">
        <v>-32809.06</v>
      </c>
      <c r="V22" s="28">
        <f>T22+U22</f>
        <v>19956.96</v>
      </c>
      <c r="W22" s="29">
        <f t="shared" si="2"/>
        <v>0.37821613227603673</v>
      </c>
    </row>
    <row r="23" spans="1:23" ht="15.75" x14ac:dyDescent="0.25">
      <c r="A23" s="13" t="s">
        <v>67</v>
      </c>
      <c r="C23" s="13">
        <f t="shared" si="0"/>
        <v>5</v>
      </c>
      <c r="E23" s="13" t="str">
        <f t="shared" si="1"/>
        <v>@@C100017</v>
      </c>
      <c r="F23" s="13" t="str">
        <f>"""NAV"",""CRONUS JetCorp USA"",""27"",""1"",""C100017"""</f>
        <v>"NAV","CRONUS JetCorp USA","27","1","C100017"</v>
      </c>
      <c r="H23" s="26" t="str">
        <f>"C100017"</f>
        <v>C100017</v>
      </c>
      <c r="I23" s="22" t="str">
        <f>"Wheeled Duffel"</f>
        <v>Wheeled Duffel</v>
      </c>
      <c r="J23" s="28">
        <v>169</v>
      </c>
      <c r="K23" s="28">
        <v>31039.119999999999</v>
      </c>
      <c r="L23" s="28">
        <v>-17106.18</v>
      </c>
      <c r="M23" s="28">
        <f>K23+L23</f>
        <v>13932.939999999999</v>
      </c>
      <c r="N23" s="29">
        <f>IF(K23=0,"",M23/K23)</f>
        <v>0.44888321576127155</v>
      </c>
      <c r="O23" s="22"/>
      <c r="P23" s="38" t="str">
        <f ca="1">"@@"&amp;$Q23</f>
        <v>@@C100017</v>
      </c>
      <c r="Q23" s="26" t="str">
        <f ca="1">OFFSET($H$124,C23-1,0)</f>
        <v>C100017</v>
      </c>
      <c r="R23" s="22" t="str">
        <f>"Wheeled Duffel"</f>
        <v>Wheeled Duffel</v>
      </c>
      <c r="S23" s="28">
        <v>169</v>
      </c>
      <c r="T23" s="28">
        <v>31039.119999999999</v>
      </c>
      <c r="U23" s="28">
        <v>-17106.18</v>
      </c>
      <c r="V23" s="28">
        <f>T23+U23</f>
        <v>13932.939999999999</v>
      </c>
      <c r="W23" s="29">
        <f t="shared" si="2"/>
        <v>0.44888321576127155</v>
      </c>
    </row>
    <row r="24" spans="1:23" ht="15.75" x14ac:dyDescent="0.25">
      <c r="A24" s="13" t="s">
        <v>67</v>
      </c>
      <c r="C24" s="13">
        <f t="shared" si="0"/>
        <v>6</v>
      </c>
      <c r="E24" s="13" t="str">
        <f t="shared" si="1"/>
        <v>@@C100040</v>
      </c>
      <c r="F24" s="13" t="str">
        <f>"""NAV"",""CRONUS JetCorp USA"",""27"",""1"",""C100040"""</f>
        <v>"NAV","CRONUS JetCorp USA","27","1","C100040"</v>
      </c>
      <c r="H24" s="26" t="str">
        <f>"C100040"</f>
        <v>C100040</v>
      </c>
      <c r="I24" s="22" t="str">
        <f>"Channel Speaker System"</f>
        <v>Channel Speaker System</v>
      </c>
      <c r="J24" s="28">
        <v>600</v>
      </c>
      <c r="K24" s="28">
        <v>24511.340000000004</v>
      </c>
      <c r="L24" s="28">
        <v>-12461.880000000001</v>
      </c>
      <c r="M24" s="28">
        <f>K24+L24</f>
        <v>12049.460000000003</v>
      </c>
      <c r="N24" s="29">
        <f>IF(K24=0,"",M24/K24)</f>
        <v>0.49158715924955554</v>
      </c>
      <c r="O24" s="22"/>
      <c r="P24" s="38" t="str">
        <f ca="1">"@@"&amp;$Q24</f>
        <v>@@C100040</v>
      </c>
      <c r="Q24" s="26" t="str">
        <f ca="1">OFFSET($H$124,C24-1,0)</f>
        <v>C100040</v>
      </c>
      <c r="R24" s="22" t="str">
        <f>"Channel Speaker System"</f>
        <v>Channel Speaker System</v>
      </c>
      <c r="S24" s="28">
        <v>600</v>
      </c>
      <c r="T24" s="28">
        <v>24511.340000000004</v>
      </c>
      <c r="U24" s="28">
        <v>-12461.880000000001</v>
      </c>
      <c r="V24" s="28">
        <f>T24+U24</f>
        <v>12049.460000000003</v>
      </c>
      <c r="W24" s="29">
        <f t="shared" si="2"/>
        <v>0.49158715924955554</v>
      </c>
    </row>
    <row r="25" spans="1:23" ht="15.75" x14ac:dyDescent="0.25">
      <c r="A25" s="13" t="s">
        <v>67</v>
      </c>
      <c r="C25" s="13">
        <f t="shared" si="0"/>
        <v>7</v>
      </c>
      <c r="E25" s="13" t="str">
        <f t="shared" si="1"/>
        <v>@@C100031</v>
      </c>
      <c r="F25" s="13" t="str">
        <f>"""NAV"",""CRONUS JetCorp USA"",""27"",""1"",""C100031"""</f>
        <v>"NAV","CRONUS JetCorp USA","27","1","C100031"</v>
      </c>
      <c r="H25" s="26" t="str">
        <f>"C100031"</f>
        <v>C100031</v>
      </c>
      <c r="I25" s="22" t="str">
        <f>"Carabiner Watch"</f>
        <v>Carabiner Watch</v>
      </c>
      <c r="J25" s="28">
        <v>1165</v>
      </c>
      <c r="K25" s="28">
        <v>21147.23</v>
      </c>
      <c r="L25" s="28">
        <v>-9995.7100000000009</v>
      </c>
      <c r="M25" s="28">
        <f>K25+L25</f>
        <v>11151.519999999999</v>
      </c>
      <c r="N25" s="29">
        <f>IF(K25=0,"",M25/K25)</f>
        <v>0.52732769256304479</v>
      </c>
      <c r="O25" s="22"/>
      <c r="P25" s="38" t="str">
        <f ca="1">"@@"&amp;$Q25</f>
        <v>@@C100031</v>
      </c>
      <c r="Q25" s="26" t="str">
        <f ca="1">OFFSET($H$124,C25-1,0)</f>
        <v>C100031</v>
      </c>
      <c r="R25" s="22" t="str">
        <f>"Carabiner Watch"</f>
        <v>Carabiner Watch</v>
      </c>
      <c r="S25" s="28">
        <v>1165</v>
      </c>
      <c r="T25" s="28">
        <v>21147.23</v>
      </c>
      <c r="U25" s="28">
        <v>-9995.7100000000009</v>
      </c>
      <c r="V25" s="28">
        <f>T25+U25</f>
        <v>11151.519999999999</v>
      </c>
      <c r="W25" s="29">
        <f t="shared" si="2"/>
        <v>0.52732769256304479</v>
      </c>
    </row>
    <row r="26" spans="1:23" ht="15.75" x14ac:dyDescent="0.25">
      <c r="A26" s="13" t="s">
        <v>67</v>
      </c>
      <c r="C26" s="13">
        <f t="shared" si="0"/>
        <v>8</v>
      </c>
      <c r="E26" s="13" t="str">
        <f t="shared" si="1"/>
        <v>@@S100009</v>
      </c>
      <c r="F26" s="13" t="str">
        <f>"""NAV"",""CRONUS JetCorp USA"",""27"",""1"",""S100009"""</f>
        <v>"NAV","CRONUS JetCorp USA","27","1","S100009"</v>
      </c>
      <c r="H26" s="26" t="str">
        <f>"S100009"</f>
        <v>S100009</v>
      </c>
      <c r="I26" s="22" t="str">
        <f>"Engraved Basketball Award"</f>
        <v>Engraved Basketball Award</v>
      </c>
      <c r="J26" s="28">
        <v>1152</v>
      </c>
      <c r="K26" s="28">
        <v>20671.21</v>
      </c>
      <c r="L26" s="28">
        <v>-10160.56</v>
      </c>
      <c r="M26" s="28">
        <f>K26+L26</f>
        <v>10510.65</v>
      </c>
      <c r="N26" s="29">
        <f>IF(K26=0,"",M26/K26)</f>
        <v>0.5084680577479499</v>
      </c>
      <c r="O26" s="22"/>
      <c r="P26" s="38" t="str">
        <f ca="1">"@@"&amp;$Q26</f>
        <v>@@S100009</v>
      </c>
      <c r="Q26" s="26" t="str">
        <f ca="1">OFFSET($H$124,C26-1,0)</f>
        <v>S100009</v>
      </c>
      <c r="R26" s="22" t="str">
        <f>"Engraved Basketball Award"</f>
        <v>Engraved Basketball Award</v>
      </c>
      <c r="S26" s="28">
        <v>1152</v>
      </c>
      <c r="T26" s="28">
        <v>20671.21</v>
      </c>
      <c r="U26" s="28">
        <v>-10160.56</v>
      </c>
      <c r="V26" s="28">
        <f>T26+U26</f>
        <v>10510.65</v>
      </c>
      <c r="W26" s="29">
        <f t="shared" si="2"/>
        <v>0.5084680577479499</v>
      </c>
    </row>
    <row r="27" spans="1:23" ht="15.75" x14ac:dyDescent="0.25">
      <c r="A27" s="13" t="s">
        <v>67</v>
      </c>
      <c r="C27" s="13">
        <f t="shared" si="0"/>
        <v>9</v>
      </c>
      <c r="E27" s="13" t="str">
        <f t="shared" si="1"/>
        <v>@@C100055</v>
      </c>
      <c r="F27" s="13" t="str">
        <f>"""NAV"",""CRONUS JetCorp USA"",""27"",""1"",""C100055"""</f>
        <v>"NAV","CRONUS JetCorp USA","27","1","C100055"</v>
      </c>
      <c r="H27" s="26" t="str">
        <f>"C100055"</f>
        <v>C100055</v>
      </c>
      <c r="I27" s="22" t="str">
        <f>"Silver Plated Photo Frame"</f>
        <v>Silver Plated Photo Frame</v>
      </c>
      <c r="J27" s="28">
        <v>493.00000000000006</v>
      </c>
      <c r="K27" s="28">
        <v>18719.57</v>
      </c>
      <c r="L27" s="28">
        <v>-10205.41</v>
      </c>
      <c r="M27" s="28">
        <f>K27+L27</f>
        <v>8514.16</v>
      </c>
      <c r="N27" s="29">
        <f>IF(K27=0,"",M27/K27)</f>
        <v>0.45482668672410742</v>
      </c>
      <c r="O27" s="22"/>
      <c r="P27" s="38" t="str">
        <f ca="1">"@@"&amp;$Q27</f>
        <v>@@C100003</v>
      </c>
      <c r="Q27" s="26" t="str">
        <f ca="1">OFFSET($H$124,C27-1,0)</f>
        <v>C100003</v>
      </c>
      <c r="R27" s="22" t="str">
        <f>"Cherry Finish Frame"</f>
        <v>Cherry Finish Frame</v>
      </c>
      <c r="S27" s="28">
        <v>288</v>
      </c>
      <c r="T27" s="28">
        <v>18607.28</v>
      </c>
      <c r="U27" s="28">
        <v>-9400.31</v>
      </c>
      <c r="V27" s="28">
        <f>T27+U27</f>
        <v>9206.9699999999993</v>
      </c>
      <c r="W27" s="29">
        <f t="shared" si="2"/>
        <v>0.49480472159283895</v>
      </c>
    </row>
    <row r="28" spans="1:23" ht="15.75" x14ac:dyDescent="0.25">
      <c r="A28" s="13" t="s">
        <v>67</v>
      </c>
      <c r="C28" s="13">
        <f t="shared" si="0"/>
        <v>10</v>
      </c>
      <c r="E28" s="13" t="str">
        <f t="shared" si="1"/>
        <v>@@C100003</v>
      </c>
      <c r="F28" s="13" t="str">
        <f>"""NAV"",""CRONUS JetCorp USA"",""27"",""1"",""C100003"""</f>
        <v>"NAV","CRONUS JetCorp USA","27","1","C100003"</v>
      </c>
      <c r="H28" s="26" t="str">
        <f>"C100003"</f>
        <v>C100003</v>
      </c>
      <c r="I28" s="22" t="str">
        <f>"Cherry Finish Frame"</f>
        <v>Cherry Finish Frame</v>
      </c>
      <c r="J28" s="28">
        <v>288</v>
      </c>
      <c r="K28" s="28">
        <v>18607.28</v>
      </c>
      <c r="L28" s="28">
        <v>-9400.31</v>
      </c>
      <c r="M28" s="28">
        <f>K28+L28</f>
        <v>9206.9699999999993</v>
      </c>
      <c r="N28" s="29">
        <f>IF(K28=0,"",M28/K28)</f>
        <v>0.49480472159283895</v>
      </c>
      <c r="O28" s="22"/>
      <c r="P28" s="38" t="str">
        <f ca="1">"@@"&amp;$Q28</f>
        <v>@@C100055</v>
      </c>
      <c r="Q28" s="26" t="str">
        <f ca="1">OFFSET($H$124,C28-1,0)</f>
        <v>C100055</v>
      </c>
      <c r="R28" s="22" t="str">
        <f>"Silver Plated Photo Frame"</f>
        <v>Silver Plated Photo Frame</v>
      </c>
      <c r="S28" s="28">
        <v>493.00000000000006</v>
      </c>
      <c r="T28" s="28">
        <v>18719.57</v>
      </c>
      <c r="U28" s="28">
        <v>-10205.41</v>
      </c>
      <c r="V28" s="28">
        <f>T28+U28</f>
        <v>8514.16</v>
      </c>
      <c r="W28" s="29">
        <f t="shared" si="2"/>
        <v>0.45482668672410742</v>
      </c>
    </row>
    <row r="29" spans="1:23" ht="15.75" x14ac:dyDescent="0.25">
      <c r="A29" s="13" t="s">
        <v>67</v>
      </c>
      <c r="C29" s="13">
        <f t="shared" si="0"/>
        <v>11</v>
      </c>
      <c r="E29" s="13" t="str">
        <f t="shared" si="1"/>
        <v>@@C100051</v>
      </c>
      <c r="F29" s="13" t="str">
        <f>"""NAV"",""CRONUS JetCorp USA"",""27"",""1"",""C100051"""</f>
        <v>"NAV","CRONUS JetCorp USA","27","1","C100051"</v>
      </c>
      <c r="H29" s="26" t="str">
        <f>"C100051"</f>
        <v>C100051</v>
      </c>
      <c r="I29" s="22" t="str">
        <f>"Bamboo Digital Picutre Frame"</f>
        <v>Bamboo Digital Picutre Frame</v>
      </c>
      <c r="J29" s="28">
        <v>288</v>
      </c>
      <c r="K29" s="28">
        <v>14135.47</v>
      </c>
      <c r="L29" s="28">
        <v>-7004.2599999999993</v>
      </c>
      <c r="M29" s="28">
        <f>K29+L29</f>
        <v>7131.21</v>
      </c>
      <c r="N29" s="29">
        <f>IF(K29=0,"",M29/K29)</f>
        <v>0.5044904767934848</v>
      </c>
      <c r="O29" s="22"/>
      <c r="P29" s="38" t="str">
        <f ca="1">"@@"&amp;$Q29</f>
        <v>@@C100051</v>
      </c>
      <c r="Q29" s="26" t="str">
        <f ca="1">OFFSET($H$124,C29-1,0)</f>
        <v>C100051</v>
      </c>
      <c r="R29" s="22" t="str">
        <f>"Bamboo Digital Picutre Frame"</f>
        <v>Bamboo Digital Picutre Frame</v>
      </c>
      <c r="S29" s="28">
        <v>288</v>
      </c>
      <c r="T29" s="28">
        <v>14135.47</v>
      </c>
      <c r="U29" s="28">
        <v>-7004.2599999999993</v>
      </c>
      <c r="V29" s="28">
        <f>T29+U29</f>
        <v>7131.21</v>
      </c>
      <c r="W29" s="29">
        <f t="shared" si="2"/>
        <v>0.5044904767934848</v>
      </c>
    </row>
    <row r="30" spans="1:23" ht="15.75" x14ac:dyDescent="0.25">
      <c r="A30" s="13" t="s">
        <v>67</v>
      </c>
      <c r="C30" s="13">
        <f t="shared" si="0"/>
        <v>12</v>
      </c>
      <c r="E30" s="13" t="str">
        <f t="shared" si="1"/>
        <v>@@S100010</v>
      </c>
      <c r="F30" s="13" t="str">
        <f>"""NAV"",""CRONUS JetCorp USA"",""27"",""1"",""S100010"""</f>
        <v>"NAV","CRONUS JetCorp USA","27","1","S100010"</v>
      </c>
      <c r="H30" s="26" t="str">
        <f>"S100010"</f>
        <v>S100010</v>
      </c>
      <c r="I30" s="22" t="str">
        <f>"Golf Relaxed Cap"</f>
        <v>Golf Relaxed Cap</v>
      </c>
      <c r="J30" s="28">
        <v>1417</v>
      </c>
      <c r="K30" s="28">
        <v>13909.050000000001</v>
      </c>
      <c r="L30" s="28">
        <v>-8629.64</v>
      </c>
      <c r="M30" s="28">
        <f>K30+L30</f>
        <v>5279.4100000000017</v>
      </c>
      <c r="N30" s="29">
        <f>IF(K30=0,"",M30/K30)</f>
        <v>0.37956654120878142</v>
      </c>
      <c r="O30" s="22"/>
      <c r="P30" s="38" t="str">
        <f ca="1">"@@"&amp;$Q30</f>
        <v>@@S100004</v>
      </c>
      <c r="Q30" s="26" t="str">
        <f ca="1">OFFSET($H$124,C30-1,0)</f>
        <v>S100004</v>
      </c>
      <c r="R30" s="22" t="str">
        <f>"Award Medallian - 2''"</f>
        <v>Award Medallian - 2''</v>
      </c>
      <c r="S30" s="28">
        <v>1010</v>
      </c>
      <c r="T30" s="28">
        <v>13792.199999999999</v>
      </c>
      <c r="U30" s="28">
        <v>-6736.7</v>
      </c>
      <c r="V30" s="28">
        <f>T30+U30</f>
        <v>7055.4999999999991</v>
      </c>
      <c r="W30" s="29">
        <f t="shared" si="2"/>
        <v>0.5115572570003335</v>
      </c>
    </row>
    <row r="31" spans="1:23" ht="15.75" x14ac:dyDescent="0.25">
      <c r="A31" s="13" t="s">
        <v>67</v>
      </c>
      <c r="C31" s="13">
        <f t="shared" si="0"/>
        <v>13</v>
      </c>
      <c r="E31" s="13" t="str">
        <f t="shared" si="1"/>
        <v>@@S100004</v>
      </c>
      <c r="F31" s="13" t="str">
        <f>"""NAV"",""CRONUS JetCorp USA"",""27"",""1"",""S100004"""</f>
        <v>"NAV","CRONUS JetCorp USA","27","1","S100004"</v>
      </c>
      <c r="H31" s="26" t="str">
        <f>"S100004"</f>
        <v>S100004</v>
      </c>
      <c r="I31" s="22" t="str">
        <f>"Award Medallian - 2''"</f>
        <v>Award Medallian - 2''</v>
      </c>
      <c r="J31" s="28">
        <v>1010</v>
      </c>
      <c r="K31" s="28">
        <v>13792.199999999999</v>
      </c>
      <c r="L31" s="28">
        <v>-6736.7</v>
      </c>
      <c r="M31" s="28">
        <f>K31+L31</f>
        <v>7055.4999999999991</v>
      </c>
      <c r="N31" s="29">
        <f>IF(K31=0,"",M31/K31)</f>
        <v>0.5115572570003335</v>
      </c>
      <c r="O31" s="22"/>
      <c r="P31" s="38" t="str">
        <f ca="1">"@@"&amp;$Q31</f>
        <v>@@C100045</v>
      </c>
      <c r="Q31" s="26" t="str">
        <f ca="1">OFFSET($H$124,C31-1,0)</f>
        <v>C100045</v>
      </c>
      <c r="R31" s="22" t="str">
        <f>"Wireless Headphones"</f>
        <v>Wireless Headphones</v>
      </c>
      <c r="S31" s="28">
        <v>457</v>
      </c>
      <c r="T31" s="28">
        <v>12240.820000000002</v>
      </c>
      <c r="U31" s="28">
        <v>-6306.79</v>
      </c>
      <c r="V31" s="28">
        <f>T31+U31</f>
        <v>5934.0300000000016</v>
      </c>
      <c r="W31" s="29">
        <f t="shared" si="2"/>
        <v>0.48477389586645347</v>
      </c>
    </row>
    <row r="32" spans="1:23" ht="15.75" x14ac:dyDescent="0.25">
      <c r="A32" s="13" t="s">
        <v>67</v>
      </c>
      <c r="C32" s="13">
        <f t="shared" si="0"/>
        <v>14</v>
      </c>
      <c r="E32" s="13" t="str">
        <f t="shared" si="1"/>
        <v>@@C100054</v>
      </c>
      <c r="F32" s="13" t="str">
        <f>"""NAV"",""CRONUS JetCorp USA"",""27"",""1"",""C100054"""</f>
        <v>"NAV","CRONUS JetCorp USA","27","1","C100054"</v>
      </c>
      <c r="H32" s="26" t="str">
        <f>"C100054"</f>
        <v>C100054</v>
      </c>
      <c r="I32" s="22" t="str">
        <f>"Cherry Finish Photo Frame &amp; Clock"</f>
        <v>Cherry Finish Photo Frame &amp; Clock</v>
      </c>
      <c r="J32" s="28">
        <v>631</v>
      </c>
      <c r="K32" s="28">
        <v>12713.590000000002</v>
      </c>
      <c r="L32" s="28">
        <v>-8480.4700000000012</v>
      </c>
      <c r="M32" s="28">
        <f>K32+L32</f>
        <v>4233.1200000000008</v>
      </c>
      <c r="N32" s="29">
        <f>IF(K32=0,"",M32/K32)</f>
        <v>0.33296024175704897</v>
      </c>
      <c r="O32" s="22"/>
      <c r="P32" s="38" t="str">
        <f ca="1">"@@"&amp;$Q32</f>
        <v>@@S100018</v>
      </c>
      <c r="Q32" s="26" t="str">
        <f ca="1">OFFSET($H$124,C32-1,0)</f>
        <v>S100018</v>
      </c>
      <c r="R32" s="22" t="str">
        <f>"Crusher Bucket Hat"</f>
        <v>Crusher Bucket Hat</v>
      </c>
      <c r="S32" s="28">
        <v>1440</v>
      </c>
      <c r="T32" s="28">
        <v>10321.52</v>
      </c>
      <c r="U32" s="28">
        <v>-5040</v>
      </c>
      <c r="V32" s="28">
        <f>T32+U32</f>
        <v>5281.52</v>
      </c>
      <c r="W32" s="29">
        <f t="shared" si="2"/>
        <v>0.51169982715724038</v>
      </c>
    </row>
    <row r="33" spans="1:23" ht="15.75" x14ac:dyDescent="0.25">
      <c r="A33" s="13" t="s">
        <v>67</v>
      </c>
      <c r="C33" s="13">
        <f t="shared" si="0"/>
        <v>15</v>
      </c>
      <c r="E33" s="13" t="str">
        <f t="shared" si="1"/>
        <v>@@C100045</v>
      </c>
      <c r="F33" s="13" t="str">
        <f>"""NAV"",""CRONUS JetCorp USA"",""27"",""1"",""C100045"""</f>
        <v>"NAV","CRONUS JetCorp USA","27","1","C100045"</v>
      </c>
      <c r="H33" s="26" t="str">
        <f>"C100045"</f>
        <v>C100045</v>
      </c>
      <c r="I33" s="22" t="str">
        <f>"Wireless Headphones"</f>
        <v>Wireless Headphones</v>
      </c>
      <c r="J33" s="28">
        <v>457</v>
      </c>
      <c r="K33" s="28">
        <v>12240.820000000002</v>
      </c>
      <c r="L33" s="28">
        <v>-6306.79</v>
      </c>
      <c r="M33" s="28">
        <f>K33+L33</f>
        <v>5934.0300000000016</v>
      </c>
      <c r="N33" s="29">
        <f>IF(K33=0,"",M33/K33)</f>
        <v>0.48477389586645347</v>
      </c>
      <c r="O33" s="22"/>
      <c r="P33" s="38" t="str">
        <f ca="1">"@@"&amp;$Q33</f>
        <v>@@S100010</v>
      </c>
      <c r="Q33" s="26" t="str">
        <f ca="1">OFFSET($H$124,C33-1,0)</f>
        <v>S100010</v>
      </c>
      <c r="R33" s="22" t="str">
        <f>"Golf Relaxed Cap"</f>
        <v>Golf Relaxed Cap</v>
      </c>
      <c r="S33" s="28">
        <v>1417</v>
      </c>
      <c r="T33" s="28">
        <v>13909.050000000001</v>
      </c>
      <c r="U33" s="28">
        <v>-8629.64</v>
      </c>
      <c r="V33" s="28">
        <f>T33+U33</f>
        <v>5279.4100000000017</v>
      </c>
      <c r="W33" s="29">
        <f t="shared" si="2"/>
        <v>0.37956654120878142</v>
      </c>
    </row>
    <row r="34" spans="1:23" ht="15.75" x14ac:dyDescent="0.25">
      <c r="A34" s="13" t="s">
        <v>67</v>
      </c>
      <c r="C34" s="13">
        <f t="shared" si="0"/>
        <v>16</v>
      </c>
      <c r="E34" s="13" t="str">
        <f t="shared" si="1"/>
        <v>@@S100021</v>
      </c>
      <c r="F34" s="13" t="str">
        <f>"""NAV"",""CRONUS JetCorp USA"",""27"",""1"",""S100021"""</f>
        <v>"NAV","CRONUS JetCorp USA","27","1","S100021"</v>
      </c>
      <c r="H34" s="26" t="str">
        <f>"S100021"</f>
        <v>S100021</v>
      </c>
      <c r="I34" s="22" t="str">
        <f>"Translucent Stopwatch"</f>
        <v>Translucent Stopwatch</v>
      </c>
      <c r="J34" s="28">
        <v>2795</v>
      </c>
      <c r="K34" s="28">
        <v>11127.689999999999</v>
      </c>
      <c r="L34" s="28">
        <v>-6009.06</v>
      </c>
      <c r="M34" s="28">
        <f>K34+L34</f>
        <v>5118.6299999999983</v>
      </c>
      <c r="N34" s="29">
        <f>IF(K34=0,"",M34/K34)</f>
        <v>0.45999034840115055</v>
      </c>
      <c r="O34" s="22"/>
      <c r="P34" s="38" t="str">
        <f ca="1">"@@"&amp;$Q34</f>
        <v>@@C100018</v>
      </c>
      <c r="Q34" s="26" t="str">
        <f ca="1">OFFSET($H$124,C34-1,0)</f>
        <v>C100018</v>
      </c>
      <c r="R34" s="22" t="str">
        <f>"Action Sport Duffel"</f>
        <v>Action Sport Duffel</v>
      </c>
      <c r="S34" s="28">
        <v>606</v>
      </c>
      <c r="T34" s="28">
        <v>10432.85</v>
      </c>
      <c r="U34" s="28">
        <v>-5181.34</v>
      </c>
      <c r="V34" s="28">
        <f>T34+U34</f>
        <v>5251.51</v>
      </c>
      <c r="W34" s="29">
        <f t="shared" si="2"/>
        <v>0.50336293534365006</v>
      </c>
    </row>
    <row r="35" spans="1:23" ht="15.75" x14ac:dyDescent="0.25">
      <c r="A35" s="13" t="s">
        <v>67</v>
      </c>
      <c r="C35" s="13">
        <f t="shared" si="0"/>
        <v>17</v>
      </c>
      <c r="E35" s="13" t="str">
        <f t="shared" si="1"/>
        <v>@@C100018</v>
      </c>
      <c r="F35" s="13" t="str">
        <f>"""NAV"",""CRONUS JetCorp USA"",""27"",""1"",""C100018"""</f>
        <v>"NAV","CRONUS JetCorp USA","27","1","C100018"</v>
      </c>
      <c r="H35" s="26" t="str">
        <f>"C100018"</f>
        <v>C100018</v>
      </c>
      <c r="I35" s="22" t="str">
        <f>"Action Sport Duffel"</f>
        <v>Action Sport Duffel</v>
      </c>
      <c r="J35" s="28">
        <v>606</v>
      </c>
      <c r="K35" s="28">
        <v>10432.85</v>
      </c>
      <c r="L35" s="28">
        <v>-5181.34</v>
      </c>
      <c r="M35" s="28">
        <f>K35+L35</f>
        <v>5251.51</v>
      </c>
      <c r="N35" s="29">
        <f>IF(K35=0,"",M35/K35)</f>
        <v>0.50336293534365006</v>
      </c>
      <c r="O35" s="22"/>
      <c r="P35" s="38" t="str">
        <f ca="1">"@@"&amp;$Q35</f>
        <v>@@C100043</v>
      </c>
      <c r="Q35" s="26" t="str">
        <f ca="1">OFFSET($H$124,C35-1,0)</f>
        <v>C100043</v>
      </c>
      <c r="R35" s="22" t="str">
        <f>"Pro-Travel Technology Set"</f>
        <v>Pro-Travel Technology Set</v>
      </c>
      <c r="S35" s="28">
        <v>313</v>
      </c>
      <c r="T35" s="28">
        <v>9837.130000000001</v>
      </c>
      <c r="U35" s="28">
        <v>-4695.16</v>
      </c>
      <c r="V35" s="28">
        <f>T35+U35</f>
        <v>5141.9700000000012</v>
      </c>
      <c r="W35" s="29">
        <f t="shared" si="2"/>
        <v>0.5227103840246089</v>
      </c>
    </row>
    <row r="36" spans="1:23" ht="15.75" x14ac:dyDescent="0.25">
      <c r="A36" s="13" t="s">
        <v>67</v>
      </c>
      <c r="C36" s="13">
        <f t="shared" si="0"/>
        <v>18</v>
      </c>
      <c r="E36" s="13" t="str">
        <f t="shared" si="1"/>
        <v>@@S100018</v>
      </c>
      <c r="F36" s="13" t="str">
        <f>"""NAV"",""CRONUS JetCorp USA"",""27"",""1"",""S100018"""</f>
        <v>"NAV","CRONUS JetCorp USA","27","1","S100018"</v>
      </c>
      <c r="H36" s="26" t="str">
        <f>"S100018"</f>
        <v>S100018</v>
      </c>
      <c r="I36" s="22" t="str">
        <f>"Crusher Bucket Hat"</f>
        <v>Crusher Bucket Hat</v>
      </c>
      <c r="J36" s="28">
        <v>1440</v>
      </c>
      <c r="K36" s="28">
        <v>10321.52</v>
      </c>
      <c r="L36" s="28">
        <v>-5040</v>
      </c>
      <c r="M36" s="28">
        <f>K36+L36</f>
        <v>5281.52</v>
      </c>
      <c r="N36" s="29">
        <f>IF(K36=0,"",M36/K36)</f>
        <v>0.51169982715724038</v>
      </c>
      <c r="O36" s="22"/>
      <c r="P36" s="38" t="str">
        <f ca="1">"@@"&amp;$Q36</f>
        <v>@@S100021</v>
      </c>
      <c r="Q36" s="26" t="str">
        <f ca="1">OFFSET($H$124,C36-1,0)</f>
        <v>S100021</v>
      </c>
      <c r="R36" s="22" t="str">
        <f>"Translucent Stopwatch"</f>
        <v>Translucent Stopwatch</v>
      </c>
      <c r="S36" s="28">
        <v>2795</v>
      </c>
      <c r="T36" s="28">
        <v>11127.689999999999</v>
      </c>
      <c r="U36" s="28">
        <v>-6009.06</v>
      </c>
      <c r="V36" s="28">
        <f>T36+U36</f>
        <v>5118.6299999999983</v>
      </c>
      <c r="W36" s="29">
        <f t="shared" si="2"/>
        <v>0.45999034840115055</v>
      </c>
    </row>
    <row r="37" spans="1:23" ht="15.75" x14ac:dyDescent="0.25">
      <c r="A37" s="13" t="s">
        <v>67</v>
      </c>
      <c r="C37" s="13">
        <f t="shared" si="0"/>
        <v>19</v>
      </c>
      <c r="E37" s="13" t="str">
        <f t="shared" si="1"/>
        <v>@@S100005</v>
      </c>
      <c r="F37" s="13" t="str">
        <f>"""NAV"",""CRONUS JetCorp USA"",""27"",""1"",""S100005"""</f>
        <v>"NAV","CRONUS JetCorp USA","27","1","S100005"</v>
      </c>
      <c r="H37" s="26" t="str">
        <f>"S100005"</f>
        <v>S100005</v>
      </c>
      <c r="I37" s="22" t="str">
        <f>"Award Medallian - 2.5''"</f>
        <v>Award Medallian - 2.5''</v>
      </c>
      <c r="J37" s="28">
        <v>1200</v>
      </c>
      <c r="K37" s="28">
        <v>9846.2999999999993</v>
      </c>
      <c r="L37" s="28">
        <v>-6264.08</v>
      </c>
      <c r="M37" s="28">
        <f>K37+L37</f>
        <v>3582.2199999999993</v>
      </c>
      <c r="N37" s="29">
        <f>IF(K37=0,"",M37/K37)</f>
        <v>0.36381381838863325</v>
      </c>
      <c r="O37" s="22"/>
      <c r="P37" s="38" t="str">
        <f ca="1">"@@"&amp;$Q37</f>
        <v>@@C100032</v>
      </c>
      <c r="Q37" s="26" t="str">
        <f ca="1">OFFSET($H$124,C37-1,0)</f>
        <v>C100032</v>
      </c>
      <c r="R37" s="22" t="str">
        <f>"Clip-on Clock"</f>
        <v>Clip-on Clock</v>
      </c>
      <c r="S37" s="28">
        <v>1239</v>
      </c>
      <c r="T37" s="28">
        <v>9804.27</v>
      </c>
      <c r="U37" s="28">
        <v>-5154.33</v>
      </c>
      <c r="V37" s="28">
        <f>T37+U37</f>
        <v>4649.9400000000005</v>
      </c>
      <c r="W37" s="29">
        <f t="shared" si="2"/>
        <v>0.47427702419456014</v>
      </c>
    </row>
    <row r="38" spans="1:23" ht="15.75" x14ac:dyDescent="0.25">
      <c r="A38" s="13" t="s">
        <v>67</v>
      </c>
      <c r="C38" s="13">
        <f t="shared" si="0"/>
        <v>20</v>
      </c>
      <c r="E38" s="13" t="str">
        <f t="shared" si="1"/>
        <v>@@C100043</v>
      </c>
      <c r="F38" s="13" t="str">
        <f>"""NAV"",""CRONUS JetCorp USA"",""27"",""1"",""C100043"""</f>
        <v>"NAV","CRONUS JetCorp USA","27","1","C100043"</v>
      </c>
      <c r="H38" s="26" t="str">
        <f>"C100043"</f>
        <v>C100043</v>
      </c>
      <c r="I38" s="22" t="str">
        <f>"Pro-Travel Technology Set"</f>
        <v>Pro-Travel Technology Set</v>
      </c>
      <c r="J38" s="28">
        <v>313</v>
      </c>
      <c r="K38" s="28">
        <v>9837.130000000001</v>
      </c>
      <c r="L38" s="28">
        <v>-4695.16</v>
      </c>
      <c r="M38" s="28">
        <f>K38+L38</f>
        <v>5141.9700000000012</v>
      </c>
      <c r="N38" s="29">
        <f>IF(K38=0,"",M38/K38)</f>
        <v>0.5227103840246089</v>
      </c>
      <c r="O38" s="22"/>
      <c r="P38" s="38" t="str">
        <f ca="1">"@@"&amp;$Q38</f>
        <v>@@C100027</v>
      </c>
      <c r="Q38" s="26" t="str">
        <f ca="1">OFFSET($H$124,C38-1,0)</f>
        <v>C100027</v>
      </c>
      <c r="R38" s="22" t="str">
        <f>"Pique Visor"</f>
        <v>Pique Visor</v>
      </c>
      <c r="S38" s="28">
        <v>1490</v>
      </c>
      <c r="T38" s="28">
        <v>8930.0499999999993</v>
      </c>
      <c r="U38" s="28">
        <v>-4648.8999999999996</v>
      </c>
      <c r="V38" s="28">
        <f>T38+U38</f>
        <v>4281.1499999999996</v>
      </c>
      <c r="W38" s="29">
        <f t="shared" si="2"/>
        <v>0.47940940980173685</v>
      </c>
    </row>
    <row r="39" spans="1:23" ht="15.75" x14ac:dyDescent="0.25">
      <c r="A39" s="13" t="s">
        <v>67</v>
      </c>
      <c r="C39" s="13">
        <f t="shared" si="0"/>
        <v>21</v>
      </c>
      <c r="E39" s="13" t="str">
        <f t="shared" si="1"/>
        <v>@@C100032</v>
      </c>
      <c r="F39" s="13" t="str">
        <f>"""NAV"",""CRONUS JetCorp USA"",""27"",""1"",""C100032"""</f>
        <v>"NAV","CRONUS JetCorp USA","27","1","C100032"</v>
      </c>
      <c r="H39" s="26" t="str">
        <f>"C100032"</f>
        <v>C100032</v>
      </c>
      <c r="I39" s="22" t="str">
        <f>"Clip-on Clock"</f>
        <v>Clip-on Clock</v>
      </c>
      <c r="J39" s="28">
        <v>1239</v>
      </c>
      <c r="K39" s="28">
        <v>9804.27</v>
      </c>
      <c r="L39" s="28">
        <v>-5154.33</v>
      </c>
      <c r="M39" s="28">
        <f>K39+L39</f>
        <v>4649.9400000000005</v>
      </c>
      <c r="N39" s="29">
        <f>IF(K39=0,"",M39/K39)</f>
        <v>0.47427702419456014</v>
      </c>
      <c r="O39" s="22"/>
      <c r="P39" s="38" t="str">
        <f ca="1">"@@"&amp;$Q39</f>
        <v>@@C100054</v>
      </c>
      <c r="Q39" s="26" t="str">
        <f ca="1">OFFSET($H$124,C39-1,0)</f>
        <v>C100054</v>
      </c>
      <c r="R39" s="22" t="str">
        <f>"Cherry Finish Photo Frame &amp; Clock"</f>
        <v>Cherry Finish Photo Frame &amp; Clock</v>
      </c>
      <c r="S39" s="28">
        <v>631</v>
      </c>
      <c r="T39" s="28">
        <v>12713.590000000002</v>
      </c>
      <c r="U39" s="28">
        <v>-8480.4700000000012</v>
      </c>
      <c r="V39" s="28">
        <f>T39+U39</f>
        <v>4233.1200000000008</v>
      </c>
      <c r="W39" s="29">
        <f t="shared" si="2"/>
        <v>0.33296024175704897</v>
      </c>
    </row>
    <row r="40" spans="1:23" ht="15.75" x14ac:dyDescent="0.25">
      <c r="A40" s="13" t="s">
        <v>67</v>
      </c>
      <c r="C40" s="13">
        <f t="shared" si="0"/>
        <v>22</v>
      </c>
      <c r="E40" s="13" t="str">
        <f t="shared" si="1"/>
        <v>@@C100021</v>
      </c>
      <c r="F40" s="13" t="str">
        <f>"""NAV"",""CRONUS JetCorp USA"",""27"",""1"",""C100021"""</f>
        <v>"NAV","CRONUS JetCorp USA","27","1","C100021"</v>
      </c>
      <c r="H40" s="26" t="str">
        <f>"C100021"</f>
        <v>C100021</v>
      </c>
      <c r="I40" s="22" t="str">
        <f>"Canvas Boat Bag"</f>
        <v>Canvas Boat Bag</v>
      </c>
      <c r="J40" s="28">
        <v>935.99999999999989</v>
      </c>
      <c r="K40" s="28">
        <v>9449.09</v>
      </c>
      <c r="L40" s="28">
        <v>-6439.63</v>
      </c>
      <c r="M40" s="28">
        <f>K40+L40</f>
        <v>3009.46</v>
      </c>
      <c r="N40" s="29">
        <f>IF(K40=0,"",M40/K40)</f>
        <v>0.3184920452657346</v>
      </c>
      <c r="O40" s="22"/>
      <c r="P40" s="38" t="str">
        <f ca="1">"@@"&amp;$Q40</f>
        <v>@@S100001</v>
      </c>
      <c r="Q40" s="26" t="str">
        <f ca="1">OFFSET($H$124,C40-1,0)</f>
        <v>S100001</v>
      </c>
      <c r="R40" s="22" t="str">
        <f>"Basketball Graphic Plaque"</f>
        <v>Basketball Graphic Plaque</v>
      </c>
      <c r="S40" s="28">
        <v>578</v>
      </c>
      <c r="T40" s="28">
        <v>9216.7800000000007</v>
      </c>
      <c r="U40" s="28">
        <v>-5259.8</v>
      </c>
      <c r="V40" s="28">
        <f>T40+U40</f>
        <v>3956.9800000000005</v>
      </c>
      <c r="W40" s="29">
        <f t="shared" si="2"/>
        <v>0.42932347305675084</v>
      </c>
    </row>
    <row r="41" spans="1:23" ht="15.75" x14ac:dyDescent="0.25">
      <c r="A41" s="13" t="s">
        <v>67</v>
      </c>
      <c r="C41" s="13">
        <f t="shared" si="0"/>
        <v>23</v>
      </c>
      <c r="E41" s="13" t="str">
        <f t="shared" si="1"/>
        <v>@@S100001</v>
      </c>
      <c r="F41" s="13" t="str">
        <f>"""NAV"",""CRONUS JetCorp USA"",""27"",""1"",""S100001"""</f>
        <v>"NAV","CRONUS JetCorp USA","27","1","S100001"</v>
      </c>
      <c r="H41" s="26" t="str">
        <f>"S100001"</f>
        <v>S100001</v>
      </c>
      <c r="I41" s="22" t="str">
        <f>"Basketball Graphic Plaque"</f>
        <v>Basketball Graphic Plaque</v>
      </c>
      <c r="J41" s="28">
        <v>578</v>
      </c>
      <c r="K41" s="28">
        <v>9216.7800000000007</v>
      </c>
      <c r="L41" s="28">
        <v>-5259.8</v>
      </c>
      <c r="M41" s="28">
        <f>K41+L41</f>
        <v>3956.9800000000005</v>
      </c>
      <c r="N41" s="29">
        <f>IF(K41=0,"",M41/K41)</f>
        <v>0.42932347305675084</v>
      </c>
      <c r="O41" s="22"/>
      <c r="P41" s="38" t="str">
        <f ca="1">"@@"&amp;$Q41</f>
        <v>@@C100020</v>
      </c>
      <c r="Q41" s="26" t="str">
        <f ca="1">OFFSET($H$124,C41-1,0)</f>
        <v>C100020</v>
      </c>
      <c r="R41" s="22" t="str">
        <f>"Gym Locker Bag"</f>
        <v>Gym Locker Bag</v>
      </c>
      <c r="S41" s="28">
        <v>678</v>
      </c>
      <c r="T41" s="28">
        <v>9116.1200000000008</v>
      </c>
      <c r="U41" s="28">
        <v>-5247.71</v>
      </c>
      <c r="V41" s="28">
        <f>T41+U41</f>
        <v>3868.4100000000008</v>
      </c>
      <c r="W41" s="29">
        <f t="shared" si="2"/>
        <v>0.42434829730192236</v>
      </c>
    </row>
    <row r="42" spans="1:23" ht="15.75" x14ac:dyDescent="0.25">
      <c r="A42" s="13" t="s">
        <v>67</v>
      </c>
      <c r="C42" s="13">
        <f t="shared" si="0"/>
        <v>24</v>
      </c>
      <c r="E42" s="13" t="str">
        <f t="shared" si="1"/>
        <v>@@C100020</v>
      </c>
      <c r="F42" s="13" t="str">
        <f>"""NAV"",""CRONUS JetCorp USA"",""27"",""1"",""C100020"""</f>
        <v>"NAV","CRONUS JetCorp USA","27","1","C100020"</v>
      </c>
      <c r="H42" s="26" t="str">
        <f>"C100020"</f>
        <v>C100020</v>
      </c>
      <c r="I42" s="22" t="str">
        <f>"Gym Locker Bag"</f>
        <v>Gym Locker Bag</v>
      </c>
      <c r="J42" s="28">
        <v>678</v>
      </c>
      <c r="K42" s="28">
        <v>9116.1200000000008</v>
      </c>
      <c r="L42" s="28">
        <v>-5247.71</v>
      </c>
      <c r="M42" s="28">
        <f>K42+L42</f>
        <v>3868.4100000000008</v>
      </c>
      <c r="N42" s="29">
        <f>IF(K42=0,"",M42/K42)</f>
        <v>0.42434829730192236</v>
      </c>
      <c r="O42" s="22"/>
      <c r="P42" s="38" t="str">
        <f ca="1">"@@"&amp;$Q42</f>
        <v>@@C100010</v>
      </c>
      <c r="Q42" s="26" t="str">
        <f ca="1">OFFSET($H$124,C42-1,0)</f>
        <v>C100010</v>
      </c>
      <c r="R42" s="22" t="str">
        <f>"Wisper-Cut Vase"</f>
        <v>Wisper-Cut Vase</v>
      </c>
      <c r="S42" s="28">
        <v>96</v>
      </c>
      <c r="T42" s="28">
        <v>7671.73</v>
      </c>
      <c r="U42" s="28">
        <v>-3863.98</v>
      </c>
      <c r="V42" s="28">
        <f>T42+U42</f>
        <v>3807.7499999999995</v>
      </c>
      <c r="W42" s="29">
        <f t="shared" si="2"/>
        <v>0.49633524641769194</v>
      </c>
    </row>
    <row r="43" spans="1:23" ht="15.75" x14ac:dyDescent="0.25">
      <c r="A43" s="13" t="s">
        <v>67</v>
      </c>
      <c r="C43" s="13">
        <f t="shared" si="0"/>
        <v>25</v>
      </c>
      <c r="E43" s="13" t="str">
        <f t="shared" si="1"/>
        <v>@@C100027</v>
      </c>
      <c r="F43" s="13" t="str">
        <f>"""NAV"",""CRONUS JetCorp USA"",""27"",""1"",""C100027"""</f>
        <v>"NAV","CRONUS JetCorp USA","27","1","C100027"</v>
      </c>
      <c r="H43" s="26" t="str">
        <f>"C100027"</f>
        <v>C100027</v>
      </c>
      <c r="I43" s="22" t="str">
        <f>"Pique Visor"</f>
        <v>Pique Visor</v>
      </c>
      <c r="J43" s="28">
        <v>1490</v>
      </c>
      <c r="K43" s="28">
        <v>8930.0499999999993</v>
      </c>
      <c r="L43" s="28">
        <v>-4648.8999999999996</v>
      </c>
      <c r="M43" s="28">
        <f>K43+L43</f>
        <v>4281.1499999999996</v>
      </c>
      <c r="N43" s="29">
        <f>IF(K43=0,"",M43/K43)</f>
        <v>0.47940940980173685</v>
      </c>
      <c r="O43" s="22"/>
      <c r="P43" s="38" t="str">
        <f ca="1">"@@"&amp;$Q43</f>
        <v>@@C100028</v>
      </c>
      <c r="Q43" s="26" t="str">
        <f ca="1">OFFSET($H$124,C43-1,0)</f>
        <v>C100028</v>
      </c>
      <c r="R43" s="22" t="str">
        <f>"Twill Visor"</f>
        <v>Twill Visor</v>
      </c>
      <c r="S43" s="28">
        <v>1502</v>
      </c>
      <c r="T43" s="28">
        <v>7306.55</v>
      </c>
      <c r="U43" s="28">
        <v>-3604.9</v>
      </c>
      <c r="V43" s="28">
        <f>T43+U43</f>
        <v>3701.65</v>
      </c>
      <c r="W43" s="29">
        <f t="shared" si="2"/>
        <v>0.50662077177327192</v>
      </c>
    </row>
    <row r="44" spans="1:23" ht="15.75" x14ac:dyDescent="0.25">
      <c r="A44" s="13" t="s">
        <v>67</v>
      </c>
      <c r="C44" s="13">
        <f t="shared" si="0"/>
        <v>26</v>
      </c>
      <c r="E44" s="13" t="str">
        <f t="shared" si="1"/>
        <v>@@S100016</v>
      </c>
      <c r="F44" s="13" t="str">
        <f>"""NAV"",""CRONUS JetCorp USA"",""27"",""1"",""S100016"""</f>
        <v>"NAV","CRONUS JetCorp USA","27","1","S100016"</v>
      </c>
      <c r="H44" s="26" t="str">
        <f>"S100016"</f>
        <v>S100016</v>
      </c>
      <c r="I44" s="22" t="str">
        <f>"Mesh Bucket Hat"</f>
        <v>Mesh Bucket Hat</v>
      </c>
      <c r="J44" s="28">
        <v>1802</v>
      </c>
      <c r="K44" s="28">
        <v>8557.6200000000008</v>
      </c>
      <c r="L44" s="28">
        <v>-4955.63</v>
      </c>
      <c r="M44" s="28">
        <f>K44+L44</f>
        <v>3601.9900000000007</v>
      </c>
      <c r="N44" s="29">
        <f>IF(K44=0,"",M44/K44)</f>
        <v>0.42091025308438568</v>
      </c>
      <c r="O44" s="22"/>
      <c r="P44" s="38" t="str">
        <f ca="1">"@@"&amp;$Q44</f>
        <v>@@S100016</v>
      </c>
      <c r="Q44" s="26" t="str">
        <f ca="1">OFFSET($H$124,C44-1,0)</f>
        <v>S100016</v>
      </c>
      <c r="R44" s="22" t="str">
        <f>"Mesh Bucket Hat"</f>
        <v>Mesh Bucket Hat</v>
      </c>
      <c r="S44" s="28">
        <v>1802</v>
      </c>
      <c r="T44" s="28">
        <v>8557.6200000000008</v>
      </c>
      <c r="U44" s="28">
        <v>-4955.63</v>
      </c>
      <c r="V44" s="28">
        <f>T44+U44</f>
        <v>3601.9900000000007</v>
      </c>
      <c r="W44" s="29">
        <f t="shared" si="2"/>
        <v>0.42091025308438568</v>
      </c>
    </row>
    <row r="45" spans="1:23" ht="15.75" x14ac:dyDescent="0.25">
      <c r="A45" s="13" t="s">
        <v>67</v>
      </c>
      <c r="C45" s="13">
        <f t="shared" si="0"/>
        <v>27</v>
      </c>
      <c r="E45" s="13" t="str">
        <f t="shared" si="1"/>
        <v>@@C100011</v>
      </c>
      <c r="F45" s="13" t="str">
        <f>"""NAV"",""CRONUS JetCorp USA"",""27"",""1"",""C100011"""</f>
        <v>"NAV","CRONUS JetCorp USA","27","1","C100011"</v>
      </c>
      <c r="H45" s="26" t="str">
        <f>"C100011"</f>
        <v>C100011</v>
      </c>
      <c r="I45" s="22" t="str">
        <f>"Winter Frost Vase"</f>
        <v>Winter Frost Vase</v>
      </c>
      <c r="J45" s="28">
        <v>146</v>
      </c>
      <c r="K45" s="28">
        <v>8314.1400000000012</v>
      </c>
      <c r="L45" s="28">
        <v>-5650.23</v>
      </c>
      <c r="M45" s="28">
        <f>K45+L45</f>
        <v>2663.9100000000017</v>
      </c>
      <c r="N45" s="29">
        <f>IF(K45=0,"",M45/K45)</f>
        <v>0.32040716177500034</v>
      </c>
      <c r="O45" s="22"/>
      <c r="P45" s="38" t="str">
        <f ca="1">"@@"&amp;$Q45</f>
        <v>@@S100005</v>
      </c>
      <c r="Q45" s="26" t="str">
        <f ca="1">OFFSET($H$124,C45-1,0)</f>
        <v>S100005</v>
      </c>
      <c r="R45" s="22" t="str">
        <f>"Award Medallian - 2.5''"</f>
        <v>Award Medallian - 2.5''</v>
      </c>
      <c r="S45" s="28">
        <v>1200</v>
      </c>
      <c r="T45" s="28">
        <v>9846.2999999999993</v>
      </c>
      <c r="U45" s="28">
        <v>-6264.08</v>
      </c>
      <c r="V45" s="28">
        <f>T45+U45</f>
        <v>3582.2199999999993</v>
      </c>
      <c r="W45" s="29">
        <f t="shared" si="2"/>
        <v>0.36381381838863325</v>
      </c>
    </row>
    <row r="46" spans="1:23" ht="15.75" x14ac:dyDescent="0.25">
      <c r="A46" s="13" t="s">
        <v>67</v>
      </c>
      <c r="C46" s="13">
        <f t="shared" si="0"/>
        <v>28</v>
      </c>
      <c r="E46" s="13" t="str">
        <f t="shared" si="1"/>
        <v>@@C100010</v>
      </c>
      <c r="F46" s="13" t="str">
        <f>"""NAV"",""CRONUS JetCorp USA"",""27"",""1"",""C100010"""</f>
        <v>"NAV","CRONUS JetCorp USA","27","1","C100010"</v>
      </c>
      <c r="H46" s="26" t="str">
        <f>"C100010"</f>
        <v>C100010</v>
      </c>
      <c r="I46" s="22" t="str">
        <f>"Wisper-Cut Vase"</f>
        <v>Wisper-Cut Vase</v>
      </c>
      <c r="J46" s="28">
        <v>96</v>
      </c>
      <c r="K46" s="28">
        <v>7671.73</v>
      </c>
      <c r="L46" s="28">
        <v>-3863.98</v>
      </c>
      <c r="M46" s="28">
        <f>K46+L46</f>
        <v>3807.7499999999995</v>
      </c>
      <c r="N46" s="29">
        <f>IF(K46=0,"",M46/K46)</f>
        <v>0.49633524641769194</v>
      </c>
      <c r="O46" s="22"/>
      <c r="P46" s="38" t="str">
        <f ca="1">"@@"&amp;$Q46</f>
        <v>@@S100014</v>
      </c>
      <c r="Q46" s="26" t="str">
        <f ca="1">OFFSET($H$124,C46-1,0)</f>
        <v>S100014</v>
      </c>
      <c r="R46" s="22" t="str">
        <f>"Chunky Knit Hat"</f>
        <v>Chunky Knit Hat</v>
      </c>
      <c r="S46" s="28">
        <v>764</v>
      </c>
      <c r="T46" s="28">
        <v>7282.670000000001</v>
      </c>
      <c r="U46" s="28">
        <v>-3942.19</v>
      </c>
      <c r="V46" s="28">
        <f>T46+U46</f>
        <v>3340.4800000000009</v>
      </c>
      <c r="W46" s="29">
        <f t="shared" si="2"/>
        <v>0.45868891491719388</v>
      </c>
    </row>
    <row r="47" spans="1:23" ht="15.75" x14ac:dyDescent="0.25">
      <c r="A47" s="13" t="s">
        <v>67</v>
      </c>
      <c r="C47" s="13">
        <f t="shared" si="0"/>
        <v>29</v>
      </c>
      <c r="E47" s="13" t="str">
        <f t="shared" si="1"/>
        <v>@@C100026</v>
      </c>
      <c r="F47" s="13" t="str">
        <f>"""NAV"",""CRONUS JetCorp USA"",""27"",""1"",""C100026"""</f>
        <v>"NAV","CRONUS JetCorp USA","27","1","C100026"</v>
      </c>
      <c r="H47" s="26" t="str">
        <f>"C100026"</f>
        <v>C100026</v>
      </c>
      <c r="I47" s="22" t="str">
        <f>"Fleece Beanie"</f>
        <v>Fleece Beanie</v>
      </c>
      <c r="J47" s="28">
        <v>2552</v>
      </c>
      <c r="K47" s="28">
        <v>7669.8200000000006</v>
      </c>
      <c r="L47" s="28">
        <v>-5103.8</v>
      </c>
      <c r="M47" s="28">
        <f>K47+L47</f>
        <v>2566.0200000000004</v>
      </c>
      <c r="N47" s="29">
        <f>IF(K47=0,"",M47/K47)</f>
        <v>0.33456065461770945</v>
      </c>
      <c r="O47" s="22"/>
      <c r="P47" s="38" t="str">
        <f ca="1">"@@"&amp;$Q47</f>
        <v>@@S100026</v>
      </c>
      <c r="Q47" s="26" t="str">
        <f ca="1">OFFSET($H$124,C47-1,0)</f>
        <v>S100026</v>
      </c>
      <c r="R47" s="22" t="str">
        <f>"Wide SPORT BOT"</f>
        <v>Wide SPORT BOT</v>
      </c>
      <c r="S47" s="28">
        <v>1632</v>
      </c>
      <c r="T47" s="28">
        <v>6422.7400000000007</v>
      </c>
      <c r="U47" s="28">
        <v>-3101.4</v>
      </c>
      <c r="V47" s="28">
        <f>T47+U47</f>
        <v>3321.3400000000006</v>
      </c>
      <c r="W47" s="29">
        <f t="shared" si="2"/>
        <v>0.51712197597909926</v>
      </c>
    </row>
    <row r="48" spans="1:23" ht="15.75" x14ac:dyDescent="0.25">
      <c r="A48" s="13" t="s">
        <v>67</v>
      </c>
      <c r="C48" s="13">
        <f t="shared" si="0"/>
        <v>30</v>
      </c>
      <c r="E48" s="13" t="str">
        <f t="shared" si="1"/>
        <v>@@C100002</v>
      </c>
      <c r="F48" s="13" t="str">
        <f>"""NAV"",""CRONUS JetCorp USA"",""27"",""1"",""C100002"""</f>
        <v>"NAV","CRONUS JetCorp USA","27","1","C100002"</v>
      </c>
      <c r="H48" s="26" t="str">
        <f>"C100002"</f>
        <v>C100002</v>
      </c>
      <c r="I48" s="22" t="str">
        <f>"Border Style"</f>
        <v>Border Style</v>
      </c>
      <c r="J48" s="28">
        <v>145</v>
      </c>
      <c r="K48" s="28">
        <v>7375.23</v>
      </c>
      <c r="L48" s="28">
        <v>-4632.75</v>
      </c>
      <c r="M48" s="28">
        <f>K48+L48</f>
        <v>2742.4799999999996</v>
      </c>
      <c r="N48" s="29">
        <f>IF(K48=0,"",M48/K48)</f>
        <v>0.37185009823422455</v>
      </c>
      <c r="O48" s="22"/>
      <c r="P48" s="38" t="str">
        <f ca="1">"@@"&amp;$Q48</f>
        <v>@@S100019</v>
      </c>
      <c r="Q48" s="26" t="str">
        <f ca="1">OFFSET($H$124,C48-1,0)</f>
        <v>S100019</v>
      </c>
      <c r="R48" s="22" t="str">
        <f>"Sportsman Bucket Hat"</f>
        <v>Sportsman Bucket Hat</v>
      </c>
      <c r="S48" s="28">
        <v>1639</v>
      </c>
      <c r="T48" s="28">
        <v>7213.0900000000011</v>
      </c>
      <c r="U48" s="28">
        <v>-3982.86</v>
      </c>
      <c r="V48" s="28">
        <f>T48+U48</f>
        <v>3230.2300000000009</v>
      </c>
      <c r="W48" s="29">
        <f t="shared" si="2"/>
        <v>0.44782887777637609</v>
      </c>
    </row>
    <row r="49" spans="1:23" ht="15.75" x14ac:dyDescent="0.25">
      <c r="A49" s="13" t="s">
        <v>67</v>
      </c>
      <c r="C49" s="13">
        <f t="shared" si="0"/>
        <v>31</v>
      </c>
      <c r="E49" s="13" t="str">
        <f t="shared" si="1"/>
        <v>@@C100028</v>
      </c>
      <c r="F49" s="13" t="str">
        <f>"""NAV"",""CRONUS JetCorp USA"",""27"",""1"",""C100028"""</f>
        <v>"NAV","CRONUS JetCorp USA","27","1","C100028"</v>
      </c>
      <c r="H49" s="26" t="str">
        <f>"C100028"</f>
        <v>C100028</v>
      </c>
      <c r="I49" s="22" t="str">
        <f>"Twill Visor"</f>
        <v>Twill Visor</v>
      </c>
      <c r="J49" s="28">
        <v>1502</v>
      </c>
      <c r="K49" s="28">
        <v>7306.55</v>
      </c>
      <c r="L49" s="28">
        <v>-3604.9</v>
      </c>
      <c r="M49" s="28">
        <f>K49+L49</f>
        <v>3701.65</v>
      </c>
      <c r="N49" s="29">
        <f>IF(K49=0,"",M49/K49)</f>
        <v>0.50662077177327192</v>
      </c>
      <c r="O49" s="22"/>
      <c r="P49" s="38" t="str">
        <f ca="1">"@@"&amp;$Q49</f>
        <v>@@S100007</v>
      </c>
      <c r="Q49" s="26" t="str">
        <f ca="1">OFFSET($H$124,C49-1,0)</f>
        <v>S100007</v>
      </c>
      <c r="R49" s="22" t="str">
        <f>"Baseball Figure Trophy"</f>
        <v>Baseball Figure Trophy</v>
      </c>
      <c r="S49" s="28">
        <v>925</v>
      </c>
      <c r="T49" s="28">
        <v>6546.11</v>
      </c>
      <c r="U49" s="28">
        <v>-3404</v>
      </c>
      <c r="V49" s="28">
        <f>T49+U49</f>
        <v>3142.1099999999997</v>
      </c>
      <c r="W49" s="29">
        <f t="shared" si="2"/>
        <v>0.47999651701544882</v>
      </c>
    </row>
    <row r="50" spans="1:23" ht="15.75" x14ac:dyDescent="0.25">
      <c r="A50" s="13" t="s">
        <v>67</v>
      </c>
      <c r="C50" s="13">
        <f t="shared" si="0"/>
        <v>32</v>
      </c>
      <c r="E50" s="13" t="str">
        <f t="shared" si="1"/>
        <v>@@S100014</v>
      </c>
      <c r="F50" s="13" t="str">
        <f>"""NAV"",""CRONUS JetCorp USA"",""27"",""1"",""S100014"""</f>
        <v>"NAV","CRONUS JetCorp USA","27","1","S100014"</v>
      </c>
      <c r="H50" s="26" t="str">
        <f>"S100014"</f>
        <v>S100014</v>
      </c>
      <c r="I50" s="22" t="str">
        <f>"Chunky Knit Hat"</f>
        <v>Chunky Knit Hat</v>
      </c>
      <c r="J50" s="28">
        <v>764</v>
      </c>
      <c r="K50" s="28">
        <v>7282.670000000001</v>
      </c>
      <c r="L50" s="28">
        <v>-3942.19</v>
      </c>
      <c r="M50" s="28">
        <f>K50+L50</f>
        <v>3340.4800000000009</v>
      </c>
      <c r="N50" s="29">
        <f>IF(K50=0,"",M50/K50)</f>
        <v>0.45868891491719388</v>
      </c>
      <c r="O50" s="22"/>
      <c r="P50" s="38" t="str">
        <f ca="1">"@@"&amp;$Q50</f>
        <v>@@C100021</v>
      </c>
      <c r="Q50" s="26" t="str">
        <f ca="1">OFFSET($H$124,C50-1,0)</f>
        <v>C100021</v>
      </c>
      <c r="R50" s="22" t="str">
        <f>"Canvas Boat Bag"</f>
        <v>Canvas Boat Bag</v>
      </c>
      <c r="S50" s="28">
        <v>935.99999999999989</v>
      </c>
      <c r="T50" s="28">
        <v>9449.09</v>
      </c>
      <c r="U50" s="28">
        <v>-6439.63</v>
      </c>
      <c r="V50" s="28">
        <f>T50+U50</f>
        <v>3009.46</v>
      </c>
      <c r="W50" s="29">
        <f t="shared" si="2"/>
        <v>0.3184920452657346</v>
      </c>
    </row>
    <row r="51" spans="1:23" ht="15.75" x14ac:dyDescent="0.25">
      <c r="A51" s="13" t="s">
        <v>67</v>
      </c>
      <c r="C51" s="13">
        <f t="shared" si="0"/>
        <v>33</v>
      </c>
      <c r="E51" s="13" t="str">
        <f t="shared" si="1"/>
        <v>@@S100019</v>
      </c>
      <c r="F51" s="13" t="str">
        <f>"""NAV"",""CRONUS JetCorp USA"",""27"",""1"",""S100019"""</f>
        <v>"NAV","CRONUS JetCorp USA","27","1","S100019"</v>
      </c>
      <c r="H51" s="26" t="str">
        <f>"S100019"</f>
        <v>S100019</v>
      </c>
      <c r="I51" s="22" t="str">
        <f>"Sportsman Bucket Hat"</f>
        <v>Sportsman Bucket Hat</v>
      </c>
      <c r="J51" s="28">
        <v>1639</v>
      </c>
      <c r="K51" s="28">
        <v>7213.0900000000011</v>
      </c>
      <c r="L51" s="28">
        <v>-3982.86</v>
      </c>
      <c r="M51" s="28">
        <f>K51+L51</f>
        <v>3230.2300000000009</v>
      </c>
      <c r="N51" s="29">
        <f>IF(K51=0,"",M51/K51)</f>
        <v>0.44782887777637609</v>
      </c>
      <c r="O51" s="22"/>
      <c r="P51" s="38" t="str">
        <f ca="1">"@@"&amp;$Q51</f>
        <v>@@E100016</v>
      </c>
      <c r="Q51" s="26" t="str">
        <f ca="1">OFFSET($H$124,C51-1,0)</f>
        <v>E100016</v>
      </c>
      <c r="R51" s="22" t="str">
        <f>"4 Function Rotating Carabiner Watch"</f>
        <v>4 Function Rotating Carabiner Watch</v>
      </c>
      <c r="S51" s="28">
        <v>1935.9999999999998</v>
      </c>
      <c r="T51" s="28">
        <v>5617.73</v>
      </c>
      <c r="U51" s="28">
        <v>-2671.81</v>
      </c>
      <c r="V51" s="28">
        <f>T51+U51</f>
        <v>2945.9199999999996</v>
      </c>
      <c r="W51" s="29">
        <f t="shared" si="2"/>
        <v>0.52439686492586857</v>
      </c>
    </row>
    <row r="52" spans="1:23" ht="15.75" x14ac:dyDescent="0.25">
      <c r="A52" s="13" t="s">
        <v>67</v>
      </c>
      <c r="C52" s="13">
        <f t="shared" si="0"/>
        <v>34</v>
      </c>
      <c r="E52" s="13" t="str">
        <f t="shared" si="1"/>
        <v>@@S100017</v>
      </c>
      <c r="F52" s="13" t="str">
        <f>"""NAV"",""CRONUS JetCorp USA"",""27"",""1"",""S100017"""</f>
        <v>"NAV","CRONUS JetCorp USA","27","1","S100017"</v>
      </c>
      <c r="H52" s="26" t="str">
        <f>"S100017"</f>
        <v>S100017</v>
      </c>
      <c r="I52" s="22" t="str">
        <f>"Microfiber Bucket Hat"</f>
        <v>Microfiber Bucket Hat</v>
      </c>
      <c r="J52" s="28">
        <v>1017.0000000000001</v>
      </c>
      <c r="K52" s="28">
        <v>7130.3</v>
      </c>
      <c r="L52" s="28">
        <v>-4840.91</v>
      </c>
      <c r="M52" s="28">
        <f>K52+L52</f>
        <v>2289.3900000000003</v>
      </c>
      <c r="N52" s="29">
        <f>IF(K52=0,"",M52/K52)</f>
        <v>0.3210790569821747</v>
      </c>
      <c r="O52" s="22"/>
      <c r="P52" s="38" t="str">
        <f ca="1">"@@"&amp;$Q52</f>
        <v>@@S100020</v>
      </c>
      <c r="Q52" s="26" t="str">
        <f ca="1">OFFSET($H$124,C52-1,0)</f>
        <v>S100020</v>
      </c>
      <c r="R52" s="22" t="str">
        <f>"Super Sport Stopwatch"</f>
        <v>Super Sport Stopwatch</v>
      </c>
      <c r="S52" s="28">
        <v>2620</v>
      </c>
      <c r="T52" s="28">
        <v>5521.32</v>
      </c>
      <c r="U52" s="28">
        <v>-2751</v>
      </c>
      <c r="V52" s="28">
        <f>T52+U52</f>
        <v>2770.3199999999997</v>
      </c>
      <c r="W52" s="29">
        <f t="shared" si="2"/>
        <v>0.50174958162178607</v>
      </c>
    </row>
    <row r="53" spans="1:23" ht="15.75" x14ac:dyDescent="0.25">
      <c r="A53" s="13" t="s">
        <v>67</v>
      </c>
      <c r="C53" s="13">
        <f t="shared" si="0"/>
        <v>35</v>
      </c>
      <c r="E53" s="13" t="str">
        <f t="shared" si="1"/>
        <v>@@S100006</v>
      </c>
      <c r="F53" s="13" t="str">
        <f>"""NAV"",""CRONUS JetCorp USA"",""27"",""1"",""S100006"""</f>
        <v>"NAV","CRONUS JetCorp USA","27","1","S100006"</v>
      </c>
      <c r="H53" s="26" t="str">
        <f>"S100006"</f>
        <v>S100006</v>
      </c>
      <c r="I53" s="22" t="str">
        <f>"Award Medallian - 3''"</f>
        <v>Award Medallian - 3''</v>
      </c>
      <c r="J53" s="28">
        <v>625</v>
      </c>
      <c r="K53" s="28">
        <v>6719.84</v>
      </c>
      <c r="L53" s="28">
        <v>-4624.96</v>
      </c>
      <c r="M53" s="28">
        <f>K53+L53</f>
        <v>2094.88</v>
      </c>
      <c r="N53" s="29">
        <f>IF(K53=0,"",M53/K53)</f>
        <v>0.31174551775042264</v>
      </c>
      <c r="O53" s="22"/>
      <c r="P53" s="38" t="str">
        <f ca="1">"@@"&amp;$Q53</f>
        <v>@@C100002</v>
      </c>
      <c r="Q53" s="26" t="str">
        <f ca="1">OFFSET($H$124,C53-1,0)</f>
        <v>C100002</v>
      </c>
      <c r="R53" s="22" t="str">
        <f>"Border Style"</f>
        <v>Border Style</v>
      </c>
      <c r="S53" s="28">
        <v>145</v>
      </c>
      <c r="T53" s="28">
        <v>7375.23</v>
      </c>
      <c r="U53" s="28">
        <v>-4632.75</v>
      </c>
      <c r="V53" s="28">
        <f>T53+U53</f>
        <v>2742.4799999999996</v>
      </c>
      <c r="W53" s="29">
        <f t="shared" si="2"/>
        <v>0.37185009823422455</v>
      </c>
    </row>
    <row r="54" spans="1:23" ht="15.75" x14ac:dyDescent="0.25">
      <c r="A54" s="13" t="s">
        <v>67</v>
      </c>
      <c r="C54" s="13">
        <f t="shared" si="0"/>
        <v>36</v>
      </c>
      <c r="E54" s="13" t="str">
        <f t="shared" si="1"/>
        <v>@@S100008</v>
      </c>
      <c r="F54" s="13" t="str">
        <f>"""NAV"",""CRONUS JetCorp USA"",""27"",""1"",""S100008"""</f>
        <v>"NAV","CRONUS JetCorp USA","27","1","S100008"</v>
      </c>
      <c r="H54" s="26" t="str">
        <f>"S100008"</f>
        <v>S100008</v>
      </c>
      <c r="I54" s="22" t="str">
        <f>"Soccer Figure Trophy"</f>
        <v>Soccer Figure Trophy</v>
      </c>
      <c r="J54" s="28">
        <v>1160</v>
      </c>
      <c r="K54" s="28">
        <v>6626.7999999999993</v>
      </c>
      <c r="L54" s="28">
        <v>-4268.8</v>
      </c>
      <c r="M54" s="28">
        <f>K54+L54</f>
        <v>2357.9999999999991</v>
      </c>
      <c r="N54" s="29">
        <f>IF(K54=0,"",M54/K54)</f>
        <v>0.35582785054626659</v>
      </c>
      <c r="O54" s="22"/>
      <c r="P54" s="38" t="str">
        <f ca="1">"@@"&amp;$Q54</f>
        <v>@@E100012</v>
      </c>
      <c r="Q54" s="26" t="str">
        <f ca="1">OFFSET($H$124,C54-1,0)</f>
        <v>E100012</v>
      </c>
      <c r="R54" s="22" t="str">
        <f>"Canvas Stopwatch"</f>
        <v>Canvas Stopwatch</v>
      </c>
      <c r="S54" s="28">
        <v>1736</v>
      </c>
      <c r="T54" s="28">
        <v>6070.9000000000005</v>
      </c>
      <c r="U54" s="28">
        <v>-3402.44</v>
      </c>
      <c r="V54" s="28">
        <f>T54+U54</f>
        <v>2668.4600000000005</v>
      </c>
      <c r="W54" s="29">
        <f t="shared" si="2"/>
        <v>0.43954932547068809</v>
      </c>
    </row>
    <row r="55" spans="1:23" ht="15.75" x14ac:dyDescent="0.25">
      <c r="A55" s="13" t="s">
        <v>67</v>
      </c>
      <c r="C55" s="13">
        <f t="shared" si="0"/>
        <v>37</v>
      </c>
      <c r="E55" s="13" t="str">
        <f t="shared" si="1"/>
        <v>@@C100049</v>
      </c>
      <c r="F55" s="13" t="str">
        <f>"""NAV"",""CRONUS JetCorp USA"",""27"",""1"",""C100049"""</f>
        <v>"NAV","CRONUS JetCorp USA","27","1","C100049"</v>
      </c>
      <c r="H55" s="26" t="str">
        <f>"C100049"</f>
        <v>C100049</v>
      </c>
      <c r="I55" s="22" t="str">
        <f>"4GB MP3 Player"</f>
        <v>4GB MP3 Player</v>
      </c>
      <c r="J55" s="28">
        <v>438</v>
      </c>
      <c r="K55" s="28">
        <v>6568.9199999999992</v>
      </c>
      <c r="L55" s="28">
        <v>-4116.93</v>
      </c>
      <c r="M55" s="28">
        <f>K55+L55</f>
        <v>2451.9899999999989</v>
      </c>
      <c r="N55" s="29">
        <f>IF(K55=0,"",M55/K55)</f>
        <v>0.37327140534517078</v>
      </c>
      <c r="O55" s="22"/>
      <c r="P55" s="38" t="str">
        <f ca="1">"@@"&amp;$Q55</f>
        <v>@@C100011</v>
      </c>
      <c r="Q55" s="26" t="str">
        <f ca="1">OFFSET($H$124,C55-1,0)</f>
        <v>C100011</v>
      </c>
      <c r="R55" s="22" t="str">
        <f>"Winter Frost Vase"</f>
        <v>Winter Frost Vase</v>
      </c>
      <c r="S55" s="28">
        <v>146</v>
      </c>
      <c r="T55" s="28">
        <v>8314.1400000000012</v>
      </c>
      <c r="U55" s="28">
        <v>-5650.23</v>
      </c>
      <c r="V55" s="28">
        <f>T55+U55</f>
        <v>2663.9100000000017</v>
      </c>
      <c r="W55" s="29">
        <f t="shared" si="2"/>
        <v>0.32040716177500034</v>
      </c>
    </row>
    <row r="56" spans="1:23" ht="15.75" x14ac:dyDescent="0.25">
      <c r="A56" s="13" t="s">
        <v>67</v>
      </c>
      <c r="C56" s="13">
        <f t="shared" si="0"/>
        <v>38</v>
      </c>
      <c r="E56" s="13" t="str">
        <f t="shared" si="1"/>
        <v>@@S100007</v>
      </c>
      <c r="F56" s="13" t="str">
        <f>"""NAV"",""CRONUS JetCorp USA"",""27"",""1"",""S100007"""</f>
        <v>"NAV","CRONUS JetCorp USA","27","1","S100007"</v>
      </c>
      <c r="H56" s="26" t="str">
        <f>"S100007"</f>
        <v>S100007</v>
      </c>
      <c r="I56" s="22" t="str">
        <f>"Baseball Figure Trophy"</f>
        <v>Baseball Figure Trophy</v>
      </c>
      <c r="J56" s="28">
        <v>925</v>
      </c>
      <c r="K56" s="28">
        <v>6546.11</v>
      </c>
      <c r="L56" s="28">
        <v>-3404</v>
      </c>
      <c r="M56" s="28">
        <f>K56+L56</f>
        <v>3142.1099999999997</v>
      </c>
      <c r="N56" s="29">
        <f>IF(K56=0,"",M56/K56)</f>
        <v>0.47999651701544882</v>
      </c>
      <c r="O56" s="22"/>
      <c r="P56" s="38" t="str">
        <f ca="1">"@@"&amp;$Q56</f>
        <v>@@C100026</v>
      </c>
      <c r="Q56" s="26" t="str">
        <f ca="1">OFFSET($H$124,C56-1,0)</f>
        <v>C100026</v>
      </c>
      <c r="R56" s="22" t="str">
        <f>"Fleece Beanie"</f>
        <v>Fleece Beanie</v>
      </c>
      <c r="S56" s="28">
        <v>2552</v>
      </c>
      <c r="T56" s="28">
        <v>7669.8200000000006</v>
      </c>
      <c r="U56" s="28">
        <v>-5103.8</v>
      </c>
      <c r="V56" s="28">
        <f>T56+U56</f>
        <v>2566.0200000000004</v>
      </c>
      <c r="W56" s="29">
        <f t="shared" si="2"/>
        <v>0.33456065461770945</v>
      </c>
    </row>
    <row r="57" spans="1:23" ht="15.75" x14ac:dyDescent="0.25">
      <c r="A57" s="13" t="s">
        <v>67</v>
      </c>
      <c r="C57" s="13">
        <f t="shared" si="0"/>
        <v>39</v>
      </c>
      <c r="E57" s="13" t="str">
        <f t="shared" si="1"/>
        <v>@@C100029</v>
      </c>
      <c r="F57" s="13" t="str">
        <f>"""NAV"",""CRONUS JetCorp USA"",""27"",""1"",""C100029"""</f>
        <v>"NAV","CRONUS JetCorp USA","27","1","C100029"</v>
      </c>
      <c r="H57" s="26" t="str">
        <f>"C100029"</f>
        <v>C100029</v>
      </c>
      <c r="I57" s="22" t="str">
        <f>"Distressed Twill Visor"</f>
        <v>Distressed Twill Visor</v>
      </c>
      <c r="J57" s="28">
        <v>1946</v>
      </c>
      <c r="K57" s="28">
        <v>6472.08</v>
      </c>
      <c r="L57" s="28">
        <v>-4028.3500000000004</v>
      </c>
      <c r="M57" s="28">
        <f>K57+L57</f>
        <v>2443.7299999999996</v>
      </c>
      <c r="N57" s="29">
        <f>IF(K57=0,"",M57/K57)</f>
        <v>0.37758031421119631</v>
      </c>
      <c r="O57" s="22"/>
      <c r="P57" s="38" t="str">
        <f ca="1">"@@"&amp;$Q57</f>
        <v>@@S100012</v>
      </c>
      <c r="Q57" s="26" t="str">
        <f ca="1">OFFSET($H$124,C57-1,0)</f>
        <v>S100012</v>
      </c>
      <c r="R57" s="22" t="str">
        <f>"Raw-Edge Patch BALL CAP"</f>
        <v>Raw-Edge Patch BALL CAP</v>
      </c>
      <c r="S57" s="28">
        <v>577</v>
      </c>
      <c r="T57" s="28">
        <v>5716.67</v>
      </c>
      <c r="U57" s="28">
        <v>-3236.9700000000003</v>
      </c>
      <c r="V57" s="28">
        <f>T57+U57</f>
        <v>2479.6999999999998</v>
      </c>
      <c r="W57" s="29">
        <f t="shared" si="2"/>
        <v>0.43376651092331719</v>
      </c>
    </row>
    <row r="58" spans="1:23" ht="15.75" x14ac:dyDescent="0.25">
      <c r="A58" s="13" t="s">
        <v>67</v>
      </c>
      <c r="C58" s="13">
        <f t="shared" si="0"/>
        <v>40</v>
      </c>
      <c r="E58" s="13" t="str">
        <f t="shared" si="1"/>
        <v>@@S100026</v>
      </c>
      <c r="F58" s="13" t="str">
        <f>"""NAV"",""CRONUS JetCorp USA"",""27"",""1"",""S100026"""</f>
        <v>"NAV","CRONUS JetCorp USA","27","1","S100026"</v>
      </c>
      <c r="H58" s="26" t="str">
        <f>"S100026"</f>
        <v>S100026</v>
      </c>
      <c r="I58" s="22" t="str">
        <f>"Wide SPORT BOT"</f>
        <v>Wide SPORT BOT</v>
      </c>
      <c r="J58" s="28">
        <v>1632</v>
      </c>
      <c r="K58" s="28">
        <v>6422.7400000000007</v>
      </c>
      <c r="L58" s="28">
        <v>-3101.4</v>
      </c>
      <c r="M58" s="28">
        <f>K58+L58</f>
        <v>3321.3400000000006</v>
      </c>
      <c r="N58" s="29">
        <f>IF(K58=0,"",M58/K58)</f>
        <v>0.51712197597909926</v>
      </c>
      <c r="O58" s="22"/>
      <c r="P58" s="38" t="str">
        <f ca="1">"@@"&amp;$Q58</f>
        <v>@@C100049</v>
      </c>
      <c r="Q58" s="26" t="str">
        <f ca="1">OFFSET($H$124,C58-1,0)</f>
        <v>C100049</v>
      </c>
      <c r="R58" s="22" t="str">
        <f>"4GB MP3 Player"</f>
        <v>4GB MP3 Player</v>
      </c>
      <c r="S58" s="28">
        <v>438</v>
      </c>
      <c r="T58" s="28">
        <v>6568.9199999999992</v>
      </c>
      <c r="U58" s="28">
        <v>-4116.93</v>
      </c>
      <c r="V58" s="28">
        <f>T58+U58</f>
        <v>2451.9899999999989</v>
      </c>
      <c r="W58" s="29">
        <f t="shared" si="2"/>
        <v>0.37327140534517078</v>
      </c>
    </row>
    <row r="59" spans="1:23" ht="15.75" x14ac:dyDescent="0.25">
      <c r="A59" s="13" t="s">
        <v>67</v>
      </c>
      <c r="C59" s="13">
        <f t="shared" si="0"/>
        <v>41</v>
      </c>
      <c r="E59" s="13" t="str">
        <f t="shared" si="1"/>
        <v>@@E100012</v>
      </c>
      <c r="F59" s="13" t="str">
        <f>"""NAV"",""CRONUS JetCorp USA"",""27"",""1"",""E100012"""</f>
        <v>"NAV","CRONUS JetCorp USA","27","1","E100012"</v>
      </c>
      <c r="H59" s="26" t="str">
        <f>"E100012"</f>
        <v>E100012</v>
      </c>
      <c r="I59" s="22" t="str">
        <f>"Canvas Stopwatch"</f>
        <v>Canvas Stopwatch</v>
      </c>
      <c r="J59" s="28">
        <v>1736</v>
      </c>
      <c r="K59" s="28">
        <v>6070.9000000000005</v>
      </c>
      <c r="L59" s="28">
        <v>-3402.44</v>
      </c>
      <c r="M59" s="28">
        <f>K59+L59</f>
        <v>2668.4600000000005</v>
      </c>
      <c r="N59" s="29">
        <f>IF(K59=0,"",M59/K59)</f>
        <v>0.43954932547068809</v>
      </c>
      <c r="O59" s="22"/>
      <c r="P59" s="38" t="str">
        <f ca="1">"@@"&amp;$Q59</f>
        <v>@@C100029</v>
      </c>
      <c r="Q59" s="26" t="str">
        <f ca="1">OFFSET($H$124,C59-1,0)</f>
        <v>C100029</v>
      </c>
      <c r="R59" s="22" t="str">
        <f>"Distressed Twill Visor"</f>
        <v>Distressed Twill Visor</v>
      </c>
      <c r="S59" s="28">
        <v>1946</v>
      </c>
      <c r="T59" s="28">
        <v>6472.08</v>
      </c>
      <c r="U59" s="28">
        <v>-4028.3500000000004</v>
      </c>
      <c r="V59" s="28">
        <f>T59+U59</f>
        <v>2443.7299999999996</v>
      </c>
      <c r="W59" s="29">
        <f t="shared" si="2"/>
        <v>0.37758031421119631</v>
      </c>
    </row>
    <row r="60" spans="1:23" ht="15.75" x14ac:dyDescent="0.25">
      <c r="A60" s="13" t="s">
        <v>67</v>
      </c>
      <c r="C60" s="13">
        <f t="shared" si="0"/>
        <v>42</v>
      </c>
      <c r="E60" s="13" t="str">
        <f t="shared" si="1"/>
        <v>@@C100046</v>
      </c>
      <c r="F60" s="13" t="str">
        <f>"""NAV"",""CRONUS JetCorp USA"",""27"",""1"",""C100046"""</f>
        <v>"NAV","CRONUS JetCorp USA","27","1","C100046"</v>
      </c>
      <c r="H60" s="26" t="str">
        <f>"C100046"</f>
        <v>C100046</v>
      </c>
      <c r="I60" s="22" t="str">
        <f>"1GB MP3 Player"</f>
        <v>1GB MP3 Player</v>
      </c>
      <c r="J60" s="28">
        <v>315</v>
      </c>
      <c r="K60" s="28">
        <v>6036.83</v>
      </c>
      <c r="L60" s="28">
        <v>-3628.6000000000004</v>
      </c>
      <c r="M60" s="28">
        <f>K60+L60</f>
        <v>2408.2299999999996</v>
      </c>
      <c r="N60" s="29">
        <f>IF(K60=0,"",M60/K60)</f>
        <v>0.39892294465804068</v>
      </c>
      <c r="O60" s="22"/>
      <c r="P60" s="38" t="str">
        <f ca="1">"@@"&amp;$Q60</f>
        <v>@@C100046</v>
      </c>
      <c r="Q60" s="26" t="str">
        <f ca="1">OFFSET($H$124,C60-1,0)</f>
        <v>C100046</v>
      </c>
      <c r="R60" s="22" t="str">
        <f>"1GB MP3 Player"</f>
        <v>1GB MP3 Player</v>
      </c>
      <c r="S60" s="28">
        <v>315</v>
      </c>
      <c r="T60" s="28">
        <v>6036.83</v>
      </c>
      <c r="U60" s="28">
        <v>-3628.6000000000004</v>
      </c>
      <c r="V60" s="28">
        <f>T60+U60</f>
        <v>2408.2299999999996</v>
      </c>
      <c r="W60" s="29">
        <f t="shared" si="2"/>
        <v>0.39892294465804068</v>
      </c>
    </row>
    <row r="61" spans="1:23" ht="15.75" x14ac:dyDescent="0.25">
      <c r="A61" s="13" t="s">
        <v>67</v>
      </c>
      <c r="C61" s="13">
        <f t="shared" si="0"/>
        <v>43</v>
      </c>
      <c r="E61" s="13" t="str">
        <f t="shared" si="1"/>
        <v>@@S200012</v>
      </c>
      <c r="F61" s="13" t="str">
        <f>"""NAV"",""CRONUS JetCorp USA"",""27"",""1"",""S200012"""</f>
        <v>"NAV","CRONUS JetCorp USA","27","1","S200012"</v>
      </c>
      <c r="H61" s="26" t="str">
        <f>"S200012"</f>
        <v>S200012</v>
      </c>
      <c r="I61" s="22" t="str">
        <f>"10.75"" Star Riser Apple Trophy"</f>
        <v>10.75" Star Riser Apple Trophy</v>
      </c>
      <c r="J61" s="28">
        <v>480</v>
      </c>
      <c r="K61" s="28">
        <v>5826</v>
      </c>
      <c r="L61" s="28">
        <v>-5030.3999999999996</v>
      </c>
      <c r="M61" s="28">
        <f>K61+L61</f>
        <v>795.60000000000036</v>
      </c>
      <c r="N61" s="29">
        <f>IF(K61=0,"",M61/K61)</f>
        <v>0.13656024716786824</v>
      </c>
      <c r="O61" s="22"/>
      <c r="P61" s="38" t="str">
        <f ca="1">"@@"&amp;$Q61</f>
        <v>@@S100002</v>
      </c>
      <c r="Q61" s="26" t="str">
        <f ca="1">OFFSET($H$124,C61-1,0)</f>
        <v>S100002</v>
      </c>
      <c r="R61" s="22" t="str">
        <f>"Football Graphic Plaque"</f>
        <v>Football Graphic Plaque</v>
      </c>
      <c r="S61" s="28">
        <v>192</v>
      </c>
      <c r="T61" s="28">
        <v>4641.3100000000004</v>
      </c>
      <c r="U61" s="28">
        <v>-2282.89</v>
      </c>
      <c r="V61" s="28">
        <f>T61+U61</f>
        <v>2358.4200000000005</v>
      </c>
      <c r="W61" s="29">
        <f t="shared" si="2"/>
        <v>0.50813671140259975</v>
      </c>
    </row>
    <row r="62" spans="1:23" ht="15.75" x14ac:dyDescent="0.25">
      <c r="A62" s="13" t="s">
        <v>67</v>
      </c>
      <c r="C62" s="13">
        <f t="shared" si="0"/>
        <v>44</v>
      </c>
      <c r="E62" s="13" t="str">
        <f t="shared" si="1"/>
        <v>@@S100012</v>
      </c>
      <c r="F62" s="13" t="str">
        <f>"""NAV"",""CRONUS JetCorp USA"",""27"",""1"",""S100012"""</f>
        <v>"NAV","CRONUS JetCorp USA","27","1","S100012"</v>
      </c>
      <c r="H62" s="26" t="str">
        <f>"S100012"</f>
        <v>S100012</v>
      </c>
      <c r="I62" s="22" t="str">
        <f>"Raw-Edge Patch BALL CAP"</f>
        <v>Raw-Edge Patch BALL CAP</v>
      </c>
      <c r="J62" s="28">
        <v>577</v>
      </c>
      <c r="K62" s="28">
        <v>5716.67</v>
      </c>
      <c r="L62" s="28">
        <v>-3236.9700000000003</v>
      </c>
      <c r="M62" s="28">
        <f>K62+L62</f>
        <v>2479.6999999999998</v>
      </c>
      <c r="N62" s="29">
        <f>IF(K62=0,"",M62/K62)</f>
        <v>0.43376651092331719</v>
      </c>
      <c r="O62" s="22"/>
      <c r="P62" s="38" t="str">
        <f ca="1">"@@"&amp;$Q62</f>
        <v>@@S100008</v>
      </c>
      <c r="Q62" s="26" t="str">
        <f ca="1">OFFSET($H$124,C62-1,0)</f>
        <v>S100008</v>
      </c>
      <c r="R62" s="22" t="str">
        <f>"Soccer Figure Trophy"</f>
        <v>Soccer Figure Trophy</v>
      </c>
      <c r="S62" s="28">
        <v>1160</v>
      </c>
      <c r="T62" s="28">
        <v>6626.7999999999993</v>
      </c>
      <c r="U62" s="28">
        <v>-4268.8</v>
      </c>
      <c r="V62" s="28">
        <f>T62+U62</f>
        <v>2357.9999999999991</v>
      </c>
      <c r="W62" s="29">
        <f t="shared" si="2"/>
        <v>0.35582785054626659</v>
      </c>
    </row>
    <row r="63" spans="1:23" ht="15.75" x14ac:dyDescent="0.25">
      <c r="A63" s="13" t="s">
        <v>67</v>
      </c>
      <c r="C63" s="13">
        <f t="shared" si="0"/>
        <v>45</v>
      </c>
      <c r="E63" s="13" t="str">
        <f t="shared" si="1"/>
        <v>@@S200007</v>
      </c>
      <c r="F63" s="13" t="str">
        <f>"""NAV"",""CRONUS JetCorp USA"",""27"",""1"",""S200007"""</f>
        <v>"NAV","CRONUS JetCorp USA","27","1","S200007"</v>
      </c>
      <c r="H63" s="26" t="str">
        <f>"S200007"</f>
        <v>S200007</v>
      </c>
      <c r="I63" s="22" t="str">
        <f>"3.75"" Football Trophy"</f>
        <v>3.75" Football Trophy</v>
      </c>
      <c r="J63" s="28">
        <v>576</v>
      </c>
      <c r="K63" s="28">
        <v>5630.4</v>
      </c>
      <c r="L63" s="28">
        <v>-4325.76</v>
      </c>
      <c r="M63" s="28">
        <f>K63+L63</f>
        <v>1304.6399999999994</v>
      </c>
      <c r="N63" s="29">
        <f>IF(K63=0,"",M63/K63)</f>
        <v>0.23171355498721219</v>
      </c>
      <c r="O63" s="22"/>
      <c r="P63" s="38" t="str">
        <f ca="1">"@@"&amp;$Q63</f>
        <v>@@E100020</v>
      </c>
      <c r="Q63" s="26" t="str">
        <f ca="1">OFFSET($H$124,C63-1,0)</f>
        <v>E100020</v>
      </c>
      <c r="R63" s="22" t="str">
        <f>"Flip-up Travel Alarm"</f>
        <v>Flip-up Travel Alarm</v>
      </c>
      <c r="S63" s="28">
        <v>577</v>
      </c>
      <c r="T63" s="28">
        <v>5040.3900000000003</v>
      </c>
      <c r="U63" s="28">
        <v>-2700.4</v>
      </c>
      <c r="V63" s="28">
        <f>T63+U63</f>
        <v>2339.9900000000002</v>
      </c>
      <c r="W63" s="29">
        <f t="shared" si="2"/>
        <v>0.46424780622134398</v>
      </c>
    </row>
    <row r="64" spans="1:23" ht="15.75" x14ac:dyDescent="0.25">
      <c r="A64" s="13" t="s">
        <v>67</v>
      </c>
      <c r="C64" s="13">
        <f t="shared" si="0"/>
        <v>46</v>
      </c>
      <c r="E64" s="13" t="str">
        <f t="shared" si="1"/>
        <v>@@E100016</v>
      </c>
      <c r="F64" s="13" t="str">
        <f>"""NAV"",""CRONUS JetCorp USA"",""27"",""1"",""E100016"""</f>
        <v>"NAV","CRONUS JetCorp USA","27","1","E100016"</v>
      </c>
      <c r="H64" s="26" t="str">
        <f>"E100016"</f>
        <v>E100016</v>
      </c>
      <c r="I64" s="22" t="str">
        <f>"4 Function Rotating Carabiner Watch"</f>
        <v>4 Function Rotating Carabiner Watch</v>
      </c>
      <c r="J64" s="28">
        <v>1935.9999999999998</v>
      </c>
      <c r="K64" s="28">
        <v>5617.73</v>
      </c>
      <c r="L64" s="28">
        <v>-2671.81</v>
      </c>
      <c r="M64" s="28">
        <f>K64+L64</f>
        <v>2945.9199999999996</v>
      </c>
      <c r="N64" s="29">
        <f>IF(K64=0,"",M64/K64)</f>
        <v>0.52439686492586857</v>
      </c>
      <c r="O64" s="22"/>
      <c r="P64" s="38" t="str">
        <f ca="1">"@@"&amp;$Q64</f>
        <v>@@C100030</v>
      </c>
      <c r="Q64" s="26" t="str">
        <f ca="1">OFFSET($H$124,C64-1,0)</f>
        <v>C100030</v>
      </c>
      <c r="R64" s="22" t="str">
        <f>"Fashion Visor"</f>
        <v>Fashion Visor</v>
      </c>
      <c r="S64" s="28">
        <v>1249</v>
      </c>
      <c r="T64" s="28">
        <v>5316.75</v>
      </c>
      <c r="U64" s="28">
        <v>-3022.64</v>
      </c>
      <c r="V64" s="28">
        <f>T64+U64</f>
        <v>2294.11</v>
      </c>
      <c r="W64" s="29">
        <f t="shared" si="2"/>
        <v>0.43148728076362441</v>
      </c>
    </row>
    <row r="65" spans="1:23" ht="15.75" x14ac:dyDescent="0.25">
      <c r="A65" s="13" t="s">
        <v>67</v>
      </c>
      <c r="C65" s="13">
        <f t="shared" si="0"/>
        <v>47</v>
      </c>
      <c r="E65" s="13" t="str">
        <f t="shared" si="1"/>
        <v>@@S100020</v>
      </c>
      <c r="F65" s="13" t="str">
        <f>"""NAV"",""CRONUS JetCorp USA"",""27"",""1"",""S100020"""</f>
        <v>"NAV","CRONUS JetCorp USA","27","1","S100020"</v>
      </c>
      <c r="H65" s="26" t="str">
        <f>"S100020"</f>
        <v>S100020</v>
      </c>
      <c r="I65" s="22" t="str">
        <f>"Super Sport Stopwatch"</f>
        <v>Super Sport Stopwatch</v>
      </c>
      <c r="J65" s="28">
        <v>2620</v>
      </c>
      <c r="K65" s="28">
        <v>5521.32</v>
      </c>
      <c r="L65" s="28">
        <v>-2751</v>
      </c>
      <c r="M65" s="28">
        <f>K65+L65</f>
        <v>2770.3199999999997</v>
      </c>
      <c r="N65" s="29">
        <f>IF(K65=0,"",M65/K65)</f>
        <v>0.50174958162178607</v>
      </c>
      <c r="O65" s="22"/>
      <c r="P65" s="38" t="str">
        <f ca="1">"@@"&amp;$Q65</f>
        <v>@@S100017</v>
      </c>
      <c r="Q65" s="26" t="str">
        <f ca="1">OFFSET($H$124,C65-1,0)</f>
        <v>S100017</v>
      </c>
      <c r="R65" s="22" t="str">
        <f>"Microfiber Bucket Hat"</f>
        <v>Microfiber Bucket Hat</v>
      </c>
      <c r="S65" s="28">
        <v>1017.0000000000001</v>
      </c>
      <c r="T65" s="28">
        <v>7130.3</v>
      </c>
      <c r="U65" s="28">
        <v>-4840.91</v>
      </c>
      <c r="V65" s="28">
        <f>T65+U65</f>
        <v>2289.3900000000003</v>
      </c>
      <c r="W65" s="29">
        <f t="shared" si="2"/>
        <v>0.3210790569821747</v>
      </c>
    </row>
    <row r="66" spans="1:23" ht="15.75" x14ac:dyDescent="0.25">
      <c r="A66" s="13" t="s">
        <v>67</v>
      </c>
      <c r="C66" s="13">
        <f t="shared" si="0"/>
        <v>48</v>
      </c>
      <c r="E66" s="13" t="str">
        <f t="shared" si="1"/>
        <v>@@C100030</v>
      </c>
      <c r="F66" s="13" t="str">
        <f>"""NAV"",""CRONUS JetCorp USA"",""27"",""1"",""C100030"""</f>
        <v>"NAV","CRONUS JetCorp USA","27","1","C100030"</v>
      </c>
      <c r="H66" s="26" t="str">
        <f>"C100030"</f>
        <v>C100030</v>
      </c>
      <c r="I66" s="22" t="str">
        <f>"Fashion Visor"</f>
        <v>Fashion Visor</v>
      </c>
      <c r="J66" s="28">
        <v>1249</v>
      </c>
      <c r="K66" s="28">
        <v>5316.75</v>
      </c>
      <c r="L66" s="28">
        <v>-3022.64</v>
      </c>
      <c r="M66" s="28">
        <f>K66+L66</f>
        <v>2294.11</v>
      </c>
      <c r="N66" s="29">
        <f>IF(K66=0,"",M66/K66)</f>
        <v>0.43148728076362441</v>
      </c>
      <c r="O66" s="22"/>
      <c r="P66" s="38" t="str">
        <f ca="1">"@@"&amp;$Q66</f>
        <v>@@C100025</v>
      </c>
      <c r="Q66" s="26" t="str">
        <f ca="1">OFFSET($H$124,C66-1,0)</f>
        <v>C100025</v>
      </c>
      <c r="R66" s="22" t="str">
        <f>"Striped Knit Hat"</f>
        <v>Striped Knit Hat</v>
      </c>
      <c r="S66" s="28">
        <v>1505</v>
      </c>
      <c r="T66" s="28">
        <v>4341.8099999999995</v>
      </c>
      <c r="U66" s="28">
        <v>-2076.91</v>
      </c>
      <c r="V66" s="28">
        <f>T66+U66</f>
        <v>2264.8999999999996</v>
      </c>
      <c r="W66" s="29">
        <f t="shared" si="2"/>
        <v>0.52164880545210401</v>
      </c>
    </row>
    <row r="67" spans="1:23" ht="15.75" x14ac:dyDescent="0.25">
      <c r="A67" s="13" t="s">
        <v>67</v>
      </c>
      <c r="C67" s="13">
        <f t="shared" si="0"/>
        <v>49</v>
      </c>
      <c r="E67" s="13" t="str">
        <f t="shared" si="1"/>
        <v>@@E100020</v>
      </c>
      <c r="F67" s="13" t="str">
        <f>"""NAV"",""CRONUS JetCorp USA"",""27"",""1"",""E100020"""</f>
        <v>"NAV","CRONUS JetCorp USA","27","1","E100020"</v>
      </c>
      <c r="H67" s="26" t="str">
        <f>"E100020"</f>
        <v>E100020</v>
      </c>
      <c r="I67" s="22" t="str">
        <f>"Flip-up Travel Alarm"</f>
        <v>Flip-up Travel Alarm</v>
      </c>
      <c r="J67" s="28">
        <v>577</v>
      </c>
      <c r="K67" s="28">
        <v>5040.3900000000003</v>
      </c>
      <c r="L67" s="28">
        <v>-2700.4</v>
      </c>
      <c r="M67" s="28">
        <f>K67+L67</f>
        <v>2339.9900000000002</v>
      </c>
      <c r="N67" s="29">
        <f>IF(K67=0,"",M67/K67)</f>
        <v>0.46424780622134398</v>
      </c>
      <c r="O67" s="22"/>
      <c r="P67" s="38" t="str">
        <f ca="1">"@@"&amp;$Q67</f>
        <v>@@C100014</v>
      </c>
      <c r="Q67" s="26" t="str">
        <f ca="1">OFFSET($H$124,C67-1,0)</f>
        <v>C100014</v>
      </c>
      <c r="R67" s="22" t="str">
        <f>"Canvas Field Bag"</f>
        <v>Canvas Field Bag</v>
      </c>
      <c r="S67" s="28">
        <v>480</v>
      </c>
      <c r="T67" s="28">
        <v>4308.54</v>
      </c>
      <c r="U67" s="28">
        <v>-2203.1999999999998</v>
      </c>
      <c r="V67" s="28">
        <f>T67+U67</f>
        <v>2105.34</v>
      </c>
      <c r="W67" s="29">
        <f t="shared" si="2"/>
        <v>0.48864348479995545</v>
      </c>
    </row>
    <row r="68" spans="1:23" ht="15.75" x14ac:dyDescent="0.25">
      <c r="A68" s="13" t="s">
        <v>67</v>
      </c>
      <c r="C68" s="13">
        <f t="shared" si="0"/>
        <v>50</v>
      </c>
      <c r="E68" s="13" t="str">
        <f t="shared" si="1"/>
        <v>@@S200019</v>
      </c>
      <c r="F68" s="13" t="str">
        <f>"""NAV"",""CRONUS JetCorp USA"",""27"",""1"",""S200019"""</f>
        <v>"NAV","CRONUS JetCorp USA","27","1","S200019"</v>
      </c>
      <c r="H68" s="26" t="str">
        <f>"S200019"</f>
        <v>S200019</v>
      </c>
      <c r="I68" s="22" t="str">
        <f>"10.75"" Tourch Riser Apple Trophy"</f>
        <v>10.75" Tourch Riser Apple Trophy</v>
      </c>
      <c r="J68" s="28">
        <v>336</v>
      </c>
      <c r="K68" s="28">
        <v>4874.4000000000005</v>
      </c>
      <c r="L68" s="28">
        <v>-3638.88</v>
      </c>
      <c r="M68" s="28">
        <f>K68+L68</f>
        <v>1235.5200000000004</v>
      </c>
      <c r="N68" s="29">
        <f>IF(K68=0,"",M68/K68)</f>
        <v>0.25347119645494837</v>
      </c>
      <c r="O68" s="22"/>
      <c r="P68" s="38" t="str">
        <f ca="1">"@@"&amp;$Q68</f>
        <v>@@S100006</v>
      </c>
      <c r="Q68" s="26" t="str">
        <f ca="1">OFFSET($H$124,C68-1,0)</f>
        <v>S100006</v>
      </c>
      <c r="R68" s="22" t="str">
        <f>"Award Medallian - 3''"</f>
        <v>Award Medallian - 3''</v>
      </c>
      <c r="S68" s="28">
        <v>625</v>
      </c>
      <c r="T68" s="28">
        <v>6719.84</v>
      </c>
      <c r="U68" s="28">
        <v>-4624.96</v>
      </c>
      <c r="V68" s="28">
        <f>T68+U68</f>
        <v>2094.88</v>
      </c>
      <c r="W68" s="29">
        <f t="shared" si="2"/>
        <v>0.31174551775042264</v>
      </c>
    </row>
    <row r="69" spans="1:23" ht="15.75" x14ac:dyDescent="0.25">
      <c r="A69" s="13" t="s">
        <v>67</v>
      </c>
      <c r="C69" s="13">
        <f t="shared" si="0"/>
        <v>51</v>
      </c>
      <c r="E69" s="13" t="str">
        <f t="shared" si="1"/>
        <v>@@S100002</v>
      </c>
      <c r="F69" s="13" t="str">
        <f>"""NAV"",""CRONUS JetCorp USA"",""27"",""1"",""S100002"""</f>
        <v>"NAV","CRONUS JetCorp USA","27","1","S100002"</v>
      </c>
      <c r="H69" s="26" t="str">
        <f>"S100002"</f>
        <v>S100002</v>
      </c>
      <c r="I69" s="22" t="str">
        <f>"Football Graphic Plaque"</f>
        <v>Football Graphic Plaque</v>
      </c>
      <c r="J69" s="28">
        <v>192</v>
      </c>
      <c r="K69" s="28">
        <v>4641.3100000000004</v>
      </c>
      <c r="L69" s="28">
        <v>-2282.89</v>
      </c>
      <c r="M69" s="28">
        <f>K69+L69</f>
        <v>2358.4200000000005</v>
      </c>
      <c r="N69" s="29">
        <f>IF(K69=0,"",M69/K69)</f>
        <v>0.50813671140259975</v>
      </c>
      <c r="O69" s="22"/>
      <c r="P69" s="38" t="str">
        <f ca="1">"@@"&amp;$Q69</f>
        <v>@@S100015</v>
      </c>
      <c r="Q69" s="26" t="str">
        <f ca="1">OFFSET($H$124,C69-1,0)</f>
        <v>S100015</v>
      </c>
      <c r="R69" s="22" t="str">
        <f>"Raw-Edge Bucket Hat"</f>
        <v>Raw-Edge Bucket Hat</v>
      </c>
      <c r="S69" s="28">
        <v>578</v>
      </c>
      <c r="T69" s="28">
        <v>4132.22</v>
      </c>
      <c r="U69" s="28">
        <v>-2103.96</v>
      </c>
      <c r="V69" s="28">
        <f>T69+U69</f>
        <v>2028.2600000000002</v>
      </c>
      <c r="W69" s="29">
        <f t="shared" si="2"/>
        <v>0.49084027471915825</v>
      </c>
    </row>
    <row r="70" spans="1:23" ht="15.75" x14ac:dyDescent="0.25">
      <c r="A70" s="13" t="s">
        <v>67</v>
      </c>
      <c r="C70" s="13">
        <f t="shared" si="0"/>
        <v>52</v>
      </c>
      <c r="E70" s="13" t="str">
        <f t="shared" si="1"/>
        <v>@@C100025</v>
      </c>
      <c r="F70" s="13" t="str">
        <f>"""NAV"",""CRONUS JetCorp USA"",""27"",""1"",""C100025"""</f>
        <v>"NAV","CRONUS JetCorp USA","27","1","C100025"</v>
      </c>
      <c r="H70" s="26" t="str">
        <f>"C100025"</f>
        <v>C100025</v>
      </c>
      <c r="I70" s="22" t="str">
        <f>"Striped Knit Hat"</f>
        <v>Striped Knit Hat</v>
      </c>
      <c r="J70" s="28">
        <v>1505</v>
      </c>
      <c r="K70" s="28">
        <v>4341.8099999999995</v>
      </c>
      <c r="L70" s="28">
        <v>-2076.91</v>
      </c>
      <c r="M70" s="28">
        <f>K70+L70</f>
        <v>2264.8999999999996</v>
      </c>
      <c r="N70" s="29">
        <f>IF(K70=0,"",M70/K70)</f>
        <v>0.52164880545210401</v>
      </c>
      <c r="O70" s="22"/>
      <c r="P70" s="38" t="str">
        <f ca="1">"@@"&amp;$Q70</f>
        <v>@@E100033</v>
      </c>
      <c r="Q70" s="26" t="str">
        <f ca="1">OFFSET($H$124,C70-1,0)</f>
        <v>E100033</v>
      </c>
      <c r="R70" s="22" t="str">
        <f>"Dual Source Flashlight"</f>
        <v>Dual Source Flashlight</v>
      </c>
      <c r="S70" s="28">
        <v>1213</v>
      </c>
      <c r="T70" s="28">
        <v>3847.27</v>
      </c>
      <c r="U70" s="28">
        <v>-1891.9299999999998</v>
      </c>
      <c r="V70" s="28">
        <f>T70+U70</f>
        <v>1955.3400000000001</v>
      </c>
      <c r="W70" s="29">
        <f t="shared" si="2"/>
        <v>0.50824090848835668</v>
      </c>
    </row>
    <row r="71" spans="1:23" ht="15.75" x14ac:dyDescent="0.25">
      <c r="A71" s="13" t="s">
        <v>67</v>
      </c>
      <c r="C71" s="13">
        <f t="shared" si="0"/>
        <v>53</v>
      </c>
      <c r="E71" s="13" t="str">
        <f t="shared" si="1"/>
        <v>@@C100014</v>
      </c>
      <c r="F71" s="13" t="str">
        <f>"""NAV"",""CRONUS JetCorp USA"",""27"",""1"",""C100014"""</f>
        <v>"NAV","CRONUS JetCorp USA","27","1","C100014"</v>
      </c>
      <c r="H71" s="26" t="str">
        <f>"C100014"</f>
        <v>C100014</v>
      </c>
      <c r="I71" s="22" t="str">
        <f>"Canvas Field Bag"</f>
        <v>Canvas Field Bag</v>
      </c>
      <c r="J71" s="28">
        <v>480</v>
      </c>
      <c r="K71" s="28">
        <v>4308.54</v>
      </c>
      <c r="L71" s="28">
        <v>-2203.1999999999998</v>
      </c>
      <c r="M71" s="28">
        <f>K71+L71</f>
        <v>2105.34</v>
      </c>
      <c r="N71" s="29">
        <f>IF(K71=0,"",M71/K71)</f>
        <v>0.48864348479995545</v>
      </c>
      <c r="O71" s="22"/>
      <c r="P71" s="38" t="str">
        <f ca="1">"@@"&amp;$Q71</f>
        <v>@@E100014</v>
      </c>
      <c r="Q71" s="26" t="str">
        <f ca="1">OFFSET($H$124,C71-1,0)</f>
        <v>E100014</v>
      </c>
      <c r="R71" s="22" t="str">
        <f>"Stopwatch with Neck Rope"</f>
        <v>Stopwatch with Neck Rope</v>
      </c>
      <c r="S71" s="28">
        <v>1430</v>
      </c>
      <c r="T71" s="28">
        <v>3760.38</v>
      </c>
      <c r="U71" s="28">
        <v>-1844.5900000000001</v>
      </c>
      <c r="V71" s="28">
        <f>T71+U71</f>
        <v>1915.79</v>
      </c>
      <c r="W71" s="29">
        <f t="shared" si="2"/>
        <v>0.50946712832213759</v>
      </c>
    </row>
    <row r="72" spans="1:23" ht="15.75" x14ac:dyDescent="0.25">
      <c r="A72" s="13" t="s">
        <v>67</v>
      </c>
      <c r="C72" s="13">
        <f t="shared" si="0"/>
        <v>54</v>
      </c>
      <c r="E72" s="13" t="str">
        <f t="shared" si="1"/>
        <v>@@S100015</v>
      </c>
      <c r="F72" s="13" t="str">
        <f>"""NAV"",""CRONUS JetCorp USA"",""27"",""1"",""S100015"""</f>
        <v>"NAV","CRONUS JetCorp USA","27","1","S100015"</v>
      </c>
      <c r="H72" s="26" t="str">
        <f>"S100015"</f>
        <v>S100015</v>
      </c>
      <c r="I72" s="22" t="str">
        <f>"Raw-Edge Bucket Hat"</f>
        <v>Raw-Edge Bucket Hat</v>
      </c>
      <c r="J72" s="28">
        <v>578</v>
      </c>
      <c r="K72" s="28">
        <v>4132.22</v>
      </c>
      <c r="L72" s="28">
        <v>-2103.96</v>
      </c>
      <c r="M72" s="28">
        <f>K72+L72</f>
        <v>2028.2600000000002</v>
      </c>
      <c r="N72" s="29">
        <f>IF(K72=0,"",M72/K72)</f>
        <v>0.49084027471915825</v>
      </c>
      <c r="O72" s="22"/>
      <c r="P72" s="38" t="str">
        <f ca="1">"@@"&amp;$Q72</f>
        <v>@@C100056</v>
      </c>
      <c r="Q72" s="26" t="str">
        <f ca="1">OFFSET($H$124,C72-1,0)</f>
        <v>C100056</v>
      </c>
      <c r="R72" s="22" t="str">
        <f>"Contemporary Desk Calculator"</f>
        <v>Contemporary Desk Calculator</v>
      </c>
      <c r="S72" s="28">
        <v>624</v>
      </c>
      <c r="T72" s="28">
        <v>3289.23</v>
      </c>
      <c r="U72" s="28">
        <v>-1660</v>
      </c>
      <c r="V72" s="28">
        <f>T72+U72</f>
        <v>1629.23</v>
      </c>
      <c r="W72" s="29">
        <f t="shared" si="2"/>
        <v>0.49532261349920803</v>
      </c>
    </row>
    <row r="73" spans="1:23" ht="15.75" x14ac:dyDescent="0.25">
      <c r="A73" s="13" t="s">
        <v>67</v>
      </c>
      <c r="C73" s="13">
        <f t="shared" si="0"/>
        <v>55</v>
      </c>
      <c r="E73" s="13" t="str">
        <f t="shared" si="1"/>
        <v>@@E100033</v>
      </c>
      <c r="F73" s="13" t="str">
        <f>"""NAV"",""CRONUS JetCorp USA"",""27"",""1"",""E100033"""</f>
        <v>"NAV","CRONUS JetCorp USA","27","1","E100033"</v>
      </c>
      <c r="H73" s="26" t="str">
        <f>"E100033"</f>
        <v>E100033</v>
      </c>
      <c r="I73" s="22" t="str">
        <f>"Dual Source Flashlight"</f>
        <v>Dual Source Flashlight</v>
      </c>
      <c r="J73" s="28">
        <v>1213</v>
      </c>
      <c r="K73" s="28">
        <v>3847.27</v>
      </c>
      <c r="L73" s="28">
        <v>-1891.9299999999998</v>
      </c>
      <c r="M73" s="28">
        <f>K73+L73</f>
        <v>1955.3400000000001</v>
      </c>
      <c r="N73" s="29">
        <f>IF(K73=0,"",M73/K73)</f>
        <v>0.50824090848835668</v>
      </c>
      <c r="O73" s="22"/>
      <c r="P73" s="38" t="str">
        <f ca="1">"@@"&amp;$Q73</f>
        <v>@@C100024</v>
      </c>
      <c r="Q73" s="26" t="str">
        <f ca="1">OFFSET($H$124,C73-1,0)</f>
        <v>C100024</v>
      </c>
      <c r="R73" s="22" t="str">
        <f>"Knit Hat with Bill"</f>
        <v>Knit Hat with Bill</v>
      </c>
      <c r="S73" s="28">
        <v>723</v>
      </c>
      <c r="T73" s="28">
        <v>3698.1600000000003</v>
      </c>
      <c r="U73" s="28">
        <v>-2169</v>
      </c>
      <c r="V73" s="28">
        <f>T73+U73</f>
        <v>1529.1600000000003</v>
      </c>
      <c r="W73" s="29">
        <f t="shared" si="2"/>
        <v>0.41349211499772864</v>
      </c>
    </row>
    <row r="74" spans="1:23" ht="15.75" x14ac:dyDescent="0.25">
      <c r="A74" s="13" t="s">
        <v>67</v>
      </c>
      <c r="C74" s="13">
        <f t="shared" si="0"/>
        <v>56</v>
      </c>
      <c r="E74" s="13" t="str">
        <f t="shared" si="1"/>
        <v>@@E100014</v>
      </c>
      <c r="F74" s="13" t="str">
        <f>"""NAV"",""CRONUS JetCorp USA"",""27"",""1"",""E100014"""</f>
        <v>"NAV","CRONUS JetCorp USA","27","1","E100014"</v>
      </c>
      <c r="H74" s="26" t="str">
        <f>"E100014"</f>
        <v>E100014</v>
      </c>
      <c r="I74" s="22" t="str">
        <f>"Stopwatch with Neck Rope"</f>
        <v>Stopwatch with Neck Rope</v>
      </c>
      <c r="J74" s="28">
        <v>1430</v>
      </c>
      <c r="K74" s="28">
        <v>3760.38</v>
      </c>
      <c r="L74" s="28">
        <v>-1844.5900000000001</v>
      </c>
      <c r="M74" s="28">
        <f>K74+L74</f>
        <v>1915.79</v>
      </c>
      <c r="N74" s="29">
        <f>IF(K74=0,"",M74/K74)</f>
        <v>0.50946712832213759</v>
      </c>
      <c r="O74" s="22"/>
      <c r="P74" s="38" t="str">
        <f ca="1">"@@"&amp;$Q74</f>
        <v>@@C100041</v>
      </c>
      <c r="Q74" s="26" t="str">
        <f ca="1">OFFSET($H$124,C74-1,0)</f>
        <v>C100041</v>
      </c>
      <c r="R74" s="22" t="str">
        <f>"Folding Stereo Speakers"</f>
        <v>Folding Stereo Speakers</v>
      </c>
      <c r="S74" s="28">
        <v>223</v>
      </c>
      <c r="T74" s="28">
        <v>3289.03</v>
      </c>
      <c r="U74" s="28">
        <v>-1866.37</v>
      </c>
      <c r="V74" s="28">
        <f>T74+U74</f>
        <v>1422.6600000000003</v>
      </c>
      <c r="W74" s="29">
        <f t="shared" si="2"/>
        <v>0.4325469819369237</v>
      </c>
    </row>
    <row r="75" spans="1:23" ht="15.75" x14ac:dyDescent="0.25">
      <c r="A75" s="13" t="s">
        <v>67</v>
      </c>
      <c r="C75" s="13">
        <f t="shared" si="0"/>
        <v>57</v>
      </c>
      <c r="E75" s="13" t="str">
        <f t="shared" si="1"/>
        <v>@@C100037</v>
      </c>
      <c r="F75" s="13" t="str">
        <f>"""NAV"",""CRONUS JetCorp USA"",""27"",""1"",""C100037"""</f>
        <v>"NAV","CRONUS JetCorp USA","27","1","C100037"</v>
      </c>
      <c r="H75" s="26" t="str">
        <f>"C100037"</f>
        <v>C100037</v>
      </c>
      <c r="I75" s="22" t="str">
        <f>"World Time Travel Alarm"</f>
        <v>World Time Travel Alarm</v>
      </c>
      <c r="J75" s="28">
        <v>433</v>
      </c>
      <c r="K75" s="28">
        <v>3749.63</v>
      </c>
      <c r="L75" s="28">
        <v>-2338.23</v>
      </c>
      <c r="M75" s="28">
        <f>K75+L75</f>
        <v>1411.4</v>
      </c>
      <c r="N75" s="29">
        <f>IF(K75=0,"",M75/K75)</f>
        <v>0.37641047249995335</v>
      </c>
      <c r="O75" s="22"/>
      <c r="P75" s="38" t="str">
        <f ca="1">"@@"&amp;$Q75</f>
        <v>@@C100037</v>
      </c>
      <c r="Q75" s="26" t="str">
        <f ca="1">OFFSET($H$124,C75-1,0)</f>
        <v>C100037</v>
      </c>
      <c r="R75" s="22" t="str">
        <f>"World Time Travel Alarm"</f>
        <v>World Time Travel Alarm</v>
      </c>
      <c r="S75" s="28">
        <v>433</v>
      </c>
      <c r="T75" s="28">
        <v>3749.63</v>
      </c>
      <c r="U75" s="28">
        <v>-2338.23</v>
      </c>
      <c r="V75" s="28">
        <f>T75+U75</f>
        <v>1411.4</v>
      </c>
      <c r="W75" s="29">
        <f t="shared" si="2"/>
        <v>0.37641047249995335</v>
      </c>
    </row>
    <row r="76" spans="1:23" ht="15.75" x14ac:dyDescent="0.25">
      <c r="A76" s="13" t="s">
        <v>67</v>
      </c>
      <c r="C76" s="13">
        <f t="shared" si="0"/>
        <v>58</v>
      </c>
      <c r="E76" s="13" t="str">
        <f t="shared" si="1"/>
        <v>@@C100024</v>
      </c>
      <c r="F76" s="13" t="str">
        <f>"""NAV"",""CRONUS JetCorp USA"",""27"",""1"",""C100024"""</f>
        <v>"NAV","CRONUS JetCorp USA","27","1","C100024"</v>
      </c>
      <c r="H76" s="26" t="str">
        <f>"C100024"</f>
        <v>C100024</v>
      </c>
      <c r="I76" s="22" t="str">
        <f>"Knit Hat with Bill"</f>
        <v>Knit Hat with Bill</v>
      </c>
      <c r="J76" s="28">
        <v>723</v>
      </c>
      <c r="K76" s="28">
        <v>3698.1600000000003</v>
      </c>
      <c r="L76" s="28">
        <v>-2169</v>
      </c>
      <c r="M76" s="28">
        <f>K76+L76</f>
        <v>1529.1600000000003</v>
      </c>
      <c r="N76" s="29">
        <f>IF(K76=0,"",M76/K76)</f>
        <v>0.41349211499772864</v>
      </c>
      <c r="O76" s="22"/>
      <c r="P76" s="38" t="str">
        <f ca="1">"@@"&amp;$Q76</f>
        <v>@@C100008</v>
      </c>
      <c r="Q76" s="26" t="str">
        <f ca="1">OFFSET($H$124,C76-1,0)</f>
        <v>C100008</v>
      </c>
      <c r="R76" s="22" t="str">
        <f>"Glacier Vase"</f>
        <v>Glacier Vase</v>
      </c>
      <c r="S76" s="28">
        <v>302</v>
      </c>
      <c r="T76" s="28">
        <v>2677.7000000000003</v>
      </c>
      <c r="U76" s="28">
        <v>-1283.48</v>
      </c>
      <c r="V76" s="28">
        <f>T76+U76</f>
        <v>1394.2200000000003</v>
      </c>
      <c r="W76" s="29">
        <f t="shared" si="2"/>
        <v>0.52067819397243909</v>
      </c>
    </row>
    <row r="77" spans="1:23" ht="15.75" x14ac:dyDescent="0.25">
      <c r="A77" s="13" t="s">
        <v>67</v>
      </c>
      <c r="C77" s="13">
        <f t="shared" si="0"/>
        <v>59</v>
      </c>
      <c r="E77" s="13" t="str">
        <f t="shared" si="1"/>
        <v>@@S200017</v>
      </c>
      <c r="F77" s="13" t="str">
        <f>"""NAV"",""CRONUS JetCorp USA"",""27"",""1"",""S200017"""</f>
        <v>"NAV","CRONUS JetCorp USA","27","1","S200017"</v>
      </c>
      <c r="H77" s="26" t="str">
        <f>"S200017"</f>
        <v>S200017</v>
      </c>
      <c r="I77" s="22" t="str">
        <f>"10.75"" Tourch Riser WrestlingTrophy"</f>
        <v>10.75" Tourch Riser WrestlingTrophy</v>
      </c>
      <c r="J77" s="28">
        <v>288</v>
      </c>
      <c r="K77" s="28">
        <v>3509.9999999999995</v>
      </c>
      <c r="L77" s="28">
        <v>-2859.8399999999997</v>
      </c>
      <c r="M77" s="28">
        <f>K77+L77</f>
        <v>650.15999999999985</v>
      </c>
      <c r="N77" s="29">
        <f>IF(K77=0,"",M77/K77)</f>
        <v>0.18523076923076923</v>
      </c>
      <c r="O77" s="22"/>
      <c r="P77" s="38" t="str">
        <f ca="1">"@@"&amp;$Q77</f>
        <v>@@E100021</v>
      </c>
      <c r="Q77" s="26" t="str">
        <f ca="1">OFFSET($H$124,C77-1,0)</f>
        <v>E100021</v>
      </c>
      <c r="R77" s="22" t="str">
        <f>"Slim Travel Alarm"</f>
        <v>Slim Travel Alarm</v>
      </c>
      <c r="S77" s="28">
        <v>1019</v>
      </c>
      <c r="T77" s="28">
        <v>2832.15</v>
      </c>
      <c r="U77" s="28">
        <v>-1467.3</v>
      </c>
      <c r="V77" s="28">
        <f>T77+U77</f>
        <v>1364.8500000000001</v>
      </c>
      <c r="W77" s="29">
        <f t="shared" si="2"/>
        <v>0.48191303426725285</v>
      </c>
    </row>
    <row r="78" spans="1:23" ht="15.75" x14ac:dyDescent="0.25">
      <c r="A78" s="13" t="s">
        <v>67</v>
      </c>
      <c r="C78" s="13">
        <f t="shared" si="0"/>
        <v>60</v>
      </c>
      <c r="E78" s="13" t="str">
        <f t="shared" si="1"/>
        <v>@@C100056</v>
      </c>
      <c r="F78" s="13" t="str">
        <f>"""NAV"",""CRONUS JetCorp USA"",""27"",""1"",""C100056"""</f>
        <v>"NAV","CRONUS JetCorp USA","27","1","C100056"</v>
      </c>
      <c r="H78" s="26" t="str">
        <f>"C100056"</f>
        <v>C100056</v>
      </c>
      <c r="I78" s="22" t="str">
        <f>"Contemporary Desk Calculator"</f>
        <v>Contemporary Desk Calculator</v>
      </c>
      <c r="J78" s="28">
        <v>624</v>
      </c>
      <c r="K78" s="28">
        <v>3289.23</v>
      </c>
      <c r="L78" s="28">
        <v>-1660</v>
      </c>
      <c r="M78" s="28">
        <f>K78+L78</f>
        <v>1629.23</v>
      </c>
      <c r="N78" s="29">
        <f>IF(K78=0,"",M78/K78)</f>
        <v>0.49532261349920803</v>
      </c>
      <c r="O78" s="22"/>
      <c r="P78" s="38" t="str">
        <f ca="1">"@@"&amp;$Q78</f>
        <v>@@C100022</v>
      </c>
      <c r="Q78" s="26" t="str">
        <f ca="1">OFFSET($H$124,C78-1,0)</f>
        <v>C100022</v>
      </c>
      <c r="R78" s="22" t="str">
        <f>"Two-Toned Cap"</f>
        <v>Two-Toned Cap</v>
      </c>
      <c r="S78" s="28">
        <v>974</v>
      </c>
      <c r="T78" s="28">
        <v>2922.32</v>
      </c>
      <c r="U78" s="28">
        <v>-1568.0800000000002</v>
      </c>
      <c r="V78" s="28">
        <f>T78+U78</f>
        <v>1354.24</v>
      </c>
      <c r="W78" s="29">
        <f t="shared" si="2"/>
        <v>0.46341263106025349</v>
      </c>
    </row>
    <row r="79" spans="1:23" ht="15.75" x14ac:dyDescent="0.25">
      <c r="A79" s="13" t="s">
        <v>67</v>
      </c>
      <c r="C79" s="13">
        <f t="shared" si="0"/>
        <v>61</v>
      </c>
      <c r="E79" s="13" t="str">
        <f t="shared" si="1"/>
        <v>@@C100041</v>
      </c>
      <c r="F79" s="13" t="str">
        <f>"""NAV"",""CRONUS JetCorp USA"",""27"",""1"",""C100041"""</f>
        <v>"NAV","CRONUS JetCorp USA","27","1","C100041"</v>
      </c>
      <c r="H79" s="26" t="str">
        <f>"C100041"</f>
        <v>C100041</v>
      </c>
      <c r="I79" s="22" t="str">
        <f>"Folding Stereo Speakers"</f>
        <v>Folding Stereo Speakers</v>
      </c>
      <c r="J79" s="28">
        <v>223</v>
      </c>
      <c r="K79" s="28">
        <v>3289.03</v>
      </c>
      <c r="L79" s="28">
        <v>-1866.37</v>
      </c>
      <c r="M79" s="28">
        <f>K79+L79</f>
        <v>1422.6600000000003</v>
      </c>
      <c r="N79" s="29">
        <f>IF(K79=0,"",M79/K79)</f>
        <v>0.4325469819369237</v>
      </c>
      <c r="O79" s="22"/>
      <c r="P79" s="38" t="str">
        <f ca="1">"@@"&amp;$Q79</f>
        <v>@@E100001</v>
      </c>
      <c r="Q79" s="26" t="str">
        <f ca="1">OFFSET($H$124,C79-1,0)</f>
        <v>E100001</v>
      </c>
      <c r="R79" s="22" t="str">
        <f>"Sport Bag"</f>
        <v>Sport Bag</v>
      </c>
      <c r="S79" s="28">
        <v>1503</v>
      </c>
      <c r="T79" s="28">
        <v>2624.31</v>
      </c>
      <c r="U79" s="28">
        <v>-1307.6100000000001</v>
      </c>
      <c r="V79" s="28">
        <f>T79+U79</f>
        <v>1316.6999999999998</v>
      </c>
      <c r="W79" s="29">
        <f t="shared" si="2"/>
        <v>0.50173188380945843</v>
      </c>
    </row>
    <row r="80" spans="1:23" ht="15.75" x14ac:dyDescent="0.25">
      <c r="A80" s="13" t="s">
        <v>67</v>
      </c>
      <c r="C80" s="13">
        <f t="shared" si="0"/>
        <v>62</v>
      </c>
      <c r="E80" s="13" t="str">
        <f t="shared" si="1"/>
        <v>@@C100033</v>
      </c>
      <c r="F80" s="13" t="str">
        <f>"""NAV"",""CRONUS JetCorp USA"",""27"",""1"",""C100033"""</f>
        <v>"NAV","CRONUS JetCorp USA","27","1","C100033"</v>
      </c>
      <c r="H80" s="26" t="str">
        <f>"C100033"</f>
        <v>C100033</v>
      </c>
      <c r="I80" s="22" t="str">
        <f>"Frames &amp; Clock"</f>
        <v>Frames &amp; Clock</v>
      </c>
      <c r="J80" s="28">
        <v>696</v>
      </c>
      <c r="K80" s="28">
        <v>3247.2999999999997</v>
      </c>
      <c r="L80" s="28">
        <v>-2004.39</v>
      </c>
      <c r="M80" s="28">
        <f>K80+L80</f>
        <v>1242.9099999999996</v>
      </c>
      <c r="N80" s="29">
        <f>IF(K80=0,"",M80/K80)</f>
        <v>0.38275182459273849</v>
      </c>
      <c r="O80" s="22"/>
      <c r="P80" s="38" t="str">
        <f ca="1">"@@"&amp;$Q80</f>
        <v>@@S100013</v>
      </c>
      <c r="Q80" s="26" t="str">
        <f ca="1">OFFSET($H$124,C80-1,0)</f>
        <v>S100013</v>
      </c>
      <c r="R80" s="22" t="str">
        <f>"Mesh BALL CAP"</f>
        <v>Mesh BALL CAP</v>
      </c>
      <c r="S80" s="28">
        <v>488</v>
      </c>
      <c r="T80" s="28">
        <v>2994.02</v>
      </c>
      <c r="U80" s="28">
        <v>-1678.76</v>
      </c>
      <c r="V80" s="28">
        <f>T80+U80</f>
        <v>1315.26</v>
      </c>
      <c r="W80" s="29">
        <f t="shared" si="2"/>
        <v>0.43929566268762399</v>
      </c>
    </row>
    <row r="81" spans="1:23" ht="15.75" x14ac:dyDescent="0.25">
      <c r="A81" s="13" t="s">
        <v>67</v>
      </c>
      <c r="C81" s="13">
        <f t="shared" si="0"/>
        <v>63</v>
      </c>
      <c r="E81" s="13" t="str">
        <f t="shared" si="1"/>
        <v>@@S100013</v>
      </c>
      <c r="F81" s="13" t="str">
        <f>"""NAV"",""CRONUS JetCorp USA"",""27"",""1"",""S100013"""</f>
        <v>"NAV","CRONUS JetCorp USA","27","1","S100013"</v>
      </c>
      <c r="H81" s="26" t="str">
        <f>"S100013"</f>
        <v>S100013</v>
      </c>
      <c r="I81" s="22" t="str">
        <f>"Mesh BALL CAP"</f>
        <v>Mesh BALL CAP</v>
      </c>
      <c r="J81" s="28">
        <v>488</v>
      </c>
      <c r="K81" s="28">
        <v>2994.02</v>
      </c>
      <c r="L81" s="28">
        <v>-1678.76</v>
      </c>
      <c r="M81" s="28">
        <f>K81+L81</f>
        <v>1315.26</v>
      </c>
      <c r="N81" s="29">
        <f>IF(K81=0,"",M81/K81)</f>
        <v>0.43929566268762399</v>
      </c>
      <c r="O81" s="22"/>
      <c r="P81" s="38" t="str">
        <f ca="1">"@@"&amp;$Q81</f>
        <v>@@E100019</v>
      </c>
      <c r="Q81" s="26" t="str">
        <f ca="1">OFFSET($H$124,C81-1,0)</f>
        <v>E100019</v>
      </c>
      <c r="R81" s="22" t="str">
        <f>"Mini Travel Alarm"</f>
        <v>Mini Travel Alarm</v>
      </c>
      <c r="S81" s="28">
        <v>798</v>
      </c>
      <c r="T81" s="28">
        <v>2602.81</v>
      </c>
      <c r="U81" s="28">
        <v>-1292.7099999999998</v>
      </c>
      <c r="V81" s="28">
        <f>T81+U81</f>
        <v>1310.1000000000001</v>
      </c>
      <c r="W81" s="29">
        <f t="shared" si="2"/>
        <v>0.50334062032956695</v>
      </c>
    </row>
    <row r="82" spans="1:23" ht="15.75" x14ac:dyDescent="0.25">
      <c r="A82" s="13" t="s">
        <v>67</v>
      </c>
      <c r="C82" s="13">
        <f t="shared" si="0"/>
        <v>64</v>
      </c>
      <c r="E82" s="13" t="str">
        <f t="shared" si="1"/>
        <v>@@C100022</v>
      </c>
      <c r="F82" s="13" t="str">
        <f>"""NAV"",""CRONUS JetCorp USA"",""27"",""1"",""C100022"""</f>
        <v>"NAV","CRONUS JetCorp USA","27","1","C100022"</v>
      </c>
      <c r="H82" s="26" t="str">
        <f>"C100022"</f>
        <v>C100022</v>
      </c>
      <c r="I82" s="22" t="str">
        <f>"Two-Toned Cap"</f>
        <v>Two-Toned Cap</v>
      </c>
      <c r="J82" s="28">
        <v>974</v>
      </c>
      <c r="K82" s="28">
        <v>2922.32</v>
      </c>
      <c r="L82" s="28">
        <v>-1568.0800000000002</v>
      </c>
      <c r="M82" s="28">
        <f>K82+L82</f>
        <v>1354.24</v>
      </c>
      <c r="N82" s="29">
        <f>IF(K82=0,"",M82/K82)</f>
        <v>0.46341263106025349</v>
      </c>
      <c r="O82" s="22"/>
      <c r="P82" s="38" t="str">
        <f ca="1">"@@"&amp;$Q82</f>
        <v>@@S200007</v>
      </c>
      <c r="Q82" s="26" t="str">
        <f ca="1">OFFSET($H$124,C82-1,0)</f>
        <v>S200007</v>
      </c>
      <c r="R82" s="22" t="str">
        <f>"3.75"" Football Trophy"</f>
        <v>3.75" Football Trophy</v>
      </c>
      <c r="S82" s="28">
        <v>576</v>
      </c>
      <c r="T82" s="28">
        <v>5630.4</v>
      </c>
      <c r="U82" s="28">
        <v>-4325.76</v>
      </c>
      <c r="V82" s="28">
        <f>T82+U82</f>
        <v>1304.6399999999994</v>
      </c>
      <c r="W82" s="29">
        <f t="shared" si="2"/>
        <v>0.23171355498721219</v>
      </c>
    </row>
    <row r="83" spans="1:23" ht="15.75" x14ac:dyDescent="0.25">
      <c r="A83" s="13" t="s">
        <v>67</v>
      </c>
      <c r="C83" s="13">
        <f t="shared" si="0"/>
        <v>65</v>
      </c>
      <c r="E83" s="13" t="str">
        <f t="shared" si="1"/>
        <v>@@E100021</v>
      </c>
      <c r="F83" s="13" t="str">
        <f>"""NAV"",""CRONUS JetCorp USA"",""27"",""1"",""E100021"""</f>
        <v>"NAV","CRONUS JetCorp USA","27","1","E100021"</v>
      </c>
      <c r="H83" s="26" t="str">
        <f>"E100021"</f>
        <v>E100021</v>
      </c>
      <c r="I83" s="22" t="str">
        <f>"Slim Travel Alarm"</f>
        <v>Slim Travel Alarm</v>
      </c>
      <c r="J83" s="28">
        <v>1019</v>
      </c>
      <c r="K83" s="28">
        <v>2832.15</v>
      </c>
      <c r="L83" s="28">
        <v>-1467.3</v>
      </c>
      <c r="M83" s="28">
        <f>K83+L83</f>
        <v>1364.8500000000001</v>
      </c>
      <c r="N83" s="29">
        <f>IF(K83=0,"",M83/K83)</f>
        <v>0.48191303426725285</v>
      </c>
      <c r="O83" s="22"/>
      <c r="P83" s="38" t="str">
        <f ca="1">"@@"&amp;$Q83</f>
        <v>@@E100034</v>
      </c>
      <c r="Q83" s="26" t="str">
        <f ca="1">OFFSET($H$124,C83-1,0)</f>
        <v>E100034</v>
      </c>
      <c r="R83" s="22" t="str">
        <f>"Bamboo 1GB USB Flash Drive"</f>
        <v>Bamboo 1GB USB Flash Drive</v>
      </c>
      <c r="S83" s="28">
        <v>442.99999999999994</v>
      </c>
      <c r="T83" s="28">
        <v>2463.8199999999997</v>
      </c>
      <c r="U83" s="28">
        <v>-1196.19</v>
      </c>
      <c r="V83" s="28">
        <f>T83+U83</f>
        <v>1267.6299999999997</v>
      </c>
      <c r="W83" s="29">
        <f t="shared" si="2"/>
        <v>0.5144978123401871</v>
      </c>
    </row>
    <row r="84" spans="1:23" ht="15.75" x14ac:dyDescent="0.25">
      <c r="A84" s="13" t="s">
        <v>67</v>
      </c>
      <c r="C84" s="13">
        <f t="shared" ref="C84:C118" si="3">C83+1</f>
        <v>66</v>
      </c>
      <c r="E84" s="13" t="str">
        <f t="shared" ref="E84:E118" si="4">"@@"&amp;H84</f>
        <v>@@C100008</v>
      </c>
      <c r="F84" s="13" t="str">
        <f>"""NAV"",""CRONUS JetCorp USA"",""27"",""1"",""C100008"""</f>
        <v>"NAV","CRONUS JetCorp USA","27","1","C100008"</v>
      </c>
      <c r="H84" s="26" t="str">
        <f>"C100008"</f>
        <v>C100008</v>
      </c>
      <c r="I84" s="22" t="str">
        <f>"Glacier Vase"</f>
        <v>Glacier Vase</v>
      </c>
      <c r="J84" s="28">
        <v>302</v>
      </c>
      <c r="K84" s="28">
        <v>2677.7000000000003</v>
      </c>
      <c r="L84" s="28">
        <v>-1283.48</v>
      </c>
      <c r="M84" s="28">
        <f>K84+L84</f>
        <v>1394.2200000000003</v>
      </c>
      <c r="N84" s="29">
        <f>IF(K84=0,"",M84/K84)</f>
        <v>0.52067819397243909</v>
      </c>
      <c r="O84" s="22"/>
      <c r="P84" s="38" t="str">
        <f ca="1">"@@"&amp;$Q84</f>
        <v>@@C100033</v>
      </c>
      <c r="Q84" s="26" t="str">
        <f ca="1">OFFSET($H$124,C84-1,0)</f>
        <v>C100033</v>
      </c>
      <c r="R84" s="22" t="str">
        <f>"Frames &amp; Clock"</f>
        <v>Frames &amp; Clock</v>
      </c>
      <c r="S84" s="28">
        <v>696</v>
      </c>
      <c r="T84" s="28">
        <v>3247.2999999999997</v>
      </c>
      <c r="U84" s="28">
        <v>-2004.39</v>
      </c>
      <c r="V84" s="28">
        <f>T84+U84</f>
        <v>1242.9099999999996</v>
      </c>
      <c r="W84" s="29">
        <f t="shared" ref="W84:W118" si="5">IF(T84=0,"",V84/T84)</f>
        <v>0.38275182459273849</v>
      </c>
    </row>
    <row r="85" spans="1:23" ht="15.75" x14ac:dyDescent="0.25">
      <c r="A85" s="13" t="s">
        <v>67</v>
      </c>
      <c r="C85" s="13">
        <f t="shared" si="3"/>
        <v>67</v>
      </c>
      <c r="E85" s="13" t="str">
        <f t="shared" si="4"/>
        <v>@@E100013</v>
      </c>
      <c r="F85" s="13" t="str">
        <f>"""NAV"",""CRONUS JetCorp USA"",""27"",""1"",""E100013"""</f>
        <v>"NAV","CRONUS JetCorp USA","27","1","E100013"</v>
      </c>
      <c r="H85" s="26" t="str">
        <f>"E100013"</f>
        <v>E100013</v>
      </c>
      <c r="I85" s="22" t="str">
        <f>"Clip-on Stopwatch"</f>
        <v>Clip-on Stopwatch</v>
      </c>
      <c r="J85" s="28">
        <v>1008</v>
      </c>
      <c r="K85" s="28">
        <v>2650.94</v>
      </c>
      <c r="L85" s="28">
        <v>-1451.45</v>
      </c>
      <c r="M85" s="28">
        <f>K85+L85</f>
        <v>1199.49</v>
      </c>
      <c r="N85" s="29">
        <f>IF(K85=0,"",M85/K85)</f>
        <v>0.45247723449040717</v>
      </c>
      <c r="O85" s="22"/>
      <c r="P85" s="38" t="str">
        <f ca="1">"@@"&amp;$Q85</f>
        <v>@@S200019</v>
      </c>
      <c r="Q85" s="26" t="str">
        <f ca="1">OFFSET($H$124,C85-1,0)</f>
        <v>S200019</v>
      </c>
      <c r="R85" s="22" t="str">
        <f>"10.75"" Tourch Riser Apple Trophy"</f>
        <v>10.75" Tourch Riser Apple Trophy</v>
      </c>
      <c r="S85" s="28">
        <v>336</v>
      </c>
      <c r="T85" s="28">
        <v>4874.4000000000005</v>
      </c>
      <c r="U85" s="28">
        <v>-3638.88</v>
      </c>
      <c r="V85" s="28">
        <f>T85+U85</f>
        <v>1235.5200000000004</v>
      </c>
      <c r="W85" s="29">
        <f t="shared" si="5"/>
        <v>0.25347119645494837</v>
      </c>
    </row>
    <row r="86" spans="1:23" ht="15.75" x14ac:dyDescent="0.25">
      <c r="A86" s="13" t="s">
        <v>67</v>
      </c>
      <c r="C86" s="13">
        <f t="shared" si="3"/>
        <v>68</v>
      </c>
      <c r="E86" s="13" t="str">
        <f t="shared" si="4"/>
        <v>@@E100001</v>
      </c>
      <c r="F86" s="13" t="str">
        <f>"""NAV"",""CRONUS JetCorp USA"",""27"",""1"",""E100001"""</f>
        <v>"NAV","CRONUS JetCorp USA","27","1","E100001"</v>
      </c>
      <c r="H86" s="26" t="str">
        <f>"E100001"</f>
        <v>E100001</v>
      </c>
      <c r="I86" s="22" t="str">
        <f>"Sport Bag"</f>
        <v>Sport Bag</v>
      </c>
      <c r="J86" s="28">
        <v>1503</v>
      </c>
      <c r="K86" s="28">
        <v>2624.31</v>
      </c>
      <c r="L86" s="28">
        <v>-1307.6100000000001</v>
      </c>
      <c r="M86" s="28">
        <f>K86+L86</f>
        <v>1316.6999999999998</v>
      </c>
      <c r="N86" s="29">
        <f>IF(K86=0,"",M86/K86)</f>
        <v>0.50173188380945843</v>
      </c>
      <c r="O86" s="22"/>
      <c r="P86" s="38" t="str">
        <f ca="1">"@@"&amp;$Q86</f>
        <v>@@C100023</v>
      </c>
      <c r="Q86" s="26" t="str">
        <f ca="1">OFFSET($H$124,C86-1,0)</f>
        <v>C100023</v>
      </c>
      <c r="R86" s="22" t="str">
        <f>"Two-Toned Knit Hat"</f>
        <v>Two-Toned Knit Hat</v>
      </c>
      <c r="S86" s="28">
        <v>938.00000000000011</v>
      </c>
      <c r="T86" s="28">
        <v>2390.87</v>
      </c>
      <c r="U86" s="28">
        <v>-1181.83</v>
      </c>
      <c r="V86" s="28">
        <f>T86+U86</f>
        <v>1209.04</v>
      </c>
      <c r="W86" s="29">
        <f t="shared" si="5"/>
        <v>0.50569039721942222</v>
      </c>
    </row>
    <row r="87" spans="1:23" ht="15.75" x14ac:dyDescent="0.25">
      <c r="A87" s="13" t="s">
        <v>67</v>
      </c>
      <c r="C87" s="13">
        <f t="shared" si="3"/>
        <v>69</v>
      </c>
      <c r="E87" s="13" t="str">
        <f t="shared" si="4"/>
        <v>@@E100018</v>
      </c>
      <c r="F87" s="13" t="str">
        <f>"""NAV"",""CRONUS JetCorp USA"",""27"",""1"",""E100018"""</f>
        <v>"NAV","CRONUS JetCorp USA","27","1","E100018"</v>
      </c>
      <c r="H87" s="26" t="str">
        <f>"E100018"</f>
        <v>E100018</v>
      </c>
      <c r="I87" s="22" t="str">
        <f>"Flexi-Clock &amp; Clip"</f>
        <v>Flexi-Clock &amp; Clip</v>
      </c>
      <c r="J87" s="28">
        <v>2417</v>
      </c>
      <c r="K87" s="28">
        <v>2606.66</v>
      </c>
      <c r="L87" s="28">
        <v>-1450.01</v>
      </c>
      <c r="M87" s="28">
        <f>K87+L87</f>
        <v>1156.6499999999999</v>
      </c>
      <c r="N87" s="29">
        <f>IF(K87=0,"",M87/K87)</f>
        <v>0.44372875633953024</v>
      </c>
      <c r="O87" s="22"/>
      <c r="P87" s="38" t="str">
        <f ca="1">"@@"&amp;$Q87</f>
        <v>@@C100052</v>
      </c>
      <c r="Q87" s="26" t="str">
        <f ca="1">OFFSET($H$124,C87-1,0)</f>
        <v>C100052</v>
      </c>
      <c r="R87" s="22" t="str">
        <f>"Black Digital Picture Frame"</f>
        <v>Black Digital Picture Frame</v>
      </c>
      <c r="S87" s="28">
        <v>48</v>
      </c>
      <c r="T87" s="28">
        <v>2278.15</v>
      </c>
      <c r="U87" s="28">
        <v>-1071.3699999999999</v>
      </c>
      <c r="V87" s="28">
        <f>T87+U87</f>
        <v>1206.7800000000002</v>
      </c>
      <c r="W87" s="29">
        <f t="shared" si="5"/>
        <v>0.52971928977459792</v>
      </c>
    </row>
    <row r="88" spans="1:23" ht="15.75" x14ac:dyDescent="0.25">
      <c r="A88" s="13" t="s">
        <v>67</v>
      </c>
      <c r="C88" s="13">
        <f t="shared" si="3"/>
        <v>70</v>
      </c>
      <c r="E88" s="13" t="str">
        <f t="shared" si="4"/>
        <v>@@E100019</v>
      </c>
      <c r="F88" s="13" t="str">
        <f>"""NAV"",""CRONUS JetCorp USA"",""27"",""1"",""E100019"""</f>
        <v>"NAV","CRONUS JetCorp USA","27","1","E100019"</v>
      </c>
      <c r="H88" s="26" t="str">
        <f>"E100019"</f>
        <v>E100019</v>
      </c>
      <c r="I88" s="22" t="str">
        <f>"Mini Travel Alarm"</f>
        <v>Mini Travel Alarm</v>
      </c>
      <c r="J88" s="28">
        <v>798</v>
      </c>
      <c r="K88" s="28">
        <v>2602.81</v>
      </c>
      <c r="L88" s="28">
        <v>-1292.7099999999998</v>
      </c>
      <c r="M88" s="28">
        <f>K88+L88</f>
        <v>1310.1000000000001</v>
      </c>
      <c r="N88" s="29">
        <f>IF(K88=0,"",M88/K88)</f>
        <v>0.50334062032956695</v>
      </c>
      <c r="O88" s="22"/>
      <c r="P88" s="38" t="str">
        <f ca="1">"@@"&amp;$Q88</f>
        <v>@@E100013</v>
      </c>
      <c r="Q88" s="26" t="str">
        <f ca="1">OFFSET($H$124,C88-1,0)</f>
        <v>E100013</v>
      </c>
      <c r="R88" s="22" t="str">
        <f>"Clip-on Stopwatch"</f>
        <v>Clip-on Stopwatch</v>
      </c>
      <c r="S88" s="28">
        <v>1008</v>
      </c>
      <c r="T88" s="28">
        <v>2650.94</v>
      </c>
      <c r="U88" s="28">
        <v>-1451.45</v>
      </c>
      <c r="V88" s="28">
        <f>T88+U88</f>
        <v>1199.49</v>
      </c>
      <c r="W88" s="29">
        <f t="shared" si="5"/>
        <v>0.45247723449040717</v>
      </c>
    </row>
    <row r="89" spans="1:23" ht="15.75" x14ac:dyDescent="0.25">
      <c r="A89" s="13" t="s">
        <v>67</v>
      </c>
      <c r="C89" s="13">
        <f t="shared" si="3"/>
        <v>71</v>
      </c>
      <c r="E89" s="13" t="str">
        <f t="shared" si="4"/>
        <v>@@C100035</v>
      </c>
      <c r="F89" s="13" t="str">
        <f>"""NAV"",""CRONUS JetCorp USA"",""27"",""1"",""C100035"""</f>
        <v>"NAV","CRONUS JetCorp USA","27","1","C100035"</v>
      </c>
      <c r="H89" s="26" t="str">
        <f>"C100035"</f>
        <v>C100035</v>
      </c>
      <c r="I89" s="22" t="str">
        <f>"Calculator &amp; World Time Clock"</f>
        <v>Calculator &amp; World Time Clock</v>
      </c>
      <c r="J89" s="28">
        <v>900</v>
      </c>
      <c r="K89" s="28">
        <v>2571.33</v>
      </c>
      <c r="L89" s="28">
        <v>-1763.9899999999998</v>
      </c>
      <c r="M89" s="28">
        <f>K89+L89</f>
        <v>807.34000000000015</v>
      </c>
      <c r="N89" s="29">
        <f>IF(K89=0,"",M89/K89)</f>
        <v>0.31397759136322456</v>
      </c>
      <c r="O89" s="22"/>
      <c r="P89" s="38" t="str">
        <f ca="1">"@@"&amp;$Q89</f>
        <v>@@E100018</v>
      </c>
      <c r="Q89" s="26" t="str">
        <f ca="1">OFFSET($H$124,C89-1,0)</f>
        <v>E100018</v>
      </c>
      <c r="R89" s="22" t="str">
        <f>"Flexi-Clock &amp; Clip"</f>
        <v>Flexi-Clock &amp; Clip</v>
      </c>
      <c r="S89" s="28">
        <v>2417</v>
      </c>
      <c r="T89" s="28">
        <v>2606.66</v>
      </c>
      <c r="U89" s="28">
        <v>-1450.01</v>
      </c>
      <c r="V89" s="28">
        <f>T89+U89</f>
        <v>1156.6499999999999</v>
      </c>
      <c r="W89" s="29">
        <f t="shared" si="5"/>
        <v>0.44372875633953024</v>
      </c>
    </row>
    <row r="90" spans="1:23" ht="15.75" x14ac:dyDescent="0.25">
      <c r="A90" s="13" t="s">
        <v>67</v>
      </c>
      <c r="C90" s="13">
        <f t="shared" si="3"/>
        <v>72</v>
      </c>
      <c r="E90" s="13" t="str">
        <f t="shared" si="4"/>
        <v>@@E100022</v>
      </c>
      <c r="F90" s="13" t="str">
        <f>"""NAV"",""CRONUS JetCorp USA"",""27"",""1"",""E100022"""</f>
        <v>"NAV","CRONUS JetCorp USA","27","1","E100022"</v>
      </c>
      <c r="H90" s="26" t="str">
        <f>"E100022"</f>
        <v>E100022</v>
      </c>
      <c r="I90" s="22" t="str">
        <f>"Wide Screen Alarm Clock"</f>
        <v>Wide Screen Alarm Clock</v>
      </c>
      <c r="J90" s="28">
        <v>1338</v>
      </c>
      <c r="K90" s="28">
        <v>2510.1299999999997</v>
      </c>
      <c r="L90" s="28">
        <v>-1712.5200000000002</v>
      </c>
      <c r="M90" s="28">
        <f>K90+L90</f>
        <v>797.60999999999945</v>
      </c>
      <c r="N90" s="29">
        <f>IF(K90=0,"",M90/K90)</f>
        <v>0.3177564508611106</v>
      </c>
      <c r="O90" s="22"/>
      <c r="P90" s="38" t="str">
        <f ca="1">"@@"&amp;$Q90</f>
        <v>@@C100066</v>
      </c>
      <c r="Q90" s="26" t="str">
        <f ca="1">OFFSET($H$124,C90-1,0)</f>
        <v>C100066</v>
      </c>
      <c r="R90" s="22" t="str">
        <f>"Fashion Travel Mug"</f>
        <v>Fashion Travel Mug</v>
      </c>
      <c r="S90" s="28">
        <v>625</v>
      </c>
      <c r="T90" s="28">
        <v>2184.17</v>
      </c>
      <c r="U90" s="28">
        <v>-1031.3799999999999</v>
      </c>
      <c r="V90" s="28">
        <f>T90+U90</f>
        <v>1152.7900000000002</v>
      </c>
      <c r="W90" s="29">
        <f t="shared" si="5"/>
        <v>0.52779316628284434</v>
      </c>
    </row>
    <row r="91" spans="1:23" ht="15.75" x14ac:dyDescent="0.25">
      <c r="A91" s="13" t="s">
        <v>67</v>
      </c>
      <c r="C91" s="13">
        <f t="shared" si="3"/>
        <v>73</v>
      </c>
      <c r="E91" s="13" t="str">
        <f t="shared" si="4"/>
        <v>@@S200004</v>
      </c>
      <c r="F91" s="13" t="str">
        <f>"""NAV"",""CRONUS JetCorp USA"",""27"",""1"",""S200004"""</f>
        <v>"NAV","CRONUS JetCorp USA","27","1","S200004"</v>
      </c>
      <c r="H91" s="26" t="str">
        <f>"S200004"</f>
        <v>S200004</v>
      </c>
      <c r="I91" s="22" t="str">
        <f>"5"" Female Graduate Trophy"</f>
        <v>5" Female Graduate Trophy</v>
      </c>
      <c r="J91" s="28">
        <v>337</v>
      </c>
      <c r="K91" s="28">
        <v>2476.9499999999998</v>
      </c>
      <c r="L91" s="28">
        <v>-2210.7199999999998</v>
      </c>
      <c r="M91" s="28">
        <f>K91+L91</f>
        <v>266.23</v>
      </c>
      <c r="N91" s="29">
        <f>IF(K91=0,"",M91/K91)</f>
        <v>0.10748299319727893</v>
      </c>
      <c r="O91" s="22"/>
      <c r="P91" s="38" t="str">
        <f ca="1">"@@"&amp;$Q91</f>
        <v>@@E100015</v>
      </c>
      <c r="Q91" s="26" t="str">
        <f ca="1">OFFSET($H$124,C91-1,0)</f>
        <v>E100015</v>
      </c>
      <c r="R91" s="22" t="str">
        <f>"360 Clip Watch"</f>
        <v>360 Clip Watch</v>
      </c>
      <c r="S91" s="28">
        <v>1065</v>
      </c>
      <c r="T91" s="28">
        <v>2157.15</v>
      </c>
      <c r="U91" s="28">
        <v>-1086.32</v>
      </c>
      <c r="V91" s="28">
        <f>T91+U91</f>
        <v>1070.8300000000002</v>
      </c>
      <c r="W91" s="29">
        <f t="shared" si="5"/>
        <v>0.49640961453770027</v>
      </c>
    </row>
    <row r="92" spans="1:23" ht="15.75" x14ac:dyDescent="0.25">
      <c r="A92" s="13" t="s">
        <v>67</v>
      </c>
      <c r="C92" s="13">
        <f t="shared" si="3"/>
        <v>74</v>
      </c>
      <c r="E92" s="13" t="str">
        <f t="shared" si="4"/>
        <v>@@E100034</v>
      </c>
      <c r="F92" s="13" t="str">
        <f>"""NAV"",""CRONUS JetCorp USA"",""27"",""1"",""E100034"""</f>
        <v>"NAV","CRONUS JetCorp USA","27","1","E100034"</v>
      </c>
      <c r="H92" s="26" t="str">
        <f>"E100034"</f>
        <v>E100034</v>
      </c>
      <c r="I92" s="22" t="str">
        <f>"Bamboo 1GB USB Flash Drive"</f>
        <v>Bamboo 1GB USB Flash Drive</v>
      </c>
      <c r="J92" s="28">
        <v>442.99999999999994</v>
      </c>
      <c r="K92" s="28">
        <v>2463.8199999999997</v>
      </c>
      <c r="L92" s="28">
        <v>-1196.19</v>
      </c>
      <c r="M92" s="28">
        <f>K92+L92</f>
        <v>1267.6299999999997</v>
      </c>
      <c r="N92" s="29">
        <f>IF(K92=0,"",M92/K92)</f>
        <v>0.5144978123401871</v>
      </c>
      <c r="O92" s="22"/>
      <c r="P92" s="38" t="str">
        <f ca="1">"@@"&amp;$Q92</f>
        <v>@@E100038</v>
      </c>
      <c r="Q92" s="26" t="str">
        <f ca="1">OFFSET($H$124,C92-1,0)</f>
        <v>E100038</v>
      </c>
      <c r="R92" s="22" t="str">
        <f>"1GB USB Flash Drive Pen"</f>
        <v>1GB USB Flash Drive Pen</v>
      </c>
      <c r="S92" s="28">
        <v>433</v>
      </c>
      <c r="T92" s="28">
        <v>2352.98</v>
      </c>
      <c r="U92" s="28">
        <v>-1286.1600000000001</v>
      </c>
      <c r="V92" s="28">
        <f>T92+U92</f>
        <v>1066.82</v>
      </c>
      <c r="W92" s="29">
        <f t="shared" si="5"/>
        <v>0.45339101904818568</v>
      </c>
    </row>
    <row r="93" spans="1:23" ht="15.75" x14ac:dyDescent="0.25">
      <c r="A93" s="13" t="s">
        <v>67</v>
      </c>
      <c r="C93" s="13">
        <f t="shared" si="3"/>
        <v>75</v>
      </c>
      <c r="E93" s="13" t="str">
        <f t="shared" si="4"/>
        <v>@@S200020</v>
      </c>
      <c r="F93" s="13" t="str">
        <f>"""NAV"",""CRONUS JetCorp USA"",""27"",""1"",""S200020"""</f>
        <v>"NAV","CRONUS JetCorp USA","27","1","S200020"</v>
      </c>
      <c r="H93" s="26" t="str">
        <f>"S200020"</f>
        <v>S200020</v>
      </c>
      <c r="I93" s="22" t="str">
        <f>"10.75"" Tourch Riser Soccer Trophy"</f>
        <v>10.75" Tourch Riser Soccer Trophy</v>
      </c>
      <c r="J93" s="28">
        <v>198.00000000000003</v>
      </c>
      <c r="K93" s="28">
        <v>2425.75</v>
      </c>
      <c r="L93" s="28">
        <v>-2035.44</v>
      </c>
      <c r="M93" s="28">
        <f>K93+L93</f>
        <v>390.30999999999995</v>
      </c>
      <c r="N93" s="29">
        <f>IF(K93=0,"",M93/K93)</f>
        <v>0.16090281356281561</v>
      </c>
      <c r="O93" s="22"/>
      <c r="P93" s="38" t="str">
        <f ca="1">"@@"&amp;$Q93</f>
        <v>@@E100023</v>
      </c>
      <c r="Q93" s="26" t="str">
        <f ca="1">OFFSET($H$124,C93-1,0)</f>
        <v>E100023</v>
      </c>
      <c r="R93" s="22" t="str">
        <f>"Sport Earbuds"</f>
        <v>Sport Earbuds</v>
      </c>
      <c r="S93" s="28">
        <v>433</v>
      </c>
      <c r="T93" s="28">
        <v>1911.32</v>
      </c>
      <c r="U93" s="28">
        <v>-909.30000000000007</v>
      </c>
      <c r="V93" s="28">
        <f>T93+U93</f>
        <v>1002.0199999999999</v>
      </c>
      <c r="W93" s="29">
        <f t="shared" si="5"/>
        <v>0.52425548835359848</v>
      </c>
    </row>
    <row r="94" spans="1:23" ht="15.75" x14ac:dyDescent="0.25">
      <c r="A94" s="13" t="s">
        <v>67</v>
      </c>
      <c r="C94" s="13">
        <f t="shared" si="3"/>
        <v>76</v>
      </c>
      <c r="E94" s="13" t="str">
        <f t="shared" si="4"/>
        <v>@@C100009</v>
      </c>
      <c r="F94" s="13" t="str">
        <f>"""NAV"",""CRONUS JetCorp USA"",""27"",""1"",""C100009"""</f>
        <v>"NAV","CRONUS JetCorp USA","27","1","C100009"</v>
      </c>
      <c r="H94" s="26" t="str">
        <f>"C100009"</f>
        <v>C100009</v>
      </c>
      <c r="I94" s="22" t="str">
        <f>"Normandy Vase"</f>
        <v>Normandy Vase</v>
      </c>
      <c r="J94" s="28">
        <v>62</v>
      </c>
      <c r="K94" s="28">
        <v>2414.4699999999998</v>
      </c>
      <c r="L94" s="28">
        <v>-1582.2299999999998</v>
      </c>
      <c r="M94" s="28">
        <f>K94+L94</f>
        <v>832.24</v>
      </c>
      <c r="N94" s="29">
        <f>IF(K94=0,"",M94/K94)</f>
        <v>0.34468848235844723</v>
      </c>
      <c r="O94" s="22"/>
      <c r="P94" s="38" t="str">
        <f ca="1">"@@"&amp;$Q94</f>
        <v>@@E100011</v>
      </c>
      <c r="Q94" s="26" t="str">
        <f ca="1">OFFSET($H$124,C94-1,0)</f>
        <v>E100011</v>
      </c>
      <c r="R94" s="22" t="str">
        <f>"Plastic Sun Visor"</f>
        <v>Plastic Sun Visor</v>
      </c>
      <c r="S94" s="28">
        <v>2789</v>
      </c>
      <c r="T94" s="28">
        <v>2170.2199999999998</v>
      </c>
      <c r="U94" s="28">
        <v>-1171.1299999999999</v>
      </c>
      <c r="V94" s="28">
        <f>T94+U94</f>
        <v>999.08999999999992</v>
      </c>
      <c r="W94" s="29">
        <f t="shared" si="5"/>
        <v>0.46036346545511514</v>
      </c>
    </row>
    <row r="95" spans="1:23" ht="15.75" x14ac:dyDescent="0.25">
      <c r="A95" s="13" t="s">
        <v>67</v>
      </c>
      <c r="C95" s="13">
        <f t="shared" si="3"/>
        <v>77</v>
      </c>
      <c r="E95" s="13" t="str">
        <f t="shared" si="4"/>
        <v>@@C100023</v>
      </c>
      <c r="F95" s="13" t="str">
        <f>"""NAV"",""CRONUS JetCorp USA"",""27"",""1"",""C100023"""</f>
        <v>"NAV","CRONUS JetCorp USA","27","1","C100023"</v>
      </c>
      <c r="H95" s="26" t="str">
        <f>"C100023"</f>
        <v>C100023</v>
      </c>
      <c r="I95" s="22" t="str">
        <f>"Two-Toned Knit Hat"</f>
        <v>Two-Toned Knit Hat</v>
      </c>
      <c r="J95" s="28">
        <v>938.00000000000011</v>
      </c>
      <c r="K95" s="28">
        <v>2390.87</v>
      </c>
      <c r="L95" s="28">
        <v>-1181.83</v>
      </c>
      <c r="M95" s="28">
        <f>K95+L95</f>
        <v>1209.04</v>
      </c>
      <c r="N95" s="29">
        <f>IF(K95=0,"",M95/K95)</f>
        <v>0.50569039721942222</v>
      </c>
      <c r="O95" s="22"/>
      <c r="P95" s="38" t="str">
        <f ca="1">"@@"&amp;$Q95</f>
        <v>@@C100053</v>
      </c>
      <c r="Q95" s="26" t="str">
        <f ca="1">OFFSET($H$124,C95-1,0)</f>
        <v>C100053</v>
      </c>
      <c r="R95" s="22" t="str">
        <f>"Book Style Photo Frame &amp; Clock"</f>
        <v>Book Style Photo Frame &amp; Clock</v>
      </c>
      <c r="S95" s="28">
        <v>114</v>
      </c>
      <c r="T95" s="28">
        <v>2310.87</v>
      </c>
      <c r="U95" s="28">
        <v>-1372.53</v>
      </c>
      <c r="V95" s="28">
        <f>T95+U95</f>
        <v>938.33999999999992</v>
      </c>
      <c r="W95" s="29">
        <f t="shared" si="5"/>
        <v>0.40605486245440026</v>
      </c>
    </row>
    <row r="96" spans="1:23" ht="15.75" x14ac:dyDescent="0.25">
      <c r="A96" s="13" t="s">
        <v>67</v>
      </c>
      <c r="C96" s="13">
        <f t="shared" si="3"/>
        <v>78</v>
      </c>
      <c r="E96" s="13" t="str">
        <f t="shared" si="4"/>
        <v>@@E100004</v>
      </c>
      <c r="F96" s="13" t="str">
        <f>"""NAV"",""CRONUS JetCorp USA"",""27"",""1"",""E100004"""</f>
        <v>"NAV","CRONUS JetCorp USA","27","1","E100004"</v>
      </c>
      <c r="H96" s="26" t="str">
        <f>"E100004"</f>
        <v>E100004</v>
      </c>
      <c r="I96" s="22" t="str">
        <f>"Laminated Tote"</f>
        <v>Laminated Tote</v>
      </c>
      <c r="J96" s="28">
        <v>1321</v>
      </c>
      <c r="K96" s="28">
        <v>2387.84</v>
      </c>
      <c r="L96" s="28">
        <v>-1585.23</v>
      </c>
      <c r="M96" s="28">
        <f>K96+L96</f>
        <v>802.61000000000013</v>
      </c>
      <c r="N96" s="29">
        <f>IF(K96=0,"",M96/K96)</f>
        <v>0.33612386089520241</v>
      </c>
      <c r="O96" s="22"/>
      <c r="P96" s="38" t="str">
        <f ca="1">"@@"&amp;$Q96</f>
        <v>@@S100003</v>
      </c>
      <c r="Q96" s="26" t="str">
        <f ca="1">OFFSET($H$124,C96-1,0)</f>
        <v>S100003</v>
      </c>
      <c r="R96" s="22" t="str">
        <f>"Soccer #1 Pin"</f>
        <v>Soccer #1 Pin</v>
      </c>
      <c r="S96" s="28">
        <v>1619</v>
      </c>
      <c r="T96" s="28">
        <v>2334.1400000000003</v>
      </c>
      <c r="U96" s="28">
        <v>-1457.1</v>
      </c>
      <c r="V96" s="28">
        <f>T96+U96</f>
        <v>877.04000000000042</v>
      </c>
      <c r="W96" s="29">
        <f t="shared" si="5"/>
        <v>0.37574438551243727</v>
      </c>
    </row>
    <row r="97" spans="1:23" ht="15.75" x14ac:dyDescent="0.25">
      <c r="A97" s="13" t="s">
        <v>67</v>
      </c>
      <c r="C97" s="13">
        <f t="shared" si="3"/>
        <v>79</v>
      </c>
      <c r="E97" s="13" t="str">
        <f t="shared" si="4"/>
        <v>@@E100038</v>
      </c>
      <c r="F97" s="13" t="str">
        <f>"""NAV"",""CRONUS JetCorp USA"",""27"",""1"",""E100038"""</f>
        <v>"NAV","CRONUS JetCorp USA","27","1","E100038"</v>
      </c>
      <c r="H97" s="26" t="str">
        <f>"E100038"</f>
        <v>E100038</v>
      </c>
      <c r="I97" s="22" t="str">
        <f>"1GB USB Flash Drive Pen"</f>
        <v>1GB USB Flash Drive Pen</v>
      </c>
      <c r="J97" s="28">
        <v>433</v>
      </c>
      <c r="K97" s="28">
        <v>2352.98</v>
      </c>
      <c r="L97" s="28">
        <v>-1286.1600000000001</v>
      </c>
      <c r="M97" s="28">
        <f>K97+L97</f>
        <v>1066.82</v>
      </c>
      <c r="N97" s="29">
        <f>IF(K97=0,"",M97/K97)</f>
        <v>0.45339101904818568</v>
      </c>
      <c r="O97" s="22"/>
      <c r="P97" s="38" t="str">
        <f ca="1">"@@"&amp;$Q97</f>
        <v>@@E100017</v>
      </c>
      <c r="Q97" s="26" t="str">
        <f ca="1">OFFSET($H$124,C97-1,0)</f>
        <v>E100017</v>
      </c>
      <c r="R97" s="22" t="str">
        <f>"Clip-on Clock with Compass"</f>
        <v>Clip-on Clock with Compass</v>
      </c>
      <c r="S97" s="28">
        <v>1400</v>
      </c>
      <c r="T97" s="28">
        <v>2087.6600000000003</v>
      </c>
      <c r="U97" s="28">
        <v>-1232</v>
      </c>
      <c r="V97" s="28">
        <f>T97+U97</f>
        <v>855.66000000000031</v>
      </c>
      <c r="W97" s="29">
        <f t="shared" si="5"/>
        <v>0.4098655911403199</v>
      </c>
    </row>
    <row r="98" spans="1:23" ht="15.75" x14ac:dyDescent="0.25">
      <c r="A98" s="13" t="s">
        <v>67</v>
      </c>
      <c r="C98" s="13">
        <f t="shared" si="3"/>
        <v>80</v>
      </c>
      <c r="E98" s="13" t="str">
        <f t="shared" si="4"/>
        <v>@@S100003</v>
      </c>
      <c r="F98" s="13" t="str">
        <f>"""NAV"",""CRONUS JetCorp USA"",""27"",""1"",""S100003"""</f>
        <v>"NAV","CRONUS JetCorp USA","27","1","S100003"</v>
      </c>
      <c r="H98" s="26" t="str">
        <f>"S100003"</f>
        <v>S100003</v>
      </c>
      <c r="I98" s="22" t="str">
        <f>"Soccer #1 Pin"</f>
        <v>Soccer #1 Pin</v>
      </c>
      <c r="J98" s="28">
        <v>1619</v>
      </c>
      <c r="K98" s="28">
        <v>2334.1400000000003</v>
      </c>
      <c r="L98" s="28">
        <v>-1457.1</v>
      </c>
      <c r="M98" s="28">
        <f>K98+L98</f>
        <v>877.04000000000042</v>
      </c>
      <c r="N98" s="29">
        <f>IF(K98=0,"",M98/K98)</f>
        <v>0.37574438551243727</v>
      </c>
      <c r="O98" s="22"/>
      <c r="P98" s="38" t="str">
        <f ca="1">"@@"&amp;$Q98</f>
        <v>@@E100005</v>
      </c>
      <c r="Q98" s="26" t="str">
        <f ca="1">OFFSET($H$124,C98-1,0)</f>
        <v>E100005</v>
      </c>
      <c r="R98" s="22" t="str">
        <f>"All Purpose Tote"</f>
        <v>All Purpose Tote</v>
      </c>
      <c r="S98" s="28">
        <v>673</v>
      </c>
      <c r="T98" s="28">
        <v>1671.8999999999999</v>
      </c>
      <c r="U98" s="28">
        <v>-834.52</v>
      </c>
      <c r="V98" s="28">
        <f>T98+U98</f>
        <v>837.37999999999988</v>
      </c>
      <c r="W98" s="29">
        <f t="shared" si="5"/>
        <v>0.50085531431305697</v>
      </c>
    </row>
    <row r="99" spans="1:23" ht="15.75" x14ac:dyDescent="0.25">
      <c r="A99" s="13" t="s">
        <v>67</v>
      </c>
      <c r="C99" s="13">
        <f t="shared" si="3"/>
        <v>81</v>
      </c>
      <c r="E99" s="13" t="str">
        <f t="shared" si="4"/>
        <v>@@S200015</v>
      </c>
      <c r="F99" s="13" t="str">
        <f>"""NAV"",""CRONUS JetCorp USA"",""27"",""1"",""S200015"""</f>
        <v>"NAV","CRONUS JetCorp USA","27","1","S200015"</v>
      </c>
      <c r="H99" s="26" t="str">
        <f>"S200015"</f>
        <v>S200015</v>
      </c>
      <c r="I99" s="22" t="str">
        <f>"10.75"" Star Riser Basketball Trophy"</f>
        <v>10.75" Star Riser Basketball Trophy</v>
      </c>
      <c r="J99" s="28">
        <v>192</v>
      </c>
      <c r="K99" s="28">
        <v>2334</v>
      </c>
      <c r="L99" s="28">
        <v>-1906.5600000000002</v>
      </c>
      <c r="M99" s="28">
        <f>K99+L99</f>
        <v>427.43999999999983</v>
      </c>
      <c r="N99" s="29">
        <f>IF(K99=0,"",M99/K99)</f>
        <v>0.18313624678663232</v>
      </c>
      <c r="O99" s="22"/>
      <c r="P99" s="38" t="str">
        <f ca="1">"@@"&amp;$Q99</f>
        <v>@@C100048</v>
      </c>
      <c r="Q99" s="26" t="str">
        <f ca="1">OFFSET($H$124,C99-1,0)</f>
        <v>C100048</v>
      </c>
      <c r="R99" s="22" t="str">
        <f>"USB MP3 Player"</f>
        <v>USB MP3 Player</v>
      </c>
      <c r="S99" s="28">
        <v>193.99999999999997</v>
      </c>
      <c r="T99" s="28">
        <v>2327.79</v>
      </c>
      <c r="U99" s="28">
        <v>-1493.81</v>
      </c>
      <c r="V99" s="28">
        <f>T99+U99</f>
        <v>833.98</v>
      </c>
      <c r="W99" s="29">
        <f t="shared" si="5"/>
        <v>0.35827114988895048</v>
      </c>
    </row>
    <row r="100" spans="1:23" ht="15.75" x14ac:dyDescent="0.25">
      <c r="A100" s="13" t="s">
        <v>67</v>
      </c>
      <c r="C100" s="13">
        <f t="shared" si="3"/>
        <v>82</v>
      </c>
      <c r="E100" s="13" t="str">
        <f t="shared" si="4"/>
        <v>@@C100048</v>
      </c>
      <c r="F100" s="13" t="str">
        <f>"""NAV"",""CRONUS JetCorp USA"",""27"",""1"",""C100048"""</f>
        <v>"NAV","CRONUS JetCorp USA","27","1","C100048"</v>
      </c>
      <c r="H100" s="26" t="str">
        <f>"C100048"</f>
        <v>C100048</v>
      </c>
      <c r="I100" s="22" t="str">
        <f>"USB MP3 Player"</f>
        <v>USB MP3 Player</v>
      </c>
      <c r="J100" s="28">
        <v>193.99999999999997</v>
      </c>
      <c r="K100" s="28">
        <v>2327.79</v>
      </c>
      <c r="L100" s="28">
        <v>-1493.81</v>
      </c>
      <c r="M100" s="28">
        <f>K100+L100</f>
        <v>833.98</v>
      </c>
      <c r="N100" s="29">
        <f>IF(K100=0,"",M100/K100)</f>
        <v>0.35827114988895048</v>
      </c>
      <c r="O100" s="22"/>
      <c r="P100" s="38" t="str">
        <f ca="1">"@@"&amp;$Q100</f>
        <v>@@C100009</v>
      </c>
      <c r="Q100" s="26" t="str">
        <f ca="1">OFFSET($H$124,C100-1,0)</f>
        <v>C100009</v>
      </c>
      <c r="R100" s="22" t="str">
        <f>"Normandy Vase"</f>
        <v>Normandy Vase</v>
      </c>
      <c r="S100" s="28">
        <v>62</v>
      </c>
      <c r="T100" s="28">
        <v>2414.4699999999998</v>
      </c>
      <c r="U100" s="28">
        <v>-1582.2299999999998</v>
      </c>
      <c r="V100" s="28">
        <f>T100+U100</f>
        <v>832.24</v>
      </c>
      <c r="W100" s="29">
        <f t="shared" si="5"/>
        <v>0.34468848235844723</v>
      </c>
    </row>
    <row r="101" spans="1:23" ht="15.75" x14ac:dyDescent="0.25">
      <c r="A101" s="13" t="s">
        <v>67</v>
      </c>
      <c r="C101" s="13">
        <f t="shared" si="3"/>
        <v>83</v>
      </c>
      <c r="E101" s="13" t="str">
        <f t="shared" si="4"/>
        <v>@@C100053</v>
      </c>
      <c r="F101" s="13" t="str">
        <f>"""NAV"",""CRONUS JetCorp USA"",""27"",""1"",""C100053"""</f>
        <v>"NAV","CRONUS JetCorp USA","27","1","C100053"</v>
      </c>
      <c r="H101" s="26" t="str">
        <f>"C100053"</f>
        <v>C100053</v>
      </c>
      <c r="I101" s="22" t="str">
        <f>"Book Style Photo Frame &amp; Clock"</f>
        <v>Book Style Photo Frame &amp; Clock</v>
      </c>
      <c r="J101" s="28">
        <v>114</v>
      </c>
      <c r="K101" s="28">
        <v>2310.87</v>
      </c>
      <c r="L101" s="28">
        <v>-1372.53</v>
      </c>
      <c r="M101" s="28">
        <f>K101+L101</f>
        <v>938.33999999999992</v>
      </c>
      <c r="N101" s="29">
        <f>IF(K101=0,"",M101/K101)</f>
        <v>0.40605486245440026</v>
      </c>
      <c r="O101" s="22"/>
      <c r="P101" s="38" t="str">
        <f ca="1">"@@"&amp;$Q101</f>
        <v>@@E100047</v>
      </c>
      <c r="Q101" s="26" t="str">
        <f ca="1">OFFSET($H$124,C101-1,0)</f>
        <v>E100047</v>
      </c>
      <c r="R101" s="22" t="str">
        <f>"Chardonnay Glass"</f>
        <v>Chardonnay Glass</v>
      </c>
      <c r="S101" s="28">
        <v>1177</v>
      </c>
      <c r="T101" s="28">
        <v>2053.0099999999998</v>
      </c>
      <c r="U101" s="28">
        <v>-1235.8499999999999</v>
      </c>
      <c r="V101" s="28">
        <f>T101+U101</f>
        <v>817.15999999999985</v>
      </c>
      <c r="W101" s="29">
        <f t="shared" si="5"/>
        <v>0.39803020930243882</v>
      </c>
    </row>
    <row r="102" spans="1:23" ht="15.75" x14ac:dyDescent="0.25">
      <c r="A102" s="13" t="s">
        <v>67</v>
      </c>
      <c r="C102" s="13">
        <f t="shared" si="3"/>
        <v>84</v>
      </c>
      <c r="E102" s="13" t="str">
        <f t="shared" si="4"/>
        <v>@@C100052</v>
      </c>
      <c r="F102" s="13" t="str">
        <f>"""NAV"",""CRONUS JetCorp USA"",""27"",""1"",""C100052"""</f>
        <v>"NAV","CRONUS JetCorp USA","27","1","C100052"</v>
      </c>
      <c r="H102" s="26" t="str">
        <f>"C100052"</f>
        <v>C100052</v>
      </c>
      <c r="I102" s="22" t="str">
        <f>"Black Digital Picture Frame"</f>
        <v>Black Digital Picture Frame</v>
      </c>
      <c r="J102" s="28">
        <v>48</v>
      </c>
      <c r="K102" s="28">
        <v>2278.15</v>
      </c>
      <c r="L102" s="28">
        <v>-1071.3699999999999</v>
      </c>
      <c r="M102" s="28">
        <f>K102+L102</f>
        <v>1206.7800000000002</v>
      </c>
      <c r="N102" s="29">
        <f>IF(K102=0,"",M102/K102)</f>
        <v>0.52971928977459792</v>
      </c>
      <c r="O102" s="22"/>
      <c r="P102" s="38" t="str">
        <f ca="1">"@@"&amp;$Q102</f>
        <v>@@C100035</v>
      </c>
      <c r="Q102" s="26" t="str">
        <f ca="1">OFFSET($H$124,C102-1,0)</f>
        <v>C100035</v>
      </c>
      <c r="R102" s="22" t="str">
        <f>"Calculator &amp; World Time Clock"</f>
        <v>Calculator &amp; World Time Clock</v>
      </c>
      <c r="S102" s="28">
        <v>900</v>
      </c>
      <c r="T102" s="28">
        <v>2571.33</v>
      </c>
      <c r="U102" s="28">
        <v>-1763.9899999999998</v>
      </c>
      <c r="V102" s="28">
        <f>T102+U102</f>
        <v>807.34000000000015</v>
      </c>
      <c r="W102" s="29">
        <f t="shared" si="5"/>
        <v>0.31397759136322456</v>
      </c>
    </row>
    <row r="103" spans="1:23" ht="15.75" x14ac:dyDescent="0.25">
      <c r="A103" s="13" t="s">
        <v>67</v>
      </c>
      <c r="C103" s="13">
        <f t="shared" si="3"/>
        <v>85</v>
      </c>
      <c r="E103" s="13" t="str">
        <f t="shared" si="4"/>
        <v>@@C100066</v>
      </c>
      <c r="F103" s="13" t="str">
        <f>"""NAV"",""CRONUS JetCorp USA"",""27"",""1"",""C100066"""</f>
        <v>"NAV","CRONUS JetCorp USA","27","1","C100066"</v>
      </c>
      <c r="H103" s="26" t="str">
        <f>"C100066"</f>
        <v>C100066</v>
      </c>
      <c r="I103" s="22" t="str">
        <f>"Fashion Travel Mug"</f>
        <v>Fashion Travel Mug</v>
      </c>
      <c r="J103" s="28">
        <v>625</v>
      </c>
      <c r="K103" s="28">
        <v>2184.17</v>
      </c>
      <c r="L103" s="28">
        <v>-1031.3799999999999</v>
      </c>
      <c r="M103" s="28">
        <f>K103+L103</f>
        <v>1152.7900000000002</v>
      </c>
      <c r="N103" s="29">
        <f>IF(K103=0,"",M103/K103)</f>
        <v>0.52779316628284434</v>
      </c>
      <c r="O103" s="22"/>
      <c r="P103" s="38" t="str">
        <f ca="1">"@@"&amp;$Q103</f>
        <v>@@E100003</v>
      </c>
      <c r="Q103" s="26" t="str">
        <f ca="1">OFFSET($H$124,C103-1,0)</f>
        <v>E100003</v>
      </c>
      <c r="R103" s="22" t="str">
        <f>"Recycled Tote"</f>
        <v>Recycled Tote</v>
      </c>
      <c r="S103" s="28">
        <v>625</v>
      </c>
      <c r="T103" s="28">
        <v>1868.91</v>
      </c>
      <c r="U103" s="28">
        <v>-1062.54</v>
      </c>
      <c r="V103" s="28">
        <f>T103+U103</f>
        <v>806.37000000000012</v>
      </c>
      <c r="W103" s="29">
        <f t="shared" si="5"/>
        <v>0.43146539961795916</v>
      </c>
    </row>
    <row r="104" spans="1:23" ht="15.75" x14ac:dyDescent="0.25">
      <c r="A104" s="13" t="s">
        <v>67</v>
      </c>
      <c r="C104" s="13">
        <f t="shared" si="3"/>
        <v>86</v>
      </c>
      <c r="E104" s="13" t="str">
        <f t="shared" si="4"/>
        <v>@@E100011</v>
      </c>
      <c r="F104" s="13" t="str">
        <f>"""NAV"",""CRONUS JetCorp USA"",""27"",""1"",""E100011"""</f>
        <v>"NAV","CRONUS JetCorp USA","27","1","E100011"</v>
      </c>
      <c r="H104" s="26" t="str">
        <f>"E100011"</f>
        <v>E100011</v>
      </c>
      <c r="I104" s="22" t="str">
        <f>"Plastic Sun Visor"</f>
        <v>Plastic Sun Visor</v>
      </c>
      <c r="J104" s="28">
        <v>2789</v>
      </c>
      <c r="K104" s="28">
        <v>2170.2199999999998</v>
      </c>
      <c r="L104" s="28">
        <v>-1171.1299999999999</v>
      </c>
      <c r="M104" s="28">
        <f>K104+L104</f>
        <v>999.08999999999992</v>
      </c>
      <c r="N104" s="29">
        <f>IF(K104=0,"",M104/K104)</f>
        <v>0.46036346545511514</v>
      </c>
      <c r="O104" s="22"/>
      <c r="P104" s="38" t="str">
        <f ca="1">"@@"&amp;$Q104</f>
        <v>@@E100004</v>
      </c>
      <c r="Q104" s="26" t="str">
        <f ca="1">OFFSET($H$124,C104-1,0)</f>
        <v>E100004</v>
      </c>
      <c r="R104" s="22" t="str">
        <f>"Laminated Tote"</f>
        <v>Laminated Tote</v>
      </c>
      <c r="S104" s="28">
        <v>1321</v>
      </c>
      <c r="T104" s="28">
        <v>2387.84</v>
      </c>
      <c r="U104" s="28">
        <v>-1585.23</v>
      </c>
      <c r="V104" s="28">
        <f>T104+U104</f>
        <v>802.61000000000013</v>
      </c>
      <c r="W104" s="29">
        <f t="shared" si="5"/>
        <v>0.33612386089520241</v>
      </c>
    </row>
    <row r="105" spans="1:23" ht="15.75" x14ac:dyDescent="0.25">
      <c r="A105" s="13" t="s">
        <v>67</v>
      </c>
      <c r="C105" s="13">
        <f t="shared" si="3"/>
        <v>87</v>
      </c>
      <c r="E105" s="13" t="str">
        <f t="shared" si="4"/>
        <v>@@C100038</v>
      </c>
      <c r="F105" s="13" t="str">
        <f>"""NAV"",""CRONUS JetCorp USA"",""27"",""1"",""C100038"""</f>
        <v>"NAV","CRONUS JetCorp USA","27","1","C100038"</v>
      </c>
      <c r="H105" s="26" t="str">
        <f>"C100038"</f>
        <v>C100038</v>
      </c>
      <c r="I105" s="22" t="str">
        <f>"Foldable Travel Speakers"</f>
        <v>Foldable Travel Speakers</v>
      </c>
      <c r="J105" s="28">
        <v>470</v>
      </c>
      <c r="K105" s="28">
        <v>2165.46</v>
      </c>
      <c r="L105" s="28">
        <v>-1499.27</v>
      </c>
      <c r="M105" s="28">
        <f>K105+L105</f>
        <v>666.19</v>
      </c>
      <c r="N105" s="29">
        <f>IF(K105=0,"",M105/K105)</f>
        <v>0.30764364153574764</v>
      </c>
      <c r="O105" s="22"/>
      <c r="P105" s="38" t="str">
        <f ca="1">"@@"&amp;$Q105</f>
        <v>@@E100022</v>
      </c>
      <c r="Q105" s="26" t="str">
        <f ca="1">OFFSET($H$124,C105-1,0)</f>
        <v>E100022</v>
      </c>
      <c r="R105" s="22" t="str">
        <f>"Wide Screen Alarm Clock"</f>
        <v>Wide Screen Alarm Clock</v>
      </c>
      <c r="S105" s="28">
        <v>1338</v>
      </c>
      <c r="T105" s="28">
        <v>2510.1299999999997</v>
      </c>
      <c r="U105" s="28">
        <v>-1712.5200000000002</v>
      </c>
      <c r="V105" s="28">
        <f>T105+U105</f>
        <v>797.60999999999945</v>
      </c>
      <c r="W105" s="29">
        <f t="shared" si="5"/>
        <v>0.3177564508611106</v>
      </c>
    </row>
    <row r="106" spans="1:23" ht="15.75" x14ac:dyDescent="0.25">
      <c r="A106" s="13" t="s">
        <v>67</v>
      </c>
      <c r="C106" s="13">
        <f t="shared" si="3"/>
        <v>88</v>
      </c>
      <c r="E106" s="13" t="str">
        <f t="shared" si="4"/>
        <v>@@E100015</v>
      </c>
      <c r="F106" s="13" t="str">
        <f>"""NAV"",""CRONUS JetCorp USA"",""27"",""1"",""E100015"""</f>
        <v>"NAV","CRONUS JetCorp USA","27","1","E100015"</v>
      </c>
      <c r="H106" s="26" t="str">
        <f>"E100015"</f>
        <v>E100015</v>
      </c>
      <c r="I106" s="22" t="str">
        <f>"360 Clip Watch"</f>
        <v>360 Clip Watch</v>
      </c>
      <c r="J106" s="28">
        <v>1065</v>
      </c>
      <c r="K106" s="28">
        <v>2157.15</v>
      </c>
      <c r="L106" s="28">
        <v>-1086.32</v>
      </c>
      <c r="M106" s="28">
        <f>K106+L106</f>
        <v>1070.8300000000002</v>
      </c>
      <c r="N106" s="29">
        <f>IF(K106=0,"",M106/K106)</f>
        <v>0.49640961453770027</v>
      </c>
      <c r="O106" s="22"/>
      <c r="P106" s="38" t="str">
        <f ca="1">"@@"&amp;$Q106</f>
        <v>@@S200012</v>
      </c>
      <c r="Q106" s="26" t="str">
        <f ca="1">OFFSET($H$124,C106-1,0)</f>
        <v>S200012</v>
      </c>
      <c r="R106" s="22" t="str">
        <f>"10.75"" Star Riser Apple Trophy"</f>
        <v>10.75" Star Riser Apple Trophy</v>
      </c>
      <c r="S106" s="28">
        <v>480</v>
      </c>
      <c r="T106" s="28">
        <v>5826</v>
      </c>
      <c r="U106" s="28">
        <v>-5030.3999999999996</v>
      </c>
      <c r="V106" s="28">
        <f>T106+U106</f>
        <v>795.60000000000036</v>
      </c>
      <c r="W106" s="29">
        <f t="shared" si="5"/>
        <v>0.13656024716786824</v>
      </c>
    </row>
    <row r="107" spans="1:23" ht="15.75" x14ac:dyDescent="0.25">
      <c r="A107" s="13" t="s">
        <v>67</v>
      </c>
      <c r="C107" s="13">
        <f t="shared" si="3"/>
        <v>89</v>
      </c>
      <c r="E107" s="13" t="str">
        <f t="shared" si="4"/>
        <v>@@E100017</v>
      </c>
      <c r="F107" s="13" t="str">
        <f>"""NAV"",""CRONUS JetCorp USA"",""27"",""1"",""E100017"""</f>
        <v>"NAV","CRONUS JetCorp USA","27","1","E100017"</v>
      </c>
      <c r="H107" s="26" t="str">
        <f>"E100017"</f>
        <v>E100017</v>
      </c>
      <c r="I107" s="22" t="str">
        <f>"Clip-on Clock with Compass"</f>
        <v>Clip-on Clock with Compass</v>
      </c>
      <c r="J107" s="28">
        <v>1400</v>
      </c>
      <c r="K107" s="28">
        <v>2087.6600000000003</v>
      </c>
      <c r="L107" s="28">
        <v>-1232</v>
      </c>
      <c r="M107" s="28">
        <f>K107+L107</f>
        <v>855.66000000000031</v>
      </c>
      <c r="N107" s="29">
        <f>IF(K107=0,"",M107/K107)</f>
        <v>0.4098655911403199</v>
      </c>
      <c r="O107" s="22"/>
      <c r="P107" s="38" t="str">
        <f ca="1">"@@"&amp;$Q107</f>
        <v>@@E100024</v>
      </c>
      <c r="Q107" s="26" t="str">
        <f ca="1">OFFSET($H$124,C107-1,0)</f>
        <v>E100024</v>
      </c>
      <c r="R107" s="22" t="str">
        <f>"Arch Calculator"</f>
        <v>Arch Calculator</v>
      </c>
      <c r="S107" s="28">
        <v>618</v>
      </c>
      <c r="T107" s="28">
        <v>1855.96</v>
      </c>
      <c r="U107" s="28">
        <v>-1062.58</v>
      </c>
      <c r="V107" s="28">
        <f>T107+U107</f>
        <v>793.38000000000011</v>
      </c>
      <c r="W107" s="29">
        <f t="shared" si="5"/>
        <v>0.4274768852777</v>
      </c>
    </row>
    <row r="108" spans="1:23" ht="15.75" x14ac:dyDescent="0.25">
      <c r="A108" s="13" t="s">
        <v>67</v>
      </c>
      <c r="C108" s="13">
        <f t="shared" si="3"/>
        <v>90</v>
      </c>
      <c r="E108" s="13" t="str">
        <f t="shared" si="4"/>
        <v>@@S200031</v>
      </c>
      <c r="F108" s="13" t="str">
        <f>"""NAV"",""CRONUS JetCorp USA"",""27"",""1"",""S200031"""</f>
        <v>"NAV","CRONUS JetCorp USA","27","1","S200031"</v>
      </c>
      <c r="H108" s="26" t="str">
        <f>"S200031"</f>
        <v>S200031</v>
      </c>
      <c r="I108" s="22" t="str">
        <f>"10.75"" Column Wrestling Trophy"</f>
        <v>10.75" Column Wrestling Trophy</v>
      </c>
      <c r="J108" s="28">
        <v>144</v>
      </c>
      <c r="K108" s="28">
        <v>2073.6</v>
      </c>
      <c r="L108" s="28">
        <v>-1547.9999999999998</v>
      </c>
      <c r="M108" s="28">
        <f>K108+L108</f>
        <v>525.60000000000014</v>
      </c>
      <c r="N108" s="29">
        <f>IF(K108=0,"",M108/K108)</f>
        <v>0.25347222222222232</v>
      </c>
      <c r="O108" s="22"/>
      <c r="P108" s="38" t="str">
        <f ca="1">"@@"&amp;$Q108</f>
        <v>@@E100042</v>
      </c>
      <c r="Q108" s="26" t="str">
        <f ca="1">OFFSET($H$124,C108-1,0)</f>
        <v>E100042</v>
      </c>
      <c r="R108" s="22" t="str">
        <f>"Soft Touch Travel Mug"</f>
        <v>Soft Touch Travel Mug</v>
      </c>
      <c r="S108" s="28">
        <v>480</v>
      </c>
      <c r="T108" s="28">
        <v>1809.27</v>
      </c>
      <c r="U108" s="28">
        <v>-1032.27</v>
      </c>
      <c r="V108" s="28">
        <f>T108+U108</f>
        <v>777</v>
      </c>
      <c r="W108" s="29">
        <f t="shared" si="5"/>
        <v>0.42945497355286938</v>
      </c>
    </row>
    <row r="109" spans="1:23" ht="15.75" x14ac:dyDescent="0.25">
      <c r="A109" s="13" t="s">
        <v>67</v>
      </c>
      <c r="C109" s="13">
        <f t="shared" si="3"/>
        <v>91</v>
      </c>
      <c r="E109" s="13" t="str">
        <f t="shared" si="4"/>
        <v>@@S200018</v>
      </c>
      <c r="F109" s="13" t="str">
        <f>"""NAV"",""CRONUS JetCorp USA"",""27"",""1"",""S200018"""</f>
        <v>"NAV","CRONUS JetCorp USA","27","1","S200018"</v>
      </c>
      <c r="H109" s="26" t="str">
        <f>"S200018"</f>
        <v>S200018</v>
      </c>
      <c r="I109" s="22" t="str">
        <f>"10.75"" Tourch Riser Lamp of Knowledge Trophy"</f>
        <v>10.75" Tourch Riser Lamp of Knowledge Trophy</v>
      </c>
      <c r="J109" s="28">
        <v>168</v>
      </c>
      <c r="K109" s="28">
        <v>2058</v>
      </c>
      <c r="L109" s="28">
        <v>-1643.0400000000002</v>
      </c>
      <c r="M109" s="28">
        <f>K109+L109</f>
        <v>414.95999999999981</v>
      </c>
      <c r="N109" s="29">
        <f>IF(K109=0,"",M109/K109)</f>
        <v>0.20163265306122441</v>
      </c>
      <c r="O109" s="22"/>
      <c r="P109" s="38" t="str">
        <f ca="1">"@@"&amp;$Q109</f>
        <v>@@C100044</v>
      </c>
      <c r="Q109" s="26" t="str">
        <f ca="1">OFFSET($H$124,C109-1,0)</f>
        <v>C100044</v>
      </c>
      <c r="R109" s="22" t="str">
        <f>"VOIP Headset with Mic"</f>
        <v>VOIP Headset with Mic</v>
      </c>
      <c r="S109" s="28">
        <v>817</v>
      </c>
      <c r="T109" s="28">
        <v>1716.55</v>
      </c>
      <c r="U109" s="28">
        <v>-980.68000000000006</v>
      </c>
      <c r="V109" s="28">
        <f>T109+U109</f>
        <v>735.86999999999989</v>
      </c>
      <c r="W109" s="29">
        <f t="shared" si="5"/>
        <v>0.42869127028050447</v>
      </c>
    </row>
    <row r="110" spans="1:23" ht="15.75" x14ac:dyDescent="0.25">
      <c r="A110" s="13" t="s">
        <v>67</v>
      </c>
      <c r="C110" s="13">
        <f t="shared" si="3"/>
        <v>92</v>
      </c>
      <c r="E110" s="13" t="str">
        <f t="shared" si="4"/>
        <v>@@E100047</v>
      </c>
      <c r="F110" s="13" t="str">
        <f>"""NAV"",""CRONUS JetCorp USA"",""27"",""1"",""E100047"""</f>
        <v>"NAV","CRONUS JetCorp USA","27","1","E100047"</v>
      </c>
      <c r="H110" s="26" t="str">
        <f>"E100047"</f>
        <v>E100047</v>
      </c>
      <c r="I110" s="22" t="str">
        <f>"Chardonnay Glass"</f>
        <v>Chardonnay Glass</v>
      </c>
      <c r="J110" s="28">
        <v>1177</v>
      </c>
      <c r="K110" s="28">
        <v>2053.0099999999998</v>
      </c>
      <c r="L110" s="28">
        <v>-1235.8499999999999</v>
      </c>
      <c r="M110" s="28">
        <f>K110+L110</f>
        <v>817.15999999999985</v>
      </c>
      <c r="N110" s="29">
        <f>IF(K110=0,"",M110/K110)</f>
        <v>0.39803020930243882</v>
      </c>
      <c r="O110" s="22"/>
      <c r="P110" s="38" t="str">
        <f ca="1">"@@"&amp;$Q110</f>
        <v>@@E100002</v>
      </c>
      <c r="Q110" s="26" t="str">
        <f ca="1">OFFSET($H$124,C110-1,0)</f>
        <v>E100002</v>
      </c>
      <c r="R110" s="22" t="str">
        <f>"Cotton Classic Tote"</f>
        <v>Cotton Classic Tote</v>
      </c>
      <c r="S110" s="28">
        <v>1176</v>
      </c>
      <c r="T110" s="28">
        <v>1430.8899999999999</v>
      </c>
      <c r="U110" s="28">
        <v>-752.75</v>
      </c>
      <c r="V110" s="28">
        <f>T110+U110</f>
        <v>678.13999999999987</v>
      </c>
      <c r="W110" s="29">
        <f t="shared" si="5"/>
        <v>0.4739288135356316</v>
      </c>
    </row>
    <row r="111" spans="1:23" ht="15.75" x14ac:dyDescent="0.25">
      <c r="A111" s="13" t="s">
        <v>67</v>
      </c>
      <c r="C111" s="13">
        <f t="shared" si="3"/>
        <v>93</v>
      </c>
      <c r="E111" s="13" t="str">
        <f t="shared" si="4"/>
        <v>@@E100023</v>
      </c>
      <c r="F111" s="13" t="str">
        <f>"""NAV"",""CRONUS JetCorp USA"",""27"",""1"",""E100023"""</f>
        <v>"NAV","CRONUS JetCorp USA","27","1","E100023"</v>
      </c>
      <c r="H111" s="26" t="str">
        <f>"E100023"</f>
        <v>E100023</v>
      </c>
      <c r="I111" s="22" t="str">
        <f>"Sport Earbuds"</f>
        <v>Sport Earbuds</v>
      </c>
      <c r="J111" s="28">
        <v>433</v>
      </c>
      <c r="K111" s="28">
        <v>1911.32</v>
      </c>
      <c r="L111" s="28">
        <v>-909.30000000000007</v>
      </c>
      <c r="M111" s="28">
        <f>K111+L111</f>
        <v>1002.0199999999999</v>
      </c>
      <c r="N111" s="29">
        <f>IF(K111=0,"",M111/K111)</f>
        <v>0.52425548835359848</v>
      </c>
      <c r="O111" s="22"/>
      <c r="P111" s="38" t="str">
        <f ca="1">"@@"&amp;$Q111</f>
        <v>@@C100038</v>
      </c>
      <c r="Q111" s="26" t="str">
        <f ca="1">OFFSET($H$124,C111-1,0)</f>
        <v>C100038</v>
      </c>
      <c r="R111" s="22" t="str">
        <f>"Foldable Travel Speakers"</f>
        <v>Foldable Travel Speakers</v>
      </c>
      <c r="S111" s="28">
        <v>470</v>
      </c>
      <c r="T111" s="28">
        <v>2165.46</v>
      </c>
      <c r="U111" s="28">
        <v>-1499.27</v>
      </c>
      <c r="V111" s="28">
        <f>T111+U111</f>
        <v>666.19</v>
      </c>
      <c r="W111" s="29">
        <f t="shared" si="5"/>
        <v>0.30764364153574764</v>
      </c>
    </row>
    <row r="112" spans="1:23" ht="15.75" x14ac:dyDescent="0.25">
      <c r="A112" s="13" t="s">
        <v>67</v>
      </c>
      <c r="C112" s="13">
        <f t="shared" si="3"/>
        <v>94</v>
      </c>
      <c r="E112" s="13" t="str">
        <f t="shared" si="4"/>
        <v>@@S200006</v>
      </c>
      <c r="F112" s="13" t="str">
        <f>"""NAV"",""CRONUS JetCorp USA"",""27"",""1"",""S200006"""</f>
        <v>"NAV","CRONUS JetCorp USA","27","1","S200006"</v>
      </c>
      <c r="H112" s="26" t="str">
        <f>"S200006"</f>
        <v>S200006</v>
      </c>
      <c r="I112" s="22" t="str">
        <f>"3.75"" Soccer Trophy"</f>
        <v>3.75" Soccer Trophy</v>
      </c>
      <c r="J112" s="28">
        <v>192</v>
      </c>
      <c r="K112" s="28">
        <v>1876.8</v>
      </c>
      <c r="L112" s="28">
        <v>-1441.92</v>
      </c>
      <c r="M112" s="28">
        <f>K112+L112</f>
        <v>434.87999999999988</v>
      </c>
      <c r="N112" s="29">
        <f>IF(K112=0,"",M112/K112)</f>
        <v>0.23171355498721222</v>
      </c>
      <c r="O112" s="22"/>
      <c r="P112" s="38" t="str">
        <f ca="1">"@@"&amp;$Q112</f>
        <v>@@E100027</v>
      </c>
      <c r="Q112" s="26" t="str">
        <f ca="1">OFFSET($H$124,C112-1,0)</f>
        <v>E100027</v>
      </c>
      <c r="R112" s="22" t="str">
        <f>"Ergo-Calculator"</f>
        <v>Ergo-Calculator</v>
      </c>
      <c r="S112" s="28">
        <v>601</v>
      </c>
      <c r="T112" s="28">
        <v>1423.33</v>
      </c>
      <c r="U112" s="28">
        <v>-769.41</v>
      </c>
      <c r="V112" s="28">
        <f>T112+U112</f>
        <v>653.91999999999996</v>
      </c>
      <c r="W112" s="29">
        <f t="shared" si="5"/>
        <v>0.45942964737622338</v>
      </c>
    </row>
    <row r="113" spans="1:23" ht="15.75" x14ac:dyDescent="0.25">
      <c r="A113" s="13" t="s">
        <v>67</v>
      </c>
      <c r="C113" s="13">
        <f t="shared" si="3"/>
        <v>95</v>
      </c>
      <c r="E113" s="13" t="str">
        <f t="shared" si="4"/>
        <v>@@E100003</v>
      </c>
      <c r="F113" s="13" t="str">
        <f>"""NAV"",""CRONUS JetCorp USA"",""27"",""1"",""E100003"""</f>
        <v>"NAV","CRONUS JetCorp USA","27","1","E100003"</v>
      </c>
      <c r="H113" s="26" t="str">
        <f>"E100003"</f>
        <v>E100003</v>
      </c>
      <c r="I113" s="22" t="str">
        <f>"Recycled Tote"</f>
        <v>Recycled Tote</v>
      </c>
      <c r="J113" s="28">
        <v>625</v>
      </c>
      <c r="K113" s="28">
        <v>1868.91</v>
      </c>
      <c r="L113" s="28">
        <v>-1062.54</v>
      </c>
      <c r="M113" s="28">
        <f>K113+L113</f>
        <v>806.37000000000012</v>
      </c>
      <c r="N113" s="29">
        <f>IF(K113=0,"",M113/K113)</f>
        <v>0.43146539961795916</v>
      </c>
      <c r="O113" s="22"/>
      <c r="P113" s="38" t="str">
        <f ca="1">"@@"&amp;$Q113</f>
        <v>@@S200017</v>
      </c>
      <c r="Q113" s="26" t="str">
        <f ca="1">OFFSET($H$124,C113-1,0)</f>
        <v>S200017</v>
      </c>
      <c r="R113" s="22" t="str">
        <f>"10.75"" Tourch Riser WrestlingTrophy"</f>
        <v>10.75" Tourch Riser WrestlingTrophy</v>
      </c>
      <c r="S113" s="28">
        <v>288</v>
      </c>
      <c r="T113" s="28">
        <v>3509.9999999999995</v>
      </c>
      <c r="U113" s="28">
        <v>-2859.8399999999997</v>
      </c>
      <c r="V113" s="28">
        <f>T113+U113</f>
        <v>650.15999999999985</v>
      </c>
      <c r="W113" s="29">
        <f t="shared" si="5"/>
        <v>0.18523076923076923</v>
      </c>
    </row>
    <row r="114" spans="1:23" ht="15.75" x14ac:dyDescent="0.25">
      <c r="A114" s="13" t="s">
        <v>67</v>
      </c>
      <c r="C114" s="13">
        <f t="shared" si="3"/>
        <v>96</v>
      </c>
      <c r="E114" s="13" t="str">
        <f t="shared" si="4"/>
        <v>@@E100024</v>
      </c>
      <c r="F114" s="13" t="str">
        <f>"""NAV"",""CRONUS JetCorp USA"",""27"",""1"",""E100024"""</f>
        <v>"NAV","CRONUS JetCorp USA","27","1","E100024"</v>
      </c>
      <c r="H114" s="26" t="str">
        <f>"E100024"</f>
        <v>E100024</v>
      </c>
      <c r="I114" s="22" t="str">
        <f>"Arch Calculator"</f>
        <v>Arch Calculator</v>
      </c>
      <c r="J114" s="28">
        <v>618</v>
      </c>
      <c r="K114" s="28">
        <v>1855.96</v>
      </c>
      <c r="L114" s="28">
        <v>-1062.58</v>
      </c>
      <c r="M114" s="28">
        <f>K114+L114</f>
        <v>793.38000000000011</v>
      </c>
      <c r="N114" s="29">
        <f>IF(K114=0,"",M114/K114)</f>
        <v>0.4274768852777</v>
      </c>
      <c r="O114" s="22"/>
      <c r="P114" s="38" t="str">
        <f ca="1">"@@"&amp;$Q114</f>
        <v>@@S100011</v>
      </c>
      <c r="Q114" s="26" t="str">
        <f ca="1">OFFSET($H$124,C114-1,0)</f>
        <v>S100011</v>
      </c>
      <c r="R114" s="22" t="str">
        <f>"All Star Cap"</f>
        <v>All Star Cap</v>
      </c>
      <c r="S114" s="28">
        <v>1119</v>
      </c>
      <c r="T114" s="28">
        <v>1565.45</v>
      </c>
      <c r="U114" s="28">
        <v>-951.22</v>
      </c>
      <c r="V114" s="28">
        <f>T114+U114</f>
        <v>614.23</v>
      </c>
      <c r="W114" s="29">
        <f t="shared" si="5"/>
        <v>0.39236641221374047</v>
      </c>
    </row>
    <row r="115" spans="1:23" ht="15.75" x14ac:dyDescent="0.25">
      <c r="A115" s="13" t="s">
        <v>67</v>
      </c>
      <c r="C115" s="13">
        <f t="shared" si="3"/>
        <v>97</v>
      </c>
      <c r="E115" s="13" t="str">
        <f t="shared" si="4"/>
        <v>@@E100042</v>
      </c>
      <c r="F115" s="13" t="str">
        <f>"""NAV"",""CRONUS JetCorp USA"",""27"",""1"",""E100042"""</f>
        <v>"NAV","CRONUS JetCorp USA","27","1","E100042"</v>
      </c>
      <c r="H115" s="26" t="str">
        <f>"E100042"</f>
        <v>E100042</v>
      </c>
      <c r="I115" s="22" t="str">
        <f>"Soft Touch Travel Mug"</f>
        <v>Soft Touch Travel Mug</v>
      </c>
      <c r="J115" s="28">
        <v>480</v>
      </c>
      <c r="K115" s="28">
        <v>1809.27</v>
      </c>
      <c r="L115" s="28">
        <v>-1032.27</v>
      </c>
      <c r="M115" s="28">
        <f>K115+L115</f>
        <v>777</v>
      </c>
      <c r="N115" s="29">
        <f>IF(K115=0,"",M115/K115)</f>
        <v>0.42945497355286938</v>
      </c>
      <c r="O115" s="22"/>
      <c r="P115" s="38" t="str">
        <f ca="1">"@@"&amp;$Q115</f>
        <v>@@C100047</v>
      </c>
      <c r="Q115" s="26" t="str">
        <f ca="1">OFFSET($H$124,C115-1,0)</f>
        <v>C100047</v>
      </c>
      <c r="R115" s="22" t="str">
        <f>"2GB MP3 Player"</f>
        <v>2GB MP3 Player</v>
      </c>
      <c r="S115" s="28">
        <v>54</v>
      </c>
      <c r="T115" s="28">
        <v>1468.9099999999999</v>
      </c>
      <c r="U115" s="28">
        <v>-899.07999999999993</v>
      </c>
      <c r="V115" s="28">
        <f>T115+U115</f>
        <v>569.82999999999993</v>
      </c>
      <c r="W115" s="29">
        <f t="shared" si="5"/>
        <v>0.38792710240926942</v>
      </c>
    </row>
    <row r="116" spans="1:23" ht="15.75" x14ac:dyDescent="0.25">
      <c r="A116" s="13" t="s">
        <v>67</v>
      </c>
      <c r="C116" s="13">
        <f t="shared" si="3"/>
        <v>98</v>
      </c>
      <c r="E116" s="13" t="str">
        <f t="shared" si="4"/>
        <v>@@S200021</v>
      </c>
      <c r="F116" s="13" t="str">
        <f>"""NAV"",""CRONUS JetCorp USA"",""27"",""1"",""S200021"""</f>
        <v>"NAV","CRONUS JetCorp USA","27","1","S200021"</v>
      </c>
      <c r="H116" s="26" t="str">
        <f>"S200021"</f>
        <v>S200021</v>
      </c>
      <c r="I116" s="22" t="str">
        <f>"10.75"" Tourch Riser FootballTrophy"</f>
        <v>10.75" Tourch Riser FootballTrophy</v>
      </c>
      <c r="J116" s="28">
        <v>144</v>
      </c>
      <c r="K116" s="28">
        <v>1764</v>
      </c>
      <c r="L116" s="28">
        <v>-1480.32</v>
      </c>
      <c r="M116" s="28">
        <f>K116+L116</f>
        <v>283.68000000000006</v>
      </c>
      <c r="N116" s="29">
        <f>IF(K116=0,"",M116/K116)</f>
        <v>0.16081632653061229</v>
      </c>
      <c r="O116" s="22"/>
      <c r="P116" s="38" t="str">
        <f ca="1">"@@"&amp;$Q116</f>
        <v>@@S200031</v>
      </c>
      <c r="Q116" s="26" t="str">
        <f ca="1">OFFSET($H$124,C116-1,0)</f>
        <v>S200031</v>
      </c>
      <c r="R116" s="22" t="str">
        <f>"10.75"" Column Wrestling Trophy"</f>
        <v>10.75" Column Wrestling Trophy</v>
      </c>
      <c r="S116" s="28">
        <v>144</v>
      </c>
      <c r="T116" s="28">
        <v>2073.6</v>
      </c>
      <c r="U116" s="28">
        <v>-1547.9999999999998</v>
      </c>
      <c r="V116" s="28">
        <f>T116+U116</f>
        <v>525.60000000000014</v>
      </c>
      <c r="W116" s="29">
        <f t="shared" si="5"/>
        <v>0.25347222222222232</v>
      </c>
    </row>
    <row r="117" spans="1:23" ht="15.75" x14ac:dyDescent="0.25">
      <c r="A117" s="13" t="s">
        <v>67</v>
      </c>
      <c r="C117" s="13">
        <f t="shared" si="3"/>
        <v>99</v>
      </c>
      <c r="E117" s="13" t="str">
        <f t="shared" si="4"/>
        <v>@@S200022</v>
      </c>
      <c r="F117" s="13" t="str">
        <f>"""NAV"",""CRONUS JetCorp USA"",""27"",""1"",""S200022"""</f>
        <v>"NAV","CRONUS JetCorp USA","27","1","S200022"</v>
      </c>
      <c r="H117" s="26" t="str">
        <f>"S200022"</f>
        <v>S200022</v>
      </c>
      <c r="I117" s="22" t="str">
        <f>"10.75"" Tourch Riser Basketball Trophy"</f>
        <v>10.75" Tourch Riser Basketball Trophy</v>
      </c>
      <c r="J117" s="28">
        <v>144</v>
      </c>
      <c r="K117" s="28">
        <v>1764</v>
      </c>
      <c r="L117" s="28">
        <v>-1480.32</v>
      </c>
      <c r="M117" s="28">
        <f>K117+L117</f>
        <v>283.68000000000006</v>
      </c>
      <c r="N117" s="29">
        <f>IF(K117=0,"",M117/K117)</f>
        <v>0.16081632653061229</v>
      </c>
      <c r="O117" s="22"/>
      <c r="P117" s="38" t="str">
        <f ca="1">"@@"&amp;$Q117</f>
        <v>@@E100035</v>
      </c>
      <c r="Q117" s="26" t="str">
        <f ca="1">OFFSET($H$124,C117-1,0)</f>
        <v>E100035</v>
      </c>
      <c r="R117" s="22" t="str">
        <f>"2GB Foldout USB Flash Drive"</f>
        <v>2GB Foldout USB Flash Drive</v>
      </c>
      <c r="S117" s="28">
        <v>337</v>
      </c>
      <c r="T117" s="28">
        <v>1253.9100000000001</v>
      </c>
      <c r="U117" s="28">
        <v>-758.37</v>
      </c>
      <c r="V117" s="28">
        <f>T117+U117</f>
        <v>495.54000000000008</v>
      </c>
      <c r="W117" s="29">
        <f t="shared" si="5"/>
        <v>0.39519582745173104</v>
      </c>
    </row>
    <row r="118" spans="1:23" ht="15.75" x14ac:dyDescent="0.25">
      <c r="A118" s="13" t="s">
        <v>67</v>
      </c>
      <c r="C118" s="13">
        <f t="shared" si="3"/>
        <v>100</v>
      </c>
      <c r="E118" s="13" t="str">
        <f t="shared" si="4"/>
        <v>@@S200024</v>
      </c>
      <c r="F118" s="13" t="str">
        <f>"""NAV"",""CRONUS JetCorp USA"",""27"",""1"",""S200024"""</f>
        <v>"NAV","CRONUS JetCorp USA","27","1","S200024"</v>
      </c>
      <c r="H118" s="26" t="str">
        <f>"S200024"</f>
        <v>S200024</v>
      </c>
      <c r="I118" s="22" t="str">
        <f>"10.75"" Tourch Riser Wrestling Trophy"</f>
        <v>10.75" Tourch Riser Wrestling Trophy</v>
      </c>
      <c r="J118" s="28">
        <v>144</v>
      </c>
      <c r="K118" s="28">
        <v>1764</v>
      </c>
      <c r="L118" s="28">
        <v>-1480.32</v>
      </c>
      <c r="M118" s="28">
        <f>K118+L118</f>
        <v>283.68000000000006</v>
      </c>
      <c r="N118" s="29">
        <f>IF(K118=0,"",M118/K118)</f>
        <v>0.16081632653061229</v>
      </c>
      <c r="O118" s="22"/>
      <c r="P118" s="38" t="str">
        <f ca="1">"@@"&amp;$Q118</f>
        <v>@@S100024</v>
      </c>
      <c r="Q118" s="26" t="str">
        <f ca="1">OFFSET($H$124,C118-1,0)</f>
        <v>S100024</v>
      </c>
      <c r="R118" s="22" t="str">
        <f>"Aluminum SPORT BOT"</f>
        <v>Aluminum SPORT BOT</v>
      </c>
      <c r="S118" s="28">
        <v>362</v>
      </c>
      <c r="T118" s="28">
        <v>1223.4000000000001</v>
      </c>
      <c r="U118" s="28">
        <v>-760.19999999999993</v>
      </c>
      <c r="V118" s="28">
        <f>T118+U118</f>
        <v>463.20000000000016</v>
      </c>
      <c r="W118" s="29">
        <f t="shared" si="5"/>
        <v>0.37861696910250131</v>
      </c>
    </row>
    <row r="119" spans="1:23" ht="9.75" customHeight="1" x14ac:dyDescent="0.25">
      <c r="H119" s="26"/>
      <c r="I119" s="22"/>
      <c r="J119" s="30"/>
      <c r="K119" s="30"/>
      <c r="L119" s="30"/>
      <c r="M119" s="30"/>
      <c r="N119" s="31"/>
      <c r="O119" s="22"/>
      <c r="P119" s="37"/>
      <c r="Q119" s="26"/>
      <c r="R119" s="22"/>
      <c r="S119" s="30"/>
      <c r="T119" s="30"/>
      <c r="U119" s="30"/>
      <c r="V119" s="30"/>
      <c r="W119" s="31"/>
    </row>
    <row r="120" spans="1:23" ht="16.5" thickBot="1" x14ac:dyDescent="0.3">
      <c r="H120" s="57" t="s">
        <v>13</v>
      </c>
      <c r="I120" s="58"/>
      <c r="J120" s="32"/>
      <c r="K120" s="32">
        <v>850776.8</v>
      </c>
      <c r="L120" s="32">
        <v>-478082.58</v>
      </c>
      <c r="M120" s="32">
        <f>K120+L120</f>
        <v>372694.22000000003</v>
      </c>
      <c r="N120" s="33">
        <f>IF(K120=0,"",M120/K120)</f>
        <v>0.43806344977907252</v>
      </c>
      <c r="O120" s="22"/>
      <c r="P120" s="37"/>
      <c r="Q120" s="57" t="s">
        <v>13</v>
      </c>
      <c r="R120" s="58"/>
      <c r="S120" s="32"/>
      <c r="T120" s="32">
        <f>K120</f>
        <v>850776.8</v>
      </c>
      <c r="U120" s="32">
        <f>L120</f>
        <v>-478082.58</v>
      </c>
      <c r="V120" s="32">
        <f>M120</f>
        <v>372694.22000000003</v>
      </c>
      <c r="W120" s="33">
        <f>N120</f>
        <v>0.43806344977907252</v>
      </c>
    </row>
    <row r="121" spans="1:23" x14ac:dyDescent="0.25">
      <c r="H121" s="6"/>
      <c r="I121" s="6"/>
      <c r="J121" s="7"/>
      <c r="K121" s="7"/>
      <c r="L121" s="7"/>
      <c r="M121" s="7"/>
      <c r="N121" s="7"/>
    </row>
    <row r="122" spans="1:23" x14ac:dyDescent="0.25">
      <c r="J122" s="5"/>
    </row>
    <row r="123" spans="1:23" x14ac:dyDescent="0.25">
      <c r="J123" s="5"/>
    </row>
    <row r="124" spans="1:23" ht="32.25" customHeight="1" x14ac:dyDescent="0.25">
      <c r="D124" s="13" t="str">
        <f>"-=NL(""Sum"",""5802 Value Entry"",""17 Sales Amount (actual)"",""3 Posting Date"","""&amp;$I$4&amp;""",""2 Item No."",NF(,""1 No.""))+NL(""Sum"",5802,""43 Cost Amount (actual)"",4,""Sale"",3,"""&amp;$I$4&amp;""",""105 Entry Type"",""&lt;&gt;Revaluation"",2,NF(,""1 No.""))"</f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24" s="13">
        <f>E123+1</f>
        <v>1</v>
      </c>
      <c r="F124" s="15" t="str">
        <f>"""NAV"",""CRONUS JetCorp USA"",""27"",""1"",""C100006"""</f>
        <v>"NAV","CRONUS JetCorp USA","27","1","C100006"</v>
      </c>
      <c r="G124" s="9"/>
      <c r="H124" t="str">
        <f>"C100006"</f>
        <v>C100006</v>
      </c>
      <c r="J124" s="2"/>
      <c r="K124" s="2"/>
      <c r="L124" s="2"/>
      <c r="M124" s="8"/>
      <c r="N124" s="10"/>
      <c r="Q124" s="8"/>
    </row>
    <row r="125" spans="1:23" ht="32.25" customHeight="1" x14ac:dyDescent="0.25">
      <c r="A125" s="13" t="s">
        <v>67</v>
      </c>
      <c r="D125" s="13" t="str">
        <f t="shared" ref="D125:D188" si="6">"-=NL(""Sum"",""5802 Value Entry"",""17 Sales Amount (actual)"",""3 Posting Date"","""&amp;$I$4&amp;""",""2 Item No."",NF(,""1 No.""))+NL(""Sum"",5802,""43 Cost Amount (actual)"",4,""Sale"",3,"""&amp;$I$4&amp;""",""105 Entry Type"",""&lt;&gt;Revaluation"",2,NF(,""1 No.""))"</f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25" s="13">
        <f t="shared" ref="E125:E188" si="7">E124+1</f>
        <v>2</v>
      </c>
      <c r="F125" s="15" t="str">
        <f>"""NAV"",""CRONUS JetCorp USA"",""27"",""1"",""C100004"""</f>
        <v>"NAV","CRONUS JetCorp USA","27","1","C100004"</v>
      </c>
      <c r="G125" s="9"/>
      <c r="H125" t="str">
        <f>"C100004"</f>
        <v>C100004</v>
      </c>
      <c r="J125" s="2"/>
      <c r="K125" s="2"/>
      <c r="L125" s="2"/>
      <c r="M125" s="8"/>
      <c r="N125" s="10"/>
      <c r="Q125" s="8"/>
    </row>
    <row r="126" spans="1:23" ht="32.25" customHeight="1" x14ac:dyDescent="0.25">
      <c r="A126" s="13" t="s">
        <v>67</v>
      </c>
      <c r="D126" s="13" t="str">
        <f t="shared" si="6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26" s="13">
        <f t="shared" si="7"/>
        <v>3</v>
      </c>
      <c r="F126" s="15" t="str">
        <f>"""NAV"",""CRONUS JetCorp USA"",""27"",""1"",""C100005"""</f>
        <v>"NAV","CRONUS JetCorp USA","27","1","C100005"</v>
      </c>
      <c r="G126" s="9"/>
      <c r="H126" t="str">
        <f>"C100005"</f>
        <v>C100005</v>
      </c>
      <c r="J126" s="2"/>
      <c r="K126" s="2"/>
      <c r="L126" s="2"/>
      <c r="M126" s="8"/>
      <c r="N126" s="10"/>
      <c r="Q126" s="8"/>
    </row>
    <row r="127" spans="1:23" ht="32.25" customHeight="1" x14ac:dyDescent="0.25">
      <c r="A127" s="13" t="s">
        <v>67</v>
      </c>
      <c r="D127" s="13" t="str">
        <f t="shared" si="6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27" s="13">
        <f t="shared" si="7"/>
        <v>4</v>
      </c>
      <c r="F127" s="15" t="str">
        <f>"""NAV"",""CRONUS JetCorp USA"",""27"",""1"",""C100019"""</f>
        <v>"NAV","CRONUS JetCorp USA","27","1","C100019"</v>
      </c>
      <c r="G127" s="9"/>
      <c r="H127" t="str">
        <f>"C100019"</f>
        <v>C100019</v>
      </c>
      <c r="J127" s="2"/>
      <c r="K127" s="2"/>
      <c r="L127" s="2"/>
      <c r="M127" s="8"/>
      <c r="N127" s="10"/>
      <c r="Q127" s="8"/>
    </row>
    <row r="128" spans="1:23" ht="32.25" customHeight="1" x14ac:dyDescent="0.25">
      <c r="A128" s="13" t="s">
        <v>67</v>
      </c>
      <c r="D128" s="13" t="str">
        <f t="shared" si="6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28" s="13">
        <f t="shared" si="7"/>
        <v>5</v>
      </c>
      <c r="F128" s="15" t="str">
        <f>"""NAV"",""CRONUS JetCorp USA"",""27"",""1"",""C100017"""</f>
        <v>"NAV","CRONUS JetCorp USA","27","1","C100017"</v>
      </c>
      <c r="G128" s="9"/>
      <c r="H128" t="str">
        <f>"C100017"</f>
        <v>C100017</v>
      </c>
      <c r="J128" s="2"/>
      <c r="K128" s="2"/>
      <c r="L128" s="2"/>
      <c r="M128" s="8"/>
      <c r="N128" s="10"/>
      <c r="Q128" s="8"/>
    </row>
    <row r="129" spans="1:17" ht="32.25" customHeight="1" x14ac:dyDescent="0.25">
      <c r="A129" s="13" t="s">
        <v>67</v>
      </c>
      <c r="D129" s="13" t="str">
        <f t="shared" si="6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29" s="13">
        <f t="shared" si="7"/>
        <v>6</v>
      </c>
      <c r="F129" s="15" t="str">
        <f>"""NAV"",""CRONUS JetCorp USA"",""27"",""1"",""C100040"""</f>
        <v>"NAV","CRONUS JetCorp USA","27","1","C100040"</v>
      </c>
      <c r="G129" s="9"/>
      <c r="H129" t="str">
        <f>"C100040"</f>
        <v>C100040</v>
      </c>
      <c r="J129" s="2"/>
      <c r="K129" s="2"/>
      <c r="L129" s="2"/>
      <c r="M129" s="8"/>
      <c r="N129" s="10"/>
      <c r="Q129" s="8"/>
    </row>
    <row r="130" spans="1:17" ht="32.25" customHeight="1" x14ac:dyDescent="0.25">
      <c r="A130" s="13" t="s">
        <v>67</v>
      </c>
      <c r="D130" s="13" t="str">
        <f t="shared" si="6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30" s="13">
        <f t="shared" si="7"/>
        <v>7</v>
      </c>
      <c r="F130" s="15" t="str">
        <f>"""NAV"",""CRONUS JetCorp USA"",""27"",""1"",""C100031"""</f>
        <v>"NAV","CRONUS JetCorp USA","27","1","C100031"</v>
      </c>
      <c r="G130" s="9"/>
      <c r="H130" t="str">
        <f>"C100031"</f>
        <v>C100031</v>
      </c>
      <c r="J130" s="2"/>
      <c r="K130" s="2"/>
      <c r="L130" s="2"/>
      <c r="M130" s="8"/>
      <c r="N130" s="10"/>
      <c r="Q130" s="8"/>
    </row>
    <row r="131" spans="1:17" ht="32.25" customHeight="1" x14ac:dyDescent="0.25">
      <c r="A131" s="13" t="s">
        <v>67</v>
      </c>
      <c r="D131" s="13" t="str">
        <f t="shared" si="6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31" s="13">
        <f t="shared" si="7"/>
        <v>8</v>
      </c>
      <c r="F131" s="15" t="str">
        <f>"""NAV"",""CRONUS JetCorp USA"",""27"",""1"",""S100009"""</f>
        <v>"NAV","CRONUS JetCorp USA","27","1","S100009"</v>
      </c>
      <c r="G131" s="9"/>
      <c r="H131" t="str">
        <f>"S100009"</f>
        <v>S100009</v>
      </c>
      <c r="J131" s="2"/>
      <c r="K131" s="2"/>
      <c r="L131" s="2"/>
      <c r="M131" s="8"/>
      <c r="N131" s="10"/>
      <c r="Q131" s="8"/>
    </row>
    <row r="132" spans="1:17" ht="32.25" customHeight="1" x14ac:dyDescent="0.25">
      <c r="A132" s="13" t="s">
        <v>67</v>
      </c>
      <c r="D132" s="13" t="str">
        <f t="shared" si="6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32" s="13">
        <f t="shared" si="7"/>
        <v>9</v>
      </c>
      <c r="F132" s="15" t="str">
        <f>"""NAV"",""CRONUS JetCorp USA"",""27"",""1"",""C100003"""</f>
        <v>"NAV","CRONUS JetCorp USA","27","1","C100003"</v>
      </c>
      <c r="G132" s="9"/>
      <c r="H132" t="str">
        <f>"C100003"</f>
        <v>C100003</v>
      </c>
      <c r="J132" s="2"/>
      <c r="K132" s="2"/>
      <c r="L132" s="2"/>
      <c r="M132" s="8"/>
      <c r="N132" s="10"/>
      <c r="Q132" s="8"/>
    </row>
    <row r="133" spans="1:17" ht="32.25" customHeight="1" x14ac:dyDescent="0.25">
      <c r="A133" s="13" t="s">
        <v>67</v>
      </c>
      <c r="D133" s="13" t="str">
        <f t="shared" si="6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33" s="13">
        <f t="shared" si="7"/>
        <v>10</v>
      </c>
      <c r="F133" s="15" t="str">
        <f>"""NAV"",""CRONUS JetCorp USA"",""27"",""1"",""C100055"""</f>
        <v>"NAV","CRONUS JetCorp USA","27","1","C100055"</v>
      </c>
      <c r="G133" s="9"/>
      <c r="H133" t="str">
        <f>"C100055"</f>
        <v>C100055</v>
      </c>
      <c r="J133" s="2"/>
      <c r="K133" s="2"/>
      <c r="L133" s="2"/>
      <c r="M133" s="8"/>
      <c r="N133" s="10"/>
      <c r="Q133" s="8"/>
    </row>
    <row r="134" spans="1:17" ht="32.25" customHeight="1" x14ac:dyDescent="0.25">
      <c r="A134" s="13" t="s">
        <v>67</v>
      </c>
      <c r="D134" s="13" t="str">
        <f t="shared" si="6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34" s="13">
        <f t="shared" si="7"/>
        <v>11</v>
      </c>
      <c r="F134" s="15" t="str">
        <f>"""NAV"",""CRONUS JetCorp USA"",""27"",""1"",""C100051"""</f>
        <v>"NAV","CRONUS JetCorp USA","27","1","C100051"</v>
      </c>
      <c r="G134" s="9"/>
      <c r="H134" t="str">
        <f>"C100051"</f>
        <v>C100051</v>
      </c>
      <c r="J134" s="2"/>
      <c r="K134" s="2"/>
      <c r="L134" s="2"/>
      <c r="M134" s="8"/>
      <c r="N134" s="10"/>
      <c r="Q134" s="8"/>
    </row>
    <row r="135" spans="1:17" ht="32.25" customHeight="1" x14ac:dyDescent="0.25">
      <c r="A135" s="13" t="s">
        <v>67</v>
      </c>
      <c r="D135" s="13" t="str">
        <f t="shared" si="6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35" s="13">
        <f t="shared" si="7"/>
        <v>12</v>
      </c>
      <c r="F135" s="15" t="str">
        <f>"""NAV"",""CRONUS JetCorp USA"",""27"",""1"",""S100004"""</f>
        <v>"NAV","CRONUS JetCorp USA","27","1","S100004"</v>
      </c>
      <c r="G135" s="9"/>
      <c r="H135" t="str">
        <f>"S100004"</f>
        <v>S100004</v>
      </c>
      <c r="J135" s="2"/>
      <c r="K135" s="2"/>
      <c r="L135" s="2"/>
      <c r="M135" s="8"/>
      <c r="N135" s="10"/>
      <c r="Q135" s="8"/>
    </row>
    <row r="136" spans="1:17" ht="32.25" customHeight="1" x14ac:dyDescent="0.25">
      <c r="A136" s="13" t="s">
        <v>67</v>
      </c>
      <c r="D136" s="13" t="str">
        <f t="shared" si="6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36" s="13">
        <f t="shared" si="7"/>
        <v>13</v>
      </c>
      <c r="F136" s="15" t="str">
        <f>"""NAV"",""CRONUS JetCorp USA"",""27"",""1"",""C100045"""</f>
        <v>"NAV","CRONUS JetCorp USA","27","1","C100045"</v>
      </c>
      <c r="G136" s="9"/>
      <c r="H136" t="str">
        <f>"C100045"</f>
        <v>C100045</v>
      </c>
      <c r="J136" s="2"/>
      <c r="K136" s="2"/>
      <c r="L136" s="2"/>
      <c r="M136" s="8"/>
      <c r="N136" s="10"/>
      <c r="Q136" s="8"/>
    </row>
    <row r="137" spans="1:17" ht="32.25" customHeight="1" x14ac:dyDescent="0.25">
      <c r="A137" s="13" t="s">
        <v>67</v>
      </c>
      <c r="D137" s="13" t="str">
        <f t="shared" si="6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37" s="13">
        <f t="shared" si="7"/>
        <v>14</v>
      </c>
      <c r="F137" s="15" t="str">
        <f>"""NAV"",""CRONUS JetCorp USA"",""27"",""1"",""S100018"""</f>
        <v>"NAV","CRONUS JetCorp USA","27","1","S100018"</v>
      </c>
      <c r="G137" s="9"/>
      <c r="H137" t="str">
        <f>"S100018"</f>
        <v>S100018</v>
      </c>
      <c r="J137" s="2"/>
      <c r="K137" s="2"/>
      <c r="L137" s="2"/>
      <c r="M137" s="8"/>
      <c r="N137" s="10"/>
      <c r="Q137" s="8"/>
    </row>
    <row r="138" spans="1:17" ht="32.25" customHeight="1" x14ac:dyDescent="0.25">
      <c r="A138" s="13" t="s">
        <v>67</v>
      </c>
      <c r="D138" s="13" t="str">
        <f t="shared" si="6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38" s="13">
        <f t="shared" si="7"/>
        <v>15</v>
      </c>
      <c r="F138" s="15" t="str">
        <f>"""NAV"",""CRONUS JetCorp USA"",""27"",""1"",""S100010"""</f>
        <v>"NAV","CRONUS JetCorp USA","27","1","S100010"</v>
      </c>
      <c r="G138" s="9"/>
      <c r="H138" t="str">
        <f>"S100010"</f>
        <v>S100010</v>
      </c>
      <c r="J138" s="2"/>
      <c r="K138" s="2"/>
      <c r="L138" s="2"/>
      <c r="M138" s="8"/>
      <c r="N138" s="10"/>
      <c r="Q138" s="8"/>
    </row>
    <row r="139" spans="1:17" ht="32.25" customHeight="1" x14ac:dyDescent="0.25">
      <c r="A139" s="13" t="s">
        <v>67</v>
      </c>
      <c r="D139" s="13" t="str">
        <f t="shared" si="6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39" s="13">
        <f t="shared" si="7"/>
        <v>16</v>
      </c>
      <c r="F139" s="15" t="str">
        <f>"""NAV"",""CRONUS JetCorp USA"",""27"",""1"",""C100018"""</f>
        <v>"NAV","CRONUS JetCorp USA","27","1","C100018"</v>
      </c>
      <c r="G139" s="9"/>
      <c r="H139" t="str">
        <f>"C100018"</f>
        <v>C100018</v>
      </c>
      <c r="J139" s="2"/>
      <c r="K139" s="2"/>
      <c r="L139" s="2"/>
      <c r="M139" s="8"/>
      <c r="N139" s="10"/>
      <c r="Q139" s="8"/>
    </row>
    <row r="140" spans="1:17" ht="32.25" customHeight="1" x14ac:dyDescent="0.25">
      <c r="A140" s="13" t="s">
        <v>67</v>
      </c>
      <c r="D140" s="13" t="str">
        <f t="shared" si="6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40" s="13">
        <f t="shared" si="7"/>
        <v>17</v>
      </c>
      <c r="F140" s="15" t="str">
        <f>"""NAV"",""CRONUS JetCorp USA"",""27"",""1"",""C100043"""</f>
        <v>"NAV","CRONUS JetCorp USA","27","1","C100043"</v>
      </c>
      <c r="G140" s="9"/>
      <c r="H140" t="str">
        <f>"C100043"</f>
        <v>C100043</v>
      </c>
      <c r="J140" s="2"/>
      <c r="K140" s="2"/>
      <c r="L140" s="2"/>
      <c r="M140" s="8"/>
      <c r="N140" s="10"/>
      <c r="Q140" s="8"/>
    </row>
    <row r="141" spans="1:17" ht="32.25" customHeight="1" x14ac:dyDescent="0.25">
      <c r="A141" s="13" t="s">
        <v>67</v>
      </c>
      <c r="D141" s="13" t="str">
        <f t="shared" si="6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41" s="13">
        <f t="shared" si="7"/>
        <v>18</v>
      </c>
      <c r="F141" s="15" t="str">
        <f>"""NAV"",""CRONUS JetCorp USA"",""27"",""1"",""S100021"""</f>
        <v>"NAV","CRONUS JetCorp USA","27","1","S100021"</v>
      </c>
      <c r="G141" s="9"/>
      <c r="H141" t="str">
        <f>"S100021"</f>
        <v>S100021</v>
      </c>
      <c r="J141" s="2"/>
      <c r="K141" s="2"/>
      <c r="L141" s="2"/>
      <c r="M141" s="8"/>
      <c r="N141" s="10"/>
      <c r="Q141" s="8"/>
    </row>
    <row r="142" spans="1:17" ht="32.25" customHeight="1" x14ac:dyDescent="0.25">
      <c r="A142" s="13" t="s">
        <v>67</v>
      </c>
      <c r="D142" s="13" t="str">
        <f t="shared" si="6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42" s="13">
        <f t="shared" si="7"/>
        <v>19</v>
      </c>
      <c r="F142" s="15" t="str">
        <f>"""NAV"",""CRONUS JetCorp USA"",""27"",""1"",""C100032"""</f>
        <v>"NAV","CRONUS JetCorp USA","27","1","C100032"</v>
      </c>
      <c r="G142" s="9"/>
      <c r="H142" t="str">
        <f>"C100032"</f>
        <v>C100032</v>
      </c>
      <c r="J142" s="2"/>
      <c r="K142" s="2"/>
      <c r="L142" s="2"/>
      <c r="M142" s="8"/>
      <c r="N142" s="10"/>
      <c r="Q142" s="8"/>
    </row>
    <row r="143" spans="1:17" ht="32.25" customHeight="1" x14ac:dyDescent="0.25">
      <c r="A143" s="13" t="s">
        <v>67</v>
      </c>
      <c r="D143" s="13" t="str">
        <f t="shared" si="6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43" s="13">
        <f t="shared" si="7"/>
        <v>20</v>
      </c>
      <c r="F143" s="15" t="str">
        <f>"""NAV"",""CRONUS JetCorp USA"",""27"",""1"",""C100027"""</f>
        <v>"NAV","CRONUS JetCorp USA","27","1","C100027"</v>
      </c>
      <c r="G143" s="9"/>
      <c r="H143" t="str">
        <f>"C100027"</f>
        <v>C100027</v>
      </c>
      <c r="J143" s="2"/>
      <c r="K143" s="2"/>
      <c r="L143" s="2"/>
      <c r="M143" s="8"/>
      <c r="N143" s="10"/>
      <c r="Q143" s="8"/>
    </row>
    <row r="144" spans="1:17" ht="32.25" customHeight="1" x14ac:dyDescent="0.25">
      <c r="A144" s="13" t="s">
        <v>67</v>
      </c>
      <c r="D144" s="13" t="str">
        <f t="shared" si="6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44" s="13">
        <f t="shared" si="7"/>
        <v>21</v>
      </c>
      <c r="F144" s="15" t="str">
        <f>"""NAV"",""CRONUS JetCorp USA"",""27"",""1"",""C100054"""</f>
        <v>"NAV","CRONUS JetCorp USA","27","1","C100054"</v>
      </c>
      <c r="G144" s="9"/>
      <c r="H144" t="str">
        <f>"C100054"</f>
        <v>C100054</v>
      </c>
      <c r="J144" s="2"/>
      <c r="K144" s="2"/>
      <c r="L144" s="2"/>
      <c r="M144" s="8"/>
      <c r="N144" s="10"/>
      <c r="Q144" s="8"/>
    </row>
    <row r="145" spans="1:17" ht="32.25" customHeight="1" x14ac:dyDescent="0.25">
      <c r="A145" s="13" t="s">
        <v>67</v>
      </c>
      <c r="D145" s="13" t="str">
        <f t="shared" si="6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45" s="13">
        <f t="shared" si="7"/>
        <v>22</v>
      </c>
      <c r="F145" s="15" t="str">
        <f>"""NAV"",""CRONUS JetCorp USA"",""27"",""1"",""S100001"""</f>
        <v>"NAV","CRONUS JetCorp USA","27","1","S100001"</v>
      </c>
      <c r="G145" s="9"/>
      <c r="H145" t="str">
        <f>"S100001"</f>
        <v>S100001</v>
      </c>
      <c r="J145" s="2"/>
      <c r="K145" s="2"/>
      <c r="L145" s="2"/>
      <c r="M145" s="8"/>
      <c r="N145" s="10"/>
      <c r="Q145" s="8"/>
    </row>
    <row r="146" spans="1:17" ht="32.25" customHeight="1" x14ac:dyDescent="0.25">
      <c r="A146" s="13" t="s">
        <v>67</v>
      </c>
      <c r="D146" s="13" t="str">
        <f t="shared" si="6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46" s="13">
        <f t="shared" si="7"/>
        <v>23</v>
      </c>
      <c r="F146" s="15" t="str">
        <f>"""NAV"",""CRONUS JetCorp USA"",""27"",""1"",""C100020"""</f>
        <v>"NAV","CRONUS JetCorp USA","27","1","C100020"</v>
      </c>
      <c r="G146" s="9"/>
      <c r="H146" t="str">
        <f>"C100020"</f>
        <v>C100020</v>
      </c>
      <c r="J146" s="2"/>
      <c r="K146" s="2"/>
      <c r="L146" s="2"/>
      <c r="M146" s="8"/>
      <c r="N146" s="10"/>
      <c r="Q146" s="8"/>
    </row>
    <row r="147" spans="1:17" ht="32.25" customHeight="1" x14ac:dyDescent="0.25">
      <c r="A147" s="13" t="s">
        <v>67</v>
      </c>
      <c r="D147" s="13" t="str">
        <f t="shared" si="6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47" s="13">
        <f t="shared" si="7"/>
        <v>24</v>
      </c>
      <c r="F147" s="15" t="str">
        <f>"""NAV"",""CRONUS JetCorp USA"",""27"",""1"",""C100010"""</f>
        <v>"NAV","CRONUS JetCorp USA","27","1","C100010"</v>
      </c>
      <c r="G147" s="9"/>
      <c r="H147" t="str">
        <f>"C100010"</f>
        <v>C100010</v>
      </c>
      <c r="J147" s="2"/>
      <c r="K147" s="2"/>
      <c r="L147" s="2"/>
      <c r="M147" s="8"/>
      <c r="N147" s="10"/>
      <c r="Q147" s="8"/>
    </row>
    <row r="148" spans="1:17" ht="32.25" customHeight="1" x14ac:dyDescent="0.25">
      <c r="A148" s="13" t="s">
        <v>67</v>
      </c>
      <c r="D148" s="13" t="str">
        <f t="shared" si="6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48" s="13">
        <f t="shared" si="7"/>
        <v>25</v>
      </c>
      <c r="F148" s="15" t="str">
        <f>"""NAV"",""CRONUS JetCorp USA"",""27"",""1"",""C100028"""</f>
        <v>"NAV","CRONUS JetCorp USA","27","1","C100028"</v>
      </c>
      <c r="G148" s="9"/>
      <c r="H148" t="str">
        <f>"C100028"</f>
        <v>C100028</v>
      </c>
      <c r="J148" s="2"/>
      <c r="K148" s="2"/>
      <c r="L148" s="2"/>
      <c r="M148" s="8"/>
      <c r="N148" s="10"/>
      <c r="Q148" s="8"/>
    </row>
    <row r="149" spans="1:17" ht="32.25" customHeight="1" x14ac:dyDescent="0.25">
      <c r="A149" s="13" t="s">
        <v>67</v>
      </c>
      <c r="D149" s="13" t="str">
        <f t="shared" si="6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49" s="13">
        <f t="shared" si="7"/>
        <v>26</v>
      </c>
      <c r="F149" s="15" t="str">
        <f>"""NAV"",""CRONUS JetCorp USA"",""27"",""1"",""S100016"""</f>
        <v>"NAV","CRONUS JetCorp USA","27","1","S100016"</v>
      </c>
      <c r="G149" s="9"/>
      <c r="H149" t="str">
        <f>"S100016"</f>
        <v>S100016</v>
      </c>
      <c r="J149" s="2"/>
      <c r="K149" s="2"/>
      <c r="L149" s="2"/>
      <c r="M149" s="8"/>
      <c r="N149" s="10"/>
      <c r="Q149" s="8"/>
    </row>
    <row r="150" spans="1:17" ht="32.25" customHeight="1" x14ac:dyDescent="0.25">
      <c r="A150" s="13" t="s">
        <v>67</v>
      </c>
      <c r="D150" s="13" t="str">
        <f t="shared" si="6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50" s="13">
        <f t="shared" si="7"/>
        <v>27</v>
      </c>
      <c r="F150" s="15" t="str">
        <f>"""NAV"",""CRONUS JetCorp USA"",""27"",""1"",""S100005"""</f>
        <v>"NAV","CRONUS JetCorp USA","27","1","S100005"</v>
      </c>
      <c r="G150" s="9"/>
      <c r="H150" t="str">
        <f>"S100005"</f>
        <v>S100005</v>
      </c>
      <c r="J150" s="2"/>
      <c r="K150" s="2"/>
      <c r="L150" s="2"/>
      <c r="M150" s="8"/>
      <c r="N150" s="10"/>
      <c r="Q150" s="8"/>
    </row>
    <row r="151" spans="1:17" ht="32.25" customHeight="1" x14ac:dyDescent="0.25">
      <c r="A151" s="13" t="s">
        <v>67</v>
      </c>
      <c r="D151" s="13" t="str">
        <f t="shared" si="6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51" s="13">
        <f t="shared" si="7"/>
        <v>28</v>
      </c>
      <c r="F151" s="15" t="str">
        <f>"""NAV"",""CRONUS JetCorp USA"",""27"",""1"",""S100014"""</f>
        <v>"NAV","CRONUS JetCorp USA","27","1","S100014"</v>
      </c>
      <c r="G151" s="9"/>
      <c r="H151" t="str">
        <f>"S100014"</f>
        <v>S100014</v>
      </c>
      <c r="J151" s="2"/>
      <c r="K151" s="2"/>
      <c r="L151" s="2"/>
      <c r="M151" s="8"/>
      <c r="N151" s="10"/>
      <c r="Q151" s="8"/>
    </row>
    <row r="152" spans="1:17" ht="32.25" customHeight="1" x14ac:dyDescent="0.25">
      <c r="A152" s="13" t="s">
        <v>67</v>
      </c>
      <c r="D152" s="13" t="str">
        <f t="shared" si="6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52" s="13">
        <f t="shared" si="7"/>
        <v>29</v>
      </c>
      <c r="F152" s="15" t="str">
        <f>"""NAV"",""CRONUS JetCorp USA"",""27"",""1"",""S100026"""</f>
        <v>"NAV","CRONUS JetCorp USA","27","1","S100026"</v>
      </c>
      <c r="G152" s="9"/>
      <c r="H152" t="str">
        <f>"S100026"</f>
        <v>S100026</v>
      </c>
      <c r="J152" s="2"/>
      <c r="K152" s="2"/>
      <c r="L152" s="2"/>
      <c r="M152" s="8"/>
      <c r="N152" s="10"/>
      <c r="Q152" s="8"/>
    </row>
    <row r="153" spans="1:17" ht="32.25" customHeight="1" x14ac:dyDescent="0.25">
      <c r="A153" s="13" t="s">
        <v>67</v>
      </c>
      <c r="D153" s="13" t="str">
        <f t="shared" si="6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53" s="13">
        <f t="shared" si="7"/>
        <v>30</v>
      </c>
      <c r="F153" s="15" t="str">
        <f>"""NAV"",""CRONUS JetCorp USA"",""27"",""1"",""S100019"""</f>
        <v>"NAV","CRONUS JetCorp USA","27","1","S100019"</v>
      </c>
      <c r="G153" s="9"/>
      <c r="H153" t="str">
        <f>"S100019"</f>
        <v>S100019</v>
      </c>
      <c r="J153" s="2"/>
      <c r="K153" s="2"/>
      <c r="L153" s="2"/>
      <c r="M153" s="8"/>
      <c r="N153" s="10"/>
      <c r="Q153" s="8"/>
    </row>
    <row r="154" spans="1:17" ht="32.25" customHeight="1" x14ac:dyDescent="0.25">
      <c r="A154" s="13" t="s">
        <v>67</v>
      </c>
      <c r="D154" s="13" t="str">
        <f t="shared" si="6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54" s="13">
        <f t="shared" si="7"/>
        <v>31</v>
      </c>
      <c r="F154" s="15" t="str">
        <f>"""NAV"",""CRONUS JetCorp USA"",""27"",""1"",""S100007"""</f>
        <v>"NAV","CRONUS JetCorp USA","27","1","S100007"</v>
      </c>
      <c r="G154" s="9"/>
      <c r="H154" t="str">
        <f>"S100007"</f>
        <v>S100007</v>
      </c>
      <c r="J154" s="2"/>
      <c r="K154" s="2"/>
      <c r="L154" s="2"/>
      <c r="M154" s="8"/>
      <c r="N154" s="10"/>
      <c r="Q154" s="8"/>
    </row>
    <row r="155" spans="1:17" ht="32.25" customHeight="1" x14ac:dyDescent="0.25">
      <c r="A155" s="13" t="s">
        <v>67</v>
      </c>
      <c r="D155" s="13" t="str">
        <f t="shared" si="6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55" s="13">
        <f t="shared" si="7"/>
        <v>32</v>
      </c>
      <c r="F155" s="15" t="str">
        <f>"""NAV"",""CRONUS JetCorp USA"",""27"",""1"",""C100021"""</f>
        <v>"NAV","CRONUS JetCorp USA","27","1","C100021"</v>
      </c>
      <c r="G155" s="9"/>
      <c r="H155" t="str">
        <f>"C100021"</f>
        <v>C100021</v>
      </c>
      <c r="J155" s="2"/>
      <c r="K155" s="2"/>
      <c r="L155" s="2"/>
      <c r="M155" s="8"/>
      <c r="N155" s="10"/>
      <c r="Q155" s="8"/>
    </row>
    <row r="156" spans="1:17" ht="32.25" customHeight="1" x14ac:dyDescent="0.25">
      <c r="A156" s="13" t="s">
        <v>67</v>
      </c>
      <c r="D156" s="13" t="str">
        <f t="shared" si="6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56" s="13">
        <f t="shared" si="7"/>
        <v>33</v>
      </c>
      <c r="F156" s="15" t="str">
        <f>"""NAV"",""CRONUS JetCorp USA"",""27"",""1"",""E100016"""</f>
        <v>"NAV","CRONUS JetCorp USA","27","1","E100016"</v>
      </c>
      <c r="G156" s="9"/>
      <c r="H156" t="str">
        <f>"E100016"</f>
        <v>E100016</v>
      </c>
      <c r="J156" s="2"/>
      <c r="K156" s="2"/>
      <c r="L156" s="2"/>
      <c r="M156" s="8"/>
      <c r="N156" s="10"/>
      <c r="Q156" s="8"/>
    </row>
    <row r="157" spans="1:17" ht="32.25" customHeight="1" x14ac:dyDescent="0.25">
      <c r="A157" s="13" t="s">
        <v>67</v>
      </c>
      <c r="D157" s="13" t="str">
        <f t="shared" si="6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57" s="13">
        <f t="shared" si="7"/>
        <v>34</v>
      </c>
      <c r="F157" s="15" t="str">
        <f>"""NAV"",""CRONUS JetCorp USA"",""27"",""1"",""S100020"""</f>
        <v>"NAV","CRONUS JetCorp USA","27","1","S100020"</v>
      </c>
      <c r="G157" s="9"/>
      <c r="H157" t="str">
        <f>"S100020"</f>
        <v>S100020</v>
      </c>
      <c r="J157" s="2"/>
      <c r="K157" s="2"/>
      <c r="L157" s="2"/>
      <c r="M157" s="8"/>
      <c r="N157" s="10"/>
      <c r="Q157" s="8"/>
    </row>
    <row r="158" spans="1:17" ht="32.25" customHeight="1" x14ac:dyDescent="0.25">
      <c r="A158" s="13" t="s">
        <v>67</v>
      </c>
      <c r="D158" s="13" t="str">
        <f t="shared" si="6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58" s="13">
        <f t="shared" si="7"/>
        <v>35</v>
      </c>
      <c r="F158" s="15" t="str">
        <f>"""NAV"",""CRONUS JetCorp USA"",""27"",""1"",""C100002"""</f>
        <v>"NAV","CRONUS JetCorp USA","27","1","C100002"</v>
      </c>
      <c r="G158" s="9"/>
      <c r="H158" t="str">
        <f>"C100002"</f>
        <v>C100002</v>
      </c>
      <c r="J158" s="2"/>
      <c r="K158" s="2"/>
      <c r="L158" s="2"/>
      <c r="M158" s="8"/>
      <c r="N158" s="10"/>
      <c r="Q158" s="8"/>
    </row>
    <row r="159" spans="1:17" ht="32.25" customHeight="1" x14ac:dyDescent="0.25">
      <c r="A159" s="13" t="s">
        <v>67</v>
      </c>
      <c r="D159" s="13" t="str">
        <f t="shared" si="6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59" s="13">
        <f t="shared" si="7"/>
        <v>36</v>
      </c>
      <c r="F159" s="15" t="str">
        <f>"""NAV"",""CRONUS JetCorp USA"",""27"",""1"",""E100012"""</f>
        <v>"NAV","CRONUS JetCorp USA","27","1","E100012"</v>
      </c>
      <c r="G159" s="9"/>
      <c r="H159" t="str">
        <f>"E100012"</f>
        <v>E100012</v>
      </c>
      <c r="J159" s="2"/>
      <c r="K159" s="2"/>
      <c r="L159" s="2"/>
      <c r="M159" s="8"/>
      <c r="N159" s="10"/>
      <c r="Q159" s="8"/>
    </row>
    <row r="160" spans="1:17" ht="32.25" customHeight="1" x14ac:dyDescent="0.25">
      <c r="A160" s="13" t="s">
        <v>67</v>
      </c>
      <c r="D160" s="13" t="str">
        <f t="shared" si="6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60" s="13">
        <f t="shared" si="7"/>
        <v>37</v>
      </c>
      <c r="F160" s="15" t="str">
        <f>"""NAV"",""CRONUS JetCorp USA"",""27"",""1"",""C100011"""</f>
        <v>"NAV","CRONUS JetCorp USA","27","1","C100011"</v>
      </c>
      <c r="G160" s="9"/>
      <c r="H160" t="str">
        <f>"C100011"</f>
        <v>C100011</v>
      </c>
      <c r="J160" s="2"/>
      <c r="K160" s="2"/>
      <c r="L160" s="2"/>
      <c r="M160" s="8"/>
      <c r="N160" s="10"/>
      <c r="Q160" s="8"/>
    </row>
    <row r="161" spans="1:17" ht="32.25" customHeight="1" x14ac:dyDescent="0.25">
      <c r="A161" s="13" t="s">
        <v>67</v>
      </c>
      <c r="D161" s="13" t="str">
        <f t="shared" si="6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61" s="13">
        <f t="shared" si="7"/>
        <v>38</v>
      </c>
      <c r="F161" s="15" t="str">
        <f>"""NAV"",""CRONUS JetCorp USA"",""27"",""1"",""C100026"""</f>
        <v>"NAV","CRONUS JetCorp USA","27","1","C100026"</v>
      </c>
      <c r="G161" s="9"/>
      <c r="H161" t="str">
        <f>"C100026"</f>
        <v>C100026</v>
      </c>
      <c r="J161" s="2"/>
      <c r="K161" s="2"/>
      <c r="L161" s="2"/>
      <c r="M161" s="8"/>
      <c r="N161" s="10"/>
      <c r="Q161" s="8"/>
    </row>
    <row r="162" spans="1:17" ht="32.25" customHeight="1" x14ac:dyDescent="0.25">
      <c r="A162" s="13" t="s">
        <v>67</v>
      </c>
      <c r="D162" s="13" t="str">
        <f t="shared" si="6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62" s="13">
        <f t="shared" si="7"/>
        <v>39</v>
      </c>
      <c r="F162" s="15" t="str">
        <f>"""NAV"",""CRONUS JetCorp USA"",""27"",""1"",""S100012"""</f>
        <v>"NAV","CRONUS JetCorp USA","27","1","S100012"</v>
      </c>
      <c r="G162" s="9"/>
      <c r="H162" t="str">
        <f>"S100012"</f>
        <v>S100012</v>
      </c>
      <c r="J162" s="2"/>
      <c r="K162" s="2"/>
      <c r="L162" s="2"/>
      <c r="M162" s="8"/>
      <c r="N162" s="10"/>
      <c r="Q162" s="8"/>
    </row>
    <row r="163" spans="1:17" ht="32.25" customHeight="1" x14ac:dyDescent="0.25">
      <c r="A163" s="13" t="s">
        <v>67</v>
      </c>
      <c r="D163" s="13" t="str">
        <f t="shared" si="6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63" s="13">
        <f t="shared" si="7"/>
        <v>40</v>
      </c>
      <c r="F163" s="15" t="str">
        <f>"""NAV"",""CRONUS JetCorp USA"",""27"",""1"",""C100049"""</f>
        <v>"NAV","CRONUS JetCorp USA","27","1","C100049"</v>
      </c>
      <c r="G163" s="9"/>
      <c r="H163" t="str">
        <f>"C100049"</f>
        <v>C100049</v>
      </c>
      <c r="J163" s="2"/>
      <c r="K163" s="2"/>
      <c r="L163" s="2"/>
      <c r="M163" s="8"/>
      <c r="N163" s="10"/>
      <c r="Q163" s="8"/>
    </row>
    <row r="164" spans="1:17" ht="32.25" customHeight="1" x14ac:dyDescent="0.25">
      <c r="A164" s="13" t="s">
        <v>67</v>
      </c>
      <c r="D164" s="13" t="str">
        <f t="shared" si="6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64" s="13">
        <f t="shared" si="7"/>
        <v>41</v>
      </c>
      <c r="F164" s="15" t="str">
        <f>"""NAV"",""CRONUS JetCorp USA"",""27"",""1"",""C100029"""</f>
        <v>"NAV","CRONUS JetCorp USA","27","1","C100029"</v>
      </c>
      <c r="G164" s="9"/>
      <c r="H164" t="str">
        <f>"C100029"</f>
        <v>C100029</v>
      </c>
      <c r="J164" s="2"/>
      <c r="K164" s="2"/>
      <c r="L164" s="2"/>
      <c r="M164" s="8"/>
      <c r="N164" s="10"/>
      <c r="Q164" s="8"/>
    </row>
    <row r="165" spans="1:17" ht="32.25" customHeight="1" x14ac:dyDescent="0.25">
      <c r="A165" s="13" t="s">
        <v>67</v>
      </c>
      <c r="D165" s="13" t="str">
        <f t="shared" si="6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65" s="13">
        <f t="shared" si="7"/>
        <v>42</v>
      </c>
      <c r="F165" s="15" t="str">
        <f>"""NAV"",""CRONUS JetCorp USA"",""27"",""1"",""C100046"""</f>
        <v>"NAV","CRONUS JetCorp USA","27","1","C100046"</v>
      </c>
      <c r="G165" s="9"/>
      <c r="H165" t="str">
        <f>"C100046"</f>
        <v>C100046</v>
      </c>
      <c r="J165" s="2"/>
      <c r="K165" s="2"/>
      <c r="L165" s="2"/>
      <c r="M165" s="8"/>
      <c r="N165" s="10"/>
      <c r="Q165" s="8"/>
    </row>
    <row r="166" spans="1:17" ht="32.25" customHeight="1" x14ac:dyDescent="0.25">
      <c r="A166" s="13" t="s">
        <v>67</v>
      </c>
      <c r="D166" s="13" t="str">
        <f t="shared" si="6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66" s="13">
        <f t="shared" si="7"/>
        <v>43</v>
      </c>
      <c r="F166" s="15" t="str">
        <f>"""NAV"",""CRONUS JetCorp USA"",""27"",""1"",""S100002"""</f>
        <v>"NAV","CRONUS JetCorp USA","27","1","S100002"</v>
      </c>
      <c r="G166" s="9"/>
      <c r="H166" t="str">
        <f>"S100002"</f>
        <v>S100002</v>
      </c>
      <c r="J166" s="2"/>
      <c r="K166" s="2"/>
      <c r="L166" s="2"/>
      <c r="M166" s="8"/>
      <c r="N166" s="10"/>
      <c r="Q166" s="8"/>
    </row>
    <row r="167" spans="1:17" ht="32.25" customHeight="1" x14ac:dyDescent="0.25">
      <c r="A167" s="13" t="s">
        <v>67</v>
      </c>
      <c r="D167" s="13" t="str">
        <f t="shared" si="6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67" s="13">
        <f t="shared" si="7"/>
        <v>44</v>
      </c>
      <c r="F167" s="15" t="str">
        <f>"""NAV"",""CRONUS JetCorp USA"",""27"",""1"",""S100008"""</f>
        <v>"NAV","CRONUS JetCorp USA","27","1","S100008"</v>
      </c>
      <c r="G167" s="9"/>
      <c r="H167" t="str">
        <f>"S100008"</f>
        <v>S100008</v>
      </c>
      <c r="J167" s="2"/>
      <c r="K167" s="2"/>
      <c r="L167" s="2"/>
      <c r="M167" s="8"/>
      <c r="N167" s="10"/>
      <c r="Q167" s="8"/>
    </row>
    <row r="168" spans="1:17" ht="32.25" customHeight="1" x14ac:dyDescent="0.25">
      <c r="A168" s="13" t="s">
        <v>67</v>
      </c>
      <c r="D168" s="13" t="str">
        <f t="shared" si="6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68" s="13">
        <f t="shared" si="7"/>
        <v>45</v>
      </c>
      <c r="F168" s="15" t="str">
        <f>"""NAV"",""CRONUS JetCorp USA"",""27"",""1"",""E100020"""</f>
        <v>"NAV","CRONUS JetCorp USA","27","1","E100020"</v>
      </c>
      <c r="G168" s="9"/>
      <c r="H168" t="str">
        <f>"E100020"</f>
        <v>E100020</v>
      </c>
      <c r="J168" s="2"/>
      <c r="K168" s="2"/>
      <c r="L168" s="2"/>
      <c r="M168" s="8"/>
      <c r="N168" s="10"/>
      <c r="Q168" s="8"/>
    </row>
    <row r="169" spans="1:17" ht="32.25" customHeight="1" x14ac:dyDescent="0.25">
      <c r="A169" s="13" t="s">
        <v>67</v>
      </c>
      <c r="D169" s="13" t="str">
        <f t="shared" si="6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69" s="13">
        <f t="shared" si="7"/>
        <v>46</v>
      </c>
      <c r="F169" s="15" t="str">
        <f>"""NAV"",""CRONUS JetCorp USA"",""27"",""1"",""C100030"""</f>
        <v>"NAV","CRONUS JetCorp USA","27","1","C100030"</v>
      </c>
      <c r="G169" s="9"/>
      <c r="H169" t="str">
        <f>"C100030"</f>
        <v>C100030</v>
      </c>
      <c r="J169" s="2"/>
      <c r="K169" s="2"/>
      <c r="L169" s="2"/>
      <c r="M169" s="8"/>
      <c r="N169" s="10"/>
      <c r="Q169" s="8"/>
    </row>
    <row r="170" spans="1:17" ht="32.25" customHeight="1" x14ac:dyDescent="0.25">
      <c r="A170" s="13" t="s">
        <v>67</v>
      </c>
      <c r="D170" s="13" t="str">
        <f t="shared" si="6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70" s="13">
        <f t="shared" si="7"/>
        <v>47</v>
      </c>
      <c r="F170" s="15" t="str">
        <f>"""NAV"",""CRONUS JetCorp USA"",""27"",""1"",""S100017"""</f>
        <v>"NAV","CRONUS JetCorp USA","27","1","S100017"</v>
      </c>
      <c r="G170" s="9"/>
      <c r="H170" t="str">
        <f>"S100017"</f>
        <v>S100017</v>
      </c>
      <c r="J170" s="2"/>
      <c r="K170" s="2"/>
      <c r="L170" s="2"/>
      <c r="M170" s="8"/>
      <c r="N170" s="10"/>
      <c r="Q170" s="8"/>
    </row>
    <row r="171" spans="1:17" ht="32.25" customHeight="1" x14ac:dyDescent="0.25">
      <c r="A171" s="13" t="s">
        <v>67</v>
      </c>
      <c r="D171" s="13" t="str">
        <f t="shared" si="6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71" s="13">
        <f t="shared" si="7"/>
        <v>48</v>
      </c>
      <c r="F171" s="15" t="str">
        <f>"""NAV"",""CRONUS JetCorp USA"",""27"",""1"",""C100025"""</f>
        <v>"NAV","CRONUS JetCorp USA","27","1","C100025"</v>
      </c>
      <c r="G171" s="9"/>
      <c r="H171" t="str">
        <f>"C100025"</f>
        <v>C100025</v>
      </c>
      <c r="J171" s="2"/>
      <c r="K171" s="2"/>
      <c r="L171" s="2"/>
      <c r="M171" s="8"/>
      <c r="N171" s="10"/>
      <c r="Q171" s="8"/>
    </row>
    <row r="172" spans="1:17" ht="32.25" customHeight="1" x14ac:dyDescent="0.25">
      <c r="A172" s="13" t="s">
        <v>67</v>
      </c>
      <c r="D172" s="13" t="str">
        <f t="shared" si="6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72" s="13">
        <f t="shared" si="7"/>
        <v>49</v>
      </c>
      <c r="F172" s="15" t="str">
        <f>"""NAV"",""CRONUS JetCorp USA"",""27"",""1"",""C100014"""</f>
        <v>"NAV","CRONUS JetCorp USA","27","1","C100014"</v>
      </c>
      <c r="G172" s="9"/>
      <c r="H172" t="str">
        <f>"C100014"</f>
        <v>C100014</v>
      </c>
      <c r="J172" s="2"/>
      <c r="K172" s="2"/>
      <c r="L172" s="2"/>
      <c r="M172" s="8"/>
      <c r="N172" s="10"/>
      <c r="Q172" s="8"/>
    </row>
    <row r="173" spans="1:17" ht="32.25" customHeight="1" x14ac:dyDescent="0.25">
      <c r="A173" s="13" t="s">
        <v>67</v>
      </c>
      <c r="D173" s="13" t="str">
        <f t="shared" si="6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73" s="13">
        <f t="shared" si="7"/>
        <v>50</v>
      </c>
      <c r="F173" s="15" t="str">
        <f>"""NAV"",""CRONUS JetCorp USA"",""27"",""1"",""S100006"""</f>
        <v>"NAV","CRONUS JetCorp USA","27","1","S100006"</v>
      </c>
      <c r="G173" s="9"/>
      <c r="H173" t="str">
        <f>"S100006"</f>
        <v>S100006</v>
      </c>
      <c r="J173" s="2"/>
      <c r="K173" s="2"/>
      <c r="L173" s="2"/>
      <c r="M173" s="8"/>
      <c r="N173" s="10"/>
      <c r="Q173" s="8"/>
    </row>
    <row r="174" spans="1:17" ht="32.25" customHeight="1" x14ac:dyDescent="0.25">
      <c r="A174" s="13" t="s">
        <v>67</v>
      </c>
      <c r="D174" s="13" t="str">
        <f t="shared" si="6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74" s="13">
        <f t="shared" si="7"/>
        <v>51</v>
      </c>
      <c r="F174" s="15" t="str">
        <f>"""NAV"",""CRONUS JetCorp USA"",""27"",""1"",""S100015"""</f>
        <v>"NAV","CRONUS JetCorp USA","27","1","S100015"</v>
      </c>
      <c r="G174" s="9"/>
      <c r="H174" t="str">
        <f>"S100015"</f>
        <v>S100015</v>
      </c>
      <c r="J174" s="2"/>
      <c r="K174" s="2"/>
      <c r="L174" s="2"/>
      <c r="M174" s="8"/>
      <c r="N174" s="10"/>
      <c r="Q174" s="8"/>
    </row>
    <row r="175" spans="1:17" ht="32.25" customHeight="1" x14ac:dyDescent="0.25">
      <c r="A175" s="13" t="s">
        <v>67</v>
      </c>
      <c r="D175" s="13" t="str">
        <f t="shared" si="6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75" s="13">
        <f t="shared" si="7"/>
        <v>52</v>
      </c>
      <c r="F175" s="15" t="str">
        <f>"""NAV"",""CRONUS JetCorp USA"",""27"",""1"",""E100033"""</f>
        <v>"NAV","CRONUS JetCorp USA","27","1","E100033"</v>
      </c>
      <c r="G175" s="9"/>
      <c r="H175" t="str">
        <f>"E100033"</f>
        <v>E100033</v>
      </c>
      <c r="J175" s="2"/>
      <c r="K175" s="2"/>
      <c r="L175" s="2"/>
      <c r="M175" s="8"/>
      <c r="N175" s="10"/>
      <c r="Q175" s="8"/>
    </row>
    <row r="176" spans="1:17" ht="32.25" customHeight="1" x14ac:dyDescent="0.25">
      <c r="A176" s="13" t="s">
        <v>67</v>
      </c>
      <c r="D176" s="13" t="str">
        <f t="shared" si="6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76" s="13">
        <f t="shared" si="7"/>
        <v>53</v>
      </c>
      <c r="F176" s="15" t="str">
        <f>"""NAV"",""CRONUS JetCorp USA"",""27"",""1"",""E100014"""</f>
        <v>"NAV","CRONUS JetCorp USA","27","1","E100014"</v>
      </c>
      <c r="G176" s="9"/>
      <c r="H176" t="str">
        <f>"E100014"</f>
        <v>E100014</v>
      </c>
      <c r="J176" s="2"/>
      <c r="K176" s="2"/>
      <c r="L176" s="2"/>
      <c r="M176" s="8"/>
      <c r="N176" s="10"/>
      <c r="Q176" s="8"/>
    </row>
    <row r="177" spans="1:17" ht="32.25" customHeight="1" x14ac:dyDescent="0.25">
      <c r="A177" s="13" t="s">
        <v>67</v>
      </c>
      <c r="D177" s="13" t="str">
        <f t="shared" si="6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77" s="13">
        <f t="shared" si="7"/>
        <v>54</v>
      </c>
      <c r="F177" s="15" t="str">
        <f>"""NAV"",""CRONUS JetCorp USA"",""27"",""1"",""C100056"""</f>
        <v>"NAV","CRONUS JetCorp USA","27","1","C100056"</v>
      </c>
      <c r="G177" s="9"/>
      <c r="H177" t="str">
        <f>"C100056"</f>
        <v>C100056</v>
      </c>
      <c r="J177" s="2"/>
      <c r="K177" s="2"/>
      <c r="L177" s="2"/>
      <c r="M177" s="8"/>
      <c r="N177" s="10"/>
      <c r="Q177" s="8"/>
    </row>
    <row r="178" spans="1:17" ht="32.25" customHeight="1" x14ac:dyDescent="0.25">
      <c r="A178" s="13" t="s">
        <v>67</v>
      </c>
      <c r="D178" s="13" t="str">
        <f t="shared" si="6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78" s="13">
        <f t="shared" si="7"/>
        <v>55</v>
      </c>
      <c r="F178" s="15" t="str">
        <f>"""NAV"",""CRONUS JetCorp USA"",""27"",""1"",""C100024"""</f>
        <v>"NAV","CRONUS JetCorp USA","27","1","C100024"</v>
      </c>
      <c r="G178" s="9"/>
      <c r="H178" t="str">
        <f>"C100024"</f>
        <v>C100024</v>
      </c>
      <c r="J178" s="2"/>
      <c r="K178" s="2"/>
      <c r="L178" s="2"/>
      <c r="M178" s="8"/>
      <c r="N178" s="10"/>
      <c r="Q178" s="8"/>
    </row>
    <row r="179" spans="1:17" ht="32.25" customHeight="1" x14ac:dyDescent="0.25">
      <c r="A179" s="13" t="s">
        <v>67</v>
      </c>
      <c r="D179" s="13" t="str">
        <f t="shared" si="6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79" s="13">
        <f t="shared" si="7"/>
        <v>56</v>
      </c>
      <c r="F179" s="15" t="str">
        <f>"""NAV"",""CRONUS JetCorp USA"",""27"",""1"",""C100041"""</f>
        <v>"NAV","CRONUS JetCorp USA","27","1","C100041"</v>
      </c>
      <c r="G179" s="9"/>
      <c r="H179" t="str">
        <f>"C100041"</f>
        <v>C100041</v>
      </c>
      <c r="J179" s="2"/>
      <c r="K179" s="2"/>
      <c r="L179" s="2"/>
      <c r="M179" s="8"/>
      <c r="N179" s="10"/>
      <c r="Q179" s="8"/>
    </row>
    <row r="180" spans="1:17" ht="32.25" customHeight="1" x14ac:dyDescent="0.25">
      <c r="A180" s="13" t="s">
        <v>67</v>
      </c>
      <c r="D180" s="13" t="str">
        <f t="shared" si="6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80" s="13">
        <f t="shared" si="7"/>
        <v>57</v>
      </c>
      <c r="F180" s="15" t="str">
        <f>"""NAV"",""CRONUS JetCorp USA"",""27"",""1"",""C100037"""</f>
        <v>"NAV","CRONUS JetCorp USA","27","1","C100037"</v>
      </c>
      <c r="G180" s="9"/>
      <c r="H180" t="str">
        <f>"C100037"</f>
        <v>C100037</v>
      </c>
      <c r="J180" s="2"/>
      <c r="K180" s="2"/>
      <c r="L180" s="2"/>
      <c r="M180" s="8"/>
      <c r="N180" s="10"/>
      <c r="Q180" s="8"/>
    </row>
    <row r="181" spans="1:17" ht="32.25" customHeight="1" x14ac:dyDescent="0.25">
      <c r="A181" s="13" t="s">
        <v>67</v>
      </c>
      <c r="D181" s="13" t="str">
        <f t="shared" si="6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81" s="13">
        <f t="shared" si="7"/>
        <v>58</v>
      </c>
      <c r="F181" s="15" t="str">
        <f>"""NAV"",""CRONUS JetCorp USA"",""27"",""1"",""C100008"""</f>
        <v>"NAV","CRONUS JetCorp USA","27","1","C100008"</v>
      </c>
      <c r="G181" s="9"/>
      <c r="H181" t="str">
        <f>"C100008"</f>
        <v>C100008</v>
      </c>
      <c r="J181" s="2"/>
      <c r="K181" s="2"/>
      <c r="L181" s="2"/>
      <c r="M181" s="8"/>
      <c r="N181" s="10"/>
      <c r="Q181" s="8"/>
    </row>
    <row r="182" spans="1:17" ht="32.25" customHeight="1" x14ac:dyDescent="0.25">
      <c r="A182" s="13" t="s">
        <v>67</v>
      </c>
      <c r="D182" s="13" t="str">
        <f t="shared" si="6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82" s="13">
        <f t="shared" si="7"/>
        <v>59</v>
      </c>
      <c r="F182" s="15" t="str">
        <f>"""NAV"",""CRONUS JetCorp USA"",""27"",""1"",""E100021"""</f>
        <v>"NAV","CRONUS JetCorp USA","27","1","E100021"</v>
      </c>
      <c r="G182" s="9"/>
      <c r="H182" t="str">
        <f>"E100021"</f>
        <v>E100021</v>
      </c>
      <c r="J182" s="2"/>
      <c r="K182" s="2"/>
      <c r="L182" s="2"/>
      <c r="M182" s="8"/>
      <c r="N182" s="10"/>
      <c r="Q182" s="8"/>
    </row>
    <row r="183" spans="1:17" ht="32.25" customHeight="1" x14ac:dyDescent="0.25">
      <c r="A183" s="13" t="s">
        <v>67</v>
      </c>
      <c r="D183" s="13" t="str">
        <f t="shared" si="6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83" s="13">
        <f t="shared" si="7"/>
        <v>60</v>
      </c>
      <c r="F183" s="15" t="str">
        <f>"""NAV"",""CRONUS JetCorp USA"",""27"",""1"",""C100022"""</f>
        <v>"NAV","CRONUS JetCorp USA","27","1","C100022"</v>
      </c>
      <c r="G183" s="9"/>
      <c r="H183" t="str">
        <f>"C100022"</f>
        <v>C100022</v>
      </c>
      <c r="J183" s="2"/>
      <c r="K183" s="2"/>
      <c r="L183" s="2"/>
      <c r="M183" s="8"/>
      <c r="N183" s="10"/>
      <c r="Q183" s="8"/>
    </row>
    <row r="184" spans="1:17" ht="32.25" customHeight="1" x14ac:dyDescent="0.25">
      <c r="A184" s="13" t="s">
        <v>67</v>
      </c>
      <c r="D184" s="13" t="str">
        <f t="shared" si="6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84" s="13">
        <f t="shared" si="7"/>
        <v>61</v>
      </c>
      <c r="F184" s="15" t="str">
        <f>"""NAV"",""CRONUS JetCorp USA"",""27"",""1"",""E100001"""</f>
        <v>"NAV","CRONUS JetCorp USA","27","1","E100001"</v>
      </c>
      <c r="G184" s="9"/>
      <c r="H184" t="str">
        <f>"E100001"</f>
        <v>E100001</v>
      </c>
      <c r="J184" s="2"/>
      <c r="K184" s="2"/>
      <c r="L184" s="2"/>
      <c r="M184" s="8"/>
      <c r="N184" s="10"/>
      <c r="Q184" s="8"/>
    </row>
    <row r="185" spans="1:17" ht="32.25" customHeight="1" x14ac:dyDescent="0.25">
      <c r="A185" s="13" t="s">
        <v>67</v>
      </c>
      <c r="D185" s="13" t="str">
        <f t="shared" si="6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85" s="13">
        <f t="shared" si="7"/>
        <v>62</v>
      </c>
      <c r="F185" s="15" t="str">
        <f>"""NAV"",""CRONUS JetCorp USA"",""27"",""1"",""S100013"""</f>
        <v>"NAV","CRONUS JetCorp USA","27","1","S100013"</v>
      </c>
      <c r="G185" s="9"/>
      <c r="H185" t="str">
        <f>"S100013"</f>
        <v>S100013</v>
      </c>
      <c r="J185" s="2"/>
      <c r="K185" s="2"/>
      <c r="L185" s="2"/>
      <c r="M185" s="8"/>
      <c r="N185" s="10"/>
      <c r="Q185" s="8"/>
    </row>
    <row r="186" spans="1:17" ht="32.25" customHeight="1" x14ac:dyDescent="0.25">
      <c r="A186" s="13" t="s">
        <v>67</v>
      </c>
      <c r="D186" s="13" t="str">
        <f t="shared" si="6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86" s="13">
        <f t="shared" si="7"/>
        <v>63</v>
      </c>
      <c r="F186" s="15" t="str">
        <f>"""NAV"",""CRONUS JetCorp USA"",""27"",""1"",""E100019"""</f>
        <v>"NAV","CRONUS JetCorp USA","27","1","E100019"</v>
      </c>
      <c r="G186" s="9"/>
      <c r="H186" t="str">
        <f>"E100019"</f>
        <v>E100019</v>
      </c>
      <c r="J186" s="2"/>
      <c r="K186" s="2"/>
      <c r="L186" s="2"/>
      <c r="M186" s="8"/>
      <c r="N186" s="10"/>
      <c r="Q186" s="8"/>
    </row>
    <row r="187" spans="1:17" ht="32.25" customHeight="1" x14ac:dyDescent="0.25">
      <c r="A187" s="13" t="s">
        <v>67</v>
      </c>
      <c r="D187" s="13" t="str">
        <f t="shared" si="6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87" s="13">
        <f t="shared" si="7"/>
        <v>64</v>
      </c>
      <c r="F187" s="15" t="str">
        <f>"""NAV"",""CRONUS JetCorp USA"",""27"",""1"",""S200007"""</f>
        <v>"NAV","CRONUS JetCorp USA","27","1","S200007"</v>
      </c>
      <c r="G187" s="9"/>
      <c r="H187" t="str">
        <f>"S200007"</f>
        <v>S200007</v>
      </c>
      <c r="J187" s="2"/>
      <c r="K187" s="2"/>
      <c r="L187" s="2"/>
      <c r="M187" s="8"/>
      <c r="N187" s="10"/>
      <c r="Q187" s="8"/>
    </row>
    <row r="188" spans="1:17" ht="32.25" customHeight="1" x14ac:dyDescent="0.25">
      <c r="A188" s="13" t="s">
        <v>67</v>
      </c>
      <c r="D188" s="13" t="str">
        <f t="shared" si="6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88" s="13">
        <f t="shared" si="7"/>
        <v>65</v>
      </c>
      <c r="F188" s="15" t="str">
        <f>"""NAV"",""CRONUS JetCorp USA"",""27"",""1"",""E100034"""</f>
        <v>"NAV","CRONUS JetCorp USA","27","1","E100034"</v>
      </c>
      <c r="G188" s="9"/>
      <c r="H188" t="str">
        <f>"E100034"</f>
        <v>E100034</v>
      </c>
      <c r="J188" s="2"/>
      <c r="K188" s="2"/>
      <c r="L188" s="2"/>
      <c r="M188" s="8"/>
      <c r="N188" s="10"/>
      <c r="Q188" s="8"/>
    </row>
    <row r="189" spans="1:17" ht="32.25" customHeight="1" x14ac:dyDescent="0.25">
      <c r="A189" s="13" t="s">
        <v>67</v>
      </c>
      <c r="D189" s="13" t="str">
        <f t="shared" ref="D189:D223" si="8">"-=NL(""Sum"",""5802 Value Entry"",""17 Sales Amount (actual)"",""3 Posting Date"","""&amp;$I$4&amp;""",""2 Item No."",NF(,""1 No.""))+NL(""Sum"",5802,""43 Cost Amount (actual)"",4,""Sale"",3,"""&amp;$I$4&amp;""",""105 Entry Type"",""&lt;&gt;Revaluation"",2,NF(,""1 No.""))"</f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89" s="13">
        <f t="shared" ref="E189:E223" si="9">E188+1</f>
        <v>66</v>
      </c>
      <c r="F189" s="15" t="str">
        <f>"""NAV"",""CRONUS JetCorp USA"",""27"",""1"",""C100033"""</f>
        <v>"NAV","CRONUS JetCorp USA","27","1","C100033"</v>
      </c>
      <c r="G189" s="9"/>
      <c r="H189" t="str">
        <f>"C100033"</f>
        <v>C100033</v>
      </c>
      <c r="J189" s="2"/>
      <c r="K189" s="2"/>
      <c r="L189" s="2"/>
      <c r="M189" s="8"/>
      <c r="N189" s="10"/>
      <c r="Q189" s="8"/>
    </row>
    <row r="190" spans="1:17" ht="32.25" customHeight="1" x14ac:dyDescent="0.25">
      <c r="A190" s="13" t="s">
        <v>67</v>
      </c>
      <c r="D190" s="13" t="str">
        <f t="shared" si="8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90" s="13">
        <f t="shared" si="9"/>
        <v>67</v>
      </c>
      <c r="F190" s="15" t="str">
        <f>"""NAV"",""CRONUS JetCorp USA"",""27"",""1"",""S200019"""</f>
        <v>"NAV","CRONUS JetCorp USA","27","1","S200019"</v>
      </c>
      <c r="G190" s="9"/>
      <c r="H190" t="str">
        <f>"S200019"</f>
        <v>S200019</v>
      </c>
      <c r="J190" s="2"/>
      <c r="K190" s="2"/>
      <c r="L190" s="2"/>
      <c r="M190" s="8"/>
      <c r="N190" s="10"/>
      <c r="Q190" s="8"/>
    </row>
    <row r="191" spans="1:17" ht="32.25" customHeight="1" x14ac:dyDescent="0.25">
      <c r="A191" s="13" t="s">
        <v>67</v>
      </c>
      <c r="D191" s="13" t="str">
        <f t="shared" si="8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91" s="13">
        <f t="shared" si="9"/>
        <v>68</v>
      </c>
      <c r="F191" s="15" t="str">
        <f>"""NAV"",""CRONUS JetCorp USA"",""27"",""1"",""C100023"""</f>
        <v>"NAV","CRONUS JetCorp USA","27","1","C100023"</v>
      </c>
      <c r="G191" s="9"/>
      <c r="H191" t="str">
        <f>"C100023"</f>
        <v>C100023</v>
      </c>
      <c r="J191" s="2"/>
      <c r="K191" s="2"/>
      <c r="L191" s="2"/>
      <c r="M191" s="8"/>
      <c r="N191" s="10"/>
      <c r="Q191" s="8"/>
    </row>
    <row r="192" spans="1:17" ht="32.25" customHeight="1" x14ac:dyDescent="0.25">
      <c r="A192" s="13" t="s">
        <v>67</v>
      </c>
      <c r="D192" s="13" t="str">
        <f t="shared" si="8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92" s="13">
        <f t="shared" si="9"/>
        <v>69</v>
      </c>
      <c r="F192" s="15" t="str">
        <f>"""NAV"",""CRONUS JetCorp USA"",""27"",""1"",""C100052"""</f>
        <v>"NAV","CRONUS JetCorp USA","27","1","C100052"</v>
      </c>
      <c r="G192" s="9"/>
      <c r="H192" t="str">
        <f>"C100052"</f>
        <v>C100052</v>
      </c>
      <c r="J192" s="2"/>
      <c r="K192" s="2"/>
      <c r="L192" s="2"/>
      <c r="M192" s="8"/>
      <c r="N192" s="10"/>
      <c r="Q192" s="8"/>
    </row>
    <row r="193" spans="1:17" ht="32.25" customHeight="1" x14ac:dyDescent="0.25">
      <c r="A193" s="13" t="s">
        <v>67</v>
      </c>
      <c r="D193" s="13" t="str">
        <f t="shared" si="8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93" s="13">
        <f t="shared" si="9"/>
        <v>70</v>
      </c>
      <c r="F193" s="15" t="str">
        <f>"""NAV"",""CRONUS JetCorp USA"",""27"",""1"",""E100013"""</f>
        <v>"NAV","CRONUS JetCorp USA","27","1","E100013"</v>
      </c>
      <c r="G193" s="9"/>
      <c r="H193" t="str">
        <f>"E100013"</f>
        <v>E100013</v>
      </c>
      <c r="J193" s="2"/>
      <c r="K193" s="2"/>
      <c r="L193" s="2"/>
      <c r="M193" s="8"/>
      <c r="N193" s="10"/>
      <c r="Q193" s="8"/>
    </row>
    <row r="194" spans="1:17" ht="32.25" customHeight="1" x14ac:dyDescent="0.25">
      <c r="A194" s="13" t="s">
        <v>67</v>
      </c>
      <c r="D194" s="13" t="str">
        <f t="shared" si="8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94" s="13">
        <f t="shared" si="9"/>
        <v>71</v>
      </c>
      <c r="F194" s="15" t="str">
        <f>"""NAV"",""CRONUS JetCorp USA"",""27"",""1"",""E100018"""</f>
        <v>"NAV","CRONUS JetCorp USA","27","1","E100018"</v>
      </c>
      <c r="G194" s="9"/>
      <c r="H194" t="str">
        <f>"E100018"</f>
        <v>E100018</v>
      </c>
      <c r="J194" s="2"/>
      <c r="K194" s="2"/>
      <c r="L194" s="2"/>
      <c r="M194" s="8"/>
      <c r="N194" s="10"/>
      <c r="Q194" s="8"/>
    </row>
    <row r="195" spans="1:17" ht="32.25" customHeight="1" x14ac:dyDescent="0.25">
      <c r="A195" s="13" t="s">
        <v>67</v>
      </c>
      <c r="D195" s="13" t="str">
        <f t="shared" si="8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95" s="13">
        <f t="shared" si="9"/>
        <v>72</v>
      </c>
      <c r="F195" s="15" t="str">
        <f>"""NAV"",""CRONUS JetCorp USA"",""27"",""1"",""C100066"""</f>
        <v>"NAV","CRONUS JetCorp USA","27","1","C100066"</v>
      </c>
      <c r="G195" s="9"/>
      <c r="H195" t="str">
        <f>"C100066"</f>
        <v>C100066</v>
      </c>
      <c r="J195" s="2"/>
      <c r="K195" s="2"/>
      <c r="L195" s="2"/>
      <c r="M195" s="8"/>
      <c r="N195" s="10"/>
      <c r="Q195" s="8"/>
    </row>
    <row r="196" spans="1:17" ht="32.25" customHeight="1" x14ac:dyDescent="0.25">
      <c r="A196" s="13" t="s">
        <v>67</v>
      </c>
      <c r="D196" s="13" t="str">
        <f t="shared" si="8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96" s="13">
        <f t="shared" si="9"/>
        <v>73</v>
      </c>
      <c r="F196" s="15" t="str">
        <f>"""NAV"",""CRONUS JetCorp USA"",""27"",""1"",""E100015"""</f>
        <v>"NAV","CRONUS JetCorp USA","27","1","E100015"</v>
      </c>
      <c r="G196" s="9"/>
      <c r="H196" t="str">
        <f>"E100015"</f>
        <v>E100015</v>
      </c>
      <c r="J196" s="2"/>
      <c r="K196" s="2"/>
      <c r="L196" s="2"/>
      <c r="M196" s="8"/>
      <c r="N196" s="10"/>
      <c r="Q196" s="8"/>
    </row>
    <row r="197" spans="1:17" ht="32.25" customHeight="1" x14ac:dyDescent="0.25">
      <c r="A197" s="13" t="s">
        <v>67</v>
      </c>
      <c r="D197" s="13" t="str">
        <f t="shared" si="8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97" s="13">
        <f t="shared" si="9"/>
        <v>74</v>
      </c>
      <c r="F197" s="15" t="str">
        <f>"""NAV"",""CRONUS JetCorp USA"",""27"",""1"",""E100038"""</f>
        <v>"NAV","CRONUS JetCorp USA","27","1","E100038"</v>
      </c>
      <c r="G197" s="9"/>
      <c r="H197" t="str">
        <f>"E100038"</f>
        <v>E100038</v>
      </c>
      <c r="J197" s="2"/>
      <c r="K197" s="2"/>
      <c r="L197" s="2"/>
      <c r="M197" s="8"/>
      <c r="N197" s="10"/>
      <c r="Q197" s="8"/>
    </row>
    <row r="198" spans="1:17" ht="32.25" customHeight="1" x14ac:dyDescent="0.25">
      <c r="A198" s="13" t="s">
        <v>67</v>
      </c>
      <c r="D198" s="13" t="str">
        <f t="shared" si="8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98" s="13">
        <f t="shared" si="9"/>
        <v>75</v>
      </c>
      <c r="F198" s="15" t="str">
        <f>"""NAV"",""CRONUS JetCorp USA"",""27"",""1"",""E100023"""</f>
        <v>"NAV","CRONUS JetCorp USA","27","1","E100023"</v>
      </c>
      <c r="G198" s="9"/>
      <c r="H198" t="str">
        <f>"E100023"</f>
        <v>E100023</v>
      </c>
      <c r="J198" s="2"/>
      <c r="K198" s="2"/>
      <c r="L198" s="2"/>
      <c r="M198" s="8"/>
      <c r="N198" s="10"/>
      <c r="Q198" s="8"/>
    </row>
    <row r="199" spans="1:17" ht="32.25" customHeight="1" x14ac:dyDescent="0.25">
      <c r="A199" s="13" t="s">
        <v>67</v>
      </c>
      <c r="D199" s="13" t="str">
        <f t="shared" si="8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199" s="13">
        <f t="shared" si="9"/>
        <v>76</v>
      </c>
      <c r="F199" s="15" t="str">
        <f>"""NAV"",""CRONUS JetCorp USA"",""27"",""1"",""E100011"""</f>
        <v>"NAV","CRONUS JetCorp USA","27","1","E100011"</v>
      </c>
      <c r="G199" s="9"/>
      <c r="H199" t="str">
        <f>"E100011"</f>
        <v>E100011</v>
      </c>
      <c r="J199" s="2"/>
      <c r="K199" s="2"/>
      <c r="L199" s="2"/>
      <c r="M199" s="8"/>
      <c r="N199" s="10"/>
      <c r="Q199" s="8"/>
    </row>
    <row r="200" spans="1:17" ht="32.25" customHeight="1" x14ac:dyDescent="0.25">
      <c r="A200" s="13" t="s">
        <v>67</v>
      </c>
      <c r="D200" s="13" t="str">
        <f t="shared" si="8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200" s="13">
        <f t="shared" si="9"/>
        <v>77</v>
      </c>
      <c r="F200" s="15" t="str">
        <f>"""NAV"",""CRONUS JetCorp USA"",""27"",""1"",""C100053"""</f>
        <v>"NAV","CRONUS JetCorp USA","27","1","C100053"</v>
      </c>
      <c r="G200" s="9"/>
      <c r="H200" t="str">
        <f>"C100053"</f>
        <v>C100053</v>
      </c>
      <c r="J200" s="2"/>
      <c r="K200" s="2"/>
      <c r="L200" s="2"/>
      <c r="M200" s="8"/>
      <c r="N200" s="10"/>
      <c r="Q200" s="8"/>
    </row>
    <row r="201" spans="1:17" ht="32.25" customHeight="1" x14ac:dyDescent="0.25">
      <c r="A201" s="13" t="s">
        <v>67</v>
      </c>
      <c r="D201" s="13" t="str">
        <f t="shared" si="8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201" s="13">
        <f t="shared" si="9"/>
        <v>78</v>
      </c>
      <c r="F201" s="15" t="str">
        <f>"""NAV"",""CRONUS JetCorp USA"",""27"",""1"",""S100003"""</f>
        <v>"NAV","CRONUS JetCorp USA","27","1","S100003"</v>
      </c>
      <c r="G201" s="9"/>
      <c r="H201" t="str">
        <f>"S100003"</f>
        <v>S100003</v>
      </c>
      <c r="J201" s="2"/>
      <c r="K201" s="2"/>
      <c r="L201" s="2"/>
      <c r="M201" s="8"/>
      <c r="N201" s="10"/>
      <c r="Q201" s="8"/>
    </row>
    <row r="202" spans="1:17" ht="32.25" customHeight="1" x14ac:dyDescent="0.25">
      <c r="A202" s="13" t="s">
        <v>67</v>
      </c>
      <c r="D202" s="13" t="str">
        <f t="shared" si="8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202" s="13">
        <f t="shared" si="9"/>
        <v>79</v>
      </c>
      <c r="F202" s="15" t="str">
        <f>"""NAV"",""CRONUS JetCorp USA"",""27"",""1"",""E100017"""</f>
        <v>"NAV","CRONUS JetCorp USA","27","1","E100017"</v>
      </c>
      <c r="G202" s="9"/>
      <c r="H202" t="str">
        <f>"E100017"</f>
        <v>E100017</v>
      </c>
      <c r="J202" s="2"/>
      <c r="K202" s="2"/>
      <c r="L202" s="2"/>
      <c r="M202" s="8"/>
      <c r="N202" s="10"/>
      <c r="Q202" s="8"/>
    </row>
    <row r="203" spans="1:17" ht="32.25" customHeight="1" x14ac:dyDescent="0.25">
      <c r="A203" s="13" t="s">
        <v>67</v>
      </c>
      <c r="D203" s="13" t="str">
        <f t="shared" si="8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203" s="13">
        <f t="shared" si="9"/>
        <v>80</v>
      </c>
      <c r="F203" s="15" t="str">
        <f>"""NAV"",""CRONUS JetCorp USA"",""27"",""1"",""E100005"""</f>
        <v>"NAV","CRONUS JetCorp USA","27","1","E100005"</v>
      </c>
      <c r="G203" s="9"/>
      <c r="H203" t="str">
        <f>"E100005"</f>
        <v>E100005</v>
      </c>
      <c r="J203" s="2"/>
      <c r="K203" s="2"/>
      <c r="L203" s="2"/>
      <c r="M203" s="8"/>
      <c r="N203" s="10"/>
      <c r="Q203" s="8"/>
    </row>
    <row r="204" spans="1:17" ht="32.25" customHeight="1" x14ac:dyDescent="0.25">
      <c r="A204" s="13" t="s">
        <v>67</v>
      </c>
      <c r="D204" s="13" t="str">
        <f t="shared" si="8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204" s="13">
        <f t="shared" si="9"/>
        <v>81</v>
      </c>
      <c r="F204" s="15" t="str">
        <f>"""NAV"",""CRONUS JetCorp USA"",""27"",""1"",""C100048"""</f>
        <v>"NAV","CRONUS JetCorp USA","27","1","C100048"</v>
      </c>
      <c r="G204" s="9"/>
      <c r="H204" t="str">
        <f>"C100048"</f>
        <v>C100048</v>
      </c>
      <c r="J204" s="2"/>
      <c r="K204" s="2"/>
      <c r="L204" s="2"/>
      <c r="M204" s="8"/>
      <c r="N204" s="10"/>
      <c r="Q204" s="8"/>
    </row>
    <row r="205" spans="1:17" ht="32.25" customHeight="1" x14ac:dyDescent="0.25">
      <c r="A205" s="13" t="s">
        <v>67</v>
      </c>
      <c r="D205" s="13" t="str">
        <f t="shared" si="8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205" s="13">
        <f t="shared" si="9"/>
        <v>82</v>
      </c>
      <c r="F205" s="15" t="str">
        <f>"""NAV"",""CRONUS JetCorp USA"",""27"",""1"",""C100009"""</f>
        <v>"NAV","CRONUS JetCorp USA","27","1","C100009"</v>
      </c>
      <c r="G205" s="9"/>
      <c r="H205" t="str">
        <f>"C100009"</f>
        <v>C100009</v>
      </c>
      <c r="J205" s="2"/>
      <c r="K205" s="2"/>
      <c r="L205" s="2"/>
      <c r="M205" s="8"/>
      <c r="N205" s="10"/>
      <c r="Q205" s="8"/>
    </row>
    <row r="206" spans="1:17" ht="32.25" customHeight="1" x14ac:dyDescent="0.25">
      <c r="A206" s="13" t="s">
        <v>67</v>
      </c>
      <c r="D206" s="13" t="str">
        <f t="shared" si="8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206" s="13">
        <f t="shared" si="9"/>
        <v>83</v>
      </c>
      <c r="F206" s="15" t="str">
        <f>"""NAV"",""CRONUS JetCorp USA"",""27"",""1"",""E100047"""</f>
        <v>"NAV","CRONUS JetCorp USA","27","1","E100047"</v>
      </c>
      <c r="G206" s="9"/>
      <c r="H206" t="str">
        <f>"E100047"</f>
        <v>E100047</v>
      </c>
      <c r="J206" s="2"/>
      <c r="K206" s="2"/>
      <c r="L206" s="2"/>
      <c r="M206" s="8"/>
      <c r="N206" s="10"/>
      <c r="Q206" s="8"/>
    </row>
    <row r="207" spans="1:17" ht="32.25" customHeight="1" x14ac:dyDescent="0.25">
      <c r="A207" s="13" t="s">
        <v>67</v>
      </c>
      <c r="D207" s="13" t="str">
        <f t="shared" si="8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207" s="13">
        <f t="shared" si="9"/>
        <v>84</v>
      </c>
      <c r="F207" s="15" t="str">
        <f>"""NAV"",""CRONUS JetCorp USA"",""27"",""1"",""C100035"""</f>
        <v>"NAV","CRONUS JetCorp USA","27","1","C100035"</v>
      </c>
      <c r="G207" s="9"/>
      <c r="H207" t="str">
        <f>"C100035"</f>
        <v>C100035</v>
      </c>
      <c r="J207" s="2"/>
      <c r="K207" s="2"/>
      <c r="L207" s="2"/>
      <c r="M207" s="8"/>
      <c r="N207" s="10"/>
      <c r="Q207" s="8"/>
    </row>
    <row r="208" spans="1:17" ht="32.25" customHeight="1" x14ac:dyDescent="0.25">
      <c r="A208" s="13" t="s">
        <v>67</v>
      </c>
      <c r="D208" s="13" t="str">
        <f t="shared" si="8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208" s="13">
        <f t="shared" si="9"/>
        <v>85</v>
      </c>
      <c r="F208" s="15" t="str">
        <f>"""NAV"",""CRONUS JetCorp USA"",""27"",""1"",""E100003"""</f>
        <v>"NAV","CRONUS JetCorp USA","27","1","E100003"</v>
      </c>
      <c r="G208" s="9"/>
      <c r="H208" t="str">
        <f>"E100003"</f>
        <v>E100003</v>
      </c>
      <c r="J208" s="2"/>
      <c r="K208" s="2"/>
      <c r="L208" s="2"/>
      <c r="M208" s="8"/>
      <c r="N208" s="10"/>
      <c r="Q208" s="8"/>
    </row>
    <row r="209" spans="1:17" ht="32.25" customHeight="1" x14ac:dyDescent="0.25">
      <c r="A209" s="13" t="s">
        <v>67</v>
      </c>
      <c r="D209" s="13" t="str">
        <f t="shared" si="8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209" s="13">
        <f t="shared" si="9"/>
        <v>86</v>
      </c>
      <c r="F209" s="15" t="str">
        <f>"""NAV"",""CRONUS JetCorp USA"",""27"",""1"",""E100004"""</f>
        <v>"NAV","CRONUS JetCorp USA","27","1","E100004"</v>
      </c>
      <c r="G209" s="9"/>
      <c r="H209" t="str">
        <f>"E100004"</f>
        <v>E100004</v>
      </c>
      <c r="J209" s="2"/>
      <c r="K209" s="2"/>
      <c r="L209" s="2"/>
      <c r="M209" s="8"/>
      <c r="N209" s="10"/>
      <c r="Q209" s="8"/>
    </row>
    <row r="210" spans="1:17" ht="32.25" customHeight="1" x14ac:dyDescent="0.25">
      <c r="A210" s="13" t="s">
        <v>67</v>
      </c>
      <c r="D210" s="13" t="str">
        <f t="shared" si="8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210" s="13">
        <f t="shared" si="9"/>
        <v>87</v>
      </c>
      <c r="F210" s="15" t="str">
        <f>"""NAV"",""CRONUS JetCorp USA"",""27"",""1"",""E100022"""</f>
        <v>"NAV","CRONUS JetCorp USA","27","1","E100022"</v>
      </c>
      <c r="G210" s="9"/>
      <c r="H210" t="str">
        <f>"E100022"</f>
        <v>E100022</v>
      </c>
      <c r="J210" s="2"/>
      <c r="K210" s="2"/>
      <c r="L210" s="2"/>
      <c r="M210" s="8"/>
      <c r="N210" s="10"/>
      <c r="Q210" s="8"/>
    </row>
    <row r="211" spans="1:17" ht="32.25" customHeight="1" x14ac:dyDescent="0.25">
      <c r="A211" s="13" t="s">
        <v>67</v>
      </c>
      <c r="D211" s="13" t="str">
        <f t="shared" si="8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211" s="13">
        <f t="shared" si="9"/>
        <v>88</v>
      </c>
      <c r="F211" s="15" t="str">
        <f>"""NAV"",""CRONUS JetCorp USA"",""27"",""1"",""S200012"""</f>
        <v>"NAV","CRONUS JetCorp USA","27","1","S200012"</v>
      </c>
      <c r="G211" s="9"/>
      <c r="H211" t="str">
        <f>"S200012"</f>
        <v>S200012</v>
      </c>
      <c r="J211" s="2"/>
      <c r="K211" s="2"/>
      <c r="L211" s="2"/>
      <c r="M211" s="8"/>
      <c r="N211" s="10"/>
      <c r="Q211" s="8"/>
    </row>
    <row r="212" spans="1:17" ht="32.25" customHeight="1" x14ac:dyDescent="0.25">
      <c r="A212" s="13" t="s">
        <v>67</v>
      </c>
      <c r="D212" s="13" t="str">
        <f t="shared" si="8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212" s="13">
        <f t="shared" si="9"/>
        <v>89</v>
      </c>
      <c r="F212" s="15" t="str">
        <f>"""NAV"",""CRONUS JetCorp USA"",""27"",""1"",""E100024"""</f>
        <v>"NAV","CRONUS JetCorp USA","27","1","E100024"</v>
      </c>
      <c r="G212" s="9"/>
      <c r="H212" t="str">
        <f>"E100024"</f>
        <v>E100024</v>
      </c>
      <c r="J212" s="2"/>
      <c r="K212" s="2"/>
      <c r="L212" s="2"/>
      <c r="M212" s="8"/>
      <c r="N212" s="10"/>
      <c r="Q212" s="8"/>
    </row>
    <row r="213" spans="1:17" ht="32.25" customHeight="1" x14ac:dyDescent="0.25">
      <c r="A213" s="13" t="s">
        <v>67</v>
      </c>
      <c r="D213" s="13" t="str">
        <f t="shared" si="8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213" s="13">
        <f t="shared" si="9"/>
        <v>90</v>
      </c>
      <c r="F213" s="15" t="str">
        <f>"""NAV"",""CRONUS JetCorp USA"",""27"",""1"",""E100042"""</f>
        <v>"NAV","CRONUS JetCorp USA","27","1","E100042"</v>
      </c>
      <c r="G213" s="9"/>
      <c r="H213" t="str">
        <f>"E100042"</f>
        <v>E100042</v>
      </c>
      <c r="J213" s="2"/>
      <c r="K213" s="2"/>
      <c r="L213" s="2"/>
      <c r="M213" s="8"/>
      <c r="N213" s="10"/>
      <c r="Q213" s="8"/>
    </row>
    <row r="214" spans="1:17" ht="32.25" customHeight="1" x14ac:dyDescent="0.25">
      <c r="A214" s="13" t="s">
        <v>67</v>
      </c>
      <c r="D214" s="13" t="str">
        <f t="shared" si="8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214" s="13">
        <f t="shared" si="9"/>
        <v>91</v>
      </c>
      <c r="F214" s="15" t="str">
        <f>"""NAV"",""CRONUS JetCorp USA"",""27"",""1"",""C100044"""</f>
        <v>"NAV","CRONUS JetCorp USA","27","1","C100044"</v>
      </c>
      <c r="G214" s="9"/>
      <c r="H214" t="str">
        <f>"C100044"</f>
        <v>C100044</v>
      </c>
      <c r="J214" s="2"/>
      <c r="K214" s="2"/>
      <c r="L214" s="2"/>
      <c r="M214" s="8"/>
      <c r="N214" s="10"/>
      <c r="Q214" s="8"/>
    </row>
    <row r="215" spans="1:17" ht="32.25" customHeight="1" x14ac:dyDescent="0.25">
      <c r="A215" s="13" t="s">
        <v>67</v>
      </c>
      <c r="D215" s="13" t="str">
        <f t="shared" si="8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215" s="13">
        <f t="shared" si="9"/>
        <v>92</v>
      </c>
      <c r="F215" s="15" t="str">
        <f>"""NAV"",""CRONUS JetCorp USA"",""27"",""1"",""E100002"""</f>
        <v>"NAV","CRONUS JetCorp USA","27","1","E100002"</v>
      </c>
      <c r="G215" s="9"/>
      <c r="H215" t="str">
        <f>"E100002"</f>
        <v>E100002</v>
      </c>
      <c r="J215" s="2"/>
      <c r="K215" s="2"/>
      <c r="L215" s="2"/>
      <c r="M215" s="8"/>
      <c r="N215" s="10"/>
      <c r="Q215" s="8"/>
    </row>
    <row r="216" spans="1:17" ht="32.25" customHeight="1" x14ac:dyDescent="0.25">
      <c r="A216" s="13" t="s">
        <v>67</v>
      </c>
      <c r="D216" s="13" t="str">
        <f t="shared" si="8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216" s="13">
        <f t="shared" si="9"/>
        <v>93</v>
      </c>
      <c r="F216" s="15" t="str">
        <f>"""NAV"",""CRONUS JetCorp USA"",""27"",""1"",""C100038"""</f>
        <v>"NAV","CRONUS JetCorp USA","27","1","C100038"</v>
      </c>
      <c r="G216" s="9"/>
      <c r="H216" t="str">
        <f>"C100038"</f>
        <v>C100038</v>
      </c>
      <c r="J216" s="2"/>
      <c r="K216" s="2"/>
      <c r="L216" s="2"/>
      <c r="M216" s="8"/>
      <c r="N216" s="10"/>
      <c r="Q216" s="8"/>
    </row>
    <row r="217" spans="1:17" ht="32.25" customHeight="1" x14ac:dyDescent="0.25">
      <c r="A217" s="13" t="s">
        <v>67</v>
      </c>
      <c r="D217" s="13" t="str">
        <f t="shared" si="8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217" s="13">
        <f t="shared" si="9"/>
        <v>94</v>
      </c>
      <c r="F217" s="15" t="str">
        <f>"""NAV"",""CRONUS JetCorp USA"",""27"",""1"",""E100027"""</f>
        <v>"NAV","CRONUS JetCorp USA","27","1","E100027"</v>
      </c>
      <c r="G217" s="9"/>
      <c r="H217" t="str">
        <f>"E100027"</f>
        <v>E100027</v>
      </c>
      <c r="J217" s="2"/>
      <c r="K217" s="2"/>
      <c r="L217" s="2"/>
      <c r="M217" s="8"/>
      <c r="N217" s="10"/>
      <c r="Q217" s="8"/>
    </row>
    <row r="218" spans="1:17" ht="32.25" customHeight="1" x14ac:dyDescent="0.25">
      <c r="A218" s="13" t="s">
        <v>67</v>
      </c>
      <c r="D218" s="13" t="str">
        <f t="shared" si="8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218" s="13">
        <f t="shared" si="9"/>
        <v>95</v>
      </c>
      <c r="F218" s="15" t="str">
        <f>"""NAV"",""CRONUS JetCorp USA"",""27"",""1"",""S200017"""</f>
        <v>"NAV","CRONUS JetCorp USA","27","1","S200017"</v>
      </c>
      <c r="G218" s="9"/>
      <c r="H218" t="str">
        <f>"S200017"</f>
        <v>S200017</v>
      </c>
      <c r="J218" s="2"/>
      <c r="K218" s="2"/>
      <c r="L218" s="2"/>
      <c r="M218" s="8"/>
      <c r="N218" s="10"/>
      <c r="Q218" s="8"/>
    </row>
    <row r="219" spans="1:17" ht="32.25" customHeight="1" x14ac:dyDescent="0.25">
      <c r="A219" s="13" t="s">
        <v>67</v>
      </c>
      <c r="D219" s="13" t="str">
        <f t="shared" si="8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219" s="13">
        <f t="shared" si="9"/>
        <v>96</v>
      </c>
      <c r="F219" s="15" t="str">
        <f>"""NAV"",""CRONUS JetCorp USA"",""27"",""1"",""S100011"""</f>
        <v>"NAV","CRONUS JetCorp USA","27","1","S100011"</v>
      </c>
      <c r="G219" s="9"/>
      <c r="H219" t="str">
        <f>"S100011"</f>
        <v>S100011</v>
      </c>
      <c r="J219" s="2"/>
      <c r="K219" s="2"/>
      <c r="L219" s="2"/>
      <c r="M219" s="8"/>
      <c r="N219" s="10"/>
      <c r="Q219" s="8"/>
    </row>
    <row r="220" spans="1:17" ht="32.25" customHeight="1" x14ac:dyDescent="0.25">
      <c r="A220" s="13" t="s">
        <v>67</v>
      </c>
      <c r="D220" s="13" t="str">
        <f t="shared" si="8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220" s="13">
        <f t="shared" si="9"/>
        <v>97</v>
      </c>
      <c r="F220" s="15" t="str">
        <f>"""NAV"",""CRONUS JetCorp USA"",""27"",""1"",""C100047"""</f>
        <v>"NAV","CRONUS JetCorp USA","27","1","C100047"</v>
      </c>
      <c r="G220" s="9"/>
      <c r="H220" t="str">
        <f>"C100047"</f>
        <v>C100047</v>
      </c>
      <c r="J220" s="2"/>
      <c r="K220" s="2"/>
      <c r="L220" s="2"/>
      <c r="M220" s="8"/>
      <c r="N220" s="10"/>
      <c r="Q220" s="8"/>
    </row>
    <row r="221" spans="1:17" ht="32.25" customHeight="1" x14ac:dyDescent="0.25">
      <c r="A221" s="13" t="s">
        <v>67</v>
      </c>
      <c r="D221" s="13" t="str">
        <f t="shared" si="8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221" s="13">
        <f t="shared" si="9"/>
        <v>98</v>
      </c>
      <c r="F221" s="15" t="str">
        <f>"""NAV"",""CRONUS JetCorp USA"",""27"",""1"",""S200031"""</f>
        <v>"NAV","CRONUS JetCorp USA","27","1","S200031"</v>
      </c>
      <c r="G221" s="9"/>
      <c r="H221" t="str">
        <f>"S200031"</f>
        <v>S200031</v>
      </c>
      <c r="J221" s="2"/>
      <c r="K221" s="2"/>
      <c r="L221" s="2"/>
      <c r="M221" s="8"/>
      <c r="N221" s="10"/>
      <c r="Q221" s="8"/>
    </row>
    <row r="222" spans="1:17" ht="32.25" customHeight="1" x14ac:dyDescent="0.25">
      <c r="A222" s="13" t="s">
        <v>67</v>
      </c>
      <c r="D222" s="13" t="str">
        <f t="shared" si="8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222" s="13">
        <f t="shared" si="9"/>
        <v>99</v>
      </c>
      <c r="F222" s="15" t="str">
        <f>"""NAV"",""CRONUS JetCorp USA"",""27"",""1"",""E100035"""</f>
        <v>"NAV","CRONUS JetCorp USA","27","1","E100035"</v>
      </c>
      <c r="G222" s="9"/>
      <c r="H222" t="str">
        <f>"E100035"</f>
        <v>E100035</v>
      </c>
      <c r="J222" s="2"/>
      <c r="K222" s="2"/>
      <c r="L222" s="2"/>
      <c r="M222" s="8"/>
      <c r="N222" s="10"/>
      <c r="Q222" s="8"/>
    </row>
    <row r="223" spans="1:17" ht="32.25" customHeight="1" x14ac:dyDescent="0.25">
      <c r="A223" s="13" t="s">
        <v>67</v>
      </c>
      <c r="D223" s="13" t="str">
        <f t="shared" si="8"/>
        <v>-=NL("Sum","5802 Value Entry","17 Sales Amount (actual)","3 Posting Date","01/01/2019..10/01/2019","2 Item No.",NF(,"1 No."))+NL("Sum",5802,"43 Cost Amount (actual)",4,"Sale",3,"01/01/2019..10/01/2019","105 Entry Type","&lt;&gt;Revaluation",2,NF(,"1 No."))</v>
      </c>
      <c r="E223" s="13">
        <f t="shared" si="9"/>
        <v>100</v>
      </c>
      <c r="F223" s="15" t="str">
        <f>"""NAV"",""CRONUS JetCorp USA"",""27"",""1"",""S100024"""</f>
        <v>"NAV","CRONUS JetCorp USA","27","1","S100024"</v>
      </c>
      <c r="G223" s="9"/>
      <c r="H223" t="str">
        <f>"S100024"</f>
        <v>S100024</v>
      </c>
      <c r="J223" s="2"/>
      <c r="K223" s="2"/>
      <c r="L223" s="2"/>
      <c r="M223" s="8"/>
      <c r="N223" s="10"/>
      <c r="Q223" s="8"/>
    </row>
    <row r="224" spans="1:17" x14ac:dyDescent="0.25">
      <c r="J224"/>
    </row>
    <row r="225" spans="9:28" x14ac:dyDescent="0.25">
      <c r="I225" s="50" t="str">
        <f>"Top "&amp;I5&amp;" Items by Sales Volume"</f>
        <v>Top 100 Items by Sales Volume</v>
      </c>
      <c r="J225" s="50"/>
      <c r="Q225" s="49" t="str">
        <f>"Top "&amp;$I$5&amp;" Items by Margin"</f>
        <v>Top 100 Items by Margin</v>
      </c>
      <c r="R225" s="49"/>
    </row>
    <row r="226" spans="9:28" x14ac:dyDescent="0.25">
      <c r="J226" s="5"/>
    </row>
    <row r="227" spans="9:28" x14ac:dyDescent="0.25">
      <c r="J227" s="5"/>
    </row>
    <row r="228" spans="9:28" x14ac:dyDescent="0.25">
      <c r="J228" s="5"/>
    </row>
    <row r="229" spans="9:28" x14ac:dyDescent="0.25">
      <c r="J229" s="5"/>
    </row>
    <row r="230" spans="9:28" x14ac:dyDescent="0.25">
      <c r="X230" s="9"/>
    </row>
    <row r="231" spans="9:28" x14ac:dyDescent="0.25">
      <c r="Y231" s="9"/>
    </row>
    <row r="232" spans="9:28" x14ac:dyDescent="0.25">
      <c r="Z232" s="9"/>
    </row>
    <row r="233" spans="9:28" x14ac:dyDescent="0.25">
      <c r="AA233" s="9"/>
    </row>
    <row r="234" spans="9:28" x14ac:dyDescent="0.25">
      <c r="AB234" s="9"/>
    </row>
  </sheetData>
  <mergeCells count="9">
    <mergeCell ref="Q225:R225"/>
    <mergeCell ref="I225:J225"/>
    <mergeCell ref="V14:W14"/>
    <mergeCell ref="H14:K14"/>
    <mergeCell ref="H9:L9"/>
    <mergeCell ref="H16:N16"/>
    <mergeCell ref="Q16:W16"/>
    <mergeCell ref="H120:I120"/>
    <mergeCell ref="Q120:R120"/>
  </mergeCells>
  <pageMargins left="0.35433070866141736" right="0.23622047244094491" top="0.78740157480314965" bottom="0.78740157480314965" header="0.31496062992125984" footer="0.31496062992125984"/>
  <pageSetup paperSize="9" scale="44" orientation="landscape" horizontalDpi="300" verticalDpi="3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27"/>
  <sheetViews>
    <sheetView workbookViewId="0"/>
  </sheetViews>
  <sheetFormatPr defaultRowHeight="15" x14ac:dyDescent="0.25"/>
  <sheetData>
    <row r="1" spans="1:23" x14ac:dyDescent="0.25">
      <c r="A1" s="44" t="s">
        <v>137</v>
      </c>
      <c r="B1" s="44" t="s">
        <v>3</v>
      </c>
      <c r="C1" s="44" t="s">
        <v>3</v>
      </c>
      <c r="D1" s="44" t="s">
        <v>3</v>
      </c>
      <c r="E1" s="44" t="s">
        <v>3</v>
      </c>
      <c r="F1" s="44" t="s">
        <v>3</v>
      </c>
      <c r="H1" s="44" t="s">
        <v>15</v>
      </c>
      <c r="I1" s="44" t="s">
        <v>15</v>
      </c>
      <c r="J1" s="44" t="s">
        <v>15</v>
      </c>
      <c r="K1" s="44" t="s">
        <v>15</v>
      </c>
      <c r="L1" s="44" t="s">
        <v>15</v>
      </c>
      <c r="M1" s="44" t="s">
        <v>15</v>
      </c>
      <c r="N1" s="44" t="s">
        <v>15</v>
      </c>
      <c r="O1" s="44" t="s">
        <v>15</v>
      </c>
      <c r="P1" s="44" t="s">
        <v>2</v>
      </c>
      <c r="Q1" s="44" t="s">
        <v>15</v>
      </c>
      <c r="R1" s="44" t="s">
        <v>15</v>
      </c>
      <c r="S1" s="44" t="s">
        <v>15</v>
      </c>
      <c r="T1" s="44" t="s">
        <v>15</v>
      </c>
      <c r="U1" s="44" t="s">
        <v>15</v>
      </c>
      <c r="V1" s="44" t="s">
        <v>15</v>
      </c>
      <c r="W1" s="44" t="s">
        <v>15</v>
      </c>
    </row>
    <row r="2" spans="1:23" x14ac:dyDescent="0.25">
      <c r="A2" s="44" t="s">
        <v>2</v>
      </c>
      <c r="H2" s="44" t="s">
        <v>7</v>
      </c>
      <c r="I2" s="44" t="s">
        <v>27</v>
      </c>
      <c r="K2" s="44" t="s">
        <v>18</v>
      </c>
      <c r="L2" s="44" t="s">
        <v>18</v>
      </c>
      <c r="Q2" s="44" t="s">
        <v>18</v>
      </c>
      <c r="T2" s="44" t="s">
        <v>18</v>
      </c>
      <c r="U2" s="44" t="s">
        <v>18</v>
      </c>
      <c r="V2" s="44" t="s">
        <v>23</v>
      </c>
      <c r="W2" s="44" t="s">
        <v>23</v>
      </c>
    </row>
    <row r="3" spans="1:23" x14ac:dyDescent="0.25">
      <c r="A3" s="44" t="s">
        <v>2</v>
      </c>
      <c r="H3" s="44" t="s">
        <v>8</v>
      </c>
      <c r="I3" s="44" t="s">
        <v>28</v>
      </c>
    </row>
    <row r="4" spans="1:23" x14ac:dyDescent="0.25">
      <c r="A4" s="44" t="s">
        <v>2</v>
      </c>
      <c r="H4" s="44" t="s">
        <v>12</v>
      </c>
      <c r="I4" s="44" t="s">
        <v>29</v>
      </c>
    </row>
    <row r="5" spans="1:23" x14ac:dyDescent="0.25">
      <c r="A5" s="44" t="s">
        <v>2</v>
      </c>
      <c r="H5" s="44" t="s">
        <v>9</v>
      </c>
      <c r="I5" s="44" t="s">
        <v>30</v>
      </c>
    </row>
    <row r="6" spans="1:23" x14ac:dyDescent="0.25">
      <c r="A6" s="44" t="s">
        <v>2</v>
      </c>
    </row>
    <row r="7" spans="1:23" x14ac:dyDescent="0.25">
      <c r="A7" s="44" t="s">
        <v>2</v>
      </c>
    </row>
    <row r="9" spans="1:23" x14ac:dyDescent="0.25">
      <c r="H9" s="44" t="s">
        <v>22</v>
      </c>
    </row>
    <row r="14" spans="1:23" x14ac:dyDescent="0.25">
      <c r="H14" s="44" t="s">
        <v>31</v>
      </c>
      <c r="U14" s="44" t="s">
        <v>14</v>
      </c>
      <c r="V14" s="44" t="s">
        <v>32</v>
      </c>
    </row>
    <row r="16" spans="1:23" x14ac:dyDescent="0.25">
      <c r="H16" s="44" t="s">
        <v>33</v>
      </c>
      <c r="Q16" s="44" t="s">
        <v>34</v>
      </c>
    </row>
    <row r="17" spans="3:23" ht="45" x14ac:dyDescent="0.25">
      <c r="H17" s="44" t="s">
        <v>10</v>
      </c>
      <c r="I17" s="44" t="s">
        <v>11</v>
      </c>
      <c r="J17" s="44" t="s">
        <v>19</v>
      </c>
      <c r="K17" s="45" t="s">
        <v>16</v>
      </c>
      <c r="L17" s="45" t="s">
        <v>17</v>
      </c>
      <c r="M17" s="44" t="s">
        <v>20</v>
      </c>
      <c r="N17" s="44" t="s">
        <v>21</v>
      </c>
      <c r="Q17" s="44" t="s">
        <v>10</v>
      </c>
      <c r="R17" s="44" t="s">
        <v>11</v>
      </c>
      <c r="S17" s="44" t="s">
        <v>19</v>
      </c>
      <c r="T17" s="45" t="s">
        <v>16</v>
      </c>
      <c r="U17" s="45" t="s">
        <v>17</v>
      </c>
      <c r="V17" s="44" t="s">
        <v>20</v>
      </c>
      <c r="W17" s="44" t="s">
        <v>21</v>
      </c>
    </row>
    <row r="19" spans="3:23" x14ac:dyDescent="0.25">
      <c r="C19" s="44" t="s">
        <v>35</v>
      </c>
      <c r="E19" s="44" t="s">
        <v>36</v>
      </c>
      <c r="F19" s="44" t="s">
        <v>37</v>
      </c>
      <c r="H19" s="44" t="s">
        <v>38</v>
      </c>
      <c r="I19" s="44" t="s">
        <v>39</v>
      </c>
      <c r="J19" s="44" t="s">
        <v>40</v>
      </c>
      <c r="K19" s="44" t="s">
        <v>41</v>
      </c>
      <c r="L19" s="44" t="s">
        <v>42</v>
      </c>
      <c r="M19" s="44" t="s">
        <v>43</v>
      </c>
      <c r="N19" s="44" t="s">
        <v>44</v>
      </c>
      <c r="P19" s="44" t="s">
        <v>45</v>
      </c>
      <c r="Q19" s="44" t="s">
        <v>46</v>
      </c>
      <c r="R19" s="44" t="s">
        <v>47</v>
      </c>
      <c r="S19" s="44" t="s">
        <v>48</v>
      </c>
      <c r="T19" s="44" t="s">
        <v>49</v>
      </c>
      <c r="U19" s="44" t="s">
        <v>50</v>
      </c>
      <c r="V19" s="44" t="s">
        <v>51</v>
      </c>
      <c r="W19" s="44" t="s">
        <v>52</v>
      </c>
    </row>
    <row r="21" spans="3:23" x14ac:dyDescent="0.25">
      <c r="H21" s="44" t="s">
        <v>13</v>
      </c>
      <c r="K21" s="44" t="s">
        <v>53</v>
      </c>
      <c r="L21" s="44" t="s">
        <v>54</v>
      </c>
      <c r="M21" s="44" t="s">
        <v>55</v>
      </c>
      <c r="N21" s="44" t="s">
        <v>56</v>
      </c>
      <c r="Q21" s="44" t="s">
        <v>13</v>
      </c>
      <c r="T21" s="44" t="s">
        <v>57</v>
      </c>
      <c r="U21" s="44" t="s">
        <v>58</v>
      </c>
      <c r="V21" s="44" t="s">
        <v>59</v>
      </c>
      <c r="W21" s="44" t="s">
        <v>60</v>
      </c>
    </row>
    <row r="25" spans="3:23" x14ac:dyDescent="0.25">
      <c r="D25" s="44" t="s">
        <v>61</v>
      </c>
      <c r="E25" s="44" t="s">
        <v>62</v>
      </c>
      <c r="F25" s="44" t="s">
        <v>63</v>
      </c>
      <c r="H25" s="44" t="s">
        <v>64</v>
      </c>
    </row>
    <row r="27" spans="3:23" x14ac:dyDescent="0.25">
      <c r="I27" s="44" t="s">
        <v>65</v>
      </c>
      <c r="Q27" s="44" t="s">
        <v>66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27"/>
  <sheetViews>
    <sheetView workbookViewId="0"/>
  </sheetViews>
  <sheetFormatPr defaultRowHeight="15" x14ac:dyDescent="0.25"/>
  <sheetData>
    <row r="1" spans="1:23" x14ac:dyDescent="0.25">
      <c r="A1" s="44" t="s">
        <v>137</v>
      </c>
      <c r="B1" s="44" t="s">
        <v>3</v>
      </c>
      <c r="C1" s="44" t="s">
        <v>3</v>
      </c>
      <c r="D1" s="44" t="s">
        <v>3</v>
      </c>
      <c r="E1" s="44" t="s">
        <v>3</v>
      </c>
      <c r="F1" s="44" t="s">
        <v>3</v>
      </c>
      <c r="H1" s="44" t="s">
        <v>15</v>
      </c>
      <c r="I1" s="44" t="s">
        <v>15</v>
      </c>
      <c r="J1" s="44" t="s">
        <v>15</v>
      </c>
      <c r="K1" s="44" t="s">
        <v>15</v>
      </c>
      <c r="L1" s="44" t="s">
        <v>15</v>
      </c>
      <c r="M1" s="44" t="s">
        <v>15</v>
      </c>
      <c r="N1" s="44" t="s">
        <v>15</v>
      </c>
      <c r="O1" s="44" t="s">
        <v>15</v>
      </c>
      <c r="P1" s="44" t="s">
        <v>2</v>
      </c>
      <c r="Q1" s="44" t="s">
        <v>15</v>
      </c>
      <c r="R1" s="44" t="s">
        <v>15</v>
      </c>
      <c r="S1" s="44" t="s">
        <v>15</v>
      </c>
      <c r="T1" s="44" t="s">
        <v>15</v>
      </c>
      <c r="U1" s="44" t="s">
        <v>15</v>
      </c>
      <c r="V1" s="44" t="s">
        <v>15</v>
      </c>
      <c r="W1" s="44" t="s">
        <v>15</v>
      </c>
    </row>
    <row r="2" spans="1:23" x14ac:dyDescent="0.25">
      <c r="A2" s="44" t="s">
        <v>2</v>
      </c>
      <c r="H2" s="44" t="s">
        <v>7</v>
      </c>
      <c r="I2" s="44" t="s">
        <v>27</v>
      </c>
      <c r="K2" s="44" t="s">
        <v>18</v>
      </c>
      <c r="L2" s="44" t="s">
        <v>18</v>
      </c>
      <c r="Q2" s="44" t="s">
        <v>18</v>
      </c>
      <c r="T2" s="44" t="s">
        <v>18</v>
      </c>
      <c r="U2" s="44" t="s">
        <v>18</v>
      </c>
      <c r="V2" s="44" t="s">
        <v>23</v>
      </c>
      <c r="W2" s="44" t="s">
        <v>23</v>
      </c>
    </row>
    <row r="3" spans="1:23" x14ac:dyDescent="0.25">
      <c r="A3" s="44" t="s">
        <v>2</v>
      </c>
      <c r="H3" s="44" t="s">
        <v>8</v>
      </c>
      <c r="I3" s="44" t="s">
        <v>28</v>
      </c>
    </row>
    <row r="4" spans="1:23" x14ac:dyDescent="0.25">
      <c r="A4" s="44" t="s">
        <v>2</v>
      </c>
      <c r="H4" s="44" t="s">
        <v>12</v>
      </c>
      <c r="I4" s="44" t="s">
        <v>29</v>
      </c>
    </row>
    <row r="5" spans="1:23" x14ac:dyDescent="0.25">
      <c r="A5" s="44" t="s">
        <v>2</v>
      </c>
      <c r="H5" s="44" t="s">
        <v>9</v>
      </c>
      <c r="I5" s="44" t="s">
        <v>30</v>
      </c>
    </row>
    <row r="6" spans="1:23" x14ac:dyDescent="0.25">
      <c r="A6" s="44" t="s">
        <v>2</v>
      </c>
    </row>
    <row r="7" spans="1:23" x14ac:dyDescent="0.25">
      <c r="A7" s="44" t="s">
        <v>2</v>
      </c>
    </row>
    <row r="9" spans="1:23" x14ac:dyDescent="0.25">
      <c r="H9" s="44" t="s">
        <v>22</v>
      </c>
    </row>
    <row r="14" spans="1:23" x14ac:dyDescent="0.25">
      <c r="H14" s="44" t="s">
        <v>31</v>
      </c>
      <c r="U14" s="44" t="s">
        <v>14</v>
      </c>
      <c r="V14" s="44" t="s">
        <v>32</v>
      </c>
    </row>
    <row r="16" spans="1:23" x14ac:dyDescent="0.25">
      <c r="H16" s="44" t="s">
        <v>33</v>
      </c>
      <c r="Q16" s="44" t="s">
        <v>34</v>
      </c>
    </row>
    <row r="17" spans="3:23" ht="45" x14ac:dyDescent="0.25">
      <c r="H17" s="44" t="s">
        <v>10</v>
      </c>
      <c r="I17" s="44" t="s">
        <v>11</v>
      </c>
      <c r="J17" s="44" t="s">
        <v>19</v>
      </c>
      <c r="K17" s="45" t="s">
        <v>16</v>
      </c>
      <c r="L17" s="45" t="s">
        <v>17</v>
      </c>
      <c r="M17" s="44" t="s">
        <v>20</v>
      </c>
      <c r="N17" s="44" t="s">
        <v>21</v>
      </c>
      <c r="Q17" s="44" t="s">
        <v>10</v>
      </c>
      <c r="R17" s="44" t="s">
        <v>11</v>
      </c>
      <c r="S17" s="44" t="s">
        <v>19</v>
      </c>
      <c r="T17" s="45" t="s">
        <v>16</v>
      </c>
      <c r="U17" s="45" t="s">
        <v>17</v>
      </c>
      <c r="V17" s="44" t="s">
        <v>20</v>
      </c>
      <c r="W17" s="44" t="s">
        <v>21</v>
      </c>
    </row>
    <row r="19" spans="3:23" x14ac:dyDescent="0.25">
      <c r="C19" s="44" t="s">
        <v>35</v>
      </c>
      <c r="E19" s="44" t="s">
        <v>36</v>
      </c>
      <c r="F19" s="44" t="s">
        <v>37</v>
      </c>
      <c r="H19" s="44" t="s">
        <v>38</v>
      </c>
      <c r="I19" s="44" t="s">
        <v>39</v>
      </c>
      <c r="J19" s="44" t="s">
        <v>40</v>
      </c>
      <c r="K19" s="44" t="s">
        <v>41</v>
      </c>
      <c r="L19" s="44" t="s">
        <v>42</v>
      </c>
      <c r="M19" s="44" t="s">
        <v>43</v>
      </c>
      <c r="N19" s="44" t="s">
        <v>44</v>
      </c>
      <c r="P19" s="44" t="s">
        <v>45</v>
      </c>
      <c r="Q19" s="44" t="s">
        <v>46</v>
      </c>
      <c r="R19" s="44" t="s">
        <v>47</v>
      </c>
      <c r="S19" s="44" t="s">
        <v>48</v>
      </c>
      <c r="T19" s="44" t="s">
        <v>49</v>
      </c>
      <c r="U19" s="44" t="s">
        <v>50</v>
      </c>
      <c r="V19" s="44" t="s">
        <v>51</v>
      </c>
      <c r="W19" s="44" t="s">
        <v>52</v>
      </c>
    </row>
    <row r="21" spans="3:23" x14ac:dyDescent="0.25">
      <c r="H21" s="44" t="s">
        <v>13</v>
      </c>
      <c r="K21" s="44" t="s">
        <v>53</v>
      </c>
      <c r="L21" s="44" t="s">
        <v>54</v>
      </c>
      <c r="M21" s="44" t="s">
        <v>55</v>
      </c>
      <c r="N21" s="44" t="s">
        <v>56</v>
      </c>
      <c r="Q21" s="44" t="s">
        <v>13</v>
      </c>
      <c r="T21" s="44" t="s">
        <v>57</v>
      </c>
      <c r="U21" s="44" t="s">
        <v>58</v>
      </c>
      <c r="V21" s="44" t="s">
        <v>59</v>
      </c>
      <c r="W21" s="44" t="s">
        <v>60</v>
      </c>
    </row>
    <row r="25" spans="3:23" x14ac:dyDescent="0.25">
      <c r="D25" s="44" t="s">
        <v>61</v>
      </c>
      <c r="E25" s="44" t="s">
        <v>62</v>
      </c>
      <c r="F25" s="44" t="s">
        <v>63</v>
      </c>
      <c r="H25" s="44" t="s">
        <v>64</v>
      </c>
    </row>
    <row r="27" spans="3:23" x14ac:dyDescent="0.25">
      <c r="I27" s="44" t="s">
        <v>65</v>
      </c>
      <c r="Q27" s="44" t="s">
        <v>66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B72B0F-349E-4E31-B0BC-4A7FAE247EF3}">
  <dimension ref="A1:W225"/>
  <sheetViews>
    <sheetView workbookViewId="0"/>
  </sheetViews>
  <sheetFormatPr defaultRowHeight="15" x14ac:dyDescent="0.25"/>
  <sheetData>
    <row r="1" spans="1:23" x14ac:dyDescent="0.25">
      <c r="A1" s="44" t="s">
        <v>1958</v>
      </c>
      <c r="B1" s="44" t="s">
        <v>3</v>
      </c>
      <c r="C1" s="44" t="s">
        <v>3</v>
      </c>
      <c r="D1" s="44" t="s">
        <v>3</v>
      </c>
      <c r="E1" s="44" t="s">
        <v>3</v>
      </c>
      <c r="F1" s="44" t="s">
        <v>3</v>
      </c>
      <c r="H1" s="44" t="s">
        <v>15</v>
      </c>
      <c r="I1" s="44" t="s">
        <v>15</v>
      </c>
      <c r="J1" s="44" t="s">
        <v>15</v>
      </c>
      <c r="K1" s="44" t="s">
        <v>15</v>
      </c>
      <c r="L1" s="44" t="s">
        <v>15</v>
      </c>
      <c r="M1" s="44" t="s">
        <v>15</v>
      </c>
      <c r="N1" s="44" t="s">
        <v>15</v>
      </c>
      <c r="O1" s="44" t="s">
        <v>15</v>
      </c>
      <c r="P1" s="44" t="s">
        <v>2</v>
      </c>
      <c r="Q1" s="44" t="s">
        <v>15</v>
      </c>
      <c r="R1" s="44" t="s">
        <v>15</v>
      </c>
      <c r="S1" s="44" t="s">
        <v>15</v>
      </c>
      <c r="T1" s="44" t="s">
        <v>15</v>
      </c>
      <c r="U1" s="44" t="s">
        <v>15</v>
      </c>
      <c r="V1" s="44" t="s">
        <v>15</v>
      </c>
      <c r="W1" s="44" t="s">
        <v>15</v>
      </c>
    </row>
    <row r="2" spans="1:23" x14ac:dyDescent="0.25">
      <c r="A2" s="44" t="s">
        <v>2</v>
      </c>
      <c r="H2" s="44" t="s">
        <v>7</v>
      </c>
      <c r="I2" s="44" t="s">
        <v>27</v>
      </c>
      <c r="K2" s="44" t="s">
        <v>18</v>
      </c>
      <c r="L2" s="44" t="s">
        <v>18</v>
      </c>
      <c r="Q2" s="44" t="s">
        <v>18</v>
      </c>
      <c r="T2" s="44" t="s">
        <v>18</v>
      </c>
      <c r="U2" s="44" t="s">
        <v>18</v>
      </c>
      <c r="V2" s="44" t="s">
        <v>23</v>
      </c>
      <c r="W2" s="44" t="s">
        <v>23</v>
      </c>
    </row>
    <row r="3" spans="1:23" x14ac:dyDescent="0.25">
      <c r="A3" s="44" t="s">
        <v>2</v>
      </c>
      <c r="H3" s="44" t="s">
        <v>8</v>
      </c>
      <c r="I3" s="44" t="s">
        <v>28</v>
      </c>
    </row>
    <row r="4" spans="1:23" x14ac:dyDescent="0.25">
      <c r="A4" s="44" t="s">
        <v>2</v>
      </c>
      <c r="H4" s="44" t="s">
        <v>12</v>
      </c>
      <c r="I4" s="44" t="s">
        <v>29</v>
      </c>
    </row>
    <row r="5" spans="1:23" x14ac:dyDescent="0.25">
      <c r="A5" s="44" t="s">
        <v>2</v>
      </c>
      <c r="H5" s="44" t="s">
        <v>9</v>
      </c>
      <c r="I5" s="44" t="s">
        <v>30</v>
      </c>
    </row>
    <row r="6" spans="1:23" x14ac:dyDescent="0.25">
      <c r="A6" s="44" t="s">
        <v>2</v>
      </c>
    </row>
    <row r="7" spans="1:23" x14ac:dyDescent="0.25">
      <c r="A7" s="44" t="s">
        <v>2</v>
      </c>
    </row>
    <row r="9" spans="1:23" x14ac:dyDescent="0.25">
      <c r="H9" s="44" t="s">
        <v>22</v>
      </c>
    </row>
    <row r="14" spans="1:23" x14ac:dyDescent="0.25">
      <c r="H14" s="44" t="s">
        <v>31</v>
      </c>
      <c r="U14" s="44" t="s">
        <v>14</v>
      </c>
      <c r="V14" s="44" t="s">
        <v>32</v>
      </c>
    </row>
    <row r="16" spans="1:23" x14ac:dyDescent="0.25">
      <c r="H16" s="44" t="s">
        <v>33</v>
      </c>
      <c r="Q16" s="44" t="s">
        <v>34</v>
      </c>
    </row>
    <row r="17" spans="1:23" ht="45" x14ac:dyDescent="0.25">
      <c r="H17" s="44" t="s">
        <v>10</v>
      </c>
      <c r="I17" s="44" t="s">
        <v>11</v>
      </c>
      <c r="J17" s="44" t="s">
        <v>19</v>
      </c>
      <c r="K17" s="45" t="s">
        <v>16</v>
      </c>
      <c r="L17" s="45" t="s">
        <v>17</v>
      </c>
      <c r="M17" s="44" t="s">
        <v>20</v>
      </c>
      <c r="N17" s="44" t="s">
        <v>21</v>
      </c>
      <c r="Q17" s="44" t="s">
        <v>10</v>
      </c>
      <c r="R17" s="44" t="s">
        <v>11</v>
      </c>
      <c r="S17" s="44" t="s">
        <v>19</v>
      </c>
      <c r="T17" s="45" t="s">
        <v>16</v>
      </c>
      <c r="U17" s="45" t="s">
        <v>17</v>
      </c>
      <c r="V17" s="44" t="s">
        <v>20</v>
      </c>
      <c r="W17" s="44" t="s">
        <v>21</v>
      </c>
    </row>
    <row r="19" spans="1:23" x14ac:dyDescent="0.25">
      <c r="C19" s="44" t="s">
        <v>35</v>
      </c>
      <c r="E19" s="44" t="s">
        <v>36</v>
      </c>
      <c r="F19" s="44" t="s">
        <v>37</v>
      </c>
      <c r="H19" s="44" t="s">
        <v>38</v>
      </c>
      <c r="I19" s="44" t="s">
        <v>39</v>
      </c>
      <c r="J19" s="44" t="s">
        <v>40</v>
      </c>
      <c r="K19" s="44" t="s">
        <v>41</v>
      </c>
      <c r="L19" s="44" t="s">
        <v>42</v>
      </c>
      <c r="M19" s="44" t="s">
        <v>43</v>
      </c>
      <c r="N19" s="44" t="s">
        <v>44</v>
      </c>
      <c r="P19" s="44" t="s">
        <v>45</v>
      </c>
      <c r="Q19" s="44" t="s">
        <v>139</v>
      </c>
      <c r="R19" s="44" t="s">
        <v>47</v>
      </c>
      <c r="S19" s="44" t="s">
        <v>48</v>
      </c>
      <c r="T19" s="44" t="s">
        <v>49</v>
      </c>
      <c r="U19" s="44" t="s">
        <v>50</v>
      </c>
      <c r="V19" s="44" t="s">
        <v>51</v>
      </c>
      <c r="W19" s="44" t="s">
        <v>52</v>
      </c>
    </row>
    <row r="20" spans="1:23" x14ac:dyDescent="0.25">
      <c r="A20" s="44" t="s">
        <v>67</v>
      </c>
      <c r="C20" s="44" t="s">
        <v>68</v>
      </c>
      <c r="E20" s="44" t="s">
        <v>69</v>
      </c>
      <c r="F20" s="44" t="s">
        <v>1959</v>
      </c>
      <c r="H20" s="44" t="s">
        <v>124</v>
      </c>
      <c r="I20" s="44" t="s">
        <v>128</v>
      </c>
      <c r="J20" s="44" t="s">
        <v>70</v>
      </c>
      <c r="K20" s="44" t="s">
        <v>71</v>
      </c>
      <c r="L20" s="44" t="s">
        <v>72</v>
      </c>
      <c r="M20" s="44" t="s">
        <v>73</v>
      </c>
      <c r="N20" s="44" t="s">
        <v>74</v>
      </c>
      <c r="P20" s="44" t="s">
        <v>75</v>
      </c>
      <c r="Q20" s="44" t="s">
        <v>140</v>
      </c>
      <c r="R20" s="44" t="s">
        <v>76</v>
      </c>
      <c r="S20" s="44" t="s">
        <v>77</v>
      </c>
      <c r="T20" s="44" t="s">
        <v>78</v>
      </c>
      <c r="U20" s="44" t="s">
        <v>79</v>
      </c>
      <c r="V20" s="44" t="s">
        <v>80</v>
      </c>
      <c r="W20" s="44" t="s">
        <v>81</v>
      </c>
    </row>
    <row r="21" spans="1:23" x14ac:dyDescent="0.25">
      <c r="A21" s="44" t="s">
        <v>67</v>
      </c>
      <c r="C21" s="44" t="s">
        <v>82</v>
      </c>
      <c r="E21" s="44" t="s">
        <v>83</v>
      </c>
      <c r="F21" s="44" t="s">
        <v>1960</v>
      </c>
      <c r="H21" s="44" t="s">
        <v>125</v>
      </c>
      <c r="I21" s="44" t="s">
        <v>129</v>
      </c>
      <c r="J21" s="44" t="s">
        <v>84</v>
      </c>
      <c r="K21" s="44" t="s">
        <v>85</v>
      </c>
      <c r="L21" s="44" t="s">
        <v>86</v>
      </c>
      <c r="M21" s="44" t="s">
        <v>55</v>
      </c>
      <c r="N21" s="44" t="s">
        <v>56</v>
      </c>
      <c r="P21" s="44" t="s">
        <v>87</v>
      </c>
      <c r="Q21" s="44" t="s">
        <v>141</v>
      </c>
      <c r="R21" s="44" t="s">
        <v>88</v>
      </c>
      <c r="S21" s="44" t="s">
        <v>89</v>
      </c>
      <c r="T21" s="44" t="s">
        <v>90</v>
      </c>
      <c r="U21" s="44" t="s">
        <v>91</v>
      </c>
      <c r="V21" s="44" t="s">
        <v>92</v>
      </c>
      <c r="W21" s="44" t="s">
        <v>93</v>
      </c>
    </row>
    <row r="22" spans="1:23" x14ac:dyDescent="0.25">
      <c r="A22" s="44" t="s">
        <v>67</v>
      </c>
      <c r="C22" s="44" t="s">
        <v>94</v>
      </c>
      <c r="E22" s="44" t="s">
        <v>95</v>
      </c>
      <c r="F22" s="44" t="s">
        <v>1961</v>
      </c>
      <c r="H22" s="44" t="s">
        <v>126</v>
      </c>
      <c r="I22" s="44" t="s">
        <v>130</v>
      </c>
      <c r="J22" s="44" t="s">
        <v>96</v>
      </c>
      <c r="K22" s="44" t="s">
        <v>97</v>
      </c>
      <c r="L22" s="44" t="s">
        <v>98</v>
      </c>
      <c r="M22" s="44" t="s">
        <v>99</v>
      </c>
      <c r="N22" s="44" t="s">
        <v>100</v>
      </c>
      <c r="P22" s="44" t="s">
        <v>101</v>
      </c>
      <c r="Q22" s="44" t="s">
        <v>142</v>
      </c>
      <c r="R22" s="44" t="s">
        <v>102</v>
      </c>
      <c r="S22" s="44" t="s">
        <v>103</v>
      </c>
      <c r="T22" s="44" t="s">
        <v>104</v>
      </c>
      <c r="U22" s="44" t="s">
        <v>105</v>
      </c>
      <c r="V22" s="44" t="s">
        <v>106</v>
      </c>
      <c r="W22" s="44" t="s">
        <v>107</v>
      </c>
    </row>
    <row r="23" spans="1:23" x14ac:dyDescent="0.25">
      <c r="A23" s="44" t="s">
        <v>67</v>
      </c>
      <c r="C23" s="44" t="s">
        <v>108</v>
      </c>
      <c r="E23" s="44" t="s">
        <v>109</v>
      </c>
      <c r="F23" s="44" t="s">
        <v>1962</v>
      </c>
      <c r="H23" s="44" t="s">
        <v>127</v>
      </c>
      <c r="I23" s="44" t="s">
        <v>131</v>
      </c>
      <c r="J23" s="44" t="s">
        <v>110</v>
      </c>
      <c r="K23" s="44" t="s">
        <v>111</v>
      </c>
      <c r="L23" s="44" t="s">
        <v>112</v>
      </c>
      <c r="M23" s="44" t="s">
        <v>113</v>
      </c>
      <c r="N23" s="44" t="s">
        <v>114</v>
      </c>
      <c r="P23" s="44" t="s">
        <v>115</v>
      </c>
      <c r="Q23" s="44" t="s">
        <v>143</v>
      </c>
      <c r="R23" s="44" t="s">
        <v>116</v>
      </c>
      <c r="S23" s="44" t="s">
        <v>117</v>
      </c>
      <c r="T23" s="44" t="s">
        <v>118</v>
      </c>
      <c r="U23" s="44" t="s">
        <v>119</v>
      </c>
      <c r="V23" s="44" t="s">
        <v>120</v>
      </c>
      <c r="W23" s="44" t="s">
        <v>121</v>
      </c>
    </row>
    <row r="24" spans="1:23" x14ac:dyDescent="0.25">
      <c r="A24" s="44" t="s">
        <v>67</v>
      </c>
      <c r="C24" s="44" t="s">
        <v>144</v>
      </c>
      <c r="E24" s="44" t="s">
        <v>145</v>
      </c>
      <c r="F24" s="44" t="s">
        <v>1963</v>
      </c>
      <c r="H24" s="44" t="s">
        <v>1674</v>
      </c>
      <c r="I24" s="44" t="s">
        <v>1763</v>
      </c>
      <c r="J24" s="44" t="s">
        <v>146</v>
      </c>
      <c r="K24" s="44" t="s">
        <v>147</v>
      </c>
      <c r="L24" s="44" t="s">
        <v>148</v>
      </c>
      <c r="M24" s="44" t="s">
        <v>149</v>
      </c>
      <c r="N24" s="44" t="s">
        <v>150</v>
      </c>
      <c r="P24" s="44" t="s">
        <v>151</v>
      </c>
      <c r="Q24" s="44" t="s">
        <v>152</v>
      </c>
      <c r="R24" s="44" t="s">
        <v>153</v>
      </c>
      <c r="S24" s="44" t="s">
        <v>154</v>
      </c>
      <c r="T24" s="44" t="s">
        <v>155</v>
      </c>
      <c r="U24" s="44" t="s">
        <v>156</v>
      </c>
      <c r="V24" s="44" t="s">
        <v>157</v>
      </c>
      <c r="W24" s="44" t="s">
        <v>158</v>
      </c>
    </row>
    <row r="25" spans="1:23" x14ac:dyDescent="0.25">
      <c r="A25" s="44" t="s">
        <v>67</v>
      </c>
      <c r="C25" s="44" t="s">
        <v>159</v>
      </c>
      <c r="E25" s="44" t="s">
        <v>160</v>
      </c>
      <c r="F25" s="44" t="s">
        <v>1964</v>
      </c>
      <c r="H25" s="44" t="s">
        <v>64</v>
      </c>
      <c r="I25" s="44" t="s">
        <v>1764</v>
      </c>
      <c r="J25" s="44" t="s">
        <v>161</v>
      </c>
      <c r="K25" s="44" t="s">
        <v>162</v>
      </c>
      <c r="L25" s="44" t="s">
        <v>163</v>
      </c>
      <c r="M25" s="44" t="s">
        <v>122</v>
      </c>
      <c r="N25" s="44" t="s">
        <v>123</v>
      </c>
      <c r="P25" s="44" t="s">
        <v>164</v>
      </c>
      <c r="Q25" s="44" t="s">
        <v>165</v>
      </c>
      <c r="R25" s="44" t="s">
        <v>166</v>
      </c>
      <c r="S25" s="44" t="s">
        <v>167</v>
      </c>
      <c r="T25" s="44" t="s">
        <v>168</v>
      </c>
      <c r="U25" s="44" t="s">
        <v>169</v>
      </c>
      <c r="V25" s="44" t="s">
        <v>170</v>
      </c>
      <c r="W25" s="44" t="s">
        <v>171</v>
      </c>
    </row>
    <row r="26" spans="1:23" x14ac:dyDescent="0.25">
      <c r="A26" s="44" t="s">
        <v>67</v>
      </c>
      <c r="C26" s="44" t="s">
        <v>172</v>
      </c>
      <c r="E26" s="44" t="s">
        <v>173</v>
      </c>
      <c r="F26" s="44" t="s">
        <v>1965</v>
      </c>
      <c r="H26" s="44" t="s">
        <v>1675</v>
      </c>
      <c r="I26" s="44" t="s">
        <v>1765</v>
      </c>
      <c r="J26" s="44" t="s">
        <v>174</v>
      </c>
      <c r="K26" s="44" t="s">
        <v>175</v>
      </c>
      <c r="L26" s="44" t="s">
        <v>176</v>
      </c>
      <c r="M26" s="44" t="s">
        <v>177</v>
      </c>
      <c r="N26" s="44" t="s">
        <v>178</v>
      </c>
      <c r="P26" s="44" t="s">
        <v>179</v>
      </c>
      <c r="Q26" s="44" t="s">
        <v>180</v>
      </c>
      <c r="R26" s="44" t="s">
        <v>181</v>
      </c>
      <c r="S26" s="44" t="s">
        <v>182</v>
      </c>
      <c r="T26" s="44" t="s">
        <v>183</v>
      </c>
      <c r="U26" s="44" t="s">
        <v>184</v>
      </c>
      <c r="V26" s="44" t="s">
        <v>185</v>
      </c>
      <c r="W26" s="44" t="s">
        <v>186</v>
      </c>
    </row>
    <row r="27" spans="1:23" x14ac:dyDescent="0.25">
      <c r="A27" s="44" t="s">
        <v>67</v>
      </c>
      <c r="C27" s="44" t="s">
        <v>187</v>
      </c>
      <c r="E27" s="44" t="s">
        <v>188</v>
      </c>
      <c r="F27" s="44" t="s">
        <v>1966</v>
      </c>
      <c r="H27" s="44" t="s">
        <v>1676</v>
      </c>
      <c r="I27" s="44" t="s">
        <v>1766</v>
      </c>
      <c r="J27" s="44" t="s">
        <v>189</v>
      </c>
      <c r="K27" s="44" t="s">
        <v>190</v>
      </c>
      <c r="L27" s="44" t="s">
        <v>191</v>
      </c>
      <c r="M27" s="44" t="s">
        <v>192</v>
      </c>
      <c r="N27" s="44" t="s">
        <v>193</v>
      </c>
      <c r="P27" s="44" t="s">
        <v>194</v>
      </c>
      <c r="Q27" s="44" t="s">
        <v>195</v>
      </c>
      <c r="R27" s="44" t="s">
        <v>196</v>
      </c>
      <c r="S27" s="44" t="s">
        <v>197</v>
      </c>
      <c r="T27" s="44" t="s">
        <v>198</v>
      </c>
      <c r="U27" s="44" t="s">
        <v>199</v>
      </c>
      <c r="V27" s="44" t="s">
        <v>200</v>
      </c>
      <c r="W27" s="44" t="s">
        <v>201</v>
      </c>
    </row>
    <row r="28" spans="1:23" x14ac:dyDescent="0.25">
      <c r="A28" s="44" t="s">
        <v>67</v>
      </c>
      <c r="C28" s="44" t="s">
        <v>202</v>
      </c>
      <c r="E28" s="44" t="s">
        <v>203</v>
      </c>
      <c r="F28" s="44" t="s">
        <v>1967</v>
      </c>
      <c r="H28" s="44" t="s">
        <v>1677</v>
      </c>
      <c r="I28" s="44" t="s">
        <v>1767</v>
      </c>
      <c r="J28" s="44" t="s">
        <v>204</v>
      </c>
      <c r="K28" s="44" t="s">
        <v>205</v>
      </c>
      <c r="L28" s="44" t="s">
        <v>206</v>
      </c>
      <c r="M28" s="44" t="s">
        <v>207</v>
      </c>
      <c r="N28" s="44" t="s">
        <v>208</v>
      </c>
      <c r="P28" s="44" t="s">
        <v>209</v>
      </c>
      <c r="Q28" s="44" t="s">
        <v>210</v>
      </c>
      <c r="R28" s="44" t="s">
        <v>211</v>
      </c>
      <c r="S28" s="44" t="s">
        <v>212</v>
      </c>
      <c r="T28" s="44" t="s">
        <v>213</v>
      </c>
      <c r="U28" s="44" t="s">
        <v>214</v>
      </c>
      <c r="V28" s="44" t="s">
        <v>215</v>
      </c>
      <c r="W28" s="44" t="s">
        <v>216</v>
      </c>
    </row>
    <row r="29" spans="1:23" x14ac:dyDescent="0.25">
      <c r="A29" s="44" t="s">
        <v>67</v>
      </c>
      <c r="C29" s="44" t="s">
        <v>217</v>
      </c>
      <c r="E29" s="44" t="s">
        <v>218</v>
      </c>
      <c r="F29" s="44" t="s">
        <v>1968</v>
      </c>
      <c r="H29" s="44" t="s">
        <v>132</v>
      </c>
      <c r="I29" s="44" t="s">
        <v>1768</v>
      </c>
      <c r="J29" s="44" t="s">
        <v>219</v>
      </c>
      <c r="K29" s="44" t="s">
        <v>220</v>
      </c>
      <c r="L29" s="44" t="s">
        <v>221</v>
      </c>
      <c r="M29" s="44" t="s">
        <v>222</v>
      </c>
      <c r="N29" s="44" t="s">
        <v>223</v>
      </c>
      <c r="P29" s="44" t="s">
        <v>224</v>
      </c>
      <c r="Q29" s="44" t="s">
        <v>225</v>
      </c>
      <c r="R29" s="44" t="s">
        <v>226</v>
      </c>
      <c r="S29" s="44" t="s">
        <v>227</v>
      </c>
      <c r="T29" s="44" t="s">
        <v>228</v>
      </c>
      <c r="U29" s="44" t="s">
        <v>229</v>
      </c>
      <c r="V29" s="44" t="s">
        <v>230</v>
      </c>
      <c r="W29" s="44" t="s">
        <v>231</v>
      </c>
    </row>
    <row r="30" spans="1:23" x14ac:dyDescent="0.25">
      <c r="A30" s="44" t="s">
        <v>67</v>
      </c>
      <c r="C30" s="44" t="s">
        <v>232</v>
      </c>
      <c r="E30" s="44" t="s">
        <v>233</v>
      </c>
      <c r="F30" s="44" t="s">
        <v>1969</v>
      </c>
      <c r="H30" s="44" t="s">
        <v>133</v>
      </c>
      <c r="I30" s="44" t="s">
        <v>1769</v>
      </c>
      <c r="J30" s="44" t="s">
        <v>234</v>
      </c>
      <c r="K30" s="44" t="s">
        <v>235</v>
      </c>
      <c r="L30" s="44" t="s">
        <v>236</v>
      </c>
      <c r="M30" s="44" t="s">
        <v>237</v>
      </c>
      <c r="N30" s="44" t="s">
        <v>238</v>
      </c>
      <c r="P30" s="44" t="s">
        <v>239</v>
      </c>
      <c r="Q30" s="44" t="s">
        <v>240</v>
      </c>
      <c r="R30" s="44" t="s">
        <v>241</v>
      </c>
      <c r="S30" s="44" t="s">
        <v>242</v>
      </c>
      <c r="T30" s="44" t="s">
        <v>243</v>
      </c>
      <c r="U30" s="44" t="s">
        <v>244</v>
      </c>
      <c r="V30" s="44" t="s">
        <v>245</v>
      </c>
      <c r="W30" s="44" t="s">
        <v>246</v>
      </c>
    </row>
    <row r="31" spans="1:23" x14ac:dyDescent="0.25">
      <c r="A31" s="44" t="s">
        <v>67</v>
      </c>
      <c r="C31" s="44" t="s">
        <v>247</v>
      </c>
      <c r="E31" s="44" t="s">
        <v>248</v>
      </c>
      <c r="F31" s="44" t="s">
        <v>1970</v>
      </c>
      <c r="H31" s="44" t="s">
        <v>134</v>
      </c>
      <c r="I31" s="44" t="s">
        <v>1770</v>
      </c>
      <c r="J31" s="44" t="s">
        <v>249</v>
      </c>
      <c r="K31" s="44" t="s">
        <v>250</v>
      </c>
      <c r="L31" s="44" t="s">
        <v>251</v>
      </c>
      <c r="M31" s="44" t="s">
        <v>252</v>
      </c>
      <c r="N31" s="44" t="s">
        <v>253</v>
      </c>
      <c r="P31" s="44" t="s">
        <v>254</v>
      </c>
      <c r="Q31" s="44" t="s">
        <v>255</v>
      </c>
      <c r="R31" s="44" t="s">
        <v>256</v>
      </c>
      <c r="S31" s="44" t="s">
        <v>257</v>
      </c>
      <c r="T31" s="44" t="s">
        <v>258</v>
      </c>
      <c r="U31" s="44" t="s">
        <v>259</v>
      </c>
      <c r="V31" s="44" t="s">
        <v>260</v>
      </c>
      <c r="W31" s="44" t="s">
        <v>261</v>
      </c>
    </row>
    <row r="32" spans="1:23" x14ac:dyDescent="0.25">
      <c r="A32" s="44" t="s">
        <v>67</v>
      </c>
      <c r="C32" s="44" t="s">
        <v>262</v>
      </c>
      <c r="E32" s="44" t="s">
        <v>263</v>
      </c>
      <c r="F32" s="44" t="s">
        <v>1971</v>
      </c>
      <c r="H32" s="44" t="s">
        <v>135</v>
      </c>
      <c r="I32" s="44" t="s">
        <v>1771</v>
      </c>
      <c r="J32" s="44" t="s">
        <v>264</v>
      </c>
      <c r="K32" s="44" t="s">
        <v>265</v>
      </c>
      <c r="L32" s="44" t="s">
        <v>266</v>
      </c>
      <c r="M32" s="44" t="s">
        <v>267</v>
      </c>
      <c r="N32" s="44" t="s">
        <v>268</v>
      </c>
      <c r="P32" s="44" t="s">
        <v>269</v>
      </c>
      <c r="Q32" s="44" t="s">
        <v>270</v>
      </c>
      <c r="R32" s="44" t="s">
        <v>271</v>
      </c>
      <c r="S32" s="44" t="s">
        <v>272</v>
      </c>
      <c r="T32" s="44" t="s">
        <v>273</v>
      </c>
      <c r="U32" s="44" t="s">
        <v>274</v>
      </c>
      <c r="V32" s="44" t="s">
        <v>275</v>
      </c>
      <c r="W32" s="44" t="s">
        <v>276</v>
      </c>
    </row>
    <row r="33" spans="1:23" x14ac:dyDescent="0.25">
      <c r="A33" s="44" t="s">
        <v>67</v>
      </c>
      <c r="C33" s="44" t="s">
        <v>277</v>
      </c>
      <c r="E33" s="44" t="s">
        <v>278</v>
      </c>
      <c r="F33" s="44" t="s">
        <v>1972</v>
      </c>
      <c r="H33" s="44" t="s">
        <v>136</v>
      </c>
      <c r="I33" s="44" t="s">
        <v>1772</v>
      </c>
      <c r="J33" s="44" t="s">
        <v>279</v>
      </c>
      <c r="K33" s="44" t="s">
        <v>280</v>
      </c>
      <c r="L33" s="44" t="s">
        <v>281</v>
      </c>
      <c r="M33" s="44" t="s">
        <v>282</v>
      </c>
      <c r="N33" s="44" t="s">
        <v>283</v>
      </c>
      <c r="P33" s="44" t="s">
        <v>284</v>
      </c>
      <c r="Q33" s="44" t="s">
        <v>285</v>
      </c>
      <c r="R33" s="44" t="s">
        <v>286</v>
      </c>
      <c r="S33" s="44" t="s">
        <v>287</v>
      </c>
      <c r="T33" s="44" t="s">
        <v>288</v>
      </c>
      <c r="U33" s="44" t="s">
        <v>289</v>
      </c>
      <c r="V33" s="44" t="s">
        <v>290</v>
      </c>
      <c r="W33" s="44" t="s">
        <v>291</v>
      </c>
    </row>
    <row r="34" spans="1:23" x14ac:dyDescent="0.25">
      <c r="A34" s="44" t="s">
        <v>67</v>
      </c>
      <c r="C34" s="44" t="s">
        <v>292</v>
      </c>
      <c r="E34" s="44" t="s">
        <v>293</v>
      </c>
      <c r="F34" s="44" t="s">
        <v>1973</v>
      </c>
      <c r="H34" s="44" t="s">
        <v>1678</v>
      </c>
      <c r="I34" s="44" t="s">
        <v>1773</v>
      </c>
      <c r="J34" s="44" t="s">
        <v>294</v>
      </c>
      <c r="K34" s="44" t="s">
        <v>295</v>
      </c>
      <c r="L34" s="44" t="s">
        <v>296</v>
      </c>
      <c r="M34" s="44" t="s">
        <v>297</v>
      </c>
      <c r="N34" s="44" t="s">
        <v>298</v>
      </c>
      <c r="P34" s="44" t="s">
        <v>299</v>
      </c>
      <c r="Q34" s="44" t="s">
        <v>300</v>
      </c>
      <c r="R34" s="44" t="s">
        <v>301</v>
      </c>
      <c r="S34" s="44" t="s">
        <v>302</v>
      </c>
      <c r="T34" s="44" t="s">
        <v>303</v>
      </c>
      <c r="U34" s="44" t="s">
        <v>304</v>
      </c>
      <c r="V34" s="44" t="s">
        <v>305</v>
      </c>
      <c r="W34" s="44" t="s">
        <v>306</v>
      </c>
    </row>
    <row r="35" spans="1:23" x14ac:dyDescent="0.25">
      <c r="A35" s="44" t="s">
        <v>67</v>
      </c>
      <c r="C35" s="44" t="s">
        <v>307</v>
      </c>
      <c r="E35" s="44" t="s">
        <v>308</v>
      </c>
      <c r="F35" s="44" t="s">
        <v>1974</v>
      </c>
      <c r="H35" s="44" t="s">
        <v>1679</v>
      </c>
      <c r="I35" s="44" t="s">
        <v>1774</v>
      </c>
      <c r="J35" s="44" t="s">
        <v>309</v>
      </c>
      <c r="K35" s="44" t="s">
        <v>310</v>
      </c>
      <c r="L35" s="44" t="s">
        <v>311</v>
      </c>
      <c r="M35" s="44" t="s">
        <v>312</v>
      </c>
      <c r="N35" s="44" t="s">
        <v>313</v>
      </c>
      <c r="P35" s="44" t="s">
        <v>314</v>
      </c>
      <c r="Q35" s="44" t="s">
        <v>315</v>
      </c>
      <c r="R35" s="44" t="s">
        <v>316</v>
      </c>
      <c r="S35" s="44" t="s">
        <v>317</v>
      </c>
      <c r="T35" s="44" t="s">
        <v>318</v>
      </c>
      <c r="U35" s="44" t="s">
        <v>319</v>
      </c>
      <c r="V35" s="44" t="s">
        <v>320</v>
      </c>
      <c r="W35" s="44" t="s">
        <v>321</v>
      </c>
    </row>
    <row r="36" spans="1:23" x14ac:dyDescent="0.25">
      <c r="A36" s="44" t="s">
        <v>67</v>
      </c>
      <c r="C36" s="44" t="s">
        <v>322</v>
      </c>
      <c r="E36" s="44" t="s">
        <v>323</v>
      </c>
      <c r="F36" s="44" t="s">
        <v>1975</v>
      </c>
      <c r="H36" s="44" t="s">
        <v>1680</v>
      </c>
      <c r="I36" s="44" t="s">
        <v>1775</v>
      </c>
      <c r="J36" s="44" t="s">
        <v>324</v>
      </c>
      <c r="K36" s="44" t="s">
        <v>325</v>
      </c>
      <c r="L36" s="44" t="s">
        <v>326</v>
      </c>
      <c r="M36" s="44" t="s">
        <v>327</v>
      </c>
      <c r="N36" s="44" t="s">
        <v>328</v>
      </c>
      <c r="P36" s="44" t="s">
        <v>329</v>
      </c>
      <c r="Q36" s="44" t="s">
        <v>330</v>
      </c>
      <c r="R36" s="44" t="s">
        <v>331</v>
      </c>
      <c r="S36" s="44" t="s">
        <v>332</v>
      </c>
      <c r="T36" s="44" t="s">
        <v>333</v>
      </c>
      <c r="U36" s="44" t="s">
        <v>334</v>
      </c>
      <c r="V36" s="44" t="s">
        <v>335</v>
      </c>
      <c r="W36" s="44" t="s">
        <v>336</v>
      </c>
    </row>
    <row r="37" spans="1:23" x14ac:dyDescent="0.25">
      <c r="A37" s="44" t="s">
        <v>67</v>
      </c>
      <c r="C37" s="44" t="s">
        <v>337</v>
      </c>
      <c r="E37" s="44" t="s">
        <v>338</v>
      </c>
      <c r="F37" s="44" t="s">
        <v>1976</v>
      </c>
      <c r="H37" s="44" t="s">
        <v>1681</v>
      </c>
      <c r="I37" s="44" t="s">
        <v>1776</v>
      </c>
      <c r="J37" s="44" t="s">
        <v>339</v>
      </c>
      <c r="K37" s="44" t="s">
        <v>340</v>
      </c>
      <c r="L37" s="44" t="s">
        <v>341</v>
      </c>
      <c r="M37" s="44" t="s">
        <v>342</v>
      </c>
      <c r="N37" s="44" t="s">
        <v>343</v>
      </c>
      <c r="P37" s="44" t="s">
        <v>344</v>
      </c>
      <c r="Q37" s="44" t="s">
        <v>345</v>
      </c>
      <c r="R37" s="44" t="s">
        <v>346</v>
      </c>
      <c r="S37" s="44" t="s">
        <v>347</v>
      </c>
      <c r="T37" s="44" t="s">
        <v>348</v>
      </c>
      <c r="U37" s="44" t="s">
        <v>349</v>
      </c>
      <c r="V37" s="44" t="s">
        <v>350</v>
      </c>
      <c r="W37" s="44" t="s">
        <v>351</v>
      </c>
    </row>
    <row r="38" spans="1:23" x14ac:dyDescent="0.25">
      <c r="A38" s="44" t="s">
        <v>67</v>
      </c>
      <c r="C38" s="44" t="s">
        <v>352</v>
      </c>
      <c r="E38" s="44" t="s">
        <v>353</v>
      </c>
      <c r="F38" s="44" t="s">
        <v>1977</v>
      </c>
      <c r="H38" s="44" t="s">
        <v>1682</v>
      </c>
      <c r="I38" s="44" t="s">
        <v>1777</v>
      </c>
      <c r="J38" s="44" t="s">
        <v>354</v>
      </c>
      <c r="K38" s="44" t="s">
        <v>355</v>
      </c>
      <c r="L38" s="44" t="s">
        <v>356</v>
      </c>
      <c r="M38" s="44" t="s">
        <v>357</v>
      </c>
      <c r="N38" s="44" t="s">
        <v>358</v>
      </c>
      <c r="P38" s="44" t="s">
        <v>359</v>
      </c>
      <c r="Q38" s="44" t="s">
        <v>360</v>
      </c>
      <c r="R38" s="44" t="s">
        <v>361</v>
      </c>
      <c r="S38" s="44" t="s">
        <v>362</v>
      </c>
      <c r="T38" s="44" t="s">
        <v>363</v>
      </c>
      <c r="U38" s="44" t="s">
        <v>364</v>
      </c>
      <c r="V38" s="44" t="s">
        <v>365</v>
      </c>
      <c r="W38" s="44" t="s">
        <v>366</v>
      </c>
    </row>
    <row r="39" spans="1:23" x14ac:dyDescent="0.25">
      <c r="A39" s="44" t="s">
        <v>67</v>
      </c>
      <c r="C39" s="44" t="s">
        <v>367</v>
      </c>
      <c r="E39" s="44" t="s">
        <v>368</v>
      </c>
      <c r="F39" s="44" t="s">
        <v>1978</v>
      </c>
      <c r="H39" s="44" t="s">
        <v>1683</v>
      </c>
      <c r="I39" s="44" t="s">
        <v>1778</v>
      </c>
      <c r="J39" s="44" t="s">
        <v>369</v>
      </c>
      <c r="K39" s="44" t="s">
        <v>370</v>
      </c>
      <c r="L39" s="44" t="s">
        <v>371</v>
      </c>
      <c r="M39" s="44" t="s">
        <v>372</v>
      </c>
      <c r="N39" s="44" t="s">
        <v>373</v>
      </c>
      <c r="P39" s="44" t="s">
        <v>374</v>
      </c>
      <c r="Q39" s="44" t="s">
        <v>375</v>
      </c>
      <c r="R39" s="44" t="s">
        <v>376</v>
      </c>
      <c r="S39" s="44" t="s">
        <v>377</v>
      </c>
      <c r="T39" s="44" t="s">
        <v>378</v>
      </c>
      <c r="U39" s="44" t="s">
        <v>379</v>
      </c>
      <c r="V39" s="44" t="s">
        <v>380</v>
      </c>
      <c r="W39" s="44" t="s">
        <v>381</v>
      </c>
    </row>
    <row r="40" spans="1:23" x14ac:dyDescent="0.25">
      <c r="A40" s="44" t="s">
        <v>67</v>
      </c>
      <c r="C40" s="44" t="s">
        <v>382</v>
      </c>
      <c r="E40" s="44" t="s">
        <v>383</v>
      </c>
      <c r="F40" s="44" t="s">
        <v>1979</v>
      </c>
      <c r="H40" s="44" t="s">
        <v>1684</v>
      </c>
      <c r="I40" s="44" t="s">
        <v>1779</v>
      </c>
      <c r="J40" s="44" t="s">
        <v>384</v>
      </c>
      <c r="K40" s="44" t="s">
        <v>385</v>
      </c>
      <c r="L40" s="44" t="s">
        <v>386</v>
      </c>
      <c r="M40" s="44" t="s">
        <v>387</v>
      </c>
      <c r="N40" s="44" t="s">
        <v>388</v>
      </c>
      <c r="P40" s="44" t="s">
        <v>389</v>
      </c>
      <c r="Q40" s="44" t="s">
        <v>390</v>
      </c>
      <c r="R40" s="44" t="s">
        <v>391</v>
      </c>
      <c r="S40" s="44" t="s">
        <v>392</v>
      </c>
      <c r="T40" s="44" t="s">
        <v>393</v>
      </c>
      <c r="U40" s="44" t="s">
        <v>394</v>
      </c>
      <c r="V40" s="44" t="s">
        <v>395</v>
      </c>
      <c r="W40" s="44" t="s">
        <v>396</v>
      </c>
    </row>
    <row r="41" spans="1:23" x14ac:dyDescent="0.25">
      <c r="A41" s="44" t="s">
        <v>67</v>
      </c>
      <c r="C41" s="44" t="s">
        <v>397</v>
      </c>
      <c r="E41" s="44" t="s">
        <v>398</v>
      </c>
      <c r="F41" s="44" t="s">
        <v>1980</v>
      </c>
      <c r="H41" s="44" t="s">
        <v>1685</v>
      </c>
      <c r="I41" s="44" t="s">
        <v>1780</v>
      </c>
      <c r="J41" s="44" t="s">
        <v>399</v>
      </c>
      <c r="K41" s="44" t="s">
        <v>400</v>
      </c>
      <c r="L41" s="44" t="s">
        <v>401</v>
      </c>
      <c r="M41" s="44" t="s">
        <v>402</v>
      </c>
      <c r="N41" s="44" t="s">
        <v>403</v>
      </c>
      <c r="P41" s="44" t="s">
        <v>404</v>
      </c>
      <c r="Q41" s="44" t="s">
        <v>405</v>
      </c>
      <c r="R41" s="44" t="s">
        <v>406</v>
      </c>
      <c r="S41" s="44" t="s">
        <v>407</v>
      </c>
      <c r="T41" s="44" t="s">
        <v>408</v>
      </c>
      <c r="U41" s="44" t="s">
        <v>409</v>
      </c>
      <c r="V41" s="44" t="s">
        <v>410</v>
      </c>
      <c r="W41" s="44" t="s">
        <v>411</v>
      </c>
    </row>
    <row r="42" spans="1:23" x14ac:dyDescent="0.25">
      <c r="A42" s="44" t="s">
        <v>67</v>
      </c>
      <c r="C42" s="44" t="s">
        <v>412</v>
      </c>
      <c r="E42" s="44" t="s">
        <v>413</v>
      </c>
      <c r="F42" s="44" t="s">
        <v>1981</v>
      </c>
      <c r="H42" s="44" t="s">
        <v>1686</v>
      </c>
      <c r="I42" s="44" t="s">
        <v>1781</v>
      </c>
      <c r="J42" s="44" t="s">
        <v>414</v>
      </c>
      <c r="K42" s="44" t="s">
        <v>415</v>
      </c>
      <c r="L42" s="44" t="s">
        <v>416</v>
      </c>
      <c r="M42" s="44" t="s">
        <v>417</v>
      </c>
      <c r="N42" s="44" t="s">
        <v>418</v>
      </c>
      <c r="P42" s="44" t="s">
        <v>419</v>
      </c>
      <c r="Q42" s="44" t="s">
        <v>420</v>
      </c>
      <c r="R42" s="44" t="s">
        <v>421</v>
      </c>
      <c r="S42" s="44" t="s">
        <v>422</v>
      </c>
      <c r="T42" s="44" t="s">
        <v>423</v>
      </c>
      <c r="U42" s="44" t="s">
        <v>424</v>
      </c>
      <c r="V42" s="44" t="s">
        <v>425</v>
      </c>
      <c r="W42" s="44" t="s">
        <v>426</v>
      </c>
    </row>
    <row r="43" spans="1:23" x14ac:dyDescent="0.25">
      <c r="A43" s="44" t="s">
        <v>67</v>
      </c>
      <c r="C43" s="44" t="s">
        <v>427</v>
      </c>
      <c r="E43" s="44" t="s">
        <v>428</v>
      </c>
      <c r="F43" s="44" t="s">
        <v>1982</v>
      </c>
      <c r="H43" s="44" t="s">
        <v>1687</v>
      </c>
      <c r="I43" s="44" t="s">
        <v>1782</v>
      </c>
      <c r="J43" s="44" t="s">
        <v>429</v>
      </c>
      <c r="K43" s="44" t="s">
        <v>430</v>
      </c>
      <c r="L43" s="44" t="s">
        <v>431</v>
      </c>
      <c r="M43" s="44" t="s">
        <v>432</v>
      </c>
      <c r="N43" s="44" t="s">
        <v>433</v>
      </c>
      <c r="P43" s="44" t="s">
        <v>434</v>
      </c>
      <c r="Q43" s="44" t="s">
        <v>435</v>
      </c>
      <c r="R43" s="44" t="s">
        <v>436</v>
      </c>
      <c r="S43" s="44" t="s">
        <v>437</v>
      </c>
      <c r="T43" s="44" t="s">
        <v>438</v>
      </c>
      <c r="U43" s="44" t="s">
        <v>439</v>
      </c>
      <c r="V43" s="44" t="s">
        <v>440</v>
      </c>
      <c r="W43" s="44" t="s">
        <v>441</v>
      </c>
    </row>
    <row r="44" spans="1:23" x14ac:dyDescent="0.25">
      <c r="A44" s="44" t="s">
        <v>67</v>
      </c>
      <c r="C44" s="44" t="s">
        <v>442</v>
      </c>
      <c r="E44" s="44" t="s">
        <v>443</v>
      </c>
      <c r="F44" s="44" t="s">
        <v>1983</v>
      </c>
      <c r="H44" s="44" t="s">
        <v>1688</v>
      </c>
      <c r="I44" s="44" t="s">
        <v>1783</v>
      </c>
      <c r="J44" s="44" t="s">
        <v>444</v>
      </c>
      <c r="K44" s="44" t="s">
        <v>445</v>
      </c>
      <c r="L44" s="44" t="s">
        <v>446</v>
      </c>
      <c r="M44" s="44" t="s">
        <v>447</v>
      </c>
      <c r="N44" s="44" t="s">
        <v>448</v>
      </c>
      <c r="P44" s="44" t="s">
        <v>449</v>
      </c>
      <c r="Q44" s="44" t="s">
        <v>450</v>
      </c>
      <c r="R44" s="44" t="s">
        <v>451</v>
      </c>
      <c r="S44" s="44" t="s">
        <v>452</v>
      </c>
      <c r="T44" s="44" t="s">
        <v>453</v>
      </c>
      <c r="U44" s="44" t="s">
        <v>454</v>
      </c>
      <c r="V44" s="44" t="s">
        <v>455</v>
      </c>
      <c r="W44" s="44" t="s">
        <v>456</v>
      </c>
    </row>
    <row r="45" spans="1:23" x14ac:dyDescent="0.25">
      <c r="A45" s="44" t="s">
        <v>67</v>
      </c>
      <c r="C45" s="44" t="s">
        <v>457</v>
      </c>
      <c r="E45" s="44" t="s">
        <v>458</v>
      </c>
      <c r="F45" s="44" t="s">
        <v>1984</v>
      </c>
      <c r="H45" s="44" t="s">
        <v>1689</v>
      </c>
      <c r="I45" s="44" t="s">
        <v>1784</v>
      </c>
      <c r="J45" s="44" t="s">
        <v>459</v>
      </c>
      <c r="K45" s="44" t="s">
        <v>460</v>
      </c>
      <c r="L45" s="44" t="s">
        <v>461</v>
      </c>
      <c r="M45" s="44" t="s">
        <v>462</v>
      </c>
      <c r="N45" s="44" t="s">
        <v>463</v>
      </c>
      <c r="P45" s="44" t="s">
        <v>464</v>
      </c>
      <c r="Q45" s="44" t="s">
        <v>465</v>
      </c>
      <c r="R45" s="44" t="s">
        <v>466</v>
      </c>
      <c r="S45" s="44" t="s">
        <v>467</v>
      </c>
      <c r="T45" s="44" t="s">
        <v>468</v>
      </c>
      <c r="U45" s="44" t="s">
        <v>469</v>
      </c>
      <c r="V45" s="44" t="s">
        <v>470</v>
      </c>
      <c r="W45" s="44" t="s">
        <v>471</v>
      </c>
    </row>
    <row r="46" spans="1:23" x14ac:dyDescent="0.25">
      <c r="A46" s="44" t="s">
        <v>67</v>
      </c>
      <c r="C46" s="44" t="s">
        <v>472</v>
      </c>
      <c r="E46" s="44" t="s">
        <v>473</v>
      </c>
      <c r="F46" s="44" t="s">
        <v>1985</v>
      </c>
      <c r="H46" s="44" t="s">
        <v>1690</v>
      </c>
      <c r="I46" s="44" t="s">
        <v>1785</v>
      </c>
      <c r="J46" s="44" t="s">
        <v>474</v>
      </c>
      <c r="K46" s="44" t="s">
        <v>475</v>
      </c>
      <c r="L46" s="44" t="s">
        <v>476</v>
      </c>
      <c r="M46" s="44" t="s">
        <v>477</v>
      </c>
      <c r="N46" s="44" t="s">
        <v>478</v>
      </c>
      <c r="P46" s="44" t="s">
        <v>479</v>
      </c>
      <c r="Q46" s="44" t="s">
        <v>480</v>
      </c>
      <c r="R46" s="44" t="s">
        <v>481</v>
      </c>
      <c r="S46" s="44" t="s">
        <v>482</v>
      </c>
      <c r="T46" s="44" t="s">
        <v>483</v>
      </c>
      <c r="U46" s="44" t="s">
        <v>484</v>
      </c>
      <c r="V46" s="44" t="s">
        <v>485</v>
      </c>
      <c r="W46" s="44" t="s">
        <v>486</v>
      </c>
    </row>
    <row r="47" spans="1:23" x14ac:dyDescent="0.25">
      <c r="A47" s="44" t="s">
        <v>67</v>
      </c>
      <c r="C47" s="44" t="s">
        <v>487</v>
      </c>
      <c r="E47" s="44" t="s">
        <v>488</v>
      </c>
      <c r="F47" s="44" t="s">
        <v>1986</v>
      </c>
      <c r="H47" s="44" t="s">
        <v>1691</v>
      </c>
      <c r="I47" s="44" t="s">
        <v>1786</v>
      </c>
      <c r="J47" s="44" t="s">
        <v>489</v>
      </c>
      <c r="K47" s="44" t="s">
        <v>490</v>
      </c>
      <c r="L47" s="44" t="s">
        <v>491</v>
      </c>
      <c r="M47" s="44" t="s">
        <v>492</v>
      </c>
      <c r="N47" s="44" t="s">
        <v>493</v>
      </c>
      <c r="P47" s="44" t="s">
        <v>494</v>
      </c>
      <c r="Q47" s="44" t="s">
        <v>495</v>
      </c>
      <c r="R47" s="44" t="s">
        <v>496</v>
      </c>
      <c r="S47" s="44" t="s">
        <v>497</v>
      </c>
      <c r="T47" s="44" t="s">
        <v>498</v>
      </c>
      <c r="U47" s="44" t="s">
        <v>499</v>
      </c>
      <c r="V47" s="44" t="s">
        <v>500</v>
      </c>
      <c r="W47" s="44" t="s">
        <v>501</v>
      </c>
    </row>
    <row r="48" spans="1:23" x14ac:dyDescent="0.25">
      <c r="A48" s="44" t="s">
        <v>67</v>
      </c>
      <c r="C48" s="44" t="s">
        <v>502</v>
      </c>
      <c r="E48" s="44" t="s">
        <v>503</v>
      </c>
      <c r="F48" s="44" t="s">
        <v>1987</v>
      </c>
      <c r="H48" s="44" t="s">
        <v>1692</v>
      </c>
      <c r="I48" s="44" t="s">
        <v>1787</v>
      </c>
      <c r="J48" s="44" t="s">
        <v>504</v>
      </c>
      <c r="K48" s="44" t="s">
        <v>505</v>
      </c>
      <c r="L48" s="44" t="s">
        <v>506</v>
      </c>
      <c r="M48" s="44" t="s">
        <v>507</v>
      </c>
      <c r="N48" s="44" t="s">
        <v>508</v>
      </c>
      <c r="P48" s="44" t="s">
        <v>509</v>
      </c>
      <c r="Q48" s="44" t="s">
        <v>510</v>
      </c>
      <c r="R48" s="44" t="s">
        <v>511</v>
      </c>
      <c r="S48" s="44" t="s">
        <v>512</v>
      </c>
      <c r="T48" s="44" t="s">
        <v>513</v>
      </c>
      <c r="U48" s="44" t="s">
        <v>514</v>
      </c>
      <c r="V48" s="44" t="s">
        <v>515</v>
      </c>
      <c r="W48" s="44" t="s">
        <v>516</v>
      </c>
    </row>
    <row r="49" spans="1:23" x14ac:dyDescent="0.25">
      <c r="A49" s="44" t="s">
        <v>67</v>
      </c>
      <c r="C49" s="44" t="s">
        <v>517</v>
      </c>
      <c r="E49" s="44" t="s">
        <v>518</v>
      </c>
      <c r="F49" s="44" t="s">
        <v>1988</v>
      </c>
      <c r="H49" s="44" t="s">
        <v>1693</v>
      </c>
      <c r="I49" s="44" t="s">
        <v>1788</v>
      </c>
      <c r="J49" s="44" t="s">
        <v>519</v>
      </c>
      <c r="K49" s="44" t="s">
        <v>520</v>
      </c>
      <c r="L49" s="44" t="s">
        <v>521</v>
      </c>
      <c r="M49" s="44" t="s">
        <v>522</v>
      </c>
      <c r="N49" s="44" t="s">
        <v>523</v>
      </c>
      <c r="P49" s="44" t="s">
        <v>524</v>
      </c>
      <c r="Q49" s="44" t="s">
        <v>525</v>
      </c>
      <c r="R49" s="44" t="s">
        <v>526</v>
      </c>
      <c r="S49" s="44" t="s">
        <v>527</v>
      </c>
      <c r="T49" s="44" t="s">
        <v>528</v>
      </c>
      <c r="U49" s="44" t="s">
        <v>529</v>
      </c>
      <c r="V49" s="44" t="s">
        <v>530</v>
      </c>
      <c r="W49" s="44" t="s">
        <v>531</v>
      </c>
    </row>
    <row r="50" spans="1:23" x14ac:dyDescent="0.25">
      <c r="A50" s="44" t="s">
        <v>67</v>
      </c>
      <c r="C50" s="44" t="s">
        <v>532</v>
      </c>
      <c r="E50" s="44" t="s">
        <v>533</v>
      </c>
      <c r="F50" s="44" t="s">
        <v>1989</v>
      </c>
      <c r="H50" s="44" t="s">
        <v>1694</v>
      </c>
      <c r="I50" s="44" t="s">
        <v>1789</v>
      </c>
      <c r="J50" s="44" t="s">
        <v>534</v>
      </c>
      <c r="K50" s="44" t="s">
        <v>535</v>
      </c>
      <c r="L50" s="44" t="s">
        <v>536</v>
      </c>
      <c r="M50" s="44" t="s">
        <v>537</v>
      </c>
      <c r="N50" s="44" t="s">
        <v>538</v>
      </c>
      <c r="P50" s="44" t="s">
        <v>539</v>
      </c>
      <c r="Q50" s="44" t="s">
        <v>540</v>
      </c>
      <c r="R50" s="44" t="s">
        <v>541</v>
      </c>
      <c r="S50" s="44" t="s">
        <v>542</v>
      </c>
      <c r="T50" s="44" t="s">
        <v>543</v>
      </c>
      <c r="U50" s="44" t="s">
        <v>544</v>
      </c>
      <c r="V50" s="44" t="s">
        <v>545</v>
      </c>
      <c r="W50" s="44" t="s">
        <v>546</v>
      </c>
    </row>
    <row r="51" spans="1:23" x14ac:dyDescent="0.25">
      <c r="A51" s="44" t="s">
        <v>67</v>
      </c>
      <c r="C51" s="44" t="s">
        <v>547</v>
      </c>
      <c r="E51" s="44" t="s">
        <v>548</v>
      </c>
      <c r="F51" s="44" t="s">
        <v>1990</v>
      </c>
      <c r="H51" s="44" t="s">
        <v>1695</v>
      </c>
      <c r="I51" s="44" t="s">
        <v>1790</v>
      </c>
      <c r="J51" s="44" t="s">
        <v>549</v>
      </c>
      <c r="K51" s="44" t="s">
        <v>550</v>
      </c>
      <c r="L51" s="44" t="s">
        <v>551</v>
      </c>
      <c r="M51" s="44" t="s">
        <v>552</v>
      </c>
      <c r="N51" s="44" t="s">
        <v>553</v>
      </c>
      <c r="P51" s="44" t="s">
        <v>554</v>
      </c>
      <c r="Q51" s="44" t="s">
        <v>555</v>
      </c>
      <c r="R51" s="44" t="s">
        <v>556</v>
      </c>
      <c r="S51" s="44" t="s">
        <v>557</v>
      </c>
      <c r="T51" s="44" t="s">
        <v>558</v>
      </c>
      <c r="U51" s="44" t="s">
        <v>559</v>
      </c>
      <c r="V51" s="44" t="s">
        <v>560</v>
      </c>
      <c r="W51" s="44" t="s">
        <v>561</v>
      </c>
    </row>
    <row r="52" spans="1:23" x14ac:dyDescent="0.25">
      <c r="A52" s="44" t="s">
        <v>67</v>
      </c>
      <c r="C52" s="44" t="s">
        <v>562</v>
      </c>
      <c r="E52" s="44" t="s">
        <v>563</v>
      </c>
      <c r="F52" s="44" t="s">
        <v>1991</v>
      </c>
      <c r="H52" s="44" t="s">
        <v>1696</v>
      </c>
      <c r="I52" s="44" t="s">
        <v>1791</v>
      </c>
      <c r="J52" s="44" t="s">
        <v>564</v>
      </c>
      <c r="K52" s="44" t="s">
        <v>565</v>
      </c>
      <c r="L52" s="44" t="s">
        <v>566</v>
      </c>
      <c r="M52" s="44" t="s">
        <v>567</v>
      </c>
      <c r="N52" s="44" t="s">
        <v>568</v>
      </c>
      <c r="P52" s="44" t="s">
        <v>569</v>
      </c>
      <c r="Q52" s="44" t="s">
        <v>570</v>
      </c>
      <c r="R52" s="44" t="s">
        <v>571</v>
      </c>
      <c r="S52" s="44" t="s">
        <v>572</v>
      </c>
      <c r="T52" s="44" t="s">
        <v>573</v>
      </c>
      <c r="U52" s="44" t="s">
        <v>574</v>
      </c>
      <c r="V52" s="44" t="s">
        <v>575</v>
      </c>
      <c r="W52" s="44" t="s">
        <v>576</v>
      </c>
    </row>
    <row r="53" spans="1:23" x14ac:dyDescent="0.25">
      <c r="A53" s="44" t="s">
        <v>67</v>
      </c>
      <c r="C53" s="44" t="s">
        <v>577</v>
      </c>
      <c r="E53" s="44" t="s">
        <v>578</v>
      </c>
      <c r="F53" s="44" t="s">
        <v>1992</v>
      </c>
      <c r="H53" s="44" t="s">
        <v>1697</v>
      </c>
      <c r="I53" s="44" t="s">
        <v>1792</v>
      </c>
      <c r="J53" s="44" t="s">
        <v>579</v>
      </c>
      <c r="K53" s="44" t="s">
        <v>580</v>
      </c>
      <c r="L53" s="44" t="s">
        <v>581</v>
      </c>
      <c r="M53" s="44" t="s">
        <v>582</v>
      </c>
      <c r="N53" s="44" t="s">
        <v>583</v>
      </c>
      <c r="P53" s="44" t="s">
        <v>584</v>
      </c>
      <c r="Q53" s="44" t="s">
        <v>585</v>
      </c>
      <c r="R53" s="44" t="s">
        <v>586</v>
      </c>
      <c r="S53" s="44" t="s">
        <v>587</v>
      </c>
      <c r="T53" s="44" t="s">
        <v>588</v>
      </c>
      <c r="U53" s="44" t="s">
        <v>589</v>
      </c>
      <c r="V53" s="44" t="s">
        <v>590</v>
      </c>
      <c r="W53" s="44" t="s">
        <v>591</v>
      </c>
    </row>
    <row r="54" spans="1:23" x14ac:dyDescent="0.25">
      <c r="A54" s="44" t="s">
        <v>67</v>
      </c>
      <c r="C54" s="44" t="s">
        <v>592</v>
      </c>
      <c r="E54" s="44" t="s">
        <v>593</v>
      </c>
      <c r="F54" s="44" t="s">
        <v>1993</v>
      </c>
      <c r="H54" s="44" t="s">
        <v>1698</v>
      </c>
      <c r="I54" s="44" t="s">
        <v>1793</v>
      </c>
      <c r="J54" s="44" t="s">
        <v>594</v>
      </c>
      <c r="K54" s="44" t="s">
        <v>595</v>
      </c>
      <c r="L54" s="44" t="s">
        <v>596</v>
      </c>
      <c r="M54" s="44" t="s">
        <v>597</v>
      </c>
      <c r="N54" s="44" t="s">
        <v>598</v>
      </c>
      <c r="P54" s="44" t="s">
        <v>599</v>
      </c>
      <c r="Q54" s="44" t="s">
        <v>600</v>
      </c>
      <c r="R54" s="44" t="s">
        <v>601</v>
      </c>
      <c r="S54" s="44" t="s">
        <v>602</v>
      </c>
      <c r="T54" s="44" t="s">
        <v>603</v>
      </c>
      <c r="U54" s="44" t="s">
        <v>604</v>
      </c>
      <c r="V54" s="44" t="s">
        <v>605</v>
      </c>
      <c r="W54" s="44" t="s">
        <v>606</v>
      </c>
    </row>
    <row r="55" spans="1:23" x14ac:dyDescent="0.25">
      <c r="A55" s="44" t="s">
        <v>67</v>
      </c>
      <c r="C55" s="44" t="s">
        <v>607</v>
      </c>
      <c r="E55" s="44" t="s">
        <v>608</v>
      </c>
      <c r="F55" s="44" t="s">
        <v>1994</v>
      </c>
      <c r="H55" s="44" t="s">
        <v>1699</v>
      </c>
      <c r="I55" s="44" t="s">
        <v>1794</v>
      </c>
      <c r="J55" s="44" t="s">
        <v>609</v>
      </c>
      <c r="K55" s="44" t="s">
        <v>610</v>
      </c>
      <c r="L55" s="44" t="s">
        <v>611</v>
      </c>
      <c r="M55" s="44" t="s">
        <v>612</v>
      </c>
      <c r="N55" s="44" t="s">
        <v>613</v>
      </c>
      <c r="P55" s="44" t="s">
        <v>614</v>
      </c>
      <c r="Q55" s="44" t="s">
        <v>615</v>
      </c>
      <c r="R55" s="44" t="s">
        <v>616</v>
      </c>
      <c r="S55" s="44" t="s">
        <v>617</v>
      </c>
      <c r="T55" s="44" t="s">
        <v>618</v>
      </c>
      <c r="U55" s="44" t="s">
        <v>619</v>
      </c>
      <c r="V55" s="44" t="s">
        <v>620</v>
      </c>
      <c r="W55" s="44" t="s">
        <v>621</v>
      </c>
    </row>
    <row r="56" spans="1:23" x14ac:dyDescent="0.25">
      <c r="A56" s="44" t="s">
        <v>67</v>
      </c>
      <c r="C56" s="44" t="s">
        <v>622</v>
      </c>
      <c r="E56" s="44" t="s">
        <v>623</v>
      </c>
      <c r="F56" s="44" t="s">
        <v>1995</v>
      </c>
      <c r="H56" s="44" t="s">
        <v>1700</v>
      </c>
      <c r="I56" s="44" t="s">
        <v>1795</v>
      </c>
      <c r="J56" s="44" t="s">
        <v>624</v>
      </c>
      <c r="K56" s="44" t="s">
        <v>625</v>
      </c>
      <c r="L56" s="44" t="s">
        <v>626</v>
      </c>
      <c r="M56" s="44" t="s">
        <v>627</v>
      </c>
      <c r="N56" s="44" t="s">
        <v>628</v>
      </c>
      <c r="P56" s="44" t="s">
        <v>629</v>
      </c>
      <c r="Q56" s="44" t="s">
        <v>630</v>
      </c>
      <c r="R56" s="44" t="s">
        <v>631</v>
      </c>
      <c r="S56" s="44" t="s">
        <v>632</v>
      </c>
      <c r="T56" s="44" t="s">
        <v>633</v>
      </c>
      <c r="U56" s="44" t="s">
        <v>634</v>
      </c>
      <c r="V56" s="44" t="s">
        <v>635</v>
      </c>
      <c r="W56" s="44" t="s">
        <v>636</v>
      </c>
    </row>
    <row r="57" spans="1:23" x14ac:dyDescent="0.25">
      <c r="A57" s="44" t="s">
        <v>67</v>
      </c>
      <c r="C57" s="44" t="s">
        <v>637</v>
      </c>
      <c r="E57" s="44" t="s">
        <v>638</v>
      </c>
      <c r="F57" s="44" t="s">
        <v>1996</v>
      </c>
      <c r="H57" s="44" t="s">
        <v>1701</v>
      </c>
      <c r="I57" s="44" t="s">
        <v>1796</v>
      </c>
      <c r="J57" s="44" t="s">
        <v>639</v>
      </c>
      <c r="K57" s="44" t="s">
        <v>640</v>
      </c>
      <c r="L57" s="44" t="s">
        <v>641</v>
      </c>
      <c r="M57" s="44" t="s">
        <v>642</v>
      </c>
      <c r="N57" s="44" t="s">
        <v>643</v>
      </c>
      <c r="P57" s="44" t="s">
        <v>644</v>
      </c>
      <c r="Q57" s="44" t="s">
        <v>645</v>
      </c>
      <c r="R57" s="44" t="s">
        <v>646</v>
      </c>
      <c r="S57" s="44" t="s">
        <v>647</v>
      </c>
      <c r="T57" s="44" t="s">
        <v>648</v>
      </c>
      <c r="U57" s="44" t="s">
        <v>649</v>
      </c>
      <c r="V57" s="44" t="s">
        <v>650</v>
      </c>
      <c r="W57" s="44" t="s">
        <v>651</v>
      </c>
    </row>
    <row r="58" spans="1:23" x14ac:dyDescent="0.25">
      <c r="A58" s="44" t="s">
        <v>67</v>
      </c>
      <c r="C58" s="44" t="s">
        <v>652</v>
      </c>
      <c r="E58" s="44" t="s">
        <v>653</v>
      </c>
      <c r="F58" s="44" t="s">
        <v>1997</v>
      </c>
      <c r="H58" s="44" t="s">
        <v>1702</v>
      </c>
      <c r="I58" s="44" t="s">
        <v>1797</v>
      </c>
      <c r="J58" s="44" t="s">
        <v>654</v>
      </c>
      <c r="K58" s="44" t="s">
        <v>655</v>
      </c>
      <c r="L58" s="44" t="s">
        <v>656</v>
      </c>
      <c r="M58" s="44" t="s">
        <v>657</v>
      </c>
      <c r="N58" s="44" t="s">
        <v>658</v>
      </c>
      <c r="P58" s="44" t="s">
        <v>659</v>
      </c>
      <c r="Q58" s="44" t="s">
        <v>660</v>
      </c>
      <c r="R58" s="44" t="s">
        <v>661</v>
      </c>
      <c r="S58" s="44" t="s">
        <v>662</v>
      </c>
      <c r="T58" s="44" t="s">
        <v>663</v>
      </c>
      <c r="U58" s="44" t="s">
        <v>664</v>
      </c>
      <c r="V58" s="44" t="s">
        <v>665</v>
      </c>
      <c r="W58" s="44" t="s">
        <v>666</v>
      </c>
    </row>
    <row r="59" spans="1:23" x14ac:dyDescent="0.25">
      <c r="A59" s="44" t="s">
        <v>67</v>
      </c>
      <c r="C59" s="44" t="s">
        <v>667</v>
      </c>
      <c r="E59" s="44" t="s">
        <v>668</v>
      </c>
      <c r="F59" s="44" t="s">
        <v>1998</v>
      </c>
      <c r="H59" s="44" t="s">
        <v>1703</v>
      </c>
      <c r="I59" s="44" t="s">
        <v>1798</v>
      </c>
      <c r="J59" s="44" t="s">
        <v>669</v>
      </c>
      <c r="K59" s="44" t="s">
        <v>670</v>
      </c>
      <c r="L59" s="44" t="s">
        <v>671</v>
      </c>
      <c r="M59" s="44" t="s">
        <v>672</v>
      </c>
      <c r="N59" s="44" t="s">
        <v>673</v>
      </c>
      <c r="P59" s="44" t="s">
        <v>674</v>
      </c>
      <c r="Q59" s="44" t="s">
        <v>675</v>
      </c>
      <c r="R59" s="44" t="s">
        <v>676</v>
      </c>
      <c r="S59" s="44" t="s">
        <v>677</v>
      </c>
      <c r="T59" s="44" t="s">
        <v>678</v>
      </c>
      <c r="U59" s="44" t="s">
        <v>679</v>
      </c>
      <c r="V59" s="44" t="s">
        <v>680</v>
      </c>
      <c r="W59" s="44" t="s">
        <v>681</v>
      </c>
    </row>
    <row r="60" spans="1:23" x14ac:dyDescent="0.25">
      <c r="A60" s="44" t="s">
        <v>67</v>
      </c>
      <c r="C60" s="44" t="s">
        <v>682</v>
      </c>
      <c r="E60" s="44" t="s">
        <v>683</v>
      </c>
      <c r="F60" s="44" t="s">
        <v>1999</v>
      </c>
      <c r="H60" s="44" t="s">
        <v>1704</v>
      </c>
      <c r="I60" s="44" t="s">
        <v>1799</v>
      </c>
      <c r="J60" s="44" t="s">
        <v>684</v>
      </c>
      <c r="K60" s="44" t="s">
        <v>685</v>
      </c>
      <c r="L60" s="44" t="s">
        <v>686</v>
      </c>
      <c r="M60" s="44" t="s">
        <v>687</v>
      </c>
      <c r="N60" s="44" t="s">
        <v>688</v>
      </c>
      <c r="P60" s="44" t="s">
        <v>689</v>
      </c>
      <c r="Q60" s="44" t="s">
        <v>690</v>
      </c>
      <c r="R60" s="44" t="s">
        <v>691</v>
      </c>
      <c r="S60" s="44" t="s">
        <v>692</v>
      </c>
      <c r="T60" s="44" t="s">
        <v>693</v>
      </c>
      <c r="U60" s="44" t="s">
        <v>694</v>
      </c>
      <c r="V60" s="44" t="s">
        <v>695</v>
      </c>
      <c r="W60" s="44" t="s">
        <v>696</v>
      </c>
    </row>
    <row r="61" spans="1:23" x14ac:dyDescent="0.25">
      <c r="A61" s="44" t="s">
        <v>67</v>
      </c>
      <c r="C61" s="44" t="s">
        <v>697</v>
      </c>
      <c r="E61" s="44" t="s">
        <v>698</v>
      </c>
      <c r="F61" s="44" t="s">
        <v>2000</v>
      </c>
      <c r="H61" s="44" t="s">
        <v>1705</v>
      </c>
      <c r="I61" s="44" t="s">
        <v>1800</v>
      </c>
      <c r="J61" s="44" t="s">
        <v>699</v>
      </c>
      <c r="K61" s="44" t="s">
        <v>700</v>
      </c>
      <c r="L61" s="44" t="s">
        <v>701</v>
      </c>
      <c r="M61" s="44" t="s">
        <v>702</v>
      </c>
      <c r="N61" s="44" t="s">
        <v>703</v>
      </c>
      <c r="P61" s="44" t="s">
        <v>704</v>
      </c>
      <c r="Q61" s="44" t="s">
        <v>705</v>
      </c>
      <c r="R61" s="44" t="s">
        <v>706</v>
      </c>
      <c r="S61" s="44" t="s">
        <v>707</v>
      </c>
      <c r="T61" s="44" t="s">
        <v>708</v>
      </c>
      <c r="U61" s="44" t="s">
        <v>709</v>
      </c>
      <c r="V61" s="44" t="s">
        <v>710</v>
      </c>
      <c r="W61" s="44" t="s">
        <v>711</v>
      </c>
    </row>
    <row r="62" spans="1:23" x14ac:dyDescent="0.25">
      <c r="A62" s="44" t="s">
        <v>67</v>
      </c>
      <c r="C62" s="44" t="s">
        <v>712</v>
      </c>
      <c r="E62" s="44" t="s">
        <v>713</v>
      </c>
      <c r="F62" s="44" t="s">
        <v>2001</v>
      </c>
      <c r="H62" s="44" t="s">
        <v>1706</v>
      </c>
      <c r="I62" s="44" t="s">
        <v>1801</v>
      </c>
      <c r="J62" s="44" t="s">
        <v>714</v>
      </c>
      <c r="K62" s="44" t="s">
        <v>715</v>
      </c>
      <c r="L62" s="44" t="s">
        <v>716</v>
      </c>
      <c r="M62" s="44" t="s">
        <v>717</v>
      </c>
      <c r="N62" s="44" t="s">
        <v>718</v>
      </c>
      <c r="P62" s="44" t="s">
        <v>719</v>
      </c>
      <c r="Q62" s="44" t="s">
        <v>720</v>
      </c>
      <c r="R62" s="44" t="s">
        <v>721</v>
      </c>
      <c r="S62" s="44" t="s">
        <v>722</v>
      </c>
      <c r="T62" s="44" t="s">
        <v>723</v>
      </c>
      <c r="U62" s="44" t="s">
        <v>724</v>
      </c>
      <c r="V62" s="44" t="s">
        <v>725</v>
      </c>
      <c r="W62" s="44" t="s">
        <v>726</v>
      </c>
    </row>
    <row r="63" spans="1:23" x14ac:dyDescent="0.25">
      <c r="A63" s="44" t="s">
        <v>67</v>
      </c>
      <c r="C63" s="44" t="s">
        <v>727</v>
      </c>
      <c r="E63" s="44" t="s">
        <v>728</v>
      </c>
      <c r="F63" s="44" t="s">
        <v>2002</v>
      </c>
      <c r="H63" s="44" t="s">
        <v>1707</v>
      </c>
      <c r="I63" s="44" t="s">
        <v>1802</v>
      </c>
      <c r="J63" s="44" t="s">
        <v>729</v>
      </c>
      <c r="K63" s="44" t="s">
        <v>730</v>
      </c>
      <c r="L63" s="44" t="s">
        <v>731</v>
      </c>
      <c r="M63" s="44" t="s">
        <v>732</v>
      </c>
      <c r="N63" s="44" t="s">
        <v>733</v>
      </c>
      <c r="P63" s="44" t="s">
        <v>734</v>
      </c>
      <c r="Q63" s="44" t="s">
        <v>735</v>
      </c>
      <c r="R63" s="44" t="s">
        <v>736</v>
      </c>
      <c r="S63" s="44" t="s">
        <v>737</v>
      </c>
      <c r="T63" s="44" t="s">
        <v>738</v>
      </c>
      <c r="U63" s="44" t="s">
        <v>739</v>
      </c>
      <c r="V63" s="44" t="s">
        <v>740</v>
      </c>
      <c r="W63" s="44" t="s">
        <v>741</v>
      </c>
    </row>
    <row r="64" spans="1:23" x14ac:dyDescent="0.25">
      <c r="A64" s="44" t="s">
        <v>67</v>
      </c>
      <c r="C64" s="44" t="s">
        <v>742</v>
      </c>
      <c r="E64" s="44" t="s">
        <v>743</v>
      </c>
      <c r="F64" s="44" t="s">
        <v>2003</v>
      </c>
      <c r="H64" s="44" t="s">
        <v>1708</v>
      </c>
      <c r="I64" s="44" t="s">
        <v>1803</v>
      </c>
      <c r="J64" s="44" t="s">
        <v>744</v>
      </c>
      <c r="K64" s="44" t="s">
        <v>745</v>
      </c>
      <c r="L64" s="44" t="s">
        <v>746</v>
      </c>
      <c r="M64" s="44" t="s">
        <v>747</v>
      </c>
      <c r="N64" s="44" t="s">
        <v>748</v>
      </c>
      <c r="P64" s="44" t="s">
        <v>749</v>
      </c>
      <c r="Q64" s="44" t="s">
        <v>750</v>
      </c>
      <c r="R64" s="44" t="s">
        <v>751</v>
      </c>
      <c r="S64" s="44" t="s">
        <v>752</v>
      </c>
      <c r="T64" s="44" t="s">
        <v>753</v>
      </c>
      <c r="U64" s="44" t="s">
        <v>754</v>
      </c>
      <c r="V64" s="44" t="s">
        <v>755</v>
      </c>
      <c r="W64" s="44" t="s">
        <v>756</v>
      </c>
    </row>
    <row r="65" spans="1:23" x14ac:dyDescent="0.25">
      <c r="A65" s="44" t="s">
        <v>67</v>
      </c>
      <c r="C65" s="44" t="s">
        <v>757</v>
      </c>
      <c r="E65" s="44" t="s">
        <v>758</v>
      </c>
      <c r="F65" s="44" t="s">
        <v>2004</v>
      </c>
      <c r="H65" s="44" t="s">
        <v>1709</v>
      </c>
      <c r="I65" s="44" t="s">
        <v>1804</v>
      </c>
      <c r="J65" s="44" t="s">
        <v>759</v>
      </c>
      <c r="K65" s="44" t="s">
        <v>760</v>
      </c>
      <c r="L65" s="44" t="s">
        <v>761</v>
      </c>
      <c r="M65" s="44" t="s">
        <v>762</v>
      </c>
      <c r="N65" s="44" t="s">
        <v>763</v>
      </c>
      <c r="P65" s="44" t="s">
        <v>764</v>
      </c>
      <c r="Q65" s="44" t="s">
        <v>765</v>
      </c>
      <c r="R65" s="44" t="s">
        <v>766</v>
      </c>
      <c r="S65" s="44" t="s">
        <v>767</v>
      </c>
      <c r="T65" s="44" t="s">
        <v>768</v>
      </c>
      <c r="U65" s="44" t="s">
        <v>769</v>
      </c>
      <c r="V65" s="44" t="s">
        <v>770</v>
      </c>
      <c r="W65" s="44" t="s">
        <v>771</v>
      </c>
    </row>
    <row r="66" spans="1:23" x14ac:dyDescent="0.25">
      <c r="A66" s="44" t="s">
        <v>67</v>
      </c>
      <c r="C66" s="44" t="s">
        <v>772</v>
      </c>
      <c r="E66" s="44" t="s">
        <v>773</v>
      </c>
      <c r="F66" s="44" t="s">
        <v>2005</v>
      </c>
      <c r="H66" s="44" t="s">
        <v>1710</v>
      </c>
      <c r="I66" s="44" t="s">
        <v>1805</v>
      </c>
      <c r="J66" s="44" t="s">
        <v>774</v>
      </c>
      <c r="K66" s="44" t="s">
        <v>775</v>
      </c>
      <c r="L66" s="44" t="s">
        <v>776</v>
      </c>
      <c r="M66" s="44" t="s">
        <v>777</v>
      </c>
      <c r="N66" s="44" t="s">
        <v>778</v>
      </c>
      <c r="P66" s="44" t="s">
        <v>779</v>
      </c>
      <c r="Q66" s="44" t="s">
        <v>780</v>
      </c>
      <c r="R66" s="44" t="s">
        <v>781</v>
      </c>
      <c r="S66" s="44" t="s">
        <v>782</v>
      </c>
      <c r="T66" s="44" t="s">
        <v>783</v>
      </c>
      <c r="U66" s="44" t="s">
        <v>784</v>
      </c>
      <c r="V66" s="44" t="s">
        <v>785</v>
      </c>
      <c r="W66" s="44" t="s">
        <v>786</v>
      </c>
    </row>
    <row r="67" spans="1:23" x14ac:dyDescent="0.25">
      <c r="A67" s="44" t="s">
        <v>67</v>
      </c>
      <c r="C67" s="44" t="s">
        <v>787</v>
      </c>
      <c r="E67" s="44" t="s">
        <v>788</v>
      </c>
      <c r="F67" s="44" t="s">
        <v>2006</v>
      </c>
      <c r="H67" s="44" t="s">
        <v>1711</v>
      </c>
      <c r="I67" s="44" t="s">
        <v>1806</v>
      </c>
      <c r="J67" s="44" t="s">
        <v>789</v>
      </c>
      <c r="K67" s="44" t="s">
        <v>790</v>
      </c>
      <c r="L67" s="44" t="s">
        <v>791</v>
      </c>
      <c r="M67" s="44" t="s">
        <v>792</v>
      </c>
      <c r="N67" s="44" t="s">
        <v>793</v>
      </c>
      <c r="P67" s="44" t="s">
        <v>794</v>
      </c>
      <c r="Q67" s="44" t="s">
        <v>795</v>
      </c>
      <c r="R67" s="44" t="s">
        <v>796</v>
      </c>
      <c r="S67" s="44" t="s">
        <v>797</v>
      </c>
      <c r="T67" s="44" t="s">
        <v>798</v>
      </c>
      <c r="U67" s="44" t="s">
        <v>799</v>
      </c>
      <c r="V67" s="44" t="s">
        <v>800</v>
      </c>
      <c r="W67" s="44" t="s">
        <v>801</v>
      </c>
    </row>
    <row r="68" spans="1:23" x14ac:dyDescent="0.25">
      <c r="A68" s="44" t="s">
        <v>67</v>
      </c>
      <c r="C68" s="44" t="s">
        <v>802</v>
      </c>
      <c r="E68" s="44" t="s">
        <v>803</v>
      </c>
      <c r="F68" s="44" t="s">
        <v>2007</v>
      </c>
      <c r="H68" s="44" t="s">
        <v>1712</v>
      </c>
      <c r="I68" s="44" t="s">
        <v>1807</v>
      </c>
      <c r="J68" s="44" t="s">
        <v>804</v>
      </c>
      <c r="K68" s="44" t="s">
        <v>805</v>
      </c>
      <c r="L68" s="44" t="s">
        <v>806</v>
      </c>
      <c r="M68" s="44" t="s">
        <v>807</v>
      </c>
      <c r="N68" s="44" t="s">
        <v>808</v>
      </c>
      <c r="P68" s="44" t="s">
        <v>809</v>
      </c>
      <c r="Q68" s="44" t="s">
        <v>810</v>
      </c>
      <c r="R68" s="44" t="s">
        <v>811</v>
      </c>
      <c r="S68" s="44" t="s">
        <v>812</v>
      </c>
      <c r="T68" s="44" t="s">
        <v>813</v>
      </c>
      <c r="U68" s="44" t="s">
        <v>814</v>
      </c>
      <c r="V68" s="44" t="s">
        <v>815</v>
      </c>
      <c r="W68" s="44" t="s">
        <v>816</v>
      </c>
    </row>
    <row r="69" spans="1:23" x14ac:dyDescent="0.25">
      <c r="A69" s="44" t="s">
        <v>67</v>
      </c>
      <c r="C69" s="44" t="s">
        <v>817</v>
      </c>
      <c r="E69" s="44" t="s">
        <v>818</v>
      </c>
      <c r="F69" s="44" t="s">
        <v>2008</v>
      </c>
      <c r="H69" s="44" t="s">
        <v>1713</v>
      </c>
      <c r="I69" s="44" t="s">
        <v>1808</v>
      </c>
      <c r="J69" s="44" t="s">
        <v>819</v>
      </c>
      <c r="K69" s="44" t="s">
        <v>820</v>
      </c>
      <c r="L69" s="44" t="s">
        <v>821</v>
      </c>
      <c r="M69" s="44" t="s">
        <v>822</v>
      </c>
      <c r="N69" s="44" t="s">
        <v>823</v>
      </c>
      <c r="P69" s="44" t="s">
        <v>824</v>
      </c>
      <c r="Q69" s="44" t="s">
        <v>825</v>
      </c>
      <c r="R69" s="44" t="s">
        <v>826</v>
      </c>
      <c r="S69" s="44" t="s">
        <v>827</v>
      </c>
      <c r="T69" s="44" t="s">
        <v>828</v>
      </c>
      <c r="U69" s="44" t="s">
        <v>829</v>
      </c>
      <c r="V69" s="44" t="s">
        <v>830</v>
      </c>
      <c r="W69" s="44" t="s">
        <v>831</v>
      </c>
    </row>
    <row r="70" spans="1:23" x14ac:dyDescent="0.25">
      <c r="A70" s="44" t="s">
        <v>67</v>
      </c>
      <c r="C70" s="44" t="s">
        <v>832</v>
      </c>
      <c r="E70" s="44" t="s">
        <v>833</v>
      </c>
      <c r="F70" s="44" t="s">
        <v>2009</v>
      </c>
      <c r="H70" s="44" t="s">
        <v>1714</v>
      </c>
      <c r="I70" s="44" t="s">
        <v>1809</v>
      </c>
      <c r="J70" s="44" t="s">
        <v>834</v>
      </c>
      <c r="K70" s="44" t="s">
        <v>835</v>
      </c>
      <c r="L70" s="44" t="s">
        <v>836</v>
      </c>
      <c r="M70" s="44" t="s">
        <v>837</v>
      </c>
      <c r="N70" s="44" t="s">
        <v>838</v>
      </c>
      <c r="P70" s="44" t="s">
        <v>839</v>
      </c>
      <c r="Q70" s="44" t="s">
        <v>840</v>
      </c>
      <c r="R70" s="44" t="s">
        <v>841</v>
      </c>
      <c r="S70" s="44" t="s">
        <v>842</v>
      </c>
      <c r="T70" s="44" t="s">
        <v>843</v>
      </c>
      <c r="U70" s="44" t="s">
        <v>844</v>
      </c>
      <c r="V70" s="44" t="s">
        <v>845</v>
      </c>
      <c r="W70" s="44" t="s">
        <v>846</v>
      </c>
    </row>
    <row r="71" spans="1:23" x14ac:dyDescent="0.25">
      <c r="A71" s="44" t="s">
        <v>67</v>
      </c>
      <c r="C71" s="44" t="s">
        <v>847</v>
      </c>
      <c r="E71" s="44" t="s">
        <v>848</v>
      </c>
      <c r="F71" s="44" t="s">
        <v>2010</v>
      </c>
      <c r="H71" s="44" t="s">
        <v>1715</v>
      </c>
      <c r="I71" s="44" t="s">
        <v>1810</v>
      </c>
      <c r="J71" s="44" t="s">
        <v>849</v>
      </c>
      <c r="K71" s="44" t="s">
        <v>850</v>
      </c>
      <c r="L71" s="44" t="s">
        <v>851</v>
      </c>
      <c r="M71" s="44" t="s">
        <v>852</v>
      </c>
      <c r="N71" s="44" t="s">
        <v>853</v>
      </c>
      <c r="P71" s="44" t="s">
        <v>854</v>
      </c>
      <c r="Q71" s="44" t="s">
        <v>855</v>
      </c>
      <c r="R71" s="44" t="s">
        <v>856</v>
      </c>
      <c r="S71" s="44" t="s">
        <v>857</v>
      </c>
      <c r="T71" s="44" t="s">
        <v>858</v>
      </c>
      <c r="U71" s="44" t="s">
        <v>859</v>
      </c>
      <c r="V71" s="44" t="s">
        <v>860</v>
      </c>
      <c r="W71" s="44" t="s">
        <v>861</v>
      </c>
    </row>
    <row r="72" spans="1:23" x14ac:dyDescent="0.25">
      <c r="A72" s="44" t="s">
        <v>67</v>
      </c>
      <c r="C72" s="44" t="s">
        <v>862</v>
      </c>
      <c r="E72" s="44" t="s">
        <v>863</v>
      </c>
      <c r="F72" s="44" t="s">
        <v>2011</v>
      </c>
      <c r="H72" s="44" t="s">
        <v>1716</v>
      </c>
      <c r="I72" s="44" t="s">
        <v>1811</v>
      </c>
      <c r="J72" s="44" t="s">
        <v>864</v>
      </c>
      <c r="K72" s="44" t="s">
        <v>865</v>
      </c>
      <c r="L72" s="44" t="s">
        <v>866</v>
      </c>
      <c r="M72" s="44" t="s">
        <v>867</v>
      </c>
      <c r="N72" s="44" t="s">
        <v>868</v>
      </c>
      <c r="P72" s="44" t="s">
        <v>869</v>
      </c>
      <c r="Q72" s="44" t="s">
        <v>870</v>
      </c>
      <c r="R72" s="44" t="s">
        <v>871</v>
      </c>
      <c r="S72" s="44" t="s">
        <v>872</v>
      </c>
      <c r="T72" s="44" t="s">
        <v>873</v>
      </c>
      <c r="U72" s="44" t="s">
        <v>874</v>
      </c>
      <c r="V72" s="44" t="s">
        <v>875</v>
      </c>
      <c r="W72" s="44" t="s">
        <v>876</v>
      </c>
    </row>
    <row r="73" spans="1:23" x14ac:dyDescent="0.25">
      <c r="A73" s="44" t="s">
        <v>67</v>
      </c>
      <c r="C73" s="44" t="s">
        <v>877</v>
      </c>
      <c r="E73" s="44" t="s">
        <v>878</v>
      </c>
      <c r="F73" s="44" t="s">
        <v>2012</v>
      </c>
      <c r="H73" s="44" t="s">
        <v>1717</v>
      </c>
      <c r="I73" s="44" t="s">
        <v>1812</v>
      </c>
      <c r="J73" s="44" t="s">
        <v>879</v>
      </c>
      <c r="K73" s="44" t="s">
        <v>880</v>
      </c>
      <c r="L73" s="44" t="s">
        <v>881</v>
      </c>
      <c r="M73" s="44" t="s">
        <v>882</v>
      </c>
      <c r="N73" s="44" t="s">
        <v>883</v>
      </c>
      <c r="P73" s="44" t="s">
        <v>884</v>
      </c>
      <c r="Q73" s="44" t="s">
        <v>885</v>
      </c>
      <c r="R73" s="44" t="s">
        <v>886</v>
      </c>
      <c r="S73" s="44" t="s">
        <v>887</v>
      </c>
      <c r="T73" s="44" t="s">
        <v>888</v>
      </c>
      <c r="U73" s="44" t="s">
        <v>889</v>
      </c>
      <c r="V73" s="44" t="s">
        <v>890</v>
      </c>
      <c r="W73" s="44" t="s">
        <v>891</v>
      </c>
    </row>
    <row r="74" spans="1:23" x14ac:dyDescent="0.25">
      <c r="A74" s="44" t="s">
        <v>67</v>
      </c>
      <c r="C74" s="44" t="s">
        <v>892</v>
      </c>
      <c r="E74" s="44" t="s">
        <v>893</v>
      </c>
      <c r="F74" s="44" t="s">
        <v>2013</v>
      </c>
      <c r="H74" s="44" t="s">
        <v>1718</v>
      </c>
      <c r="I74" s="44" t="s">
        <v>1813</v>
      </c>
      <c r="J74" s="44" t="s">
        <v>894</v>
      </c>
      <c r="K74" s="44" t="s">
        <v>895</v>
      </c>
      <c r="L74" s="44" t="s">
        <v>896</v>
      </c>
      <c r="M74" s="44" t="s">
        <v>897</v>
      </c>
      <c r="N74" s="44" t="s">
        <v>898</v>
      </c>
      <c r="P74" s="44" t="s">
        <v>899</v>
      </c>
      <c r="Q74" s="44" t="s">
        <v>900</v>
      </c>
      <c r="R74" s="44" t="s">
        <v>901</v>
      </c>
      <c r="S74" s="44" t="s">
        <v>902</v>
      </c>
      <c r="T74" s="44" t="s">
        <v>903</v>
      </c>
      <c r="U74" s="44" t="s">
        <v>904</v>
      </c>
      <c r="V74" s="44" t="s">
        <v>905</v>
      </c>
      <c r="W74" s="44" t="s">
        <v>906</v>
      </c>
    </row>
    <row r="75" spans="1:23" x14ac:dyDescent="0.25">
      <c r="A75" s="44" t="s">
        <v>67</v>
      </c>
      <c r="C75" s="44" t="s">
        <v>907</v>
      </c>
      <c r="E75" s="44" t="s">
        <v>908</v>
      </c>
      <c r="F75" s="44" t="s">
        <v>2014</v>
      </c>
      <c r="H75" s="44" t="s">
        <v>1719</v>
      </c>
      <c r="I75" s="44" t="s">
        <v>1814</v>
      </c>
      <c r="J75" s="44" t="s">
        <v>909</v>
      </c>
      <c r="K75" s="44" t="s">
        <v>910</v>
      </c>
      <c r="L75" s="44" t="s">
        <v>911</v>
      </c>
      <c r="M75" s="44" t="s">
        <v>912</v>
      </c>
      <c r="N75" s="44" t="s">
        <v>913</v>
      </c>
      <c r="P75" s="44" t="s">
        <v>914</v>
      </c>
      <c r="Q75" s="44" t="s">
        <v>915</v>
      </c>
      <c r="R75" s="44" t="s">
        <v>916</v>
      </c>
      <c r="S75" s="44" t="s">
        <v>917</v>
      </c>
      <c r="T75" s="44" t="s">
        <v>918</v>
      </c>
      <c r="U75" s="44" t="s">
        <v>919</v>
      </c>
      <c r="V75" s="44" t="s">
        <v>920</v>
      </c>
      <c r="W75" s="44" t="s">
        <v>921</v>
      </c>
    </row>
    <row r="76" spans="1:23" x14ac:dyDescent="0.25">
      <c r="A76" s="44" t="s">
        <v>67</v>
      </c>
      <c r="C76" s="44" t="s">
        <v>922</v>
      </c>
      <c r="E76" s="44" t="s">
        <v>923</v>
      </c>
      <c r="F76" s="44" t="s">
        <v>2015</v>
      </c>
      <c r="H76" s="44" t="s">
        <v>1720</v>
      </c>
      <c r="I76" s="44" t="s">
        <v>1815</v>
      </c>
      <c r="J76" s="44" t="s">
        <v>924</v>
      </c>
      <c r="K76" s="44" t="s">
        <v>925</v>
      </c>
      <c r="L76" s="44" t="s">
        <v>926</v>
      </c>
      <c r="M76" s="44" t="s">
        <v>927</v>
      </c>
      <c r="N76" s="44" t="s">
        <v>928</v>
      </c>
      <c r="P76" s="44" t="s">
        <v>929</v>
      </c>
      <c r="Q76" s="44" t="s">
        <v>930</v>
      </c>
      <c r="R76" s="44" t="s">
        <v>931</v>
      </c>
      <c r="S76" s="44" t="s">
        <v>932</v>
      </c>
      <c r="T76" s="44" t="s">
        <v>933</v>
      </c>
      <c r="U76" s="44" t="s">
        <v>934</v>
      </c>
      <c r="V76" s="44" t="s">
        <v>935</v>
      </c>
      <c r="W76" s="44" t="s">
        <v>936</v>
      </c>
    </row>
    <row r="77" spans="1:23" x14ac:dyDescent="0.25">
      <c r="A77" s="44" t="s">
        <v>67</v>
      </c>
      <c r="C77" s="44" t="s">
        <v>937</v>
      </c>
      <c r="E77" s="44" t="s">
        <v>938</v>
      </c>
      <c r="F77" s="44" t="s">
        <v>2016</v>
      </c>
      <c r="H77" s="44" t="s">
        <v>1721</v>
      </c>
      <c r="I77" s="44" t="s">
        <v>1816</v>
      </c>
      <c r="J77" s="44" t="s">
        <v>939</v>
      </c>
      <c r="K77" s="44" t="s">
        <v>940</v>
      </c>
      <c r="L77" s="44" t="s">
        <v>941</v>
      </c>
      <c r="M77" s="44" t="s">
        <v>942</v>
      </c>
      <c r="N77" s="44" t="s">
        <v>943</v>
      </c>
      <c r="P77" s="44" t="s">
        <v>944</v>
      </c>
      <c r="Q77" s="44" t="s">
        <v>945</v>
      </c>
      <c r="R77" s="44" t="s">
        <v>946</v>
      </c>
      <c r="S77" s="44" t="s">
        <v>947</v>
      </c>
      <c r="T77" s="44" t="s">
        <v>948</v>
      </c>
      <c r="U77" s="44" t="s">
        <v>949</v>
      </c>
      <c r="V77" s="44" t="s">
        <v>950</v>
      </c>
      <c r="W77" s="44" t="s">
        <v>951</v>
      </c>
    </row>
    <row r="78" spans="1:23" x14ac:dyDescent="0.25">
      <c r="A78" s="44" t="s">
        <v>67</v>
      </c>
      <c r="C78" s="44" t="s">
        <v>952</v>
      </c>
      <c r="E78" s="44" t="s">
        <v>953</v>
      </c>
      <c r="F78" s="44" t="s">
        <v>2017</v>
      </c>
      <c r="H78" s="44" t="s">
        <v>1722</v>
      </c>
      <c r="I78" s="44" t="s">
        <v>1817</v>
      </c>
      <c r="J78" s="44" t="s">
        <v>954</v>
      </c>
      <c r="K78" s="44" t="s">
        <v>955</v>
      </c>
      <c r="L78" s="44" t="s">
        <v>956</v>
      </c>
      <c r="M78" s="44" t="s">
        <v>957</v>
      </c>
      <c r="N78" s="44" t="s">
        <v>958</v>
      </c>
      <c r="P78" s="44" t="s">
        <v>959</v>
      </c>
      <c r="Q78" s="44" t="s">
        <v>960</v>
      </c>
      <c r="R78" s="44" t="s">
        <v>961</v>
      </c>
      <c r="S78" s="44" t="s">
        <v>962</v>
      </c>
      <c r="T78" s="44" t="s">
        <v>963</v>
      </c>
      <c r="U78" s="44" t="s">
        <v>964</v>
      </c>
      <c r="V78" s="44" t="s">
        <v>965</v>
      </c>
      <c r="W78" s="44" t="s">
        <v>966</v>
      </c>
    </row>
    <row r="79" spans="1:23" x14ac:dyDescent="0.25">
      <c r="A79" s="44" t="s">
        <v>67</v>
      </c>
      <c r="C79" s="44" t="s">
        <v>967</v>
      </c>
      <c r="E79" s="44" t="s">
        <v>968</v>
      </c>
      <c r="F79" s="44" t="s">
        <v>2018</v>
      </c>
      <c r="H79" s="44" t="s">
        <v>1723</v>
      </c>
      <c r="I79" s="44" t="s">
        <v>1818</v>
      </c>
      <c r="J79" s="44" t="s">
        <v>969</v>
      </c>
      <c r="K79" s="44" t="s">
        <v>970</v>
      </c>
      <c r="L79" s="44" t="s">
        <v>971</v>
      </c>
      <c r="M79" s="44" t="s">
        <v>972</v>
      </c>
      <c r="N79" s="44" t="s">
        <v>973</v>
      </c>
      <c r="P79" s="44" t="s">
        <v>974</v>
      </c>
      <c r="Q79" s="44" t="s">
        <v>975</v>
      </c>
      <c r="R79" s="44" t="s">
        <v>976</v>
      </c>
      <c r="S79" s="44" t="s">
        <v>977</v>
      </c>
      <c r="T79" s="44" t="s">
        <v>978</v>
      </c>
      <c r="U79" s="44" t="s">
        <v>979</v>
      </c>
      <c r="V79" s="44" t="s">
        <v>980</v>
      </c>
      <c r="W79" s="44" t="s">
        <v>981</v>
      </c>
    </row>
    <row r="80" spans="1:23" x14ac:dyDescent="0.25">
      <c r="A80" s="44" t="s">
        <v>67</v>
      </c>
      <c r="C80" s="44" t="s">
        <v>982</v>
      </c>
      <c r="E80" s="44" t="s">
        <v>983</v>
      </c>
      <c r="F80" s="44" t="s">
        <v>2019</v>
      </c>
      <c r="H80" s="44" t="s">
        <v>1724</v>
      </c>
      <c r="I80" s="44" t="s">
        <v>1819</v>
      </c>
      <c r="J80" s="44" t="s">
        <v>984</v>
      </c>
      <c r="K80" s="44" t="s">
        <v>985</v>
      </c>
      <c r="L80" s="44" t="s">
        <v>986</v>
      </c>
      <c r="M80" s="44" t="s">
        <v>987</v>
      </c>
      <c r="N80" s="44" t="s">
        <v>988</v>
      </c>
      <c r="P80" s="44" t="s">
        <v>989</v>
      </c>
      <c r="Q80" s="44" t="s">
        <v>990</v>
      </c>
      <c r="R80" s="44" t="s">
        <v>991</v>
      </c>
      <c r="S80" s="44" t="s">
        <v>992</v>
      </c>
      <c r="T80" s="44" t="s">
        <v>993</v>
      </c>
      <c r="U80" s="44" t="s">
        <v>994</v>
      </c>
      <c r="V80" s="44" t="s">
        <v>995</v>
      </c>
      <c r="W80" s="44" t="s">
        <v>996</v>
      </c>
    </row>
    <row r="81" spans="1:23" x14ac:dyDescent="0.25">
      <c r="A81" s="44" t="s">
        <v>67</v>
      </c>
      <c r="C81" s="44" t="s">
        <v>997</v>
      </c>
      <c r="E81" s="44" t="s">
        <v>998</v>
      </c>
      <c r="F81" s="44" t="s">
        <v>2020</v>
      </c>
      <c r="H81" s="44" t="s">
        <v>1725</v>
      </c>
      <c r="I81" s="44" t="s">
        <v>1820</v>
      </c>
      <c r="J81" s="44" t="s">
        <v>999</v>
      </c>
      <c r="K81" s="44" t="s">
        <v>1000</v>
      </c>
      <c r="L81" s="44" t="s">
        <v>1001</v>
      </c>
      <c r="M81" s="44" t="s">
        <v>1002</v>
      </c>
      <c r="N81" s="44" t="s">
        <v>1003</v>
      </c>
      <c r="P81" s="44" t="s">
        <v>1004</v>
      </c>
      <c r="Q81" s="44" t="s">
        <v>1005</v>
      </c>
      <c r="R81" s="44" t="s">
        <v>1006</v>
      </c>
      <c r="S81" s="44" t="s">
        <v>1007</v>
      </c>
      <c r="T81" s="44" t="s">
        <v>1008</v>
      </c>
      <c r="U81" s="44" t="s">
        <v>1009</v>
      </c>
      <c r="V81" s="44" t="s">
        <v>1010</v>
      </c>
      <c r="W81" s="44" t="s">
        <v>1011</v>
      </c>
    </row>
    <row r="82" spans="1:23" x14ac:dyDescent="0.25">
      <c r="A82" s="44" t="s">
        <v>67</v>
      </c>
      <c r="C82" s="44" t="s">
        <v>1012</v>
      </c>
      <c r="E82" s="44" t="s">
        <v>1013</v>
      </c>
      <c r="F82" s="44" t="s">
        <v>2021</v>
      </c>
      <c r="H82" s="44" t="s">
        <v>1726</v>
      </c>
      <c r="I82" s="44" t="s">
        <v>1821</v>
      </c>
      <c r="J82" s="44" t="s">
        <v>1014</v>
      </c>
      <c r="K82" s="44" t="s">
        <v>1015</v>
      </c>
      <c r="L82" s="44" t="s">
        <v>1016</v>
      </c>
      <c r="M82" s="44" t="s">
        <v>1017</v>
      </c>
      <c r="N82" s="44" t="s">
        <v>1018</v>
      </c>
      <c r="P82" s="44" t="s">
        <v>1019</v>
      </c>
      <c r="Q82" s="44" t="s">
        <v>1020</v>
      </c>
      <c r="R82" s="44" t="s">
        <v>1021</v>
      </c>
      <c r="S82" s="44" t="s">
        <v>1022</v>
      </c>
      <c r="T82" s="44" t="s">
        <v>1023</v>
      </c>
      <c r="U82" s="44" t="s">
        <v>1024</v>
      </c>
      <c r="V82" s="44" t="s">
        <v>1025</v>
      </c>
      <c r="W82" s="44" t="s">
        <v>1026</v>
      </c>
    </row>
    <row r="83" spans="1:23" x14ac:dyDescent="0.25">
      <c r="A83" s="44" t="s">
        <v>67</v>
      </c>
      <c r="C83" s="44" t="s">
        <v>1027</v>
      </c>
      <c r="E83" s="44" t="s">
        <v>1028</v>
      </c>
      <c r="F83" s="44" t="s">
        <v>2022</v>
      </c>
      <c r="H83" s="44" t="s">
        <v>1727</v>
      </c>
      <c r="I83" s="44" t="s">
        <v>1822</v>
      </c>
      <c r="J83" s="44" t="s">
        <v>1029</v>
      </c>
      <c r="K83" s="44" t="s">
        <v>1030</v>
      </c>
      <c r="L83" s="44" t="s">
        <v>1031</v>
      </c>
      <c r="M83" s="44" t="s">
        <v>1032</v>
      </c>
      <c r="N83" s="44" t="s">
        <v>1033</v>
      </c>
      <c r="P83" s="44" t="s">
        <v>1034</v>
      </c>
      <c r="Q83" s="44" t="s">
        <v>1035</v>
      </c>
      <c r="R83" s="44" t="s">
        <v>1036</v>
      </c>
      <c r="S83" s="44" t="s">
        <v>1037</v>
      </c>
      <c r="T83" s="44" t="s">
        <v>1038</v>
      </c>
      <c r="U83" s="44" t="s">
        <v>1039</v>
      </c>
      <c r="V83" s="44" t="s">
        <v>1040</v>
      </c>
      <c r="W83" s="44" t="s">
        <v>1041</v>
      </c>
    </row>
    <row r="84" spans="1:23" x14ac:dyDescent="0.25">
      <c r="A84" s="44" t="s">
        <v>67</v>
      </c>
      <c r="C84" s="44" t="s">
        <v>1042</v>
      </c>
      <c r="E84" s="44" t="s">
        <v>1043</v>
      </c>
      <c r="F84" s="44" t="s">
        <v>2023</v>
      </c>
      <c r="H84" s="44" t="s">
        <v>1728</v>
      </c>
      <c r="I84" s="44" t="s">
        <v>1823</v>
      </c>
      <c r="J84" s="44" t="s">
        <v>1044</v>
      </c>
      <c r="K84" s="44" t="s">
        <v>1045</v>
      </c>
      <c r="L84" s="44" t="s">
        <v>1046</v>
      </c>
      <c r="M84" s="44" t="s">
        <v>1047</v>
      </c>
      <c r="N84" s="44" t="s">
        <v>1048</v>
      </c>
      <c r="P84" s="44" t="s">
        <v>1049</v>
      </c>
      <c r="Q84" s="44" t="s">
        <v>1050</v>
      </c>
      <c r="R84" s="44" t="s">
        <v>1051</v>
      </c>
      <c r="S84" s="44" t="s">
        <v>1052</v>
      </c>
      <c r="T84" s="44" t="s">
        <v>1053</v>
      </c>
      <c r="U84" s="44" t="s">
        <v>1054</v>
      </c>
      <c r="V84" s="44" t="s">
        <v>1055</v>
      </c>
      <c r="W84" s="44" t="s">
        <v>1056</v>
      </c>
    </row>
    <row r="85" spans="1:23" x14ac:dyDescent="0.25">
      <c r="A85" s="44" t="s">
        <v>67</v>
      </c>
      <c r="C85" s="44" t="s">
        <v>1057</v>
      </c>
      <c r="E85" s="44" t="s">
        <v>1058</v>
      </c>
      <c r="F85" s="44" t="s">
        <v>2024</v>
      </c>
      <c r="H85" s="44" t="s">
        <v>1729</v>
      </c>
      <c r="I85" s="44" t="s">
        <v>1824</v>
      </c>
      <c r="J85" s="44" t="s">
        <v>1059</v>
      </c>
      <c r="K85" s="44" t="s">
        <v>1060</v>
      </c>
      <c r="L85" s="44" t="s">
        <v>1061</v>
      </c>
      <c r="M85" s="44" t="s">
        <v>1062</v>
      </c>
      <c r="N85" s="44" t="s">
        <v>1063</v>
      </c>
      <c r="P85" s="44" t="s">
        <v>1064</v>
      </c>
      <c r="Q85" s="44" t="s">
        <v>1065</v>
      </c>
      <c r="R85" s="44" t="s">
        <v>1066</v>
      </c>
      <c r="S85" s="44" t="s">
        <v>1067</v>
      </c>
      <c r="T85" s="44" t="s">
        <v>1068</v>
      </c>
      <c r="U85" s="44" t="s">
        <v>1069</v>
      </c>
      <c r="V85" s="44" t="s">
        <v>1070</v>
      </c>
      <c r="W85" s="44" t="s">
        <v>1071</v>
      </c>
    </row>
    <row r="86" spans="1:23" x14ac:dyDescent="0.25">
      <c r="A86" s="44" t="s">
        <v>67</v>
      </c>
      <c r="C86" s="44" t="s">
        <v>1072</v>
      </c>
      <c r="E86" s="44" t="s">
        <v>1073</v>
      </c>
      <c r="F86" s="44" t="s">
        <v>2025</v>
      </c>
      <c r="H86" s="44" t="s">
        <v>1730</v>
      </c>
      <c r="I86" s="44" t="s">
        <v>1825</v>
      </c>
      <c r="J86" s="44" t="s">
        <v>1074</v>
      </c>
      <c r="K86" s="44" t="s">
        <v>1075</v>
      </c>
      <c r="L86" s="44" t="s">
        <v>1076</v>
      </c>
      <c r="M86" s="44" t="s">
        <v>1077</v>
      </c>
      <c r="N86" s="44" t="s">
        <v>1078</v>
      </c>
      <c r="P86" s="44" t="s">
        <v>1079</v>
      </c>
      <c r="Q86" s="44" t="s">
        <v>1080</v>
      </c>
      <c r="R86" s="44" t="s">
        <v>1081</v>
      </c>
      <c r="S86" s="44" t="s">
        <v>1082</v>
      </c>
      <c r="T86" s="44" t="s">
        <v>1083</v>
      </c>
      <c r="U86" s="44" t="s">
        <v>1084</v>
      </c>
      <c r="V86" s="44" t="s">
        <v>1085</v>
      </c>
      <c r="W86" s="44" t="s">
        <v>1086</v>
      </c>
    </row>
    <row r="87" spans="1:23" x14ac:dyDescent="0.25">
      <c r="A87" s="44" t="s">
        <v>67</v>
      </c>
      <c r="C87" s="44" t="s">
        <v>1087</v>
      </c>
      <c r="E87" s="44" t="s">
        <v>1088</v>
      </c>
      <c r="F87" s="44" t="s">
        <v>2026</v>
      </c>
      <c r="H87" s="44" t="s">
        <v>1731</v>
      </c>
      <c r="I87" s="44" t="s">
        <v>1826</v>
      </c>
      <c r="J87" s="44" t="s">
        <v>1089</v>
      </c>
      <c r="K87" s="44" t="s">
        <v>1090</v>
      </c>
      <c r="L87" s="44" t="s">
        <v>1091</v>
      </c>
      <c r="M87" s="44" t="s">
        <v>1092</v>
      </c>
      <c r="N87" s="44" t="s">
        <v>1093</v>
      </c>
      <c r="P87" s="44" t="s">
        <v>1094</v>
      </c>
      <c r="Q87" s="44" t="s">
        <v>1095</v>
      </c>
      <c r="R87" s="44" t="s">
        <v>1096</v>
      </c>
      <c r="S87" s="44" t="s">
        <v>1097</v>
      </c>
      <c r="T87" s="44" t="s">
        <v>1098</v>
      </c>
      <c r="U87" s="44" t="s">
        <v>1099</v>
      </c>
      <c r="V87" s="44" t="s">
        <v>1100</v>
      </c>
      <c r="W87" s="44" t="s">
        <v>1101</v>
      </c>
    </row>
    <row r="88" spans="1:23" x14ac:dyDescent="0.25">
      <c r="A88" s="44" t="s">
        <v>67</v>
      </c>
      <c r="C88" s="44" t="s">
        <v>1102</v>
      </c>
      <c r="E88" s="44" t="s">
        <v>1103</v>
      </c>
      <c r="F88" s="44" t="s">
        <v>2027</v>
      </c>
      <c r="H88" s="44" t="s">
        <v>1732</v>
      </c>
      <c r="I88" s="44" t="s">
        <v>1827</v>
      </c>
      <c r="J88" s="44" t="s">
        <v>1104</v>
      </c>
      <c r="K88" s="44" t="s">
        <v>1105</v>
      </c>
      <c r="L88" s="44" t="s">
        <v>1106</v>
      </c>
      <c r="M88" s="44" t="s">
        <v>1107</v>
      </c>
      <c r="N88" s="44" t="s">
        <v>1108</v>
      </c>
      <c r="P88" s="44" t="s">
        <v>1109</v>
      </c>
      <c r="Q88" s="44" t="s">
        <v>1110</v>
      </c>
      <c r="R88" s="44" t="s">
        <v>1111</v>
      </c>
      <c r="S88" s="44" t="s">
        <v>1112</v>
      </c>
      <c r="T88" s="44" t="s">
        <v>1113</v>
      </c>
      <c r="U88" s="44" t="s">
        <v>1114</v>
      </c>
      <c r="V88" s="44" t="s">
        <v>1115</v>
      </c>
      <c r="W88" s="44" t="s">
        <v>1116</v>
      </c>
    </row>
    <row r="89" spans="1:23" x14ac:dyDescent="0.25">
      <c r="A89" s="44" t="s">
        <v>67</v>
      </c>
      <c r="C89" s="44" t="s">
        <v>1117</v>
      </c>
      <c r="E89" s="44" t="s">
        <v>1118</v>
      </c>
      <c r="F89" s="44" t="s">
        <v>2028</v>
      </c>
      <c r="H89" s="44" t="s">
        <v>1733</v>
      </c>
      <c r="I89" s="44" t="s">
        <v>1828</v>
      </c>
      <c r="J89" s="44" t="s">
        <v>1119</v>
      </c>
      <c r="K89" s="44" t="s">
        <v>1120</v>
      </c>
      <c r="L89" s="44" t="s">
        <v>1121</v>
      </c>
      <c r="M89" s="44" t="s">
        <v>1122</v>
      </c>
      <c r="N89" s="44" t="s">
        <v>1123</v>
      </c>
      <c r="P89" s="44" t="s">
        <v>1124</v>
      </c>
      <c r="Q89" s="44" t="s">
        <v>1125</v>
      </c>
      <c r="R89" s="44" t="s">
        <v>1126</v>
      </c>
      <c r="S89" s="44" t="s">
        <v>1127</v>
      </c>
      <c r="T89" s="44" t="s">
        <v>1128</v>
      </c>
      <c r="U89" s="44" t="s">
        <v>1129</v>
      </c>
      <c r="V89" s="44" t="s">
        <v>1130</v>
      </c>
      <c r="W89" s="44" t="s">
        <v>1131</v>
      </c>
    </row>
    <row r="90" spans="1:23" x14ac:dyDescent="0.25">
      <c r="A90" s="44" t="s">
        <v>67</v>
      </c>
      <c r="C90" s="44" t="s">
        <v>1132</v>
      </c>
      <c r="E90" s="44" t="s">
        <v>1133</v>
      </c>
      <c r="F90" s="44" t="s">
        <v>2029</v>
      </c>
      <c r="H90" s="44" t="s">
        <v>1734</v>
      </c>
      <c r="I90" s="44" t="s">
        <v>1829</v>
      </c>
      <c r="J90" s="44" t="s">
        <v>1134</v>
      </c>
      <c r="K90" s="44" t="s">
        <v>1135</v>
      </c>
      <c r="L90" s="44" t="s">
        <v>1136</v>
      </c>
      <c r="M90" s="44" t="s">
        <v>1137</v>
      </c>
      <c r="N90" s="44" t="s">
        <v>1138</v>
      </c>
      <c r="P90" s="44" t="s">
        <v>1139</v>
      </c>
      <c r="Q90" s="44" t="s">
        <v>1140</v>
      </c>
      <c r="R90" s="44" t="s">
        <v>1141</v>
      </c>
      <c r="S90" s="44" t="s">
        <v>1142</v>
      </c>
      <c r="T90" s="44" t="s">
        <v>1143</v>
      </c>
      <c r="U90" s="44" t="s">
        <v>1144</v>
      </c>
      <c r="V90" s="44" t="s">
        <v>1145</v>
      </c>
      <c r="W90" s="44" t="s">
        <v>1146</v>
      </c>
    </row>
    <row r="91" spans="1:23" x14ac:dyDescent="0.25">
      <c r="A91" s="44" t="s">
        <v>67</v>
      </c>
      <c r="C91" s="44" t="s">
        <v>1147</v>
      </c>
      <c r="E91" s="44" t="s">
        <v>1148</v>
      </c>
      <c r="F91" s="44" t="s">
        <v>2030</v>
      </c>
      <c r="H91" s="44" t="s">
        <v>1735</v>
      </c>
      <c r="I91" s="44" t="s">
        <v>1830</v>
      </c>
      <c r="J91" s="44" t="s">
        <v>1149</v>
      </c>
      <c r="K91" s="44" t="s">
        <v>1150</v>
      </c>
      <c r="L91" s="44" t="s">
        <v>1151</v>
      </c>
      <c r="M91" s="44" t="s">
        <v>1152</v>
      </c>
      <c r="N91" s="44" t="s">
        <v>1153</v>
      </c>
      <c r="P91" s="44" t="s">
        <v>1154</v>
      </c>
      <c r="Q91" s="44" t="s">
        <v>1155</v>
      </c>
      <c r="R91" s="44" t="s">
        <v>1156</v>
      </c>
      <c r="S91" s="44" t="s">
        <v>1157</v>
      </c>
      <c r="T91" s="44" t="s">
        <v>1158</v>
      </c>
      <c r="U91" s="44" t="s">
        <v>1159</v>
      </c>
      <c r="V91" s="44" t="s">
        <v>1160</v>
      </c>
      <c r="W91" s="44" t="s">
        <v>1161</v>
      </c>
    </row>
    <row r="92" spans="1:23" x14ac:dyDescent="0.25">
      <c r="A92" s="44" t="s">
        <v>67</v>
      </c>
      <c r="C92" s="44" t="s">
        <v>1162</v>
      </c>
      <c r="E92" s="44" t="s">
        <v>1163</v>
      </c>
      <c r="F92" s="44" t="s">
        <v>2031</v>
      </c>
      <c r="H92" s="44" t="s">
        <v>1736</v>
      </c>
      <c r="I92" s="44" t="s">
        <v>1831</v>
      </c>
      <c r="J92" s="44" t="s">
        <v>1164</v>
      </c>
      <c r="K92" s="44" t="s">
        <v>1165</v>
      </c>
      <c r="L92" s="44" t="s">
        <v>1166</v>
      </c>
      <c r="M92" s="44" t="s">
        <v>1167</v>
      </c>
      <c r="N92" s="44" t="s">
        <v>1168</v>
      </c>
      <c r="P92" s="44" t="s">
        <v>1169</v>
      </c>
      <c r="Q92" s="44" t="s">
        <v>1170</v>
      </c>
      <c r="R92" s="44" t="s">
        <v>1171</v>
      </c>
      <c r="S92" s="44" t="s">
        <v>1172</v>
      </c>
      <c r="T92" s="44" t="s">
        <v>1173</v>
      </c>
      <c r="U92" s="44" t="s">
        <v>1174</v>
      </c>
      <c r="V92" s="44" t="s">
        <v>1175</v>
      </c>
      <c r="W92" s="44" t="s">
        <v>1176</v>
      </c>
    </row>
    <row r="93" spans="1:23" x14ac:dyDescent="0.25">
      <c r="A93" s="44" t="s">
        <v>67</v>
      </c>
      <c r="C93" s="44" t="s">
        <v>1177</v>
      </c>
      <c r="E93" s="44" t="s">
        <v>1178</v>
      </c>
      <c r="F93" s="44" t="s">
        <v>2032</v>
      </c>
      <c r="H93" s="44" t="s">
        <v>1737</v>
      </c>
      <c r="I93" s="44" t="s">
        <v>1832</v>
      </c>
      <c r="J93" s="44" t="s">
        <v>1179</v>
      </c>
      <c r="K93" s="44" t="s">
        <v>1180</v>
      </c>
      <c r="L93" s="44" t="s">
        <v>1181</v>
      </c>
      <c r="M93" s="44" t="s">
        <v>1182</v>
      </c>
      <c r="N93" s="44" t="s">
        <v>1183</v>
      </c>
      <c r="P93" s="44" t="s">
        <v>1184</v>
      </c>
      <c r="Q93" s="44" t="s">
        <v>1185</v>
      </c>
      <c r="R93" s="44" t="s">
        <v>1186</v>
      </c>
      <c r="S93" s="44" t="s">
        <v>1187</v>
      </c>
      <c r="T93" s="44" t="s">
        <v>1188</v>
      </c>
      <c r="U93" s="44" t="s">
        <v>1189</v>
      </c>
      <c r="V93" s="44" t="s">
        <v>1190</v>
      </c>
      <c r="W93" s="44" t="s">
        <v>1191</v>
      </c>
    </row>
    <row r="94" spans="1:23" x14ac:dyDescent="0.25">
      <c r="A94" s="44" t="s">
        <v>67</v>
      </c>
      <c r="C94" s="44" t="s">
        <v>1192</v>
      </c>
      <c r="E94" s="44" t="s">
        <v>1193</v>
      </c>
      <c r="F94" s="44" t="s">
        <v>2033</v>
      </c>
      <c r="H94" s="44" t="s">
        <v>1738</v>
      </c>
      <c r="I94" s="44" t="s">
        <v>1833</v>
      </c>
      <c r="J94" s="44" t="s">
        <v>1194</v>
      </c>
      <c r="K94" s="44" t="s">
        <v>1195</v>
      </c>
      <c r="L94" s="44" t="s">
        <v>1196</v>
      </c>
      <c r="M94" s="44" t="s">
        <v>1197</v>
      </c>
      <c r="N94" s="44" t="s">
        <v>1198</v>
      </c>
      <c r="P94" s="44" t="s">
        <v>1199</v>
      </c>
      <c r="Q94" s="44" t="s">
        <v>1200</v>
      </c>
      <c r="R94" s="44" t="s">
        <v>1201</v>
      </c>
      <c r="S94" s="44" t="s">
        <v>1202</v>
      </c>
      <c r="T94" s="44" t="s">
        <v>1203</v>
      </c>
      <c r="U94" s="44" t="s">
        <v>1204</v>
      </c>
      <c r="V94" s="44" t="s">
        <v>1205</v>
      </c>
      <c r="W94" s="44" t="s">
        <v>1206</v>
      </c>
    </row>
    <row r="95" spans="1:23" x14ac:dyDescent="0.25">
      <c r="A95" s="44" t="s">
        <v>67</v>
      </c>
      <c r="C95" s="44" t="s">
        <v>1207</v>
      </c>
      <c r="E95" s="44" t="s">
        <v>1208</v>
      </c>
      <c r="F95" s="44" t="s">
        <v>2034</v>
      </c>
      <c r="H95" s="44" t="s">
        <v>1739</v>
      </c>
      <c r="I95" s="44" t="s">
        <v>1834</v>
      </c>
      <c r="J95" s="44" t="s">
        <v>1209</v>
      </c>
      <c r="K95" s="44" t="s">
        <v>1210</v>
      </c>
      <c r="L95" s="44" t="s">
        <v>1211</v>
      </c>
      <c r="M95" s="44" t="s">
        <v>1212</v>
      </c>
      <c r="N95" s="44" t="s">
        <v>1213</v>
      </c>
      <c r="P95" s="44" t="s">
        <v>1214</v>
      </c>
      <c r="Q95" s="44" t="s">
        <v>1215</v>
      </c>
      <c r="R95" s="44" t="s">
        <v>1216</v>
      </c>
      <c r="S95" s="44" t="s">
        <v>1217</v>
      </c>
      <c r="T95" s="44" t="s">
        <v>1218</v>
      </c>
      <c r="U95" s="44" t="s">
        <v>1219</v>
      </c>
      <c r="V95" s="44" t="s">
        <v>1220</v>
      </c>
      <c r="W95" s="44" t="s">
        <v>1221</v>
      </c>
    </row>
    <row r="96" spans="1:23" x14ac:dyDescent="0.25">
      <c r="A96" s="44" t="s">
        <v>67</v>
      </c>
      <c r="C96" s="44" t="s">
        <v>1222</v>
      </c>
      <c r="E96" s="44" t="s">
        <v>1223</v>
      </c>
      <c r="F96" s="44" t="s">
        <v>2035</v>
      </c>
      <c r="H96" s="44" t="s">
        <v>1740</v>
      </c>
      <c r="I96" s="44" t="s">
        <v>1835</v>
      </c>
      <c r="J96" s="44" t="s">
        <v>1224</v>
      </c>
      <c r="K96" s="44" t="s">
        <v>1225</v>
      </c>
      <c r="L96" s="44" t="s">
        <v>1226</v>
      </c>
      <c r="M96" s="44" t="s">
        <v>1227</v>
      </c>
      <c r="N96" s="44" t="s">
        <v>1228</v>
      </c>
      <c r="P96" s="44" t="s">
        <v>1229</v>
      </c>
      <c r="Q96" s="44" t="s">
        <v>1230</v>
      </c>
      <c r="R96" s="44" t="s">
        <v>1231</v>
      </c>
      <c r="S96" s="44" t="s">
        <v>1232</v>
      </c>
      <c r="T96" s="44" t="s">
        <v>1233</v>
      </c>
      <c r="U96" s="44" t="s">
        <v>1234</v>
      </c>
      <c r="V96" s="44" t="s">
        <v>1235</v>
      </c>
      <c r="W96" s="44" t="s">
        <v>1236</v>
      </c>
    </row>
    <row r="97" spans="1:23" x14ac:dyDescent="0.25">
      <c r="A97" s="44" t="s">
        <v>67</v>
      </c>
      <c r="C97" s="44" t="s">
        <v>1237</v>
      </c>
      <c r="E97" s="44" t="s">
        <v>1238</v>
      </c>
      <c r="F97" s="44" t="s">
        <v>2036</v>
      </c>
      <c r="H97" s="44" t="s">
        <v>1741</v>
      </c>
      <c r="I97" s="44" t="s">
        <v>1836</v>
      </c>
      <c r="J97" s="44" t="s">
        <v>1239</v>
      </c>
      <c r="K97" s="44" t="s">
        <v>1240</v>
      </c>
      <c r="L97" s="44" t="s">
        <v>1241</v>
      </c>
      <c r="M97" s="44" t="s">
        <v>1242</v>
      </c>
      <c r="N97" s="44" t="s">
        <v>1243</v>
      </c>
      <c r="P97" s="44" t="s">
        <v>1244</v>
      </c>
      <c r="Q97" s="44" t="s">
        <v>1245</v>
      </c>
      <c r="R97" s="44" t="s">
        <v>1246</v>
      </c>
      <c r="S97" s="44" t="s">
        <v>1247</v>
      </c>
      <c r="T97" s="44" t="s">
        <v>1248</v>
      </c>
      <c r="U97" s="44" t="s">
        <v>1249</v>
      </c>
      <c r="V97" s="44" t="s">
        <v>1250</v>
      </c>
      <c r="W97" s="44" t="s">
        <v>1251</v>
      </c>
    </row>
    <row r="98" spans="1:23" x14ac:dyDescent="0.25">
      <c r="A98" s="44" t="s">
        <v>67</v>
      </c>
      <c r="C98" s="44" t="s">
        <v>1252</v>
      </c>
      <c r="E98" s="44" t="s">
        <v>1253</v>
      </c>
      <c r="F98" s="44" t="s">
        <v>2037</v>
      </c>
      <c r="H98" s="44" t="s">
        <v>1742</v>
      </c>
      <c r="I98" s="44" t="s">
        <v>1837</v>
      </c>
      <c r="J98" s="44" t="s">
        <v>1254</v>
      </c>
      <c r="K98" s="44" t="s">
        <v>1255</v>
      </c>
      <c r="L98" s="44" t="s">
        <v>1256</v>
      </c>
      <c r="M98" s="44" t="s">
        <v>1257</v>
      </c>
      <c r="N98" s="44" t="s">
        <v>1258</v>
      </c>
      <c r="P98" s="44" t="s">
        <v>1259</v>
      </c>
      <c r="Q98" s="44" t="s">
        <v>1260</v>
      </c>
      <c r="R98" s="44" t="s">
        <v>1261</v>
      </c>
      <c r="S98" s="44" t="s">
        <v>1262</v>
      </c>
      <c r="T98" s="44" t="s">
        <v>1263</v>
      </c>
      <c r="U98" s="44" t="s">
        <v>1264</v>
      </c>
      <c r="V98" s="44" t="s">
        <v>1265</v>
      </c>
      <c r="W98" s="44" t="s">
        <v>1266</v>
      </c>
    </row>
    <row r="99" spans="1:23" x14ac:dyDescent="0.25">
      <c r="A99" s="44" t="s">
        <v>67</v>
      </c>
      <c r="C99" s="44" t="s">
        <v>1267</v>
      </c>
      <c r="E99" s="44" t="s">
        <v>1268</v>
      </c>
      <c r="F99" s="44" t="s">
        <v>2038</v>
      </c>
      <c r="H99" s="44" t="s">
        <v>1743</v>
      </c>
      <c r="I99" s="44" t="s">
        <v>1838</v>
      </c>
      <c r="J99" s="44" t="s">
        <v>1269</v>
      </c>
      <c r="K99" s="44" t="s">
        <v>1270</v>
      </c>
      <c r="L99" s="44" t="s">
        <v>1271</v>
      </c>
      <c r="M99" s="44" t="s">
        <v>1272</v>
      </c>
      <c r="N99" s="44" t="s">
        <v>1273</v>
      </c>
      <c r="P99" s="44" t="s">
        <v>1274</v>
      </c>
      <c r="Q99" s="44" t="s">
        <v>1275</v>
      </c>
      <c r="R99" s="44" t="s">
        <v>1276</v>
      </c>
      <c r="S99" s="44" t="s">
        <v>1277</v>
      </c>
      <c r="T99" s="44" t="s">
        <v>1278</v>
      </c>
      <c r="U99" s="44" t="s">
        <v>1279</v>
      </c>
      <c r="V99" s="44" t="s">
        <v>1280</v>
      </c>
      <c r="W99" s="44" t="s">
        <v>1281</v>
      </c>
    </row>
    <row r="100" spans="1:23" x14ac:dyDescent="0.25">
      <c r="A100" s="44" t="s">
        <v>67</v>
      </c>
      <c r="C100" s="44" t="s">
        <v>1282</v>
      </c>
      <c r="E100" s="44" t="s">
        <v>1283</v>
      </c>
      <c r="F100" s="44" t="s">
        <v>2039</v>
      </c>
      <c r="H100" s="44" t="s">
        <v>1744</v>
      </c>
      <c r="I100" s="44" t="s">
        <v>1839</v>
      </c>
      <c r="J100" s="44" t="s">
        <v>1284</v>
      </c>
      <c r="K100" s="44" t="s">
        <v>1285</v>
      </c>
      <c r="L100" s="44" t="s">
        <v>1286</v>
      </c>
      <c r="M100" s="44" t="s">
        <v>1287</v>
      </c>
      <c r="N100" s="44" t="s">
        <v>1288</v>
      </c>
      <c r="P100" s="44" t="s">
        <v>1289</v>
      </c>
      <c r="Q100" s="44" t="s">
        <v>1290</v>
      </c>
      <c r="R100" s="44" t="s">
        <v>1291</v>
      </c>
      <c r="S100" s="44" t="s">
        <v>1292</v>
      </c>
      <c r="T100" s="44" t="s">
        <v>1293</v>
      </c>
      <c r="U100" s="44" t="s">
        <v>1294</v>
      </c>
      <c r="V100" s="44" t="s">
        <v>1295</v>
      </c>
      <c r="W100" s="44" t="s">
        <v>1296</v>
      </c>
    </row>
    <row r="101" spans="1:23" x14ac:dyDescent="0.25">
      <c r="A101" s="44" t="s">
        <v>67</v>
      </c>
      <c r="C101" s="44" t="s">
        <v>1297</v>
      </c>
      <c r="E101" s="44" t="s">
        <v>1298</v>
      </c>
      <c r="F101" s="44" t="s">
        <v>2040</v>
      </c>
      <c r="H101" s="44" t="s">
        <v>1745</v>
      </c>
      <c r="I101" s="44" t="s">
        <v>1840</v>
      </c>
      <c r="J101" s="44" t="s">
        <v>1299</v>
      </c>
      <c r="K101" s="44" t="s">
        <v>1300</v>
      </c>
      <c r="L101" s="44" t="s">
        <v>1301</v>
      </c>
      <c r="M101" s="44" t="s">
        <v>1302</v>
      </c>
      <c r="N101" s="44" t="s">
        <v>1303</v>
      </c>
      <c r="P101" s="44" t="s">
        <v>1304</v>
      </c>
      <c r="Q101" s="44" t="s">
        <v>1305</v>
      </c>
      <c r="R101" s="44" t="s">
        <v>1306</v>
      </c>
      <c r="S101" s="44" t="s">
        <v>1307</v>
      </c>
      <c r="T101" s="44" t="s">
        <v>1308</v>
      </c>
      <c r="U101" s="44" t="s">
        <v>1309</v>
      </c>
      <c r="V101" s="44" t="s">
        <v>1310</v>
      </c>
      <c r="W101" s="44" t="s">
        <v>1311</v>
      </c>
    </row>
    <row r="102" spans="1:23" x14ac:dyDescent="0.25">
      <c r="A102" s="44" t="s">
        <v>67</v>
      </c>
      <c r="C102" s="44" t="s">
        <v>1312</v>
      </c>
      <c r="E102" s="44" t="s">
        <v>1313</v>
      </c>
      <c r="F102" s="44" t="s">
        <v>2041</v>
      </c>
      <c r="H102" s="44" t="s">
        <v>1746</v>
      </c>
      <c r="I102" s="44" t="s">
        <v>1841</v>
      </c>
      <c r="J102" s="44" t="s">
        <v>1314</v>
      </c>
      <c r="K102" s="44" t="s">
        <v>1315</v>
      </c>
      <c r="L102" s="44" t="s">
        <v>1316</v>
      </c>
      <c r="M102" s="44" t="s">
        <v>1317</v>
      </c>
      <c r="N102" s="44" t="s">
        <v>1318</v>
      </c>
      <c r="P102" s="44" t="s">
        <v>1319</v>
      </c>
      <c r="Q102" s="44" t="s">
        <v>1320</v>
      </c>
      <c r="R102" s="44" t="s">
        <v>1321</v>
      </c>
      <c r="S102" s="44" t="s">
        <v>1322</v>
      </c>
      <c r="T102" s="44" t="s">
        <v>1323</v>
      </c>
      <c r="U102" s="44" t="s">
        <v>1324</v>
      </c>
      <c r="V102" s="44" t="s">
        <v>1325</v>
      </c>
      <c r="W102" s="44" t="s">
        <v>1326</v>
      </c>
    </row>
    <row r="103" spans="1:23" x14ac:dyDescent="0.25">
      <c r="A103" s="44" t="s">
        <v>67</v>
      </c>
      <c r="C103" s="44" t="s">
        <v>1327</v>
      </c>
      <c r="E103" s="44" t="s">
        <v>1328</v>
      </c>
      <c r="F103" s="44" t="s">
        <v>2042</v>
      </c>
      <c r="H103" s="44" t="s">
        <v>1747</v>
      </c>
      <c r="I103" s="44" t="s">
        <v>1842</v>
      </c>
      <c r="J103" s="44" t="s">
        <v>1329</v>
      </c>
      <c r="K103" s="44" t="s">
        <v>1330</v>
      </c>
      <c r="L103" s="44" t="s">
        <v>1331</v>
      </c>
      <c r="M103" s="44" t="s">
        <v>1332</v>
      </c>
      <c r="N103" s="44" t="s">
        <v>1333</v>
      </c>
      <c r="P103" s="44" t="s">
        <v>1334</v>
      </c>
      <c r="Q103" s="44" t="s">
        <v>1335</v>
      </c>
      <c r="R103" s="44" t="s">
        <v>1336</v>
      </c>
      <c r="S103" s="44" t="s">
        <v>1337</v>
      </c>
      <c r="T103" s="44" t="s">
        <v>1338</v>
      </c>
      <c r="U103" s="44" t="s">
        <v>1339</v>
      </c>
      <c r="V103" s="44" t="s">
        <v>1340</v>
      </c>
      <c r="W103" s="44" t="s">
        <v>1341</v>
      </c>
    </row>
    <row r="104" spans="1:23" x14ac:dyDescent="0.25">
      <c r="A104" s="44" t="s">
        <v>67</v>
      </c>
      <c r="C104" s="44" t="s">
        <v>1342</v>
      </c>
      <c r="E104" s="44" t="s">
        <v>1343</v>
      </c>
      <c r="F104" s="44" t="s">
        <v>2043</v>
      </c>
      <c r="H104" s="44" t="s">
        <v>1748</v>
      </c>
      <c r="I104" s="44" t="s">
        <v>1843</v>
      </c>
      <c r="J104" s="44" t="s">
        <v>1344</v>
      </c>
      <c r="K104" s="44" t="s">
        <v>1345</v>
      </c>
      <c r="L104" s="44" t="s">
        <v>1346</v>
      </c>
      <c r="M104" s="44" t="s">
        <v>1347</v>
      </c>
      <c r="N104" s="44" t="s">
        <v>1348</v>
      </c>
      <c r="P104" s="44" t="s">
        <v>1349</v>
      </c>
      <c r="Q104" s="44" t="s">
        <v>1350</v>
      </c>
      <c r="R104" s="44" t="s">
        <v>1351</v>
      </c>
      <c r="S104" s="44" t="s">
        <v>1352</v>
      </c>
      <c r="T104" s="44" t="s">
        <v>1353</v>
      </c>
      <c r="U104" s="44" t="s">
        <v>1354</v>
      </c>
      <c r="V104" s="44" t="s">
        <v>1355</v>
      </c>
      <c r="W104" s="44" t="s">
        <v>1356</v>
      </c>
    </row>
    <row r="105" spans="1:23" x14ac:dyDescent="0.25">
      <c r="A105" s="44" t="s">
        <v>67</v>
      </c>
      <c r="C105" s="44" t="s">
        <v>1357</v>
      </c>
      <c r="E105" s="44" t="s">
        <v>1358</v>
      </c>
      <c r="F105" s="44" t="s">
        <v>2044</v>
      </c>
      <c r="H105" s="44" t="s">
        <v>1749</v>
      </c>
      <c r="I105" s="44" t="s">
        <v>1844</v>
      </c>
      <c r="J105" s="44" t="s">
        <v>1359</v>
      </c>
      <c r="K105" s="44" t="s">
        <v>1360</v>
      </c>
      <c r="L105" s="44" t="s">
        <v>1361</v>
      </c>
      <c r="M105" s="44" t="s">
        <v>1362</v>
      </c>
      <c r="N105" s="44" t="s">
        <v>1363</v>
      </c>
      <c r="P105" s="44" t="s">
        <v>1364</v>
      </c>
      <c r="Q105" s="44" t="s">
        <v>1365</v>
      </c>
      <c r="R105" s="44" t="s">
        <v>1366</v>
      </c>
      <c r="S105" s="44" t="s">
        <v>1367</v>
      </c>
      <c r="T105" s="44" t="s">
        <v>1368</v>
      </c>
      <c r="U105" s="44" t="s">
        <v>1369</v>
      </c>
      <c r="V105" s="44" t="s">
        <v>1370</v>
      </c>
      <c r="W105" s="44" t="s">
        <v>1371</v>
      </c>
    </row>
    <row r="106" spans="1:23" x14ac:dyDescent="0.25">
      <c r="A106" s="44" t="s">
        <v>67</v>
      </c>
      <c r="C106" s="44" t="s">
        <v>1372</v>
      </c>
      <c r="E106" s="44" t="s">
        <v>1373</v>
      </c>
      <c r="F106" s="44" t="s">
        <v>2045</v>
      </c>
      <c r="H106" s="44" t="s">
        <v>1750</v>
      </c>
      <c r="I106" s="44" t="s">
        <v>1845</v>
      </c>
      <c r="J106" s="44" t="s">
        <v>1374</v>
      </c>
      <c r="K106" s="44" t="s">
        <v>1375</v>
      </c>
      <c r="L106" s="44" t="s">
        <v>1376</v>
      </c>
      <c r="M106" s="44" t="s">
        <v>1377</v>
      </c>
      <c r="N106" s="44" t="s">
        <v>1378</v>
      </c>
      <c r="P106" s="44" t="s">
        <v>1379</v>
      </c>
      <c r="Q106" s="44" t="s">
        <v>1380</v>
      </c>
      <c r="R106" s="44" t="s">
        <v>1381</v>
      </c>
      <c r="S106" s="44" t="s">
        <v>1382</v>
      </c>
      <c r="T106" s="44" t="s">
        <v>1383</v>
      </c>
      <c r="U106" s="44" t="s">
        <v>1384</v>
      </c>
      <c r="V106" s="44" t="s">
        <v>1385</v>
      </c>
      <c r="W106" s="44" t="s">
        <v>1386</v>
      </c>
    </row>
    <row r="107" spans="1:23" x14ac:dyDescent="0.25">
      <c r="A107" s="44" t="s">
        <v>67</v>
      </c>
      <c r="C107" s="44" t="s">
        <v>1387</v>
      </c>
      <c r="E107" s="44" t="s">
        <v>1388</v>
      </c>
      <c r="F107" s="44" t="s">
        <v>2046</v>
      </c>
      <c r="H107" s="44" t="s">
        <v>1751</v>
      </c>
      <c r="I107" s="44" t="s">
        <v>1846</v>
      </c>
      <c r="J107" s="44" t="s">
        <v>1389</v>
      </c>
      <c r="K107" s="44" t="s">
        <v>1390</v>
      </c>
      <c r="L107" s="44" t="s">
        <v>1391</v>
      </c>
      <c r="M107" s="44" t="s">
        <v>1392</v>
      </c>
      <c r="N107" s="44" t="s">
        <v>1393</v>
      </c>
      <c r="P107" s="44" t="s">
        <v>1394</v>
      </c>
      <c r="Q107" s="44" t="s">
        <v>1395</v>
      </c>
      <c r="R107" s="44" t="s">
        <v>1396</v>
      </c>
      <c r="S107" s="44" t="s">
        <v>1397</v>
      </c>
      <c r="T107" s="44" t="s">
        <v>1398</v>
      </c>
      <c r="U107" s="44" t="s">
        <v>1399</v>
      </c>
      <c r="V107" s="44" t="s">
        <v>1400</v>
      </c>
      <c r="W107" s="44" t="s">
        <v>1401</v>
      </c>
    </row>
    <row r="108" spans="1:23" x14ac:dyDescent="0.25">
      <c r="A108" s="44" t="s">
        <v>67</v>
      </c>
      <c r="C108" s="44" t="s">
        <v>1402</v>
      </c>
      <c r="E108" s="44" t="s">
        <v>1403</v>
      </c>
      <c r="F108" s="44" t="s">
        <v>2047</v>
      </c>
      <c r="H108" s="44" t="s">
        <v>1752</v>
      </c>
      <c r="I108" s="44" t="s">
        <v>1847</v>
      </c>
      <c r="J108" s="44" t="s">
        <v>1404</v>
      </c>
      <c r="K108" s="44" t="s">
        <v>1405</v>
      </c>
      <c r="L108" s="44" t="s">
        <v>1406</v>
      </c>
      <c r="M108" s="44" t="s">
        <v>1407</v>
      </c>
      <c r="N108" s="44" t="s">
        <v>1408</v>
      </c>
      <c r="P108" s="44" t="s">
        <v>1409</v>
      </c>
      <c r="Q108" s="44" t="s">
        <v>1410</v>
      </c>
      <c r="R108" s="44" t="s">
        <v>1411</v>
      </c>
      <c r="S108" s="44" t="s">
        <v>1412</v>
      </c>
      <c r="T108" s="44" t="s">
        <v>1413</v>
      </c>
      <c r="U108" s="44" t="s">
        <v>1414</v>
      </c>
      <c r="V108" s="44" t="s">
        <v>1415</v>
      </c>
      <c r="W108" s="44" t="s">
        <v>1416</v>
      </c>
    </row>
    <row r="109" spans="1:23" x14ac:dyDescent="0.25">
      <c r="A109" s="44" t="s">
        <v>67</v>
      </c>
      <c r="C109" s="44" t="s">
        <v>1417</v>
      </c>
      <c r="E109" s="44" t="s">
        <v>1418</v>
      </c>
      <c r="F109" s="44" t="s">
        <v>2048</v>
      </c>
      <c r="H109" s="44" t="s">
        <v>1753</v>
      </c>
      <c r="I109" s="44" t="s">
        <v>1848</v>
      </c>
      <c r="J109" s="44" t="s">
        <v>1419</v>
      </c>
      <c r="K109" s="44" t="s">
        <v>1420</v>
      </c>
      <c r="L109" s="44" t="s">
        <v>1421</v>
      </c>
      <c r="M109" s="44" t="s">
        <v>1422</v>
      </c>
      <c r="N109" s="44" t="s">
        <v>1423</v>
      </c>
      <c r="P109" s="44" t="s">
        <v>1424</v>
      </c>
      <c r="Q109" s="44" t="s">
        <v>1425</v>
      </c>
      <c r="R109" s="44" t="s">
        <v>1426</v>
      </c>
      <c r="S109" s="44" t="s">
        <v>1427</v>
      </c>
      <c r="T109" s="44" t="s">
        <v>1428</v>
      </c>
      <c r="U109" s="44" t="s">
        <v>1429</v>
      </c>
      <c r="V109" s="44" t="s">
        <v>1430</v>
      </c>
      <c r="W109" s="44" t="s">
        <v>1431</v>
      </c>
    </row>
    <row r="110" spans="1:23" x14ac:dyDescent="0.25">
      <c r="A110" s="44" t="s">
        <v>67</v>
      </c>
      <c r="C110" s="44" t="s">
        <v>1432</v>
      </c>
      <c r="E110" s="44" t="s">
        <v>1433</v>
      </c>
      <c r="F110" s="44" t="s">
        <v>2049</v>
      </c>
      <c r="H110" s="44" t="s">
        <v>1754</v>
      </c>
      <c r="I110" s="44" t="s">
        <v>1849</v>
      </c>
      <c r="J110" s="44" t="s">
        <v>1434</v>
      </c>
      <c r="K110" s="44" t="s">
        <v>1435</v>
      </c>
      <c r="L110" s="44" t="s">
        <v>1436</v>
      </c>
      <c r="M110" s="44" t="s">
        <v>1437</v>
      </c>
      <c r="N110" s="44" t="s">
        <v>1438</v>
      </c>
      <c r="P110" s="44" t="s">
        <v>1439</v>
      </c>
      <c r="Q110" s="44" t="s">
        <v>1440</v>
      </c>
      <c r="R110" s="44" t="s">
        <v>1441</v>
      </c>
      <c r="S110" s="44" t="s">
        <v>1442</v>
      </c>
      <c r="T110" s="44" t="s">
        <v>1443</v>
      </c>
      <c r="U110" s="44" t="s">
        <v>1444</v>
      </c>
      <c r="V110" s="44" t="s">
        <v>1445</v>
      </c>
      <c r="W110" s="44" t="s">
        <v>1446</v>
      </c>
    </row>
    <row r="111" spans="1:23" x14ac:dyDescent="0.25">
      <c r="A111" s="44" t="s">
        <v>67</v>
      </c>
      <c r="C111" s="44" t="s">
        <v>1447</v>
      </c>
      <c r="E111" s="44" t="s">
        <v>1448</v>
      </c>
      <c r="F111" s="44" t="s">
        <v>2050</v>
      </c>
      <c r="H111" s="44" t="s">
        <v>1755</v>
      </c>
      <c r="I111" s="44" t="s">
        <v>1850</v>
      </c>
      <c r="J111" s="44" t="s">
        <v>1449</v>
      </c>
      <c r="K111" s="44" t="s">
        <v>1450</v>
      </c>
      <c r="L111" s="44" t="s">
        <v>1451</v>
      </c>
      <c r="M111" s="44" t="s">
        <v>1452</v>
      </c>
      <c r="N111" s="44" t="s">
        <v>1453</v>
      </c>
      <c r="P111" s="44" t="s">
        <v>1454</v>
      </c>
      <c r="Q111" s="44" t="s">
        <v>1455</v>
      </c>
      <c r="R111" s="44" t="s">
        <v>1456</v>
      </c>
      <c r="S111" s="44" t="s">
        <v>1457</v>
      </c>
      <c r="T111" s="44" t="s">
        <v>1458</v>
      </c>
      <c r="U111" s="44" t="s">
        <v>1459</v>
      </c>
      <c r="V111" s="44" t="s">
        <v>1460</v>
      </c>
      <c r="W111" s="44" t="s">
        <v>1461</v>
      </c>
    </row>
    <row r="112" spans="1:23" x14ac:dyDescent="0.25">
      <c r="A112" s="44" t="s">
        <v>67</v>
      </c>
      <c r="C112" s="44" t="s">
        <v>1462</v>
      </c>
      <c r="E112" s="44" t="s">
        <v>1463</v>
      </c>
      <c r="F112" s="44" t="s">
        <v>2051</v>
      </c>
      <c r="H112" s="44" t="s">
        <v>1756</v>
      </c>
      <c r="I112" s="44" t="s">
        <v>1851</v>
      </c>
      <c r="J112" s="44" t="s">
        <v>1464</v>
      </c>
      <c r="K112" s="44" t="s">
        <v>1465</v>
      </c>
      <c r="L112" s="44" t="s">
        <v>1466</v>
      </c>
      <c r="M112" s="44" t="s">
        <v>1467</v>
      </c>
      <c r="N112" s="44" t="s">
        <v>1468</v>
      </c>
      <c r="P112" s="44" t="s">
        <v>1469</v>
      </c>
      <c r="Q112" s="44" t="s">
        <v>1470</v>
      </c>
      <c r="R112" s="44" t="s">
        <v>1471</v>
      </c>
      <c r="S112" s="44" t="s">
        <v>1472</v>
      </c>
      <c r="T112" s="44" t="s">
        <v>1473</v>
      </c>
      <c r="U112" s="44" t="s">
        <v>1474</v>
      </c>
      <c r="V112" s="44" t="s">
        <v>1475</v>
      </c>
      <c r="W112" s="44" t="s">
        <v>1476</v>
      </c>
    </row>
    <row r="113" spans="1:23" x14ac:dyDescent="0.25">
      <c r="A113" s="44" t="s">
        <v>67</v>
      </c>
      <c r="C113" s="44" t="s">
        <v>1477</v>
      </c>
      <c r="E113" s="44" t="s">
        <v>1478</v>
      </c>
      <c r="F113" s="44" t="s">
        <v>2052</v>
      </c>
      <c r="H113" s="44" t="s">
        <v>1757</v>
      </c>
      <c r="I113" s="44" t="s">
        <v>1852</v>
      </c>
      <c r="J113" s="44" t="s">
        <v>1479</v>
      </c>
      <c r="K113" s="44" t="s">
        <v>1480</v>
      </c>
      <c r="L113" s="44" t="s">
        <v>1481</v>
      </c>
      <c r="M113" s="44" t="s">
        <v>1482</v>
      </c>
      <c r="N113" s="44" t="s">
        <v>1483</v>
      </c>
      <c r="P113" s="44" t="s">
        <v>1484</v>
      </c>
      <c r="Q113" s="44" t="s">
        <v>1485</v>
      </c>
      <c r="R113" s="44" t="s">
        <v>1486</v>
      </c>
      <c r="S113" s="44" t="s">
        <v>1487</v>
      </c>
      <c r="T113" s="44" t="s">
        <v>1488</v>
      </c>
      <c r="U113" s="44" t="s">
        <v>1489</v>
      </c>
      <c r="V113" s="44" t="s">
        <v>1490</v>
      </c>
      <c r="W113" s="44" t="s">
        <v>1491</v>
      </c>
    </row>
    <row r="114" spans="1:23" x14ac:dyDescent="0.25">
      <c r="A114" s="44" t="s">
        <v>67</v>
      </c>
      <c r="C114" s="44" t="s">
        <v>1492</v>
      </c>
      <c r="E114" s="44" t="s">
        <v>1493</v>
      </c>
      <c r="F114" s="44" t="s">
        <v>2053</v>
      </c>
      <c r="H114" s="44" t="s">
        <v>1758</v>
      </c>
      <c r="I114" s="44" t="s">
        <v>1853</v>
      </c>
      <c r="J114" s="44" t="s">
        <v>1494</v>
      </c>
      <c r="K114" s="44" t="s">
        <v>1495</v>
      </c>
      <c r="L114" s="44" t="s">
        <v>1496</v>
      </c>
      <c r="M114" s="44" t="s">
        <v>1497</v>
      </c>
      <c r="N114" s="44" t="s">
        <v>1498</v>
      </c>
      <c r="P114" s="44" t="s">
        <v>1499</v>
      </c>
      <c r="Q114" s="44" t="s">
        <v>1500</v>
      </c>
      <c r="R114" s="44" t="s">
        <v>1501</v>
      </c>
      <c r="S114" s="44" t="s">
        <v>1502</v>
      </c>
      <c r="T114" s="44" t="s">
        <v>1503</v>
      </c>
      <c r="U114" s="44" t="s">
        <v>1504</v>
      </c>
      <c r="V114" s="44" t="s">
        <v>1505</v>
      </c>
      <c r="W114" s="44" t="s">
        <v>1506</v>
      </c>
    </row>
    <row r="115" spans="1:23" x14ac:dyDescent="0.25">
      <c r="A115" s="44" t="s">
        <v>67</v>
      </c>
      <c r="C115" s="44" t="s">
        <v>1507</v>
      </c>
      <c r="E115" s="44" t="s">
        <v>1508</v>
      </c>
      <c r="F115" s="44" t="s">
        <v>2054</v>
      </c>
      <c r="H115" s="44" t="s">
        <v>1759</v>
      </c>
      <c r="I115" s="44" t="s">
        <v>1854</v>
      </c>
      <c r="J115" s="44" t="s">
        <v>1509</v>
      </c>
      <c r="K115" s="44" t="s">
        <v>1510</v>
      </c>
      <c r="L115" s="44" t="s">
        <v>1511</v>
      </c>
      <c r="M115" s="44" t="s">
        <v>1512</v>
      </c>
      <c r="N115" s="44" t="s">
        <v>1513</v>
      </c>
      <c r="P115" s="44" t="s">
        <v>1514</v>
      </c>
      <c r="Q115" s="44" t="s">
        <v>1515</v>
      </c>
      <c r="R115" s="44" t="s">
        <v>1516</v>
      </c>
      <c r="S115" s="44" t="s">
        <v>1517</v>
      </c>
      <c r="T115" s="44" t="s">
        <v>1518</v>
      </c>
      <c r="U115" s="44" t="s">
        <v>1519</v>
      </c>
      <c r="V115" s="44" t="s">
        <v>1520</v>
      </c>
      <c r="W115" s="44" t="s">
        <v>1521</v>
      </c>
    </row>
    <row r="116" spans="1:23" x14ac:dyDescent="0.25">
      <c r="A116" s="44" t="s">
        <v>67</v>
      </c>
      <c r="C116" s="44" t="s">
        <v>1522</v>
      </c>
      <c r="E116" s="44" t="s">
        <v>1523</v>
      </c>
      <c r="F116" s="44" t="s">
        <v>2055</v>
      </c>
      <c r="H116" s="44" t="s">
        <v>1760</v>
      </c>
      <c r="I116" s="44" t="s">
        <v>1855</v>
      </c>
      <c r="J116" s="44" t="s">
        <v>1524</v>
      </c>
      <c r="K116" s="44" t="s">
        <v>1525</v>
      </c>
      <c r="L116" s="44" t="s">
        <v>1526</v>
      </c>
      <c r="M116" s="44" t="s">
        <v>1527</v>
      </c>
      <c r="N116" s="44" t="s">
        <v>1528</v>
      </c>
      <c r="P116" s="44" t="s">
        <v>1529</v>
      </c>
      <c r="Q116" s="44" t="s">
        <v>1530</v>
      </c>
      <c r="R116" s="44" t="s">
        <v>1531</v>
      </c>
      <c r="S116" s="44" t="s">
        <v>1532</v>
      </c>
      <c r="T116" s="44" t="s">
        <v>1533</v>
      </c>
      <c r="U116" s="44" t="s">
        <v>1534</v>
      </c>
      <c r="V116" s="44" t="s">
        <v>1535</v>
      </c>
      <c r="W116" s="44" t="s">
        <v>1536</v>
      </c>
    </row>
    <row r="117" spans="1:23" x14ac:dyDescent="0.25">
      <c r="A117" s="44" t="s">
        <v>67</v>
      </c>
      <c r="C117" s="44" t="s">
        <v>1537</v>
      </c>
      <c r="E117" s="44" t="s">
        <v>1538</v>
      </c>
      <c r="F117" s="44" t="s">
        <v>2056</v>
      </c>
      <c r="H117" s="44" t="s">
        <v>1761</v>
      </c>
      <c r="I117" s="44" t="s">
        <v>1856</v>
      </c>
      <c r="J117" s="44" t="s">
        <v>1539</v>
      </c>
      <c r="K117" s="44" t="s">
        <v>1540</v>
      </c>
      <c r="L117" s="44" t="s">
        <v>1541</v>
      </c>
      <c r="M117" s="44" t="s">
        <v>1542</v>
      </c>
      <c r="N117" s="44" t="s">
        <v>1543</v>
      </c>
      <c r="P117" s="44" t="s">
        <v>1544</v>
      </c>
      <c r="Q117" s="44" t="s">
        <v>1545</v>
      </c>
      <c r="R117" s="44" t="s">
        <v>1546</v>
      </c>
      <c r="S117" s="44" t="s">
        <v>1547</v>
      </c>
      <c r="T117" s="44" t="s">
        <v>1548</v>
      </c>
      <c r="U117" s="44" t="s">
        <v>1549</v>
      </c>
      <c r="V117" s="44" t="s">
        <v>1550</v>
      </c>
      <c r="W117" s="44" t="s">
        <v>1551</v>
      </c>
    </row>
    <row r="118" spans="1:23" x14ac:dyDescent="0.25">
      <c r="A118" s="44" t="s">
        <v>67</v>
      </c>
      <c r="C118" s="44" t="s">
        <v>1552</v>
      </c>
      <c r="E118" s="44" t="s">
        <v>1553</v>
      </c>
      <c r="F118" s="44" t="s">
        <v>2057</v>
      </c>
      <c r="H118" s="44" t="s">
        <v>1762</v>
      </c>
      <c r="I118" s="44" t="s">
        <v>1857</v>
      </c>
      <c r="J118" s="44" t="s">
        <v>1554</v>
      </c>
      <c r="K118" s="44" t="s">
        <v>1555</v>
      </c>
      <c r="L118" s="44" t="s">
        <v>1556</v>
      </c>
      <c r="M118" s="44" t="s">
        <v>1557</v>
      </c>
      <c r="N118" s="44" t="s">
        <v>1558</v>
      </c>
      <c r="P118" s="44" t="s">
        <v>1559</v>
      </c>
      <c r="Q118" s="44" t="s">
        <v>1560</v>
      </c>
      <c r="R118" s="44" t="s">
        <v>1561</v>
      </c>
      <c r="S118" s="44" t="s">
        <v>1562</v>
      </c>
      <c r="T118" s="44" t="s">
        <v>1563</v>
      </c>
      <c r="U118" s="44" t="s">
        <v>1564</v>
      </c>
      <c r="V118" s="44" t="s">
        <v>1565</v>
      </c>
      <c r="W118" s="44" t="s">
        <v>1566</v>
      </c>
    </row>
    <row r="120" spans="1:23" x14ac:dyDescent="0.25">
      <c r="H120" s="44" t="s">
        <v>13</v>
      </c>
      <c r="K120" s="44" t="s">
        <v>53</v>
      </c>
      <c r="L120" s="44" t="s">
        <v>54</v>
      </c>
      <c r="M120" s="44" t="s">
        <v>1567</v>
      </c>
      <c r="N120" s="44" t="s">
        <v>1568</v>
      </c>
      <c r="Q120" s="44" t="s">
        <v>13</v>
      </c>
      <c r="T120" s="44" t="s">
        <v>1569</v>
      </c>
      <c r="U120" s="44" t="s">
        <v>1570</v>
      </c>
      <c r="V120" s="44" t="s">
        <v>1571</v>
      </c>
      <c r="W120" s="44" t="s">
        <v>1572</v>
      </c>
    </row>
    <row r="124" spans="1:23" x14ac:dyDescent="0.25">
      <c r="D124" s="44" t="s">
        <v>61</v>
      </c>
      <c r="E124" s="44" t="s">
        <v>1573</v>
      </c>
      <c r="F124" s="44" t="s">
        <v>1574</v>
      </c>
      <c r="H124" s="44" t="s">
        <v>1858</v>
      </c>
    </row>
    <row r="125" spans="1:23" x14ac:dyDescent="0.25">
      <c r="A125" s="44" t="s">
        <v>67</v>
      </c>
      <c r="D125" s="44" t="s">
        <v>61</v>
      </c>
      <c r="E125" s="44" t="s">
        <v>1575</v>
      </c>
      <c r="F125" s="44" t="s">
        <v>1960</v>
      </c>
      <c r="H125" s="44" t="s">
        <v>1859</v>
      </c>
    </row>
    <row r="126" spans="1:23" x14ac:dyDescent="0.25">
      <c r="A126" s="44" t="s">
        <v>67</v>
      </c>
      <c r="D126" s="44" t="s">
        <v>61</v>
      </c>
      <c r="E126" s="44" t="s">
        <v>1576</v>
      </c>
      <c r="F126" s="44" t="s">
        <v>1961</v>
      </c>
      <c r="H126" s="44" t="s">
        <v>1860</v>
      </c>
    </row>
    <row r="127" spans="1:23" x14ac:dyDescent="0.25">
      <c r="A127" s="44" t="s">
        <v>67</v>
      </c>
      <c r="D127" s="44" t="s">
        <v>61</v>
      </c>
      <c r="E127" s="44" t="s">
        <v>1577</v>
      </c>
      <c r="F127" s="44" t="s">
        <v>1959</v>
      </c>
      <c r="H127" s="44" t="s">
        <v>1861</v>
      </c>
    </row>
    <row r="128" spans="1:23" x14ac:dyDescent="0.25">
      <c r="A128" s="44" t="s">
        <v>67</v>
      </c>
      <c r="D128" s="44" t="s">
        <v>61</v>
      </c>
      <c r="E128" s="44" t="s">
        <v>1578</v>
      </c>
      <c r="F128" s="44" t="s">
        <v>1962</v>
      </c>
      <c r="H128" s="44" t="s">
        <v>1862</v>
      </c>
    </row>
    <row r="129" spans="1:8" x14ac:dyDescent="0.25">
      <c r="A129" s="44" t="s">
        <v>67</v>
      </c>
      <c r="D129" s="44" t="s">
        <v>61</v>
      </c>
      <c r="E129" s="44" t="s">
        <v>1579</v>
      </c>
      <c r="F129" s="44" t="s">
        <v>1963</v>
      </c>
      <c r="H129" s="44" t="s">
        <v>1863</v>
      </c>
    </row>
    <row r="130" spans="1:8" x14ac:dyDescent="0.25">
      <c r="A130" s="44" t="s">
        <v>67</v>
      </c>
      <c r="D130" s="44" t="s">
        <v>61</v>
      </c>
      <c r="E130" s="44" t="s">
        <v>1580</v>
      </c>
      <c r="F130" s="44" t="s">
        <v>1964</v>
      </c>
      <c r="H130" s="44" t="s">
        <v>1864</v>
      </c>
    </row>
    <row r="131" spans="1:8" x14ac:dyDescent="0.25">
      <c r="A131" s="44" t="s">
        <v>67</v>
      </c>
      <c r="D131" s="44" t="s">
        <v>61</v>
      </c>
      <c r="E131" s="44" t="s">
        <v>1581</v>
      </c>
      <c r="F131" s="44" t="s">
        <v>1965</v>
      </c>
      <c r="H131" s="44" t="s">
        <v>1865</v>
      </c>
    </row>
    <row r="132" spans="1:8" x14ac:dyDescent="0.25">
      <c r="A132" s="44" t="s">
        <v>67</v>
      </c>
      <c r="D132" s="44" t="s">
        <v>61</v>
      </c>
      <c r="E132" s="44" t="s">
        <v>1582</v>
      </c>
      <c r="F132" s="44" t="s">
        <v>1967</v>
      </c>
      <c r="H132" s="44" t="s">
        <v>1866</v>
      </c>
    </row>
    <row r="133" spans="1:8" x14ac:dyDescent="0.25">
      <c r="A133" s="44" t="s">
        <v>67</v>
      </c>
      <c r="D133" s="44" t="s">
        <v>61</v>
      </c>
      <c r="E133" s="44" t="s">
        <v>1583</v>
      </c>
      <c r="F133" s="44" t="s">
        <v>1966</v>
      </c>
      <c r="H133" s="44" t="s">
        <v>1867</v>
      </c>
    </row>
    <row r="134" spans="1:8" x14ac:dyDescent="0.25">
      <c r="A134" s="44" t="s">
        <v>67</v>
      </c>
      <c r="D134" s="44" t="s">
        <v>61</v>
      </c>
      <c r="E134" s="44" t="s">
        <v>1584</v>
      </c>
      <c r="F134" s="44" t="s">
        <v>1968</v>
      </c>
      <c r="H134" s="44" t="s">
        <v>1868</v>
      </c>
    </row>
    <row r="135" spans="1:8" x14ac:dyDescent="0.25">
      <c r="A135" s="44" t="s">
        <v>67</v>
      </c>
      <c r="D135" s="44" t="s">
        <v>61</v>
      </c>
      <c r="E135" s="44" t="s">
        <v>1585</v>
      </c>
      <c r="F135" s="44" t="s">
        <v>1970</v>
      </c>
      <c r="H135" s="44" t="s">
        <v>1869</v>
      </c>
    </row>
    <row r="136" spans="1:8" x14ac:dyDescent="0.25">
      <c r="A136" s="44" t="s">
        <v>67</v>
      </c>
      <c r="D136" s="44" t="s">
        <v>61</v>
      </c>
      <c r="E136" s="44" t="s">
        <v>1586</v>
      </c>
      <c r="F136" s="44" t="s">
        <v>1972</v>
      </c>
      <c r="H136" s="44" t="s">
        <v>1870</v>
      </c>
    </row>
    <row r="137" spans="1:8" x14ac:dyDescent="0.25">
      <c r="A137" s="44" t="s">
        <v>67</v>
      </c>
      <c r="D137" s="44" t="s">
        <v>61</v>
      </c>
      <c r="E137" s="44" t="s">
        <v>1587</v>
      </c>
      <c r="F137" s="44" t="s">
        <v>1975</v>
      </c>
      <c r="H137" s="44" t="s">
        <v>1871</v>
      </c>
    </row>
    <row r="138" spans="1:8" x14ac:dyDescent="0.25">
      <c r="A138" s="44" t="s">
        <v>67</v>
      </c>
      <c r="D138" s="44" t="s">
        <v>61</v>
      </c>
      <c r="E138" s="44" t="s">
        <v>1588</v>
      </c>
      <c r="F138" s="44" t="s">
        <v>1969</v>
      </c>
      <c r="H138" s="44" t="s">
        <v>1872</v>
      </c>
    </row>
    <row r="139" spans="1:8" x14ac:dyDescent="0.25">
      <c r="A139" s="44" t="s">
        <v>67</v>
      </c>
      <c r="D139" s="44" t="s">
        <v>61</v>
      </c>
      <c r="E139" s="44" t="s">
        <v>1589</v>
      </c>
      <c r="F139" s="44" t="s">
        <v>1974</v>
      </c>
      <c r="H139" s="44" t="s">
        <v>1873</v>
      </c>
    </row>
    <row r="140" spans="1:8" x14ac:dyDescent="0.25">
      <c r="A140" s="44" t="s">
        <v>67</v>
      </c>
      <c r="D140" s="44" t="s">
        <v>61</v>
      </c>
      <c r="E140" s="44" t="s">
        <v>1590</v>
      </c>
      <c r="F140" s="44" t="s">
        <v>1977</v>
      </c>
      <c r="H140" s="44" t="s">
        <v>1874</v>
      </c>
    </row>
    <row r="141" spans="1:8" x14ac:dyDescent="0.25">
      <c r="A141" s="44" t="s">
        <v>67</v>
      </c>
      <c r="D141" s="44" t="s">
        <v>61</v>
      </c>
      <c r="E141" s="44" t="s">
        <v>1591</v>
      </c>
      <c r="F141" s="44" t="s">
        <v>1973</v>
      </c>
      <c r="H141" s="44" t="s">
        <v>1875</v>
      </c>
    </row>
    <row r="142" spans="1:8" x14ac:dyDescent="0.25">
      <c r="A142" s="44" t="s">
        <v>67</v>
      </c>
      <c r="D142" s="44" t="s">
        <v>61</v>
      </c>
      <c r="E142" s="44" t="s">
        <v>1592</v>
      </c>
      <c r="F142" s="44" t="s">
        <v>1978</v>
      </c>
      <c r="H142" s="44" t="s">
        <v>1876</v>
      </c>
    </row>
    <row r="143" spans="1:8" x14ac:dyDescent="0.25">
      <c r="A143" s="44" t="s">
        <v>67</v>
      </c>
      <c r="D143" s="44" t="s">
        <v>61</v>
      </c>
      <c r="E143" s="44" t="s">
        <v>1593</v>
      </c>
      <c r="F143" s="44" t="s">
        <v>1982</v>
      </c>
      <c r="H143" s="44" t="s">
        <v>1877</v>
      </c>
    </row>
    <row r="144" spans="1:8" x14ac:dyDescent="0.25">
      <c r="A144" s="44" t="s">
        <v>67</v>
      </c>
      <c r="D144" s="44" t="s">
        <v>61</v>
      </c>
      <c r="E144" s="44" t="s">
        <v>1594</v>
      </c>
      <c r="F144" s="44" t="s">
        <v>1971</v>
      </c>
      <c r="H144" s="44" t="s">
        <v>1878</v>
      </c>
    </row>
    <row r="145" spans="1:8" x14ac:dyDescent="0.25">
      <c r="A145" s="44" t="s">
        <v>67</v>
      </c>
      <c r="D145" s="44" t="s">
        <v>61</v>
      </c>
      <c r="E145" s="44" t="s">
        <v>1595</v>
      </c>
      <c r="F145" s="44" t="s">
        <v>1980</v>
      </c>
      <c r="H145" s="44" t="s">
        <v>1879</v>
      </c>
    </row>
    <row r="146" spans="1:8" x14ac:dyDescent="0.25">
      <c r="A146" s="44" t="s">
        <v>67</v>
      </c>
      <c r="D146" s="44" t="s">
        <v>61</v>
      </c>
      <c r="E146" s="44" t="s">
        <v>1596</v>
      </c>
      <c r="F146" s="44" t="s">
        <v>1981</v>
      </c>
      <c r="H146" s="44" t="s">
        <v>1880</v>
      </c>
    </row>
    <row r="147" spans="1:8" x14ac:dyDescent="0.25">
      <c r="A147" s="44" t="s">
        <v>67</v>
      </c>
      <c r="D147" s="44" t="s">
        <v>61</v>
      </c>
      <c r="E147" s="44" t="s">
        <v>1597</v>
      </c>
      <c r="F147" s="44" t="s">
        <v>1985</v>
      </c>
      <c r="H147" s="44" t="s">
        <v>1881</v>
      </c>
    </row>
    <row r="148" spans="1:8" x14ac:dyDescent="0.25">
      <c r="A148" s="44" t="s">
        <v>67</v>
      </c>
      <c r="D148" s="44" t="s">
        <v>61</v>
      </c>
      <c r="E148" s="44" t="s">
        <v>1598</v>
      </c>
      <c r="F148" s="44" t="s">
        <v>1988</v>
      </c>
      <c r="H148" s="44" t="s">
        <v>1882</v>
      </c>
    </row>
    <row r="149" spans="1:8" x14ac:dyDescent="0.25">
      <c r="A149" s="44" t="s">
        <v>67</v>
      </c>
      <c r="D149" s="44" t="s">
        <v>61</v>
      </c>
      <c r="E149" s="44" t="s">
        <v>1599</v>
      </c>
      <c r="F149" s="44" t="s">
        <v>1983</v>
      </c>
      <c r="H149" s="44" t="s">
        <v>1883</v>
      </c>
    </row>
    <row r="150" spans="1:8" x14ac:dyDescent="0.25">
      <c r="A150" s="44" t="s">
        <v>67</v>
      </c>
      <c r="D150" s="44" t="s">
        <v>61</v>
      </c>
      <c r="E150" s="44" t="s">
        <v>1600</v>
      </c>
      <c r="F150" s="44" t="s">
        <v>1976</v>
      </c>
      <c r="H150" s="44" t="s">
        <v>1884</v>
      </c>
    </row>
    <row r="151" spans="1:8" x14ac:dyDescent="0.25">
      <c r="A151" s="44" t="s">
        <v>67</v>
      </c>
      <c r="D151" s="44" t="s">
        <v>61</v>
      </c>
      <c r="E151" s="44" t="s">
        <v>1601</v>
      </c>
      <c r="F151" s="44" t="s">
        <v>1989</v>
      </c>
      <c r="H151" s="44" t="s">
        <v>1885</v>
      </c>
    </row>
    <row r="152" spans="1:8" x14ac:dyDescent="0.25">
      <c r="A152" s="44" t="s">
        <v>67</v>
      </c>
      <c r="D152" s="44" t="s">
        <v>61</v>
      </c>
      <c r="E152" s="44" t="s">
        <v>1602</v>
      </c>
      <c r="F152" s="44" t="s">
        <v>1997</v>
      </c>
      <c r="H152" s="44" t="s">
        <v>1886</v>
      </c>
    </row>
    <row r="153" spans="1:8" x14ac:dyDescent="0.25">
      <c r="A153" s="44" t="s">
        <v>67</v>
      </c>
      <c r="D153" s="44" t="s">
        <v>61</v>
      </c>
      <c r="E153" s="44" t="s">
        <v>1603</v>
      </c>
      <c r="F153" s="44" t="s">
        <v>1990</v>
      </c>
      <c r="H153" s="44" t="s">
        <v>1887</v>
      </c>
    </row>
    <row r="154" spans="1:8" x14ac:dyDescent="0.25">
      <c r="A154" s="44" t="s">
        <v>67</v>
      </c>
      <c r="D154" s="44" t="s">
        <v>61</v>
      </c>
      <c r="E154" s="44" t="s">
        <v>1604</v>
      </c>
      <c r="F154" s="44" t="s">
        <v>1995</v>
      </c>
      <c r="H154" s="44" t="s">
        <v>1888</v>
      </c>
    </row>
    <row r="155" spans="1:8" x14ac:dyDescent="0.25">
      <c r="A155" s="44" t="s">
        <v>67</v>
      </c>
      <c r="D155" s="44" t="s">
        <v>61</v>
      </c>
      <c r="E155" s="44" t="s">
        <v>1605</v>
      </c>
      <c r="F155" s="44" t="s">
        <v>1979</v>
      </c>
      <c r="H155" s="44" t="s">
        <v>1889</v>
      </c>
    </row>
    <row r="156" spans="1:8" x14ac:dyDescent="0.25">
      <c r="A156" s="44" t="s">
        <v>67</v>
      </c>
      <c r="D156" s="44" t="s">
        <v>61</v>
      </c>
      <c r="E156" s="44" t="s">
        <v>1606</v>
      </c>
      <c r="F156" s="44" t="s">
        <v>2003</v>
      </c>
      <c r="H156" s="44" t="s">
        <v>1890</v>
      </c>
    </row>
    <row r="157" spans="1:8" x14ac:dyDescent="0.25">
      <c r="A157" s="44" t="s">
        <v>67</v>
      </c>
      <c r="D157" s="44" t="s">
        <v>61</v>
      </c>
      <c r="E157" s="44" t="s">
        <v>1607</v>
      </c>
      <c r="F157" s="44" t="s">
        <v>2004</v>
      </c>
      <c r="H157" s="44" t="s">
        <v>1891</v>
      </c>
    </row>
    <row r="158" spans="1:8" x14ac:dyDescent="0.25">
      <c r="A158" s="44" t="s">
        <v>67</v>
      </c>
      <c r="D158" s="44" t="s">
        <v>61</v>
      </c>
      <c r="E158" s="44" t="s">
        <v>1608</v>
      </c>
      <c r="F158" s="44" t="s">
        <v>1987</v>
      </c>
      <c r="H158" s="44" t="s">
        <v>1892</v>
      </c>
    </row>
    <row r="159" spans="1:8" x14ac:dyDescent="0.25">
      <c r="A159" s="44" t="s">
        <v>67</v>
      </c>
      <c r="D159" s="44" t="s">
        <v>61</v>
      </c>
      <c r="E159" s="44" t="s">
        <v>1609</v>
      </c>
      <c r="F159" s="44" t="s">
        <v>1998</v>
      </c>
      <c r="H159" s="44" t="s">
        <v>1893</v>
      </c>
    </row>
    <row r="160" spans="1:8" x14ac:dyDescent="0.25">
      <c r="A160" s="44" t="s">
        <v>67</v>
      </c>
      <c r="D160" s="44" t="s">
        <v>61</v>
      </c>
      <c r="E160" s="44" t="s">
        <v>1610</v>
      </c>
      <c r="F160" s="44" t="s">
        <v>1984</v>
      </c>
      <c r="H160" s="44" t="s">
        <v>1894</v>
      </c>
    </row>
    <row r="161" spans="1:8" x14ac:dyDescent="0.25">
      <c r="A161" s="44" t="s">
        <v>67</v>
      </c>
      <c r="D161" s="44" t="s">
        <v>61</v>
      </c>
      <c r="E161" s="44" t="s">
        <v>1611</v>
      </c>
      <c r="F161" s="44" t="s">
        <v>1986</v>
      </c>
      <c r="H161" s="44" t="s">
        <v>1895</v>
      </c>
    </row>
    <row r="162" spans="1:8" x14ac:dyDescent="0.25">
      <c r="A162" s="44" t="s">
        <v>67</v>
      </c>
      <c r="D162" s="44" t="s">
        <v>61</v>
      </c>
      <c r="E162" s="44" t="s">
        <v>1612</v>
      </c>
      <c r="F162" s="44" t="s">
        <v>2001</v>
      </c>
      <c r="H162" s="44" t="s">
        <v>1896</v>
      </c>
    </row>
    <row r="163" spans="1:8" x14ac:dyDescent="0.25">
      <c r="A163" s="44" t="s">
        <v>67</v>
      </c>
      <c r="D163" s="44" t="s">
        <v>61</v>
      </c>
      <c r="E163" s="44" t="s">
        <v>1613</v>
      </c>
      <c r="F163" s="44" t="s">
        <v>1994</v>
      </c>
      <c r="H163" s="44" t="s">
        <v>1897</v>
      </c>
    </row>
    <row r="164" spans="1:8" x14ac:dyDescent="0.25">
      <c r="A164" s="44" t="s">
        <v>67</v>
      </c>
      <c r="D164" s="44" t="s">
        <v>61</v>
      </c>
      <c r="E164" s="44" t="s">
        <v>1614</v>
      </c>
      <c r="F164" s="44" t="s">
        <v>1996</v>
      </c>
      <c r="H164" s="44" t="s">
        <v>1898</v>
      </c>
    </row>
    <row r="165" spans="1:8" x14ac:dyDescent="0.25">
      <c r="A165" s="44" t="s">
        <v>67</v>
      </c>
      <c r="D165" s="44" t="s">
        <v>61</v>
      </c>
      <c r="E165" s="44" t="s">
        <v>1615</v>
      </c>
      <c r="F165" s="44" t="s">
        <v>1999</v>
      </c>
      <c r="H165" s="44" t="s">
        <v>1899</v>
      </c>
    </row>
    <row r="166" spans="1:8" x14ac:dyDescent="0.25">
      <c r="A166" s="44" t="s">
        <v>67</v>
      </c>
      <c r="D166" s="44" t="s">
        <v>61</v>
      </c>
      <c r="E166" s="44" t="s">
        <v>1616</v>
      </c>
      <c r="F166" s="44" t="s">
        <v>2008</v>
      </c>
      <c r="H166" s="44" t="s">
        <v>1900</v>
      </c>
    </row>
    <row r="167" spans="1:8" x14ac:dyDescent="0.25">
      <c r="A167" s="44" t="s">
        <v>67</v>
      </c>
      <c r="D167" s="44" t="s">
        <v>61</v>
      </c>
      <c r="E167" s="44" t="s">
        <v>1617</v>
      </c>
      <c r="F167" s="44" t="s">
        <v>1993</v>
      </c>
      <c r="H167" s="44" t="s">
        <v>1901</v>
      </c>
    </row>
    <row r="168" spans="1:8" x14ac:dyDescent="0.25">
      <c r="A168" s="44" t="s">
        <v>67</v>
      </c>
      <c r="D168" s="44" t="s">
        <v>61</v>
      </c>
      <c r="E168" s="44" t="s">
        <v>1618</v>
      </c>
      <c r="F168" s="44" t="s">
        <v>2006</v>
      </c>
      <c r="H168" s="44" t="s">
        <v>1902</v>
      </c>
    </row>
    <row r="169" spans="1:8" x14ac:dyDescent="0.25">
      <c r="A169" s="44" t="s">
        <v>67</v>
      </c>
      <c r="D169" s="44" t="s">
        <v>61</v>
      </c>
      <c r="E169" s="44" t="s">
        <v>1619</v>
      </c>
      <c r="F169" s="44" t="s">
        <v>2005</v>
      </c>
      <c r="H169" s="44" t="s">
        <v>1903</v>
      </c>
    </row>
    <row r="170" spans="1:8" x14ac:dyDescent="0.25">
      <c r="A170" s="44" t="s">
        <v>67</v>
      </c>
      <c r="D170" s="44" t="s">
        <v>61</v>
      </c>
      <c r="E170" s="44" t="s">
        <v>1620</v>
      </c>
      <c r="F170" s="44" t="s">
        <v>1991</v>
      </c>
      <c r="H170" s="44" t="s">
        <v>1904</v>
      </c>
    </row>
    <row r="171" spans="1:8" x14ac:dyDescent="0.25">
      <c r="A171" s="44" t="s">
        <v>67</v>
      </c>
      <c r="D171" s="44" t="s">
        <v>61</v>
      </c>
      <c r="E171" s="44" t="s">
        <v>1621</v>
      </c>
      <c r="F171" s="44" t="s">
        <v>2009</v>
      </c>
      <c r="H171" s="44" t="s">
        <v>1905</v>
      </c>
    </row>
    <row r="172" spans="1:8" x14ac:dyDescent="0.25">
      <c r="A172" s="44" t="s">
        <v>67</v>
      </c>
      <c r="D172" s="44" t="s">
        <v>61</v>
      </c>
      <c r="E172" s="44" t="s">
        <v>1622</v>
      </c>
      <c r="F172" s="44" t="s">
        <v>2010</v>
      </c>
      <c r="H172" s="44" t="s">
        <v>1906</v>
      </c>
    </row>
    <row r="173" spans="1:8" x14ac:dyDescent="0.25">
      <c r="A173" s="44" t="s">
        <v>67</v>
      </c>
      <c r="D173" s="44" t="s">
        <v>61</v>
      </c>
      <c r="E173" s="44" t="s">
        <v>1623</v>
      </c>
      <c r="F173" s="44" t="s">
        <v>1992</v>
      </c>
      <c r="H173" s="44" t="s">
        <v>1907</v>
      </c>
    </row>
    <row r="174" spans="1:8" x14ac:dyDescent="0.25">
      <c r="A174" s="44" t="s">
        <v>67</v>
      </c>
      <c r="D174" s="44" t="s">
        <v>61</v>
      </c>
      <c r="E174" s="44" t="s">
        <v>1624</v>
      </c>
      <c r="F174" s="44" t="s">
        <v>2011</v>
      </c>
      <c r="H174" s="44" t="s">
        <v>1908</v>
      </c>
    </row>
    <row r="175" spans="1:8" x14ac:dyDescent="0.25">
      <c r="A175" s="44" t="s">
        <v>67</v>
      </c>
      <c r="D175" s="44" t="s">
        <v>61</v>
      </c>
      <c r="E175" s="44" t="s">
        <v>1625</v>
      </c>
      <c r="F175" s="44" t="s">
        <v>2012</v>
      </c>
      <c r="H175" s="44" t="s">
        <v>1909</v>
      </c>
    </row>
    <row r="176" spans="1:8" x14ac:dyDescent="0.25">
      <c r="A176" s="44" t="s">
        <v>67</v>
      </c>
      <c r="D176" s="44" t="s">
        <v>61</v>
      </c>
      <c r="E176" s="44" t="s">
        <v>1626</v>
      </c>
      <c r="F176" s="44" t="s">
        <v>2013</v>
      </c>
      <c r="H176" s="44" t="s">
        <v>1910</v>
      </c>
    </row>
    <row r="177" spans="1:8" x14ac:dyDescent="0.25">
      <c r="A177" s="44" t="s">
        <v>67</v>
      </c>
      <c r="D177" s="44" t="s">
        <v>61</v>
      </c>
      <c r="E177" s="44" t="s">
        <v>1627</v>
      </c>
      <c r="F177" s="44" t="s">
        <v>2017</v>
      </c>
      <c r="H177" s="44" t="s">
        <v>1911</v>
      </c>
    </row>
    <row r="178" spans="1:8" x14ac:dyDescent="0.25">
      <c r="A178" s="44" t="s">
        <v>67</v>
      </c>
      <c r="D178" s="44" t="s">
        <v>61</v>
      </c>
      <c r="E178" s="44" t="s">
        <v>1628</v>
      </c>
      <c r="F178" s="44" t="s">
        <v>2015</v>
      </c>
      <c r="H178" s="44" t="s">
        <v>1912</v>
      </c>
    </row>
    <row r="179" spans="1:8" x14ac:dyDescent="0.25">
      <c r="A179" s="44" t="s">
        <v>67</v>
      </c>
      <c r="D179" s="44" t="s">
        <v>61</v>
      </c>
      <c r="E179" s="44" t="s">
        <v>1629</v>
      </c>
      <c r="F179" s="44" t="s">
        <v>2018</v>
      </c>
      <c r="H179" s="44" t="s">
        <v>1913</v>
      </c>
    </row>
    <row r="180" spans="1:8" x14ac:dyDescent="0.25">
      <c r="A180" s="44" t="s">
        <v>67</v>
      </c>
      <c r="D180" s="44" t="s">
        <v>61</v>
      </c>
      <c r="E180" s="44" t="s">
        <v>1630</v>
      </c>
      <c r="F180" s="44" t="s">
        <v>2014</v>
      </c>
      <c r="H180" s="44" t="s">
        <v>1914</v>
      </c>
    </row>
    <row r="181" spans="1:8" x14ac:dyDescent="0.25">
      <c r="A181" s="44" t="s">
        <v>67</v>
      </c>
      <c r="D181" s="44" t="s">
        <v>61</v>
      </c>
      <c r="E181" s="44" t="s">
        <v>1631</v>
      </c>
      <c r="F181" s="44" t="s">
        <v>2023</v>
      </c>
      <c r="H181" s="44" t="s">
        <v>1915</v>
      </c>
    </row>
    <row r="182" spans="1:8" x14ac:dyDescent="0.25">
      <c r="A182" s="44" t="s">
        <v>67</v>
      </c>
      <c r="D182" s="44" t="s">
        <v>61</v>
      </c>
      <c r="E182" s="44" t="s">
        <v>1632</v>
      </c>
      <c r="F182" s="44" t="s">
        <v>2022</v>
      </c>
      <c r="H182" s="44" t="s">
        <v>1916</v>
      </c>
    </row>
    <row r="183" spans="1:8" x14ac:dyDescent="0.25">
      <c r="A183" s="44" t="s">
        <v>67</v>
      </c>
      <c r="D183" s="44" t="s">
        <v>61</v>
      </c>
      <c r="E183" s="44" t="s">
        <v>1633</v>
      </c>
      <c r="F183" s="44" t="s">
        <v>2021</v>
      </c>
      <c r="H183" s="44" t="s">
        <v>1917</v>
      </c>
    </row>
    <row r="184" spans="1:8" x14ac:dyDescent="0.25">
      <c r="A184" s="44" t="s">
        <v>67</v>
      </c>
      <c r="D184" s="44" t="s">
        <v>61</v>
      </c>
      <c r="E184" s="44" t="s">
        <v>1634</v>
      </c>
      <c r="F184" s="44" t="s">
        <v>2025</v>
      </c>
      <c r="H184" s="44" t="s">
        <v>1918</v>
      </c>
    </row>
    <row r="185" spans="1:8" x14ac:dyDescent="0.25">
      <c r="A185" s="44" t="s">
        <v>67</v>
      </c>
      <c r="D185" s="44" t="s">
        <v>61</v>
      </c>
      <c r="E185" s="44" t="s">
        <v>1635</v>
      </c>
      <c r="F185" s="44" t="s">
        <v>2020</v>
      </c>
      <c r="H185" s="44" t="s">
        <v>1919</v>
      </c>
    </row>
    <row r="186" spans="1:8" x14ac:dyDescent="0.25">
      <c r="A186" s="44" t="s">
        <v>67</v>
      </c>
      <c r="D186" s="44" t="s">
        <v>61</v>
      </c>
      <c r="E186" s="44" t="s">
        <v>1636</v>
      </c>
      <c r="F186" s="44" t="s">
        <v>2027</v>
      </c>
      <c r="H186" s="44" t="s">
        <v>1920</v>
      </c>
    </row>
    <row r="187" spans="1:8" x14ac:dyDescent="0.25">
      <c r="A187" s="44" t="s">
        <v>67</v>
      </c>
      <c r="D187" s="44" t="s">
        <v>61</v>
      </c>
      <c r="E187" s="44" t="s">
        <v>1637</v>
      </c>
      <c r="F187" s="44" t="s">
        <v>2002</v>
      </c>
      <c r="H187" s="44" t="s">
        <v>1921</v>
      </c>
    </row>
    <row r="188" spans="1:8" x14ac:dyDescent="0.25">
      <c r="A188" s="44" t="s">
        <v>67</v>
      </c>
      <c r="D188" s="44" t="s">
        <v>61</v>
      </c>
      <c r="E188" s="44" t="s">
        <v>1638</v>
      </c>
      <c r="F188" s="44" t="s">
        <v>2031</v>
      </c>
      <c r="H188" s="44" t="s">
        <v>1922</v>
      </c>
    </row>
    <row r="189" spans="1:8" x14ac:dyDescent="0.25">
      <c r="A189" s="44" t="s">
        <v>67</v>
      </c>
      <c r="D189" s="44" t="s">
        <v>61</v>
      </c>
      <c r="E189" s="44" t="s">
        <v>1639</v>
      </c>
      <c r="F189" s="44" t="s">
        <v>2019</v>
      </c>
      <c r="H189" s="44" t="s">
        <v>1923</v>
      </c>
    </row>
    <row r="190" spans="1:8" x14ac:dyDescent="0.25">
      <c r="A190" s="44" t="s">
        <v>67</v>
      </c>
      <c r="D190" s="44" t="s">
        <v>61</v>
      </c>
      <c r="E190" s="44" t="s">
        <v>1640</v>
      </c>
      <c r="F190" s="44" t="s">
        <v>2007</v>
      </c>
      <c r="H190" s="44" t="s">
        <v>1924</v>
      </c>
    </row>
    <row r="191" spans="1:8" x14ac:dyDescent="0.25">
      <c r="A191" s="44" t="s">
        <v>67</v>
      </c>
      <c r="D191" s="44" t="s">
        <v>61</v>
      </c>
      <c r="E191" s="44" t="s">
        <v>1641</v>
      </c>
      <c r="F191" s="44" t="s">
        <v>2034</v>
      </c>
      <c r="H191" s="44" t="s">
        <v>1925</v>
      </c>
    </row>
    <row r="192" spans="1:8" x14ac:dyDescent="0.25">
      <c r="A192" s="44" t="s">
        <v>67</v>
      </c>
      <c r="D192" s="44" t="s">
        <v>61</v>
      </c>
      <c r="E192" s="44" t="s">
        <v>1642</v>
      </c>
      <c r="F192" s="44" t="s">
        <v>2041</v>
      </c>
      <c r="H192" s="44" t="s">
        <v>1926</v>
      </c>
    </row>
    <row r="193" spans="1:8" x14ac:dyDescent="0.25">
      <c r="A193" s="44" t="s">
        <v>67</v>
      </c>
      <c r="D193" s="44" t="s">
        <v>61</v>
      </c>
      <c r="E193" s="44" t="s">
        <v>1643</v>
      </c>
      <c r="F193" s="44" t="s">
        <v>2024</v>
      </c>
      <c r="H193" s="44" t="s">
        <v>1927</v>
      </c>
    </row>
    <row r="194" spans="1:8" x14ac:dyDescent="0.25">
      <c r="A194" s="44" t="s">
        <v>67</v>
      </c>
      <c r="D194" s="44" t="s">
        <v>61</v>
      </c>
      <c r="E194" s="44" t="s">
        <v>1644</v>
      </c>
      <c r="F194" s="44" t="s">
        <v>2026</v>
      </c>
      <c r="H194" s="44" t="s">
        <v>1928</v>
      </c>
    </row>
    <row r="195" spans="1:8" x14ac:dyDescent="0.25">
      <c r="A195" s="44" t="s">
        <v>67</v>
      </c>
      <c r="D195" s="44" t="s">
        <v>61</v>
      </c>
      <c r="E195" s="44" t="s">
        <v>1645</v>
      </c>
      <c r="F195" s="44" t="s">
        <v>2042</v>
      </c>
      <c r="H195" s="44" t="s">
        <v>1929</v>
      </c>
    </row>
    <row r="196" spans="1:8" x14ac:dyDescent="0.25">
      <c r="A196" s="44" t="s">
        <v>67</v>
      </c>
      <c r="D196" s="44" t="s">
        <v>61</v>
      </c>
      <c r="E196" s="44" t="s">
        <v>1646</v>
      </c>
      <c r="F196" s="44" t="s">
        <v>2045</v>
      </c>
      <c r="H196" s="44" t="s">
        <v>1930</v>
      </c>
    </row>
    <row r="197" spans="1:8" x14ac:dyDescent="0.25">
      <c r="A197" s="44" t="s">
        <v>67</v>
      </c>
      <c r="D197" s="44" t="s">
        <v>61</v>
      </c>
      <c r="E197" s="44" t="s">
        <v>1647</v>
      </c>
      <c r="F197" s="44" t="s">
        <v>2036</v>
      </c>
      <c r="H197" s="44" t="s">
        <v>1931</v>
      </c>
    </row>
    <row r="198" spans="1:8" x14ac:dyDescent="0.25">
      <c r="A198" s="44" t="s">
        <v>67</v>
      </c>
      <c r="D198" s="44" t="s">
        <v>61</v>
      </c>
      <c r="E198" s="44" t="s">
        <v>1648</v>
      </c>
      <c r="F198" s="44" t="s">
        <v>2050</v>
      </c>
      <c r="H198" s="44" t="s">
        <v>1932</v>
      </c>
    </row>
    <row r="199" spans="1:8" x14ac:dyDescent="0.25">
      <c r="A199" s="44" t="s">
        <v>67</v>
      </c>
      <c r="D199" s="44" t="s">
        <v>61</v>
      </c>
      <c r="E199" s="44" t="s">
        <v>1649</v>
      </c>
      <c r="F199" s="44" t="s">
        <v>2043</v>
      </c>
      <c r="H199" s="44" t="s">
        <v>1933</v>
      </c>
    </row>
    <row r="200" spans="1:8" x14ac:dyDescent="0.25">
      <c r="A200" s="44" t="s">
        <v>67</v>
      </c>
      <c r="D200" s="44" t="s">
        <v>61</v>
      </c>
      <c r="E200" s="44" t="s">
        <v>1650</v>
      </c>
      <c r="F200" s="44" t="s">
        <v>2040</v>
      </c>
      <c r="H200" s="44" t="s">
        <v>1934</v>
      </c>
    </row>
    <row r="201" spans="1:8" x14ac:dyDescent="0.25">
      <c r="A201" s="44" t="s">
        <v>67</v>
      </c>
      <c r="D201" s="44" t="s">
        <v>61</v>
      </c>
      <c r="E201" s="44" t="s">
        <v>1651</v>
      </c>
      <c r="F201" s="44" t="s">
        <v>2037</v>
      </c>
      <c r="H201" s="44" t="s">
        <v>1935</v>
      </c>
    </row>
    <row r="202" spans="1:8" x14ac:dyDescent="0.25">
      <c r="A202" s="44" t="s">
        <v>67</v>
      </c>
      <c r="D202" s="44" t="s">
        <v>61</v>
      </c>
      <c r="E202" s="44" t="s">
        <v>1652</v>
      </c>
      <c r="F202" s="44" t="s">
        <v>2046</v>
      </c>
      <c r="H202" s="44" t="s">
        <v>1936</v>
      </c>
    </row>
    <row r="203" spans="1:8" x14ac:dyDescent="0.25">
      <c r="A203" s="44" t="s">
        <v>67</v>
      </c>
      <c r="D203" s="44" t="s">
        <v>61</v>
      </c>
      <c r="E203" s="44" t="s">
        <v>1653</v>
      </c>
      <c r="F203" s="44" t="s">
        <v>2058</v>
      </c>
      <c r="H203" s="44" t="s">
        <v>1937</v>
      </c>
    </row>
    <row r="204" spans="1:8" x14ac:dyDescent="0.25">
      <c r="A204" s="44" t="s">
        <v>67</v>
      </c>
      <c r="D204" s="44" t="s">
        <v>61</v>
      </c>
      <c r="E204" s="44" t="s">
        <v>1654</v>
      </c>
      <c r="F204" s="44" t="s">
        <v>2039</v>
      </c>
      <c r="H204" s="44" t="s">
        <v>1938</v>
      </c>
    </row>
    <row r="205" spans="1:8" x14ac:dyDescent="0.25">
      <c r="A205" s="44" t="s">
        <v>67</v>
      </c>
      <c r="D205" s="44" t="s">
        <v>61</v>
      </c>
      <c r="E205" s="44" t="s">
        <v>1655</v>
      </c>
      <c r="F205" s="44" t="s">
        <v>2033</v>
      </c>
      <c r="H205" s="44" t="s">
        <v>1939</v>
      </c>
    </row>
    <row r="206" spans="1:8" x14ac:dyDescent="0.25">
      <c r="A206" s="44" t="s">
        <v>67</v>
      </c>
      <c r="D206" s="44" t="s">
        <v>61</v>
      </c>
      <c r="E206" s="44" t="s">
        <v>1656</v>
      </c>
      <c r="F206" s="44" t="s">
        <v>2049</v>
      </c>
      <c r="H206" s="44" t="s">
        <v>1940</v>
      </c>
    </row>
    <row r="207" spans="1:8" x14ac:dyDescent="0.25">
      <c r="A207" s="44" t="s">
        <v>67</v>
      </c>
      <c r="D207" s="44" t="s">
        <v>61</v>
      </c>
      <c r="E207" s="44" t="s">
        <v>1657</v>
      </c>
      <c r="F207" s="44" t="s">
        <v>2028</v>
      </c>
      <c r="H207" s="44" t="s">
        <v>1941</v>
      </c>
    </row>
    <row r="208" spans="1:8" x14ac:dyDescent="0.25">
      <c r="A208" s="44" t="s">
        <v>67</v>
      </c>
      <c r="D208" s="44" t="s">
        <v>61</v>
      </c>
      <c r="E208" s="44" t="s">
        <v>1658</v>
      </c>
      <c r="F208" s="44" t="s">
        <v>2052</v>
      </c>
      <c r="H208" s="44" t="s">
        <v>1942</v>
      </c>
    </row>
    <row r="209" spans="1:8" x14ac:dyDescent="0.25">
      <c r="A209" s="44" t="s">
        <v>67</v>
      </c>
      <c r="D209" s="44" t="s">
        <v>61</v>
      </c>
      <c r="E209" s="44" t="s">
        <v>1659</v>
      </c>
      <c r="F209" s="44" t="s">
        <v>2035</v>
      </c>
      <c r="H209" s="44" t="s">
        <v>1943</v>
      </c>
    </row>
    <row r="210" spans="1:8" x14ac:dyDescent="0.25">
      <c r="A210" s="44" t="s">
        <v>67</v>
      </c>
      <c r="D210" s="44" t="s">
        <v>61</v>
      </c>
      <c r="E210" s="44" t="s">
        <v>1660</v>
      </c>
      <c r="F210" s="44" t="s">
        <v>2029</v>
      </c>
      <c r="H210" s="44" t="s">
        <v>1944</v>
      </c>
    </row>
    <row r="211" spans="1:8" x14ac:dyDescent="0.25">
      <c r="A211" s="44" t="s">
        <v>67</v>
      </c>
      <c r="D211" s="44" t="s">
        <v>61</v>
      </c>
      <c r="E211" s="44" t="s">
        <v>1661</v>
      </c>
      <c r="F211" s="44" t="s">
        <v>2000</v>
      </c>
      <c r="H211" s="44" t="s">
        <v>1945</v>
      </c>
    </row>
    <row r="212" spans="1:8" x14ac:dyDescent="0.25">
      <c r="A212" s="44" t="s">
        <v>67</v>
      </c>
      <c r="D212" s="44" t="s">
        <v>61</v>
      </c>
      <c r="E212" s="44" t="s">
        <v>1662</v>
      </c>
      <c r="F212" s="44" t="s">
        <v>2053</v>
      </c>
      <c r="H212" s="44" t="s">
        <v>1946</v>
      </c>
    </row>
    <row r="213" spans="1:8" x14ac:dyDescent="0.25">
      <c r="A213" s="44" t="s">
        <v>67</v>
      </c>
      <c r="D213" s="44" t="s">
        <v>61</v>
      </c>
      <c r="E213" s="44" t="s">
        <v>1663</v>
      </c>
      <c r="F213" s="44" t="s">
        <v>2054</v>
      </c>
      <c r="H213" s="44" t="s">
        <v>1947</v>
      </c>
    </row>
    <row r="214" spans="1:8" x14ac:dyDescent="0.25">
      <c r="A214" s="44" t="s">
        <v>67</v>
      </c>
      <c r="D214" s="44" t="s">
        <v>61</v>
      </c>
      <c r="E214" s="44" t="s">
        <v>1664</v>
      </c>
      <c r="F214" s="44" t="s">
        <v>2059</v>
      </c>
      <c r="H214" s="44" t="s">
        <v>1948</v>
      </c>
    </row>
    <row r="215" spans="1:8" x14ac:dyDescent="0.25">
      <c r="A215" s="44" t="s">
        <v>67</v>
      </c>
      <c r="D215" s="44" t="s">
        <v>61</v>
      </c>
      <c r="E215" s="44" t="s">
        <v>1665</v>
      </c>
      <c r="F215" s="44" t="s">
        <v>2060</v>
      </c>
      <c r="H215" s="44" t="s">
        <v>1949</v>
      </c>
    </row>
    <row r="216" spans="1:8" x14ac:dyDescent="0.25">
      <c r="A216" s="44" t="s">
        <v>67</v>
      </c>
      <c r="D216" s="44" t="s">
        <v>61</v>
      </c>
      <c r="E216" s="44" t="s">
        <v>1666</v>
      </c>
      <c r="F216" s="44" t="s">
        <v>2044</v>
      </c>
      <c r="H216" s="44" t="s">
        <v>1950</v>
      </c>
    </row>
    <row r="217" spans="1:8" x14ac:dyDescent="0.25">
      <c r="A217" s="44" t="s">
        <v>67</v>
      </c>
      <c r="D217" s="44" t="s">
        <v>61</v>
      </c>
      <c r="E217" s="44" t="s">
        <v>1667</v>
      </c>
      <c r="F217" s="44" t="s">
        <v>2061</v>
      </c>
      <c r="H217" s="44" t="s">
        <v>1951</v>
      </c>
    </row>
    <row r="218" spans="1:8" x14ac:dyDescent="0.25">
      <c r="A218" s="44" t="s">
        <v>67</v>
      </c>
      <c r="D218" s="44" t="s">
        <v>61</v>
      </c>
      <c r="E218" s="44" t="s">
        <v>1668</v>
      </c>
      <c r="F218" s="44" t="s">
        <v>2016</v>
      </c>
      <c r="H218" s="44" t="s">
        <v>1952</v>
      </c>
    </row>
    <row r="219" spans="1:8" x14ac:dyDescent="0.25">
      <c r="A219" s="44" t="s">
        <v>67</v>
      </c>
      <c r="D219" s="44" t="s">
        <v>61</v>
      </c>
      <c r="E219" s="44" t="s">
        <v>1669</v>
      </c>
      <c r="F219" s="44" t="s">
        <v>2062</v>
      </c>
      <c r="H219" s="44" t="s">
        <v>1953</v>
      </c>
    </row>
    <row r="220" spans="1:8" x14ac:dyDescent="0.25">
      <c r="A220" s="44" t="s">
        <v>67</v>
      </c>
      <c r="D220" s="44" t="s">
        <v>61</v>
      </c>
      <c r="E220" s="44" t="s">
        <v>1670</v>
      </c>
      <c r="F220" s="44" t="s">
        <v>2063</v>
      </c>
      <c r="H220" s="44" t="s">
        <v>1954</v>
      </c>
    </row>
    <row r="221" spans="1:8" x14ac:dyDescent="0.25">
      <c r="A221" s="44" t="s">
        <v>67</v>
      </c>
      <c r="D221" s="44" t="s">
        <v>61</v>
      </c>
      <c r="E221" s="44" t="s">
        <v>1671</v>
      </c>
      <c r="F221" s="44" t="s">
        <v>2047</v>
      </c>
      <c r="H221" s="44" t="s">
        <v>1955</v>
      </c>
    </row>
    <row r="222" spans="1:8" x14ac:dyDescent="0.25">
      <c r="A222" s="44" t="s">
        <v>67</v>
      </c>
      <c r="D222" s="44" t="s">
        <v>61</v>
      </c>
      <c r="E222" s="44" t="s">
        <v>1672</v>
      </c>
      <c r="F222" s="44" t="s">
        <v>2064</v>
      </c>
      <c r="H222" s="44" t="s">
        <v>1956</v>
      </c>
    </row>
    <row r="223" spans="1:8" x14ac:dyDescent="0.25">
      <c r="A223" s="44" t="s">
        <v>67</v>
      </c>
      <c r="D223" s="44" t="s">
        <v>61</v>
      </c>
      <c r="E223" s="44" t="s">
        <v>1673</v>
      </c>
      <c r="F223" s="44" t="s">
        <v>2065</v>
      </c>
      <c r="H223" s="44" t="s">
        <v>1957</v>
      </c>
    </row>
    <row r="225" spans="9:17" x14ac:dyDescent="0.25">
      <c r="I225" s="44" t="s">
        <v>65</v>
      </c>
      <c r="Q225" s="44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Option</vt:lpstr>
      <vt:lpstr>Report</vt:lpstr>
      <vt:lpstr>Report!Print_Area</vt:lpstr>
    </vt:vector>
  </TitlesOfParts>
  <Company>Jet Reports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Top Items by Sales Volume and Margin</dc:title>
  <dc:subject>Jet Reports</dc:subject>
  <dc:creator>Peter Brandt</dc:creator>
  <dc:description>Details on the top "N" items by sales volume and by total contribution for a date period.  The number "N" is a user-definable parameter.</dc:description>
  <cp:lastModifiedBy>Haseeb Tariq</cp:lastModifiedBy>
  <cp:lastPrinted>2010-07-21T20:45:19Z</cp:lastPrinted>
  <dcterms:created xsi:type="dcterms:W3CDTF">2010-01-07T20:43:41Z</dcterms:created>
  <dcterms:modified xsi:type="dcterms:W3CDTF">2023-09-04T10:31:41Z</dcterms:modified>
  <cp:category>Sales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Design Mode Active">
    <vt:bool>false</vt:bool>
  </property>
  <property fmtid="{D5CDD505-2E9C-101B-9397-08002B2CF9AE}" pid="3" name="Jet Reports Function Literals">
    <vt:lpwstr>,	;	,	{	}	[@[{0}]]	1033	19465</vt:lpwstr>
  </property>
</Properties>
</file>