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NAV BC Sample Reports/"/>
    </mc:Choice>
  </mc:AlternateContent>
  <xr:revisionPtr revIDLastSave="820" documentId="13_ncr:1_{B18618FC-1B49-45C2-8FD3-71052CD9DEE0}" xr6:coauthVersionLast="47" xr6:coauthVersionMax="47" xr10:uidLastSave="{EE76F0CC-DDF7-4079-8188-6F3E1E0E392D}"/>
  <bookViews>
    <workbookView xWindow="-120" yWindow="-120" windowWidth="29040" windowHeight="17520" firstSheet="1" activeTab="1" xr2:uid="{00000000-000D-0000-FFFF-FFFF00000000}"/>
  </bookViews>
  <sheets>
    <sheet name="Options" sheetId="2" state="hidden" r:id="rId1"/>
    <sheet name="Vendor Inv. &amp; Payments" sheetId="1" r:id="rId2"/>
    <sheet name="Sheet1" sheetId="3" state="veryHidden" r:id="rId3"/>
    <sheet name="Sheet2" sheetId="4" state="veryHidden" r:id="rId4"/>
    <sheet name="Sheet3" sheetId="5" state="veryHidden" r:id="rId5"/>
    <sheet name="Sheet4" sheetId="6" state="veryHidden" r:id="rId6"/>
    <sheet name="Sheet7" sheetId="9" state="veryHidden" r:id="rId7"/>
    <sheet name="Sheet8" sheetId="10" state="veryHidden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1" l="1"/>
  <c r="R6" i="1"/>
  <c r="J7" i="1"/>
  <c r="J8" i="1"/>
  <c r="H11" i="1"/>
  <c r="H12" i="1" s="1"/>
  <c r="H13" i="1" s="1"/>
  <c r="I11" i="1"/>
  <c r="I12" i="1"/>
  <c r="I13" i="1"/>
  <c r="H16" i="1"/>
  <c r="J16" i="1"/>
  <c r="K16" i="1"/>
  <c r="N16" i="1"/>
  <c r="H17" i="1"/>
  <c r="J17" i="1"/>
  <c r="K17" i="1"/>
  <c r="N17" i="1"/>
  <c r="H19" i="1"/>
  <c r="J19" i="1"/>
  <c r="K19" i="1"/>
  <c r="N19" i="1"/>
  <c r="H20" i="1"/>
  <c r="J20" i="1"/>
  <c r="K20" i="1"/>
  <c r="N20" i="1"/>
  <c r="H22" i="1"/>
  <c r="J22" i="1"/>
  <c r="K22" i="1"/>
  <c r="N22" i="1"/>
  <c r="H23" i="1"/>
  <c r="J23" i="1"/>
  <c r="K23" i="1"/>
  <c r="N23" i="1"/>
  <c r="H25" i="1"/>
  <c r="J25" i="1"/>
  <c r="K25" i="1"/>
  <c r="N25" i="1"/>
  <c r="H26" i="1"/>
  <c r="J26" i="1"/>
  <c r="K26" i="1"/>
  <c r="N26" i="1"/>
  <c r="H28" i="1"/>
  <c r="J28" i="1"/>
  <c r="K28" i="1"/>
  <c r="N28" i="1"/>
  <c r="H29" i="1"/>
  <c r="J29" i="1"/>
  <c r="K29" i="1"/>
  <c r="N29" i="1"/>
  <c r="H31" i="1"/>
  <c r="J31" i="1"/>
  <c r="K31" i="1"/>
  <c r="N31" i="1"/>
  <c r="H32" i="1"/>
  <c r="J32" i="1"/>
  <c r="K32" i="1"/>
  <c r="N32" i="1"/>
  <c r="H34" i="1"/>
  <c r="J34" i="1"/>
  <c r="K34" i="1"/>
  <c r="N34" i="1"/>
  <c r="H35" i="1"/>
  <c r="J35" i="1"/>
  <c r="K35" i="1"/>
  <c r="N35" i="1"/>
  <c r="H37" i="1"/>
  <c r="J37" i="1"/>
  <c r="K37" i="1"/>
  <c r="N37" i="1"/>
  <c r="H38" i="1"/>
  <c r="J38" i="1"/>
  <c r="K38" i="1"/>
  <c r="N38" i="1"/>
  <c r="H40" i="1"/>
  <c r="J40" i="1"/>
  <c r="K40" i="1"/>
  <c r="N40" i="1"/>
  <c r="H41" i="1"/>
  <c r="J41" i="1"/>
  <c r="K41" i="1"/>
  <c r="N41" i="1"/>
  <c r="H43" i="1"/>
  <c r="J43" i="1"/>
  <c r="K43" i="1"/>
  <c r="N43" i="1"/>
  <c r="H44" i="1"/>
  <c r="J44" i="1"/>
  <c r="K44" i="1"/>
  <c r="N44" i="1"/>
  <c r="H46" i="1"/>
  <c r="J46" i="1"/>
  <c r="K46" i="1"/>
  <c r="N46" i="1"/>
  <c r="H47" i="1"/>
  <c r="J47" i="1"/>
  <c r="K47" i="1"/>
  <c r="N47" i="1"/>
  <c r="H49" i="1"/>
  <c r="J49" i="1"/>
  <c r="K49" i="1"/>
  <c r="N49" i="1"/>
  <c r="H50" i="1"/>
  <c r="J50" i="1"/>
  <c r="K50" i="1"/>
  <c r="N50" i="1"/>
  <c r="H52" i="1"/>
  <c r="J52" i="1"/>
  <c r="K52" i="1"/>
  <c r="N52" i="1"/>
  <c r="H53" i="1"/>
  <c r="J53" i="1"/>
  <c r="K53" i="1"/>
  <c r="N53" i="1"/>
  <c r="H55" i="1"/>
  <c r="J55" i="1"/>
  <c r="K55" i="1"/>
  <c r="N55" i="1"/>
  <c r="H56" i="1"/>
  <c r="J56" i="1"/>
  <c r="K56" i="1"/>
  <c r="N56" i="1"/>
  <c r="H58" i="1"/>
  <c r="J58" i="1"/>
  <c r="K58" i="1"/>
  <c r="N58" i="1"/>
  <c r="H59" i="1"/>
  <c r="J59" i="1"/>
  <c r="K59" i="1"/>
  <c r="N59" i="1"/>
  <c r="H61" i="1"/>
  <c r="J61" i="1"/>
  <c r="K61" i="1"/>
  <c r="N61" i="1"/>
  <c r="H62" i="1"/>
  <c r="J62" i="1"/>
  <c r="K62" i="1"/>
  <c r="N62" i="1"/>
  <c r="H64" i="1"/>
  <c r="J64" i="1"/>
  <c r="K64" i="1"/>
  <c r="N64" i="1"/>
  <c r="H65" i="1"/>
  <c r="J65" i="1"/>
  <c r="K65" i="1"/>
  <c r="N65" i="1"/>
  <c r="H67" i="1"/>
  <c r="J67" i="1"/>
  <c r="K67" i="1"/>
  <c r="N67" i="1"/>
  <c r="H68" i="1"/>
  <c r="J68" i="1"/>
  <c r="K68" i="1"/>
  <c r="N68" i="1"/>
  <c r="H70" i="1"/>
  <c r="J70" i="1"/>
  <c r="K70" i="1"/>
  <c r="N70" i="1"/>
  <c r="H71" i="1"/>
  <c r="J71" i="1"/>
  <c r="K71" i="1"/>
  <c r="N71" i="1"/>
  <c r="H73" i="1"/>
  <c r="J73" i="1"/>
  <c r="K73" i="1"/>
  <c r="N73" i="1"/>
  <c r="H74" i="1"/>
  <c r="J74" i="1"/>
  <c r="K74" i="1"/>
  <c r="N74" i="1"/>
  <c r="H76" i="1"/>
  <c r="J76" i="1"/>
  <c r="K76" i="1"/>
  <c r="N76" i="1"/>
  <c r="H77" i="1"/>
  <c r="J77" i="1"/>
  <c r="K77" i="1"/>
  <c r="N77" i="1"/>
  <c r="H79" i="1"/>
  <c r="J79" i="1"/>
  <c r="K79" i="1"/>
  <c r="N79" i="1"/>
  <c r="H80" i="1"/>
  <c r="J80" i="1"/>
  <c r="K80" i="1"/>
  <c r="N80" i="1"/>
  <c r="H82" i="1"/>
  <c r="J82" i="1"/>
  <c r="K82" i="1"/>
  <c r="N82" i="1"/>
  <c r="H83" i="1"/>
  <c r="J83" i="1"/>
  <c r="K83" i="1"/>
  <c r="N83" i="1"/>
  <c r="H85" i="1"/>
  <c r="J85" i="1"/>
  <c r="K85" i="1"/>
  <c r="N85" i="1"/>
  <c r="H86" i="1"/>
  <c r="J86" i="1"/>
  <c r="K86" i="1"/>
  <c r="N86" i="1"/>
  <c r="H88" i="1"/>
  <c r="J88" i="1"/>
  <c r="K88" i="1"/>
  <c r="N88" i="1"/>
  <c r="H89" i="1"/>
  <c r="J89" i="1"/>
  <c r="K89" i="1"/>
  <c r="N89" i="1"/>
  <c r="H91" i="1"/>
  <c r="J91" i="1"/>
  <c r="K91" i="1"/>
  <c r="N91" i="1"/>
  <c r="H92" i="1"/>
  <c r="J92" i="1"/>
  <c r="K92" i="1"/>
  <c r="N92" i="1"/>
  <c r="H94" i="1"/>
  <c r="J94" i="1"/>
  <c r="K94" i="1"/>
  <c r="N94" i="1"/>
  <c r="H95" i="1"/>
  <c r="J95" i="1"/>
  <c r="K95" i="1"/>
  <c r="N95" i="1"/>
  <c r="H97" i="1"/>
  <c r="J97" i="1"/>
  <c r="K97" i="1"/>
  <c r="N97" i="1"/>
  <c r="H98" i="1"/>
  <c r="J98" i="1"/>
  <c r="K98" i="1"/>
  <c r="N98" i="1"/>
  <c r="H100" i="1"/>
  <c r="J100" i="1"/>
  <c r="K100" i="1"/>
  <c r="N100" i="1"/>
  <c r="H101" i="1"/>
  <c r="J101" i="1"/>
  <c r="K101" i="1"/>
  <c r="N101" i="1"/>
  <c r="H103" i="1"/>
  <c r="J103" i="1"/>
  <c r="K103" i="1"/>
  <c r="N103" i="1"/>
  <c r="H104" i="1"/>
  <c r="J104" i="1"/>
  <c r="K104" i="1"/>
  <c r="N104" i="1"/>
  <c r="H106" i="1"/>
  <c r="J106" i="1"/>
  <c r="K106" i="1"/>
  <c r="N106" i="1"/>
  <c r="H107" i="1"/>
  <c r="J107" i="1"/>
  <c r="K107" i="1"/>
  <c r="N107" i="1"/>
  <c r="H109" i="1"/>
  <c r="J109" i="1"/>
  <c r="K109" i="1"/>
  <c r="N109" i="1"/>
  <c r="H110" i="1"/>
  <c r="J110" i="1"/>
  <c r="K110" i="1"/>
  <c r="N110" i="1"/>
  <c r="H112" i="1"/>
  <c r="J112" i="1"/>
  <c r="K112" i="1"/>
  <c r="N112" i="1"/>
  <c r="H113" i="1"/>
  <c r="J113" i="1"/>
  <c r="K113" i="1"/>
  <c r="N113" i="1"/>
  <c r="H115" i="1"/>
  <c r="J115" i="1"/>
  <c r="K115" i="1"/>
  <c r="N115" i="1"/>
  <c r="H116" i="1"/>
  <c r="J116" i="1"/>
  <c r="K116" i="1"/>
  <c r="N116" i="1"/>
  <c r="H118" i="1"/>
  <c r="J118" i="1"/>
  <c r="K118" i="1"/>
  <c r="N118" i="1"/>
  <c r="H119" i="1"/>
  <c r="J119" i="1"/>
  <c r="K119" i="1"/>
  <c r="N119" i="1"/>
  <c r="H121" i="1"/>
  <c r="J121" i="1"/>
  <c r="K121" i="1"/>
  <c r="N121" i="1"/>
  <c r="H122" i="1"/>
  <c r="J122" i="1"/>
  <c r="K122" i="1"/>
  <c r="N122" i="1"/>
  <c r="H124" i="1"/>
  <c r="J124" i="1"/>
  <c r="K124" i="1"/>
  <c r="N124" i="1"/>
  <c r="H125" i="1"/>
  <c r="J125" i="1"/>
  <c r="K125" i="1"/>
  <c r="N125" i="1"/>
  <c r="H127" i="1"/>
  <c r="J127" i="1"/>
  <c r="K127" i="1"/>
  <c r="N127" i="1"/>
  <c r="H128" i="1"/>
  <c r="J128" i="1"/>
  <c r="K128" i="1"/>
  <c r="N128" i="1"/>
  <c r="H130" i="1"/>
  <c r="J130" i="1"/>
  <c r="K130" i="1"/>
  <c r="N130" i="1"/>
  <c r="H131" i="1"/>
  <c r="J131" i="1"/>
  <c r="K131" i="1"/>
  <c r="N131" i="1"/>
  <c r="H133" i="1"/>
  <c r="J133" i="1"/>
  <c r="K133" i="1"/>
  <c r="N133" i="1"/>
  <c r="F134" i="1"/>
  <c r="H134" i="1"/>
  <c r="J134" i="1"/>
  <c r="K134" i="1"/>
  <c r="M134" i="1"/>
  <c r="N134" i="1"/>
  <c r="P134" i="1"/>
  <c r="Q134" i="1"/>
  <c r="H136" i="1"/>
  <c r="J136" i="1"/>
  <c r="K136" i="1"/>
  <c r="N136" i="1"/>
  <c r="F137" i="1"/>
  <c r="H137" i="1"/>
  <c r="J137" i="1"/>
  <c r="K137" i="1"/>
  <c r="M137" i="1"/>
  <c r="N137" i="1"/>
  <c r="P137" i="1"/>
  <c r="Q137" i="1"/>
  <c r="H139" i="1"/>
  <c r="J139" i="1"/>
  <c r="K139" i="1"/>
  <c r="N139" i="1"/>
  <c r="F140" i="1"/>
  <c r="H140" i="1"/>
  <c r="J140" i="1"/>
  <c r="K140" i="1"/>
  <c r="M140" i="1"/>
  <c r="N140" i="1"/>
  <c r="P140" i="1"/>
  <c r="Q140" i="1"/>
  <c r="H142" i="1"/>
  <c r="J142" i="1"/>
  <c r="K142" i="1"/>
  <c r="N142" i="1"/>
  <c r="F143" i="1"/>
  <c r="H143" i="1"/>
  <c r="J143" i="1"/>
  <c r="K143" i="1"/>
  <c r="M143" i="1"/>
  <c r="N143" i="1"/>
  <c r="P143" i="1"/>
  <c r="Q143" i="1"/>
  <c r="H145" i="1"/>
  <c r="J145" i="1"/>
  <c r="K145" i="1"/>
  <c r="N145" i="1"/>
  <c r="F146" i="1"/>
  <c r="H146" i="1"/>
  <c r="J146" i="1"/>
  <c r="K146" i="1"/>
  <c r="M146" i="1"/>
  <c r="N146" i="1"/>
  <c r="P146" i="1"/>
  <c r="Q146" i="1"/>
  <c r="H148" i="1"/>
  <c r="J148" i="1"/>
  <c r="K148" i="1"/>
  <c r="N148" i="1"/>
  <c r="F149" i="1"/>
  <c r="H149" i="1"/>
  <c r="J149" i="1"/>
  <c r="K149" i="1"/>
  <c r="M149" i="1"/>
  <c r="N149" i="1"/>
  <c r="P149" i="1"/>
  <c r="Q149" i="1"/>
  <c r="H151" i="1"/>
  <c r="J151" i="1"/>
  <c r="K151" i="1"/>
  <c r="N151" i="1"/>
  <c r="F152" i="1"/>
  <c r="H152" i="1"/>
  <c r="J152" i="1"/>
  <c r="K152" i="1"/>
  <c r="M152" i="1"/>
  <c r="N152" i="1"/>
  <c r="P152" i="1"/>
  <c r="Q152" i="1"/>
  <c r="H154" i="1"/>
  <c r="J154" i="1"/>
  <c r="K154" i="1"/>
  <c r="N154" i="1"/>
  <c r="F155" i="1"/>
  <c r="H155" i="1"/>
  <c r="J155" i="1"/>
  <c r="K155" i="1"/>
  <c r="M155" i="1"/>
  <c r="N155" i="1"/>
  <c r="P155" i="1"/>
  <c r="Q155" i="1"/>
  <c r="H157" i="1"/>
  <c r="J157" i="1"/>
  <c r="K157" i="1"/>
  <c r="N157" i="1"/>
  <c r="F158" i="1"/>
  <c r="H158" i="1"/>
  <c r="J158" i="1"/>
  <c r="K158" i="1"/>
  <c r="M158" i="1"/>
  <c r="N158" i="1"/>
  <c r="P158" i="1"/>
  <c r="Q158" i="1"/>
  <c r="H160" i="1"/>
  <c r="J160" i="1"/>
  <c r="K160" i="1"/>
  <c r="N160" i="1"/>
  <c r="F161" i="1"/>
  <c r="H161" i="1"/>
  <c r="J161" i="1"/>
  <c r="K161" i="1"/>
  <c r="M161" i="1"/>
  <c r="N161" i="1"/>
  <c r="P161" i="1"/>
  <c r="Q161" i="1"/>
  <c r="H163" i="1"/>
  <c r="J163" i="1"/>
  <c r="K163" i="1"/>
  <c r="N163" i="1"/>
  <c r="F164" i="1"/>
  <c r="H164" i="1"/>
  <c r="J164" i="1"/>
  <c r="K164" i="1"/>
  <c r="M164" i="1"/>
  <c r="N164" i="1"/>
  <c r="P164" i="1"/>
  <c r="Q164" i="1"/>
  <c r="H166" i="1"/>
  <c r="J166" i="1"/>
  <c r="K166" i="1"/>
  <c r="N166" i="1"/>
  <c r="F167" i="1"/>
  <c r="H167" i="1"/>
  <c r="J167" i="1"/>
  <c r="K167" i="1"/>
  <c r="M167" i="1"/>
  <c r="N167" i="1"/>
  <c r="P167" i="1"/>
  <c r="Q167" i="1"/>
  <c r="H169" i="1"/>
  <c r="J169" i="1"/>
  <c r="K169" i="1"/>
  <c r="N169" i="1"/>
  <c r="F170" i="1"/>
  <c r="H170" i="1"/>
  <c r="J170" i="1"/>
  <c r="K170" i="1"/>
  <c r="M170" i="1"/>
  <c r="N170" i="1"/>
  <c r="P170" i="1"/>
  <c r="Q170" i="1"/>
  <c r="H172" i="1"/>
  <c r="J172" i="1"/>
  <c r="K172" i="1"/>
  <c r="N172" i="1"/>
  <c r="F173" i="1"/>
  <c r="H173" i="1"/>
  <c r="J173" i="1"/>
  <c r="K173" i="1"/>
  <c r="M173" i="1"/>
  <c r="N173" i="1"/>
  <c r="P173" i="1"/>
  <c r="Q173" i="1"/>
  <c r="H175" i="1"/>
  <c r="J175" i="1"/>
  <c r="K175" i="1"/>
  <c r="N175" i="1"/>
  <c r="F176" i="1"/>
  <c r="H176" i="1"/>
  <c r="J176" i="1"/>
  <c r="K176" i="1"/>
  <c r="M176" i="1"/>
  <c r="N176" i="1"/>
  <c r="P176" i="1"/>
  <c r="Q176" i="1"/>
  <c r="H178" i="1"/>
  <c r="J178" i="1"/>
  <c r="K178" i="1"/>
  <c r="N178" i="1"/>
  <c r="F179" i="1"/>
  <c r="H179" i="1"/>
  <c r="J179" i="1"/>
  <c r="K179" i="1"/>
  <c r="M179" i="1"/>
  <c r="N179" i="1"/>
  <c r="P179" i="1"/>
  <c r="Q179" i="1"/>
  <c r="H181" i="1"/>
  <c r="J181" i="1"/>
  <c r="K181" i="1"/>
  <c r="N181" i="1"/>
  <c r="F182" i="1"/>
  <c r="H182" i="1"/>
  <c r="J182" i="1"/>
  <c r="K182" i="1"/>
  <c r="M182" i="1"/>
  <c r="N182" i="1"/>
  <c r="P182" i="1"/>
  <c r="Q182" i="1"/>
  <c r="H184" i="1"/>
  <c r="J184" i="1"/>
  <c r="K184" i="1"/>
  <c r="N184" i="1"/>
  <c r="F185" i="1"/>
  <c r="H185" i="1"/>
  <c r="J185" i="1"/>
  <c r="K185" i="1"/>
  <c r="M185" i="1"/>
  <c r="N185" i="1"/>
  <c r="P185" i="1"/>
  <c r="Q185" i="1"/>
  <c r="H187" i="1"/>
  <c r="J187" i="1"/>
  <c r="K187" i="1"/>
  <c r="N187" i="1"/>
  <c r="F188" i="1"/>
  <c r="H188" i="1"/>
  <c r="J188" i="1"/>
  <c r="K188" i="1"/>
  <c r="M188" i="1"/>
  <c r="N188" i="1"/>
  <c r="P188" i="1"/>
  <c r="Q188" i="1"/>
  <c r="H190" i="1"/>
  <c r="J190" i="1"/>
  <c r="K190" i="1"/>
  <c r="N190" i="1"/>
  <c r="F191" i="1"/>
  <c r="H191" i="1"/>
  <c r="J191" i="1"/>
  <c r="K191" i="1"/>
  <c r="M191" i="1"/>
  <c r="N191" i="1"/>
  <c r="P191" i="1"/>
  <c r="Q191" i="1"/>
  <c r="H193" i="1"/>
  <c r="J193" i="1"/>
  <c r="K193" i="1"/>
  <c r="N193" i="1"/>
  <c r="F194" i="1"/>
  <c r="H194" i="1"/>
  <c r="J194" i="1"/>
  <c r="K194" i="1"/>
  <c r="M194" i="1"/>
  <c r="N194" i="1"/>
  <c r="P194" i="1"/>
  <c r="Q194" i="1"/>
  <c r="H196" i="1"/>
  <c r="J196" i="1"/>
  <c r="K196" i="1"/>
  <c r="N196" i="1"/>
  <c r="F197" i="1"/>
  <c r="H197" i="1"/>
  <c r="J197" i="1"/>
  <c r="K197" i="1"/>
  <c r="M197" i="1"/>
  <c r="N197" i="1"/>
  <c r="P197" i="1"/>
  <c r="Q197" i="1"/>
  <c r="H199" i="1"/>
  <c r="J199" i="1"/>
  <c r="K199" i="1"/>
  <c r="N199" i="1"/>
  <c r="F200" i="1"/>
  <c r="H200" i="1"/>
  <c r="J200" i="1"/>
  <c r="K200" i="1"/>
  <c r="M200" i="1"/>
  <c r="N200" i="1"/>
  <c r="P200" i="1"/>
  <c r="Q200" i="1"/>
  <c r="H202" i="1"/>
  <c r="J202" i="1"/>
  <c r="K202" i="1"/>
  <c r="N202" i="1"/>
  <c r="F203" i="1"/>
  <c r="H203" i="1"/>
  <c r="J203" i="1"/>
  <c r="K203" i="1"/>
  <c r="M203" i="1"/>
  <c r="N203" i="1"/>
  <c r="P203" i="1"/>
  <c r="Q203" i="1"/>
  <c r="H205" i="1"/>
  <c r="J205" i="1"/>
  <c r="K205" i="1"/>
  <c r="N205" i="1"/>
  <c r="F206" i="1"/>
  <c r="H206" i="1"/>
  <c r="J206" i="1"/>
  <c r="K206" i="1"/>
  <c r="M206" i="1"/>
  <c r="N206" i="1"/>
  <c r="P206" i="1"/>
  <c r="Q206" i="1"/>
  <c r="H208" i="1"/>
  <c r="J208" i="1"/>
  <c r="K208" i="1"/>
  <c r="N208" i="1"/>
  <c r="F209" i="1"/>
  <c r="H209" i="1"/>
  <c r="J209" i="1"/>
  <c r="K209" i="1"/>
  <c r="M209" i="1"/>
  <c r="N209" i="1"/>
  <c r="P209" i="1"/>
  <c r="Q209" i="1"/>
  <c r="H211" i="1"/>
  <c r="J211" i="1"/>
  <c r="K211" i="1"/>
  <c r="N211" i="1"/>
  <c r="F212" i="1"/>
  <c r="H212" i="1"/>
  <c r="J212" i="1"/>
  <c r="K212" i="1"/>
  <c r="M212" i="1"/>
  <c r="N212" i="1"/>
  <c r="P212" i="1"/>
  <c r="Q212" i="1"/>
  <c r="H214" i="1"/>
  <c r="J214" i="1"/>
  <c r="K214" i="1"/>
  <c r="N214" i="1"/>
  <c r="F215" i="1"/>
  <c r="H215" i="1"/>
  <c r="J215" i="1"/>
  <c r="K215" i="1"/>
  <c r="M215" i="1"/>
  <c r="N215" i="1"/>
  <c r="P215" i="1"/>
  <c r="Q215" i="1"/>
  <c r="H217" i="1"/>
  <c r="J217" i="1"/>
  <c r="K217" i="1"/>
  <c r="N217" i="1"/>
  <c r="F218" i="1"/>
  <c r="H218" i="1"/>
  <c r="J218" i="1"/>
  <c r="K218" i="1"/>
  <c r="M218" i="1"/>
  <c r="N218" i="1"/>
  <c r="P218" i="1"/>
  <c r="Q218" i="1"/>
  <c r="H220" i="1"/>
  <c r="J220" i="1"/>
  <c r="K220" i="1"/>
  <c r="N220" i="1"/>
  <c r="F221" i="1"/>
  <c r="H221" i="1"/>
  <c r="J221" i="1"/>
  <c r="K221" i="1"/>
  <c r="M221" i="1"/>
  <c r="N221" i="1"/>
  <c r="P221" i="1"/>
  <c r="Q221" i="1"/>
  <c r="H223" i="1"/>
  <c r="J223" i="1"/>
  <c r="K223" i="1"/>
  <c r="N223" i="1"/>
  <c r="F224" i="1"/>
  <c r="H224" i="1"/>
  <c r="J224" i="1"/>
  <c r="K224" i="1"/>
  <c r="M224" i="1"/>
  <c r="N224" i="1"/>
  <c r="P224" i="1"/>
  <c r="Q224" i="1"/>
  <c r="Q227" i="1"/>
  <c r="R227" i="1"/>
  <c r="H228" i="1"/>
  <c r="I228" i="1"/>
  <c r="H229" i="1"/>
  <c r="H230" i="1" s="1"/>
  <c r="I229" i="1"/>
  <c r="I230" i="1"/>
  <c r="H233" i="1"/>
  <c r="J233" i="1"/>
  <c r="K233" i="1"/>
  <c r="N233" i="1"/>
  <c r="H234" i="1"/>
  <c r="J234" i="1"/>
  <c r="K234" i="1"/>
  <c r="N234" i="1"/>
  <c r="Q237" i="1"/>
  <c r="R237" i="1"/>
  <c r="H238" i="1"/>
  <c r="H239" i="1" s="1"/>
  <c r="H240" i="1" s="1"/>
  <c r="I238" i="1"/>
  <c r="I239" i="1"/>
  <c r="I240" i="1"/>
  <c r="H243" i="1"/>
  <c r="J243" i="1"/>
  <c r="K243" i="1"/>
  <c r="N243" i="1"/>
  <c r="H244" i="1"/>
  <c r="J244" i="1"/>
  <c r="K244" i="1"/>
  <c r="N244" i="1"/>
  <c r="H246" i="1"/>
  <c r="J246" i="1"/>
  <c r="K246" i="1"/>
  <c r="N246" i="1"/>
  <c r="H247" i="1"/>
  <c r="J247" i="1"/>
  <c r="K247" i="1"/>
  <c r="N247" i="1"/>
  <c r="H249" i="1"/>
  <c r="J249" i="1"/>
  <c r="K249" i="1"/>
  <c r="N249" i="1"/>
  <c r="H250" i="1"/>
  <c r="J250" i="1"/>
  <c r="K250" i="1"/>
  <c r="N250" i="1"/>
  <c r="H252" i="1"/>
  <c r="J252" i="1"/>
  <c r="K252" i="1"/>
  <c r="N252" i="1"/>
  <c r="H253" i="1"/>
  <c r="J253" i="1"/>
  <c r="K253" i="1"/>
  <c r="N253" i="1"/>
  <c r="H255" i="1"/>
  <c r="J255" i="1"/>
  <c r="K255" i="1"/>
  <c r="N255" i="1"/>
  <c r="H256" i="1"/>
  <c r="J256" i="1"/>
  <c r="K256" i="1"/>
  <c r="N256" i="1"/>
  <c r="H258" i="1"/>
  <c r="J258" i="1"/>
  <c r="K258" i="1"/>
  <c r="N258" i="1"/>
  <c r="H259" i="1"/>
  <c r="J259" i="1"/>
  <c r="K259" i="1"/>
  <c r="N259" i="1"/>
  <c r="H261" i="1"/>
  <c r="J261" i="1"/>
  <c r="K261" i="1"/>
  <c r="N261" i="1"/>
  <c r="H262" i="1"/>
  <c r="J262" i="1"/>
  <c r="K262" i="1"/>
  <c r="N262" i="1"/>
  <c r="H264" i="1"/>
  <c r="J264" i="1"/>
  <c r="K264" i="1"/>
  <c r="N264" i="1"/>
  <c r="H265" i="1"/>
  <c r="J265" i="1"/>
  <c r="K265" i="1"/>
  <c r="N265" i="1"/>
  <c r="H267" i="1"/>
  <c r="J267" i="1"/>
  <c r="K267" i="1"/>
  <c r="N267" i="1"/>
  <c r="H268" i="1"/>
  <c r="J268" i="1"/>
  <c r="K268" i="1"/>
  <c r="N268" i="1"/>
  <c r="H270" i="1"/>
  <c r="J270" i="1"/>
  <c r="K270" i="1"/>
  <c r="N270" i="1"/>
  <c r="F271" i="1"/>
  <c r="H271" i="1"/>
  <c r="J271" i="1"/>
  <c r="K271" i="1"/>
  <c r="M271" i="1"/>
  <c r="N271" i="1"/>
  <c r="P271" i="1"/>
  <c r="Q271" i="1"/>
  <c r="H273" i="1"/>
  <c r="J273" i="1"/>
  <c r="K273" i="1"/>
  <c r="N273" i="1"/>
  <c r="F274" i="1"/>
  <c r="H274" i="1"/>
  <c r="J274" i="1"/>
  <c r="K274" i="1"/>
  <c r="M274" i="1"/>
  <c r="N274" i="1"/>
  <c r="P274" i="1"/>
  <c r="Q274" i="1"/>
  <c r="H276" i="1"/>
  <c r="J276" i="1"/>
  <c r="K276" i="1"/>
  <c r="N276" i="1"/>
  <c r="F277" i="1"/>
  <c r="H277" i="1"/>
  <c r="J277" i="1"/>
  <c r="K277" i="1"/>
  <c r="M277" i="1"/>
  <c r="N277" i="1"/>
  <c r="P277" i="1"/>
  <c r="Q277" i="1"/>
  <c r="H279" i="1"/>
  <c r="J279" i="1"/>
  <c r="K279" i="1"/>
  <c r="N279" i="1"/>
  <c r="F280" i="1"/>
  <c r="H280" i="1"/>
  <c r="J280" i="1"/>
  <c r="K280" i="1"/>
  <c r="M280" i="1"/>
  <c r="N280" i="1"/>
  <c r="P280" i="1"/>
  <c r="Q280" i="1"/>
  <c r="H282" i="1"/>
  <c r="J282" i="1"/>
  <c r="K282" i="1"/>
  <c r="N282" i="1"/>
  <c r="F283" i="1"/>
  <c r="H283" i="1"/>
  <c r="J283" i="1"/>
  <c r="K283" i="1"/>
  <c r="M283" i="1"/>
  <c r="N283" i="1"/>
  <c r="P283" i="1"/>
  <c r="Q283" i="1"/>
  <c r="H285" i="1"/>
  <c r="J285" i="1"/>
  <c r="K285" i="1"/>
  <c r="N285" i="1"/>
  <c r="F286" i="1"/>
  <c r="H286" i="1"/>
  <c r="J286" i="1"/>
  <c r="K286" i="1"/>
  <c r="M286" i="1"/>
  <c r="N286" i="1"/>
  <c r="P286" i="1"/>
  <c r="Q286" i="1"/>
  <c r="H288" i="1"/>
  <c r="J288" i="1"/>
  <c r="K288" i="1"/>
  <c r="N288" i="1"/>
  <c r="F289" i="1"/>
  <c r="H289" i="1"/>
  <c r="J289" i="1"/>
  <c r="K289" i="1"/>
  <c r="M289" i="1"/>
  <c r="N289" i="1"/>
  <c r="P289" i="1"/>
  <c r="Q289" i="1"/>
  <c r="H291" i="1"/>
  <c r="J291" i="1"/>
  <c r="K291" i="1"/>
  <c r="N291" i="1"/>
  <c r="F292" i="1"/>
  <c r="H292" i="1"/>
  <c r="J292" i="1"/>
  <c r="K292" i="1"/>
  <c r="M292" i="1"/>
  <c r="N292" i="1"/>
  <c r="P292" i="1"/>
  <c r="Q292" i="1"/>
  <c r="H294" i="1"/>
  <c r="J294" i="1"/>
  <c r="K294" i="1"/>
  <c r="N294" i="1"/>
  <c r="F295" i="1"/>
  <c r="H295" i="1"/>
  <c r="J295" i="1"/>
  <c r="K295" i="1"/>
  <c r="M295" i="1"/>
  <c r="N295" i="1"/>
  <c r="P295" i="1"/>
  <c r="Q295" i="1"/>
  <c r="H297" i="1"/>
  <c r="J297" i="1"/>
  <c r="K297" i="1"/>
  <c r="N297" i="1"/>
  <c r="F298" i="1"/>
  <c r="H298" i="1"/>
  <c r="J298" i="1"/>
  <c r="K298" i="1"/>
  <c r="M298" i="1"/>
  <c r="N298" i="1"/>
  <c r="P298" i="1"/>
  <c r="Q298" i="1"/>
  <c r="H300" i="1"/>
  <c r="J300" i="1"/>
  <c r="K300" i="1"/>
  <c r="N300" i="1"/>
  <c r="F301" i="1"/>
  <c r="H301" i="1"/>
  <c r="J301" i="1"/>
  <c r="K301" i="1"/>
  <c r="M301" i="1"/>
  <c r="N301" i="1"/>
  <c r="P301" i="1"/>
  <c r="Q301" i="1"/>
  <c r="H303" i="1"/>
  <c r="J303" i="1"/>
  <c r="K303" i="1"/>
  <c r="N303" i="1"/>
  <c r="F304" i="1"/>
  <c r="H304" i="1"/>
  <c r="J304" i="1"/>
  <c r="K304" i="1"/>
  <c r="M304" i="1"/>
  <c r="N304" i="1"/>
  <c r="P304" i="1"/>
  <c r="Q304" i="1"/>
  <c r="H306" i="1"/>
  <c r="J306" i="1"/>
  <c r="K306" i="1"/>
  <c r="N306" i="1"/>
  <c r="F307" i="1"/>
  <c r="H307" i="1"/>
  <c r="J307" i="1"/>
  <c r="K307" i="1"/>
  <c r="M307" i="1"/>
  <c r="N307" i="1"/>
  <c r="P307" i="1"/>
  <c r="Q307" i="1"/>
  <c r="H309" i="1"/>
  <c r="J309" i="1"/>
  <c r="K309" i="1"/>
  <c r="N309" i="1"/>
  <c r="F310" i="1"/>
  <c r="H310" i="1"/>
  <c r="J310" i="1"/>
  <c r="K310" i="1"/>
  <c r="M310" i="1"/>
  <c r="N310" i="1"/>
  <c r="P310" i="1"/>
  <c r="Q310" i="1"/>
  <c r="H312" i="1"/>
  <c r="J312" i="1"/>
  <c r="K312" i="1"/>
  <c r="N312" i="1"/>
  <c r="F313" i="1"/>
  <c r="H313" i="1"/>
  <c r="J313" i="1"/>
  <c r="K313" i="1"/>
  <c r="M313" i="1"/>
  <c r="N313" i="1"/>
  <c r="P313" i="1"/>
  <c r="Q313" i="1"/>
  <c r="H315" i="1"/>
  <c r="J315" i="1"/>
  <c r="K315" i="1"/>
  <c r="N315" i="1"/>
  <c r="F316" i="1"/>
  <c r="H316" i="1"/>
  <c r="J316" i="1"/>
  <c r="K316" i="1"/>
  <c r="M316" i="1"/>
  <c r="N316" i="1"/>
  <c r="P316" i="1"/>
  <c r="Q316" i="1"/>
  <c r="H318" i="1"/>
  <c r="J318" i="1"/>
  <c r="K318" i="1"/>
  <c r="N318" i="1"/>
  <c r="F319" i="1"/>
  <c r="H319" i="1"/>
  <c r="J319" i="1"/>
  <c r="K319" i="1"/>
  <c r="M319" i="1"/>
  <c r="N319" i="1"/>
  <c r="P319" i="1"/>
  <c r="Q319" i="1"/>
  <c r="H321" i="1"/>
  <c r="J321" i="1"/>
  <c r="K321" i="1"/>
  <c r="N321" i="1"/>
  <c r="F322" i="1"/>
  <c r="H322" i="1"/>
  <c r="J322" i="1"/>
  <c r="K322" i="1"/>
  <c r="M322" i="1"/>
  <c r="N322" i="1"/>
  <c r="P322" i="1"/>
  <c r="Q322" i="1"/>
  <c r="H324" i="1"/>
  <c r="J324" i="1"/>
  <c r="K324" i="1"/>
  <c r="N324" i="1"/>
  <c r="F325" i="1"/>
  <c r="H325" i="1"/>
  <c r="J325" i="1"/>
  <c r="K325" i="1"/>
  <c r="M325" i="1"/>
  <c r="N325" i="1"/>
  <c r="P325" i="1"/>
  <c r="Q325" i="1"/>
  <c r="H327" i="1"/>
  <c r="J327" i="1"/>
  <c r="K327" i="1"/>
  <c r="N327" i="1"/>
  <c r="F328" i="1"/>
  <c r="H328" i="1"/>
  <c r="J328" i="1"/>
  <c r="K328" i="1"/>
  <c r="M328" i="1"/>
  <c r="N328" i="1"/>
  <c r="P328" i="1"/>
  <c r="Q328" i="1"/>
  <c r="H330" i="1"/>
  <c r="J330" i="1"/>
  <c r="K330" i="1"/>
  <c r="N330" i="1"/>
  <c r="F331" i="1"/>
  <c r="H331" i="1"/>
  <c r="J331" i="1"/>
  <c r="K331" i="1"/>
  <c r="M331" i="1"/>
  <c r="N331" i="1"/>
  <c r="P331" i="1"/>
  <c r="Q331" i="1"/>
  <c r="H333" i="1"/>
  <c r="J333" i="1"/>
  <c r="K333" i="1"/>
  <c r="N333" i="1"/>
  <c r="F334" i="1"/>
  <c r="H334" i="1"/>
  <c r="J334" i="1"/>
  <c r="K334" i="1"/>
  <c r="M334" i="1"/>
  <c r="N334" i="1"/>
  <c r="P334" i="1"/>
  <c r="Q334" i="1"/>
  <c r="Q337" i="1"/>
  <c r="R337" i="1"/>
  <c r="H338" i="1"/>
  <c r="H339" i="1" s="1"/>
  <c r="H340" i="1" s="1"/>
  <c r="I338" i="1"/>
  <c r="I339" i="1"/>
  <c r="I340" i="1"/>
  <c r="H343" i="1"/>
  <c r="J343" i="1"/>
  <c r="K343" i="1"/>
  <c r="N343" i="1"/>
  <c r="H344" i="1"/>
  <c r="J344" i="1"/>
  <c r="K344" i="1"/>
  <c r="N344" i="1"/>
  <c r="H346" i="1"/>
  <c r="J346" i="1"/>
  <c r="K346" i="1"/>
  <c r="N346" i="1"/>
  <c r="H347" i="1"/>
  <c r="J347" i="1"/>
  <c r="K347" i="1"/>
  <c r="N347" i="1"/>
  <c r="H349" i="1"/>
  <c r="J349" i="1"/>
  <c r="K349" i="1"/>
  <c r="N349" i="1"/>
  <c r="H350" i="1"/>
  <c r="J350" i="1"/>
  <c r="K350" i="1"/>
  <c r="N350" i="1"/>
  <c r="H352" i="1"/>
  <c r="J352" i="1"/>
  <c r="K352" i="1"/>
  <c r="N352" i="1"/>
  <c r="H353" i="1"/>
  <c r="J353" i="1"/>
  <c r="K353" i="1"/>
  <c r="N353" i="1"/>
  <c r="H355" i="1"/>
  <c r="J355" i="1"/>
  <c r="K355" i="1"/>
  <c r="N355" i="1"/>
  <c r="H356" i="1"/>
  <c r="J356" i="1"/>
  <c r="K356" i="1"/>
  <c r="N356" i="1"/>
  <c r="H358" i="1"/>
  <c r="J358" i="1"/>
  <c r="K358" i="1"/>
  <c r="N358" i="1"/>
  <c r="H359" i="1"/>
  <c r="J359" i="1"/>
  <c r="K359" i="1"/>
  <c r="N359" i="1"/>
  <c r="H361" i="1"/>
  <c r="J361" i="1"/>
  <c r="K361" i="1"/>
  <c r="N361" i="1"/>
  <c r="H362" i="1"/>
  <c r="J362" i="1"/>
  <c r="K362" i="1"/>
  <c r="N362" i="1"/>
  <c r="H364" i="1"/>
  <c r="J364" i="1"/>
  <c r="K364" i="1"/>
  <c r="N364" i="1"/>
  <c r="H365" i="1"/>
  <c r="J365" i="1"/>
  <c r="K365" i="1"/>
  <c r="N365" i="1"/>
  <c r="H367" i="1"/>
  <c r="J367" i="1"/>
  <c r="K367" i="1"/>
  <c r="N367" i="1"/>
  <c r="H368" i="1"/>
  <c r="J368" i="1"/>
  <c r="K368" i="1"/>
  <c r="N368" i="1"/>
  <c r="Q371" i="1"/>
  <c r="R371" i="1"/>
  <c r="H372" i="1"/>
  <c r="H373" i="1" s="1"/>
  <c r="H374" i="1" s="1"/>
  <c r="I372" i="1"/>
  <c r="I373" i="1"/>
  <c r="I374" i="1"/>
  <c r="H377" i="1"/>
  <c r="J377" i="1"/>
  <c r="K377" i="1"/>
  <c r="N377" i="1"/>
  <c r="H378" i="1"/>
  <c r="J378" i="1"/>
  <c r="K378" i="1"/>
  <c r="N378" i="1"/>
  <c r="H380" i="1"/>
  <c r="J380" i="1"/>
  <c r="K380" i="1"/>
  <c r="N380" i="1"/>
  <c r="H381" i="1"/>
  <c r="J381" i="1"/>
  <c r="K381" i="1"/>
  <c r="N381" i="1"/>
  <c r="H383" i="1"/>
  <c r="J383" i="1"/>
  <c r="K383" i="1"/>
  <c r="N383" i="1"/>
  <c r="H384" i="1"/>
  <c r="J384" i="1"/>
  <c r="K384" i="1"/>
  <c r="N384" i="1"/>
  <c r="H386" i="1"/>
  <c r="J386" i="1"/>
  <c r="K386" i="1"/>
  <c r="N386" i="1"/>
  <c r="H387" i="1"/>
  <c r="J387" i="1"/>
  <c r="K387" i="1"/>
  <c r="N387" i="1"/>
  <c r="H389" i="1"/>
  <c r="J389" i="1"/>
  <c r="K389" i="1"/>
  <c r="N389" i="1"/>
  <c r="H390" i="1"/>
  <c r="J390" i="1"/>
  <c r="K390" i="1"/>
  <c r="N390" i="1"/>
  <c r="H392" i="1"/>
  <c r="J392" i="1"/>
  <c r="K392" i="1"/>
  <c r="N392" i="1"/>
  <c r="H393" i="1"/>
  <c r="J393" i="1"/>
  <c r="K393" i="1"/>
  <c r="N393" i="1"/>
  <c r="H395" i="1"/>
  <c r="J395" i="1"/>
  <c r="K395" i="1"/>
  <c r="N395" i="1"/>
  <c r="H396" i="1"/>
  <c r="J396" i="1"/>
  <c r="K396" i="1"/>
  <c r="N396" i="1"/>
  <c r="H398" i="1"/>
  <c r="J398" i="1"/>
  <c r="K398" i="1"/>
  <c r="N398" i="1"/>
  <c r="F399" i="1"/>
  <c r="H399" i="1"/>
  <c r="J399" i="1"/>
  <c r="K399" i="1"/>
  <c r="M399" i="1"/>
  <c r="N399" i="1"/>
  <c r="P399" i="1"/>
  <c r="Q399" i="1"/>
  <c r="H401" i="1"/>
  <c r="J401" i="1"/>
  <c r="K401" i="1"/>
  <c r="N401" i="1"/>
  <c r="F402" i="1"/>
  <c r="H402" i="1"/>
  <c r="J402" i="1"/>
  <c r="K402" i="1"/>
  <c r="M402" i="1"/>
  <c r="N402" i="1"/>
  <c r="P402" i="1"/>
  <c r="Q402" i="1"/>
  <c r="H404" i="1"/>
  <c r="J404" i="1"/>
  <c r="K404" i="1"/>
  <c r="N404" i="1"/>
  <c r="F405" i="1"/>
  <c r="H405" i="1"/>
  <c r="J405" i="1"/>
  <c r="K405" i="1"/>
  <c r="M405" i="1"/>
  <c r="N405" i="1"/>
  <c r="P405" i="1"/>
  <c r="Q405" i="1"/>
  <c r="Q408" i="1"/>
  <c r="R408" i="1"/>
  <c r="H409" i="1"/>
  <c r="I409" i="1"/>
  <c r="Q427" i="1" s="1"/>
  <c r="H410" i="1"/>
  <c r="H411" i="1" s="1"/>
  <c r="I410" i="1"/>
  <c r="I411" i="1"/>
  <c r="H414" i="1"/>
  <c r="J414" i="1"/>
  <c r="K414" i="1"/>
  <c r="N414" i="1"/>
  <c r="H415" i="1"/>
  <c r="J415" i="1"/>
  <c r="K415" i="1"/>
  <c r="N415" i="1"/>
  <c r="H417" i="1"/>
  <c r="J417" i="1"/>
  <c r="K417" i="1"/>
  <c r="N417" i="1"/>
  <c r="H418" i="1"/>
  <c r="J418" i="1"/>
  <c r="K418" i="1"/>
  <c r="N418" i="1"/>
  <c r="H420" i="1"/>
  <c r="J420" i="1"/>
  <c r="K420" i="1"/>
  <c r="N420" i="1"/>
  <c r="H421" i="1"/>
  <c r="J421" i="1"/>
  <c r="K421" i="1"/>
  <c r="N421" i="1"/>
  <c r="H423" i="1"/>
  <c r="J423" i="1"/>
  <c r="K423" i="1"/>
  <c r="N423" i="1"/>
  <c r="H424" i="1"/>
  <c r="J424" i="1"/>
  <c r="K424" i="1"/>
  <c r="N424" i="1"/>
  <c r="R427" i="1"/>
  <c r="H428" i="1"/>
  <c r="I428" i="1"/>
  <c r="Q437" i="1" s="1"/>
  <c r="H429" i="1"/>
  <c r="H430" i="1" s="1"/>
  <c r="I429" i="1"/>
  <c r="I430" i="1"/>
  <c r="H433" i="1"/>
  <c r="J433" i="1"/>
  <c r="K433" i="1"/>
  <c r="N433" i="1"/>
  <c r="H434" i="1"/>
  <c r="J434" i="1"/>
  <c r="K434" i="1"/>
  <c r="N434" i="1"/>
  <c r="R437" i="1"/>
  <c r="H438" i="1"/>
  <c r="I438" i="1"/>
  <c r="H439" i="1"/>
  <c r="H440" i="1" s="1"/>
  <c r="I439" i="1"/>
  <c r="I440" i="1"/>
  <c r="H443" i="1"/>
  <c r="J443" i="1"/>
  <c r="K443" i="1"/>
  <c r="N443" i="1"/>
  <c r="H444" i="1"/>
  <c r="J444" i="1"/>
  <c r="K444" i="1"/>
  <c r="N444" i="1"/>
  <c r="H446" i="1"/>
  <c r="J446" i="1"/>
  <c r="K446" i="1"/>
  <c r="N446" i="1"/>
  <c r="H447" i="1"/>
  <c r="J447" i="1"/>
  <c r="K447" i="1"/>
  <c r="N447" i="1"/>
  <c r="Q450" i="1"/>
  <c r="R450" i="1"/>
  <c r="H451" i="1"/>
  <c r="I451" i="1"/>
  <c r="H452" i="1"/>
  <c r="H453" i="1" s="1"/>
  <c r="I452" i="1"/>
  <c r="I453" i="1"/>
  <c r="H456" i="1"/>
  <c r="J456" i="1"/>
  <c r="K456" i="1"/>
  <c r="N456" i="1"/>
  <c r="H457" i="1"/>
  <c r="J457" i="1"/>
  <c r="K457" i="1"/>
  <c r="N457" i="1"/>
  <c r="H459" i="1"/>
  <c r="J459" i="1"/>
  <c r="K459" i="1"/>
  <c r="N459" i="1"/>
  <c r="H460" i="1"/>
  <c r="J460" i="1"/>
  <c r="K460" i="1"/>
  <c r="N460" i="1"/>
  <c r="H462" i="1"/>
  <c r="J462" i="1"/>
  <c r="K462" i="1"/>
  <c r="N462" i="1"/>
  <c r="H463" i="1"/>
  <c r="J463" i="1"/>
  <c r="K463" i="1"/>
  <c r="N463" i="1"/>
  <c r="H465" i="1"/>
  <c r="J465" i="1"/>
  <c r="K465" i="1"/>
  <c r="N465" i="1"/>
  <c r="H466" i="1"/>
  <c r="J466" i="1"/>
  <c r="K466" i="1"/>
  <c r="N466" i="1"/>
  <c r="H468" i="1"/>
  <c r="J468" i="1"/>
  <c r="K468" i="1"/>
  <c r="N468" i="1"/>
  <c r="H469" i="1"/>
  <c r="J469" i="1"/>
  <c r="K469" i="1"/>
  <c r="N469" i="1"/>
  <c r="H471" i="1"/>
  <c r="J471" i="1"/>
  <c r="K471" i="1"/>
  <c r="N471" i="1"/>
  <c r="H472" i="1"/>
  <c r="J472" i="1"/>
  <c r="K472" i="1"/>
  <c r="N472" i="1"/>
  <c r="H474" i="1"/>
  <c r="J474" i="1"/>
  <c r="K474" i="1"/>
  <c r="N474" i="1"/>
  <c r="H475" i="1"/>
  <c r="J475" i="1"/>
  <c r="K475" i="1"/>
  <c r="N475" i="1"/>
  <c r="Q478" i="1"/>
  <c r="R478" i="1"/>
  <c r="H479" i="1"/>
  <c r="I479" i="1"/>
  <c r="H480" i="1"/>
  <c r="H481" i="1" s="1"/>
  <c r="I480" i="1"/>
  <c r="I481" i="1"/>
  <c r="H484" i="1"/>
  <c r="J484" i="1"/>
  <c r="K484" i="1"/>
  <c r="N484" i="1"/>
  <c r="H485" i="1"/>
  <c r="J485" i="1"/>
  <c r="K485" i="1"/>
  <c r="N485" i="1"/>
  <c r="H487" i="1"/>
  <c r="J487" i="1"/>
  <c r="K487" i="1"/>
  <c r="N487" i="1"/>
  <c r="H488" i="1"/>
  <c r="J488" i="1"/>
  <c r="K488" i="1"/>
  <c r="N488" i="1"/>
  <c r="H490" i="1"/>
  <c r="J490" i="1"/>
  <c r="K490" i="1"/>
  <c r="N490" i="1"/>
  <c r="H491" i="1"/>
  <c r="J491" i="1"/>
  <c r="K491" i="1"/>
  <c r="N491" i="1"/>
  <c r="H493" i="1"/>
  <c r="J493" i="1"/>
  <c r="K493" i="1"/>
  <c r="N493" i="1"/>
  <c r="H494" i="1"/>
  <c r="J494" i="1"/>
  <c r="K494" i="1"/>
  <c r="N494" i="1"/>
  <c r="H496" i="1"/>
  <c r="J496" i="1"/>
  <c r="K496" i="1"/>
  <c r="N496" i="1"/>
  <c r="H497" i="1"/>
  <c r="J497" i="1"/>
  <c r="K497" i="1"/>
  <c r="N497" i="1"/>
  <c r="H499" i="1"/>
  <c r="J499" i="1"/>
  <c r="K499" i="1"/>
  <c r="N499" i="1"/>
  <c r="H500" i="1"/>
  <c r="J500" i="1"/>
  <c r="K500" i="1"/>
  <c r="N500" i="1"/>
  <c r="H502" i="1"/>
  <c r="J502" i="1"/>
  <c r="K502" i="1"/>
  <c r="N502" i="1"/>
  <c r="H503" i="1"/>
  <c r="J503" i="1"/>
  <c r="K503" i="1"/>
  <c r="N503" i="1"/>
  <c r="Q506" i="1"/>
  <c r="R506" i="1"/>
  <c r="H507" i="1"/>
  <c r="I507" i="1"/>
  <c r="H508" i="1"/>
  <c r="H509" i="1" s="1"/>
  <c r="I508" i="1"/>
  <c r="I509" i="1"/>
  <c r="H512" i="1"/>
  <c r="J512" i="1"/>
  <c r="K512" i="1"/>
  <c r="N512" i="1"/>
  <c r="F513" i="1"/>
  <c r="H513" i="1"/>
  <c r="J513" i="1"/>
  <c r="K513" i="1"/>
  <c r="M513" i="1"/>
  <c r="N513" i="1"/>
  <c r="P513" i="1"/>
  <c r="Q513" i="1"/>
  <c r="H515" i="1"/>
  <c r="J515" i="1"/>
  <c r="K515" i="1"/>
  <c r="N515" i="1"/>
  <c r="F516" i="1"/>
  <c r="H516" i="1"/>
  <c r="J516" i="1"/>
  <c r="K516" i="1"/>
  <c r="M516" i="1"/>
  <c r="N516" i="1"/>
  <c r="P516" i="1"/>
  <c r="Q516" i="1"/>
  <c r="H518" i="1"/>
  <c r="J518" i="1"/>
  <c r="K518" i="1"/>
  <c r="N518" i="1"/>
  <c r="F519" i="1"/>
  <c r="H519" i="1"/>
  <c r="J519" i="1"/>
  <c r="K519" i="1"/>
  <c r="M519" i="1"/>
  <c r="N519" i="1"/>
  <c r="P519" i="1"/>
  <c r="Q519" i="1"/>
  <c r="H521" i="1"/>
  <c r="J521" i="1"/>
  <c r="K521" i="1"/>
  <c r="N521" i="1"/>
  <c r="F522" i="1"/>
  <c r="H522" i="1"/>
  <c r="J522" i="1"/>
  <c r="K522" i="1"/>
  <c r="M522" i="1"/>
  <c r="N522" i="1"/>
  <c r="P522" i="1"/>
  <c r="Q522" i="1"/>
  <c r="H524" i="1"/>
  <c r="J524" i="1"/>
  <c r="K524" i="1"/>
  <c r="N524" i="1"/>
  <c r="F525" i="1"/>
  <c r="H525" i="1"/>
  <c r="J525" i="1"/>
  <c r="K525" i="1"/>
  <c r="M525" i="1"/>
  <c r="N525" i="1"/>
  <c r="P525" i="1"/>
  <c r="Q525" i="1"/>
  <c r="H527" i="1"/>
  <c r="J527" i="1"/>
  <c r="K527" i="1"/>
  <c r="N527" i="1"/>
  <c r="F528" i="1"/>
  <c r="H528" i="1"/>
  <c r="J528" i="1"/>
  <c r="K528" i="1"/>
  <c r="M528" i="1"/>
  <c r="N528" i="1"/>
  <c r="P528" i="1"/>
  <c r="Q528" i="1"/>
  <c r="H530" i="1"/>
  <c r="J530" i="1"/>
  <c r="K530" i="1"/>
  <c r="N530" i="1"/>
  <c r="F531" i="1"/>
  <c r="H531" i="1"/>
  <c r="J531" i="1"/>
  <c r="K531" i="1"/>
  <c r="M531" i="1"/>
  <c r="N531" i="1"/>
  <c r="P531" i="1"/>
  <c r="Q531" i="1"/>
  <c r="H533" i="1"/>
  <c r="J533" i="1"/>
  <c r="K533" i="1"/>
  <c r="N533" i="1"/>
  <c r="F534" i="1"/>
  <c r="H534" i="1"/>
  <c r="J534" i="1"/>
  <c r="K534" i="1"/>
  <c r="M534" i="1"/>
  <c r="N534" i="1"/>
  <c r="P534" i="1"/>
  <c r="Q534" i="1"/>
  <c r="H536" i="1"/>
  <c r="J536" i="1"/>
  <c r="K536" i="1"/>
  <c r="N536" i="1"/>
  <c r="F537" i="1"/>
  <c r="H537" i="1"/>
  <c r="J537" i="1"/>
  <c r="K537" i="1"/>
  <c r="M537" i="1"/>
  <c r="N537" i="1"/>
  <c r="P537" i="1"/>
  <c r="Q537" i="1"/>
  <c r="H539" i="1"/>
  <c r="J539" i="1"/>
  <c r="K539" i="1"/>
  <c r="N539" i="1"/>
  <c r="F540" i="1"/>
  <c r="H540" i="1"/>
  <c r="J540" i="1"/>
  <c r="K540" i="1"/>
  <c r="M540" i="1"/>
  <c r="N540" i="1"/>
  <c r="P540" i="1"/>
  <c r="Q540" i="1"/>
  <c r="H542" i="1"/>
  <c r="J542" i="1"/>
  <c r="K542" i="1"/>
  <c r="N542" i="1"/>
  <c r="F543" i="1"/>
  <c r="H543" i="1"/>
  <c r="J543" i="1"/>
  <c r="K543" i="1"/>
  <c r="M543" i="1"/>
  <c r="N543" i="1"/>
  <c r="P543" i="1"/>
  <c r="Q543" i="1"/>
  <c r="H545" i="1"/>
  <c r="J545" i="1"/>
  <c r="K545" i="1"/>
  <c r="N545" i="1"/>
  <c r="F546" i="1"/>
  <c r="H546" i="1"/>
  <c r="J546" i="1"/>
  <c r="K546" i="1"/>
  <c r="M546" i="1"/>
  <c r="N546" i="1"/>
  <c r="P546" i="1"/>
  <c r="Q546" i="1"/>
  <c r="H548" i="1"/>
  <c r="J548" i="1"/>
  <c r="K548" i="1"/>
  <c r="N548" i="1"/>
  <c r="F549" i="1"/>
  <c r="H549" i="1"/>
  <c r="J549" i="1"/>
  <c r="K549" i="1"/>
  <c r="M549" i="1"/>
  <c r="N549" i="1"/>
  <c r="P549" i="1"/>
  <c r="Q549" i="1"/>
  <c r="H551" i="1"/>
  <c r="J551" i="1"/>
  <c r="K551" i="1"/>
  <c r="N551" i="1"/>
  <c r="F552" i="1"/>
  <c r="H552" i="1"/>
  <c r="J552" i="1"/>
  <c r="K552" i="1"/>
  <c r="M552" i="1"/>
  <c r="N552" i="1"/>
  <c r="P552" i="1"/>
  <c r="Q552" i="1"/>
  <c r="H554" i="1"/>
  <c r="J554" i="1"/>
  <c r="K554" i="1"/>
  <c r="N554" i="1"/>
  <c r="F555" i="1"/>
  <c r="H555" i="1"/>
  <c r="J555" i="1"/>
  <c r="K555" i="1"/>
  <c r="M555" i="1"/>
  <c r="N555" i="1"/>
  <c r="P555" i="1"/>
  <c r="Q555" i="1"/>
  <c r="H557" i="1"/>
  <c r="J557" i="1"/>
  <c r="K557" i="1"/>
  <c r="N557" i="1"/>
  <c r="F558" i="1"/>
  <c r="H558" i="1"/>
  <c r="J558" i="1"/>
  <c r="K558" i="1"/>
  <c r="M558" i="1"/>
  <c r="N558" i="1"/>
  <c r="P558" i="1"/>
  <c r="Q558" i="1"/>
  <c r="H560" i="1"/>
  <c r="J560" i="1"/>
  <c r="K560" i="1"/>
  <c r="N560" i="1"/>
  <c r="F561" i="1"/>
  <c r="H561" i="1"/>
  <c r="J561" i="1"/>
  <c r="K561" i="1"/>
  <c r="M561" i="1"/>
  <c r="N561" i="1"/>
  <c r="P561" i="1"/>
  <c r="Q561" i="1"/>
  <c r="H563" i="1"/>
  <c r="J563" i="1"/>
  <c r="K563" i="1"/>
  <c r="N563" i="1"/>
  <c r="F564" i="1"/>
  <c r="H564" i="1"/>
  <c r="J564" i="1"/>
  <c r="K564" i="1"/>
  <c r="M564" i="1"/>
  <c r="N564" i="1"/>
  <c r="P564" i="1"/>
  <c r="Q564" i="1"/>
  <c r="H566" i="1"/>
  <c r="J566" i="1"/>
  <c r="K566" i="1"/>
  <c r="N566" i="1"/>
  <c r="F567" i="1"/>
  <c r="H567" i="1"/>
  <c r="J567" i="1"/>
  <c r="K567" i="1"/>
  <c r="M567" i="1"/>
  <c r="N567" i="1"/>
  <c r="P567" i="1"/>
  <c r="Q567" i="1"/>
  <c r="H569" i="1"/>
  <c r="J569" i="1"/>
  <c r="K569" i="1"/>
  <c r="N569" i="1"/>
  <c r="F570" i="1"/>
  <c r="H570" i="1"/>
  <c r="J570" i="1"/>
  <c r="K570" i="1"/>
  <c r="M570" i="1"/>
  <c r="N570" i="1"/>
  <c r="P570" i="1"/>
  <c r="Q570" i="1"/>
  <c r="H572" i="1"/>
  <c r="J572" i="1"/>
  <c r="K572" i="1"/>
  <c r="N572" i="1"/>
  <c r="F573" i="1"/>
  <c r="H573" i="1"/>
  <c r="J573" i="1"/>
  <c r="K573" i="1"/>
  <c r="M573" i="1"/>
  <c r="N573" i="1"/>
  <c r="P573" i="1"/>
  <c r="Q573" i="1"/>
  <c r="H575" i="1"/>
  <c r="J575" i="1"/>
  <c r="K575" i="1"/>
  <c r="N575" i="1"/>
  <c r="F576" i="1"/>
  <c r="H576" i="1"/>
  <c r="J576" i="1"/>
  <c r="K576" i="1"/>
  <c r="M576" i="1"/>
  <c r="N576" i="1"/>
  <c r="P576" i="1"/>
  <c r="Q576" i="1"/>
  <c r="H578" i="1"/>
  <c r="J578" i="1"/>
  <c r="K578" i="1"/>
  <c r="N578" i="1"/>
  <c r="F579" i="1"/>
  <c r="H579" i="1"/>
  <c r="J579" i="1"/>
  <c r="K579" i="1"/>
  <c r="M579" i="1"/>
  <c r="N579" i="1"/>
  <c r="P579" i="1"/>
  <c r="Q579" i="1"/>
  <c r="H581" i="1"/>
  <c r="J581" i="1"/>
  <c r="K581" i="1"/>
  <c r="N581" i="1"/>
  <c r="F582" i="1"/>
  <c r="H582" i="1"/>
  <c r="J582" i="1"/>
  <c r="K582" i="1"/>
  <c r="M582" i="1"/>
  <c r="N582" i="1"/>
  <c r="P582" i="1"/>
  <c r="Q582" i="1"/>
  <c r="H584" i="1"/>
  <c r="J584" i="1"/>
  <c r="K584" i="1"/>
  <c r="N584" i="1"/>
  <c r="F585" i="1"/>
  <c r="H585" i="1"/>
  <c r="J585" i="1"/>
  <c r="K585" i="1"/>
  <c r="M585" i="1"/>
  <c r="N585" i="1"/>
  <c r="P585" i="1"/>
  <c r="Q585" i="1"/>
  <c r="H587" i="1"/>
  <c r="J587" i="1"/>
  <c r="K587" i="1"/>
  <c r="N587" i="1"/>
  <c r="F588" i="1"/>
  <c r="H588" i="1"/>
  <c r="J588" i="1"/>
  <c r="K588" i="1"/>
  <c r="M588" i="1"/>
  <c r="N588" i="1"/>
  <c r="P588" i="1"/>
  <c r="Q588" i="1"/>
  <c r="H590" i="1"/>
  <c r="J590" i="1"/>
  <c r="K590" i="1"/>
  <c r="N590" i="1"/>
  <c r="F591" i="1"/>
  <c r="H591" i="1"/>
  <c r="J591" i="1"/>
  <c r="K591" i="1"/>
  <c r="M591" i="1"/>
  <c r="N591" i="1"/>
  <c r="P591" i="1"/>
  <c r="Q591" i="1"/>
  <c r="H593" i="1"/>
  <c r="J593" i="1"/>
  <c r="K593" i="1"/>
  <c r="N593" i="1"/>
  <c r="F594" i="1"/>
  <c r="H594" i="1"/>
  <c r="J594" i="1"/>
  <c r="K594" i="1"/>
  <c r="M594" i="1"/>
  <c r="N594" i="1"/>
  <c r="P594" i="1"/>
  <c r="Q594" i="1"/>
  <c r="H596" i="1"/>
  <c r="J596" i="1"/>
  <c r="K596" i="1"/>
  <c r="N596" i="1"/>
  <c r="F597" i="1"/>
  <c r="H597" i="1"/>
  <c r="J597" i="1"/>
  <c r="K597" i="1"/>
  <c r="M597" i="1"/>
  <c r="N597" i="1"/>
  <c r="P597" i="1"/>
  <c r="Q597" i="1"/>
  <c r="H599" i="1"/>
  <c r="J599" i="1"/>
  <c r="K599" i="1"/>
  <c r="N599" i="1"/>
  <c r="F600" i="1"/>
  <c r="H600" i="1"/>
  <c r="J600" i="1"/>
  <c r="K600" i="1"/>
  <c r="M600" i="1"/>
  <c r="N600" i="1"/>
  <c r="P600" i="1"/>
  <c r="Q600" i="1"/>
  <c r="H602" i="1"/>
  <c r="J602" i="1"/>
  <c r="K602" i="1"/>
  <c r="N602" i="1"/>
  <c r="F603" i="1"/>
  <c r="H603" i="1"/>
  <c r="J603" i="1"/>
  <c r="K603" i="1"/>
  <c r="M603" i="1"/>
  <c r="N603" i="1"/>
  <c r="P603" i="1"/>
  <c r="Q603" i="1"/>
  <c r="H605" i="1"/>
  <c r="J605" i="1"/>
  <c r="K605" i="1"/>
  <c r="N605" i="1"/>
  <c r="F606" i="1"/>
  <c r="H606" i="1"/>
  <c r="J606" i="1"/>
  <c r="K606" i="1"/>
  <c r="M606" i="1"/>
  <c r="N606" i="1"/>
  <c r="P606" i="1"/>
  <c r="Q606" i="1"/>
  <c r="H608" i="1"/>
  <c r="J608" i="1"/>
  <c r="K608" i="1"/>
  <c r="N608" i="1"/>
  <c r="F609" i="1"/>
  <c r="H609" i="1"/>
  <c r="J609" i="1"/>
  <c r="K609" i="1"/>
  <c r="M609" i="1"/>
  <c r="N609" i="1"/>
  <c r="P609" i="1"/>
  <c r="Q609" i="1"/>
  <c r="H611" i="1"/>
  <c r="J611" i="1"/>
  <c r="K611" i="1"/>
  <c r="N611" i="1"/>
  <c r="F612" i="1"/>
  <c r="H612" i="1"/>
  <c r="J612" i="1"/>
  <c r="K612" i="1"/>
  <c r="M612" i="1"/>
  <c r="N612" i="1"/>
  <c r="P612" i="1"/>
  <c r="Q612" i="1"/>
  <c r="H614" i="1"/>
  <c r="J614" i="1"/>
  <c r="K614" i="1"/>
  <c r="N614" i="1"/>
  <c r="F615" i="1"/>
  <c r="H615" i="1"/>
  <c r="J615" i="1"/>
  <c r="K615" i="1"/>
  <c r="M615" i="1"/>
  <c r="N615" i="1"/>
  <c r="P615" i="1"/>
  <c r="Q615" i="1"/>
  <c r="H617" i="1"/>
  <c r="J617" i="1"/>
  <c r="K617" i="1"/>
  <c r="N617" i="1"/>
  <c r="F618" i="1"/>
  <c r="H618" i="1"/>
  <c r="J618" i="1"/>
  <c r="K618" i="1"/>
  <c r="M618" i="1"/>
  <c r="N618" i="1"/>
  <c r="P618" i="1"/>
  <c r="Q618" i="1"/>
  <c r="H620" i="1"/>
  <c r="J620" i="1"/>
  <c r="K620" i="1"/>
  <c r="N620" i="1"/>
  <c r="F621" i="1"/>
  <c r="H621" i="1"/>
  <c r="J621" i="1"/>
  <c r="K621" i="1"/>
  <c r="M621" i="1"/>
  <c r="N621" i="1"/>
  <c r="P621" i="1"/>
  <c r="Q621" i="1"/>
  <c r="H623" i="1"/>
  <c r="J623" i="1"/>
  <c r="K623" i="1"/>
  <c r="N623" i="1"/>
  <c r="F624" i="1"/>
  <c r="H624" i="1"/>
  <c r="J624" i="1"/>
  <c r="K624" i="1"/>
  <c r="M624" i="1"/>
  <c r="N624" i="1"/>
  <c r="P624" i="1"/>
  <c r="Q624" i="1"/>
  <c r="H626" i="1"/>
  <c r="J626" i="1"/>
  <c r="K626" i="1"/>
  <c r="N626" i="1"/>
  <c r="F627" i="1"/>
  <c r="H627" i="1"/>
  <c r="J627" i="1"/>
  <c r="K627" i="1"/>
  <c r="M627" i="1"/>
  <c r="N627" i="1"/>
  <c r="P627" i="1"/>
  <c r="Q627" i="1"/>
  <c r="H629" i="1"/>
  <c r="J629" i="1"/>
  <c r="K629" i="1"/>
  <c r="N629" i="1"/>
  <c r="F630" i="1"/>
  <c r="H630" i="1"/>
  <c r="J630" i="1"/>
  <c r="K630" i="1"/>
  <c r="M630" i="1"/>
  <c r="N630" i="1"/>
  <c r="P630" i="1"/>
  <c r="Q630" i="1"/>
  <c r="H632" i="1"/>
  <c r="J632" i="1"/>
  <c r="K632" i="1"/>
  <c r="N632" i="1"/>
  <c r="F633" i="1"/>
  <c r="H633" i="1"/>
  <c r="J633" i="1"/>
  <c r="K633" i="1"/>
  <c r="M633" i="1"/>
  <c r="N633" i="1"/>
  <c r="P633" i="1"/>
  <c r="Q633" i="1"/>
  <c r="H635" i="1"/>
  <c r="J635" i="1"/>
  <c r="K635" i="1"/>
  <c r="N635" i="1"/>
  <c r="F636" i="1"/>
  <c r="H636" i="1"/>
  <c r="J636" i="1"/>
  <c r="K636" i="1"/>
  <c r="M636" i="1"/>
  <c r="N636" i="1"/>
  <c r="P636" i="1"/>
  <c r="Q636" i="1"/>
  <c r="H638" i="1"/>
  <c r="J638" i="1"/>
  <c r="K638" i="1"/>
  <c r="N638" i="1"/>
  <c r="F639" i="1"/>
  <c r="H639" i="1"/>
  <c r="J639" i="1"/>
  <c r="K639" i="1"/>
  <c r="M639" i="1"/>
  <c r="N639" i="1"/>
  <c r="P639" i="1"/>
  <c r="Q639" i="1"/>
  <c r="H641" i="1"/>
  <c r="J641" i="1"/>
  <c r="K641" i="1"/>
  <c r="N641" i="1"/>
  <c r="F642" i="1"/>
  <c r="H642" i="1"/>
  <c r="J642" i="1"/>
  <c r="K642" i="1"/>
  <c r="M642" i="1"/>
  <c r="N642" i="1"/>
  <c r="P642" i="1"/>
  <c r="Q642" i="1"/>
  <c r="H644" i="1"/>
  <c r="J644" i="1"/>
  <c r="K644" i="1"/>
  <c r="N644" i="1"/>
  <c r="F645" i="1"/>
  <c r="H645" i="1"/>
  <c r="J645" i="1"/>
  <c r="K645" i="1"/>
  <c r="M645" i="1"/>
  <c r="N645" i="1"/>
  <c r="P645" i="1"/>
  <c r="Q645" i="1"/>
  <c r="H647" i="1"/>
  <c r="J647" i="1"/>
  <c r="K647" i="1"/>
  <c r="N647" i="1"/>
  <c r="F648" i="1"/>
  <c r="H648" i="1"/>
  <c r="J648" i="1"/>
  <c r="K648" i="1"/>
  <c r="M648" i="1"/>
  <c r="N648" i="1"/>
  <c r="P648" i="1"/>
  <c r="Q648" i="1"/>
  <c r="H650" i="1"/>
  <c r="J650" i="1"/>
  <c r="K650" i="1"/>
  <c r="N650" i="1"/>
  <c r="F651" i="1"/>
  <c r="H651" i="1"/>
  <c r="J651" i="1"/>
  <c r="K651" i="1"/>
  <c r="M651" i="1"/>
  <c r="N651" i="1"/>
  <c r="P651" i="1"/>
  <c r="Q651" i="1"/>
  <c r="H653" i="1"/>
  <c r="J653" i="1"/>
  <c r="K653" i="1"/>
  <c r="N653" i="1"/>
  <c r="F654" i="1"/>
  <c r="H654" i="1"/>
  <c r="J654" i="1"/>
  <c r="K654" i="1"/>
  <c r="M654" i="1"/>
  <c r="N654" i="1"/>
  <c r="P654" i="1"/>
  <c r="Q654" i="1"/>
  <c r="H656" i="1"/>
  <c r="J656" i="1"/>
  <c r="K656" i="1"/>
  <c r="N656" i="1"/>
  <c r="F657" i="1"/>
  <c r="H657" i="1"/>
  <c r="J657" i="1"/>
  <c r="K657" i="1"/>
  <c r="M657" i="1"/>
  <c r="N657" i="1"/>
  <c r="P657" i="1"/>
  <c r="Q657" i="1"/>
  <c r="H659" i="1"/>
  <c r="J659" i="1"/>
  <c r="K659" i="1"/>
  <c r="N659" i="1"/>
  <c r="F660" i="1"/>
  <c r="H660" i="1"/>
  <c r="J660" i="1"/>
  <c r="K660" i="1"/>
  <c r="M660" i="1"/>
  <c r="N660" i="1"/>
  <c r="P660" i="1"/>
  <c r="Q660" i="1"/>
  <c r="H662" i="1"/>
  <c r="J662" i="1"/>
  <c r="K662" i="1"/>
  <c r="N662" i="1"/>
  <c r="F663" i="1"/>
  <c r="H663" i="1"/>
  <c r="J663" i="1"/>
  <c r="K663" i="1"/>
  <c r="M663" i="1"/>
  <c r="N663" i="1"/>
  <c r="P663" i="1"/>
  <c r="Q663" i="1"/>
  <c r="H665" i="1"/>
  <c r="J665" i="1"/>
  <c r="K665" i="1"/>
  <c r="N665" i="1"/>
  <c r="F666" i="1"/>
  <c r="H666" i="1"/>
  <c r="J666" i="1"/>
  <c r="K666" i="1"/>
  <c r="M666" i="1"/>
  <c r="N666" i="1"/>
  <c r="P666" i="1"/>
  <c r="Q666" i="1"/>
  <c r="H668" i="1"/>
  <c r="J668" i="1"/>
  <c r="K668" i="1"/>
  <c r="N668" i="1"/>
  <c r="F669" i="1"/>
  <c r="H669" i="1"/>
  <c r="J669" i="1"/>
  <c r="K669" i="1"/>
  <c r="M669" i="1"/>
  <c r="N669" i="1"/>
  <c r="P669" i="1"/>
  <c r="Q669" i="1"/>
  <c r="H671" i="1"/>
  <c r="J671" i="1"/>
  <c r="K671" i="1"/>
  <c r="N671" i="1"/>
  <c r="F672" i="1"/>
  <c r="H672" i="1"/>
  <c r="J672" i="1"/>
  <c r="K672" i="1"/>
  <c r="M672" i="1"/>
  <c r="N672" i="1"/>
  <c r="P672" i="1"/>
  <c r="Q672" i="1"/>
  <c r="H674" i="1"/>
  <c r="J674" i="1"/>
  <c r="K674" i="1"/>
  <c r="N674" i="1"/>
  <c r="F675" i="1"/>
  <c r="H675" i="1"/>
  <c r="J675" i="1"/>
  <c r="K675" i="1"/>
  <c r="M675" i="1"/>
  <c r="N675" i="1"/>
  <c r="P675" i="1"/>
  <c r="Q675" i="1"/>
  <c r="H677" i="1"/>
  <c r="J677" i="1"/>
  <c r="K677" i="1"/>
  <c r="N677" i="1"/>
  <c r="F678" i="1"/>
  <c r="H678" i="1"/>
  <c r="J678" i="1"/>
  <c r="K678" i="1"/>
  <c r="M678" i="1"/>
  <c r="N678" i="1"/>
  <c r="P678" i="1"/>
  <c r="Q678" i="1"/>
  <c r="H680" i="1"/>
  <c r="J680" i="1"/>
  <c r="K680" i="1"/>
  <c r="N680" i="1"/>
  <c r="F681" i="1"/>
  <c r="H681" i="1"/>
  <c r="J681" i="1"/>
  <c r="K681" i="1"/>
  <c r="M681" i="1"/>
  <c r="N681" i="1"/>
  <c r="P681" i="1"/>
  <c r="Q681" i="1"/>
  <c r="H683" i="1"/>
  <c r="J683" i="1"/>
  <c r="K683" i="1"/>
  <c r="N683" i="1"/>
  <c r="F684" i="1"/>
  <c r="H684" i="1"/>
  <c r="J684" i="1"/>
  <c r="K684" i="1"/>
  <c r="M684" i="1"/>
  <c r="N684" i="1"/>
  <c r="P684" i="1"/>
  <c r="Q684" i="1"/>
  <c r="H686" i="1"/>
  <c r="J686" i="1"/>
  <c r="K686" i="1"/>
  <c r="N686" i="1"/>
  <c r="F687" i="1"/>
  <c r="H687" i="1"/>
  <c r="J687" i="1"/>
  <c r="K687" i="1"/>
  <c r="M687" i="1"/>
  <c r="N687" i="1"/>
  <c r="P687" i="1"/>
  <c r="Q687" i="1"/>
  <c r="H689" i="1"/>
  <c r="J689" i="1"/>
  <c r="K689" i="1"/>
  <c r="N689" i="1"/>
  <c r="F690" i="1"/>
  <c r="H690" i="1"/>
  <c r="J690" i="1"/>
  <c r="K690" i="1"/>
  <c r="M690" i="1"/>
  <c r="N690" i="1"/>
  <c r="P690" i="1"/>
  <c r="Q690" i="1"/>
  <c r="H692" i="1"/>
  <c r="J692" i="1"/>
  <c r="K692" i="1"/>
  <c r="N692" i="1"/>
  <c r="F693" i="1"/>
  <c r="H693" i="1"/>
  <c r="J693" i="1"/>
  <c r="K693" i="1"/>
  <c r="M693" i="1"/>
  <c r="N693" i="1"/>
  <c r="P693" i="1"/>
  <c r="Q693" i="1"/>
  <c r="Q696" i="1"/>
  <c r="R696" i="1"/>
  <c r="H697" i="1"/>
  <c r="H698" i="1" s="1"/>
  <c r="H699" i="1" s="1"/>
  <c r="I697" i="1"/>
  <c r="I698" i="1"/>
  <c r="I699" i="1"/>
  <c r="H702" i="1"/>
  <c r="J702" i="1"/>
  <c r="K702" i="1"/>
  <c r="N702" i="1"/>
  <c r="F703" i="1"/>
  <c r="H703" i="1"/>
  <c r="J703" i="1"/>
  <c r="K703" i="1"/>
  <c r="M703" i="1"/>
  <c r="N703" i="1"/>
  <c r="P703" i="1"/>
  <c r="Q703" i="1"/>
  <c r="H705" i="1"/>
  <c r="J705" i="1"/>
  <c r="K705" i="1"/>
  <c r="N705" i="1"/>
  <c r="F706" i="1"/>
  <c r="H706" i="1"/>
  <c r="J706" i="1"/>
  <c r="K706" i="1"/>
  <c r="M706" i="1"/>
  <c r="N706" i="1"/>
  <c r="P706" i="1"/>
  <c r="Q706" i="1"/>
  <c r="H708" i="1"/>
  <c r="J708" i="1"/>
  <c r="K708" i="1"/>
  <c r="N708" i="1"/>
  <c r="F709" i="1"/>
  <c r="H709" i="1"/>
  <c r="J709" i="1"/>
  <c r="K709" i="1"/>
  <c r="M709" i="1"/>
  <c r="N709" i="1"/>
  <c r="P709" i="1"/>
  <c r="Q709" i="1"/>
  <c r="H711" i="1"/>
  <c r="J711" i="1"/>
  <c r="K711" i="1"/>
  <c r="N711" i="1"/>
  <c r="F712" i="1"/>
  <c r="H712" i="1"/>
  <c r="J712" i="1"/>
  <c r="K712" i="1"/>
  <c r="M712" i="1"/>
  <c r="N712" i="1"/>
  <c r="P712" i="1"/>
  <c r="Q712" i="1"/>
  <c r="H714" i="1"/>
  <c r="J714" i="1"/>
  <c r="K714" i="1"/>
  <c r="N714" i="1"/>
  <c r="F715" i="1"/>
  <c r="H715" i="1"/>
  <c r="J715" i="1"/>
  <c r="K715" i="1"/>
  <c r="M715" i="1"/>
  <c r="N715" i="1"/>
  <c r="P715" i="1"/>
  <c r="Q715" i="1"/>
  <c r="H717" i="1"/>
  <c r="J717" i="1"/>
  <c r="K717" i="1"/>
  <c r="N717" i="1"/>
  <c r="F718" i="1"/>
  <c r="H718" i="1"/>
  <c r="J718" i="1"/>
  <c r="K718" i="1"/>
  <c r="M718" i="1"/>
  <c r="N718" i="1"/>
  <c r="P718" i="1"/>
  <c r="Q718" i="1"/>
  <c r="H720" i="1"/>
  <c r="J720" i="1"/>
  <c r="K720" i="1"/>
  <c r="N720" i="1"/>
  <c r="F721" i="1"/>
  <c r="H721" i="1"/>
  <c r="J721" i="1"/>
  <c r="K721" i="1"/>
  <c r="M721" i="1"/>
  <c r="N721" i="1"/>
  <c r="P721" i="1"/>
  <c r="Q721" i="1"/>
  <c r="H723" i="1"/>
  <c r="J723" i="1"/>
  <c r="K723" i="1"/>
  <c r="N723" i="1"/>
  <c r="F724" i="1"/>
  <c r="H724" i="1"/>
  <c r="J724" i="1"/>
  <c r="K724" i="1"/>
  <c r="M724" i="1"/>
  <c r="N724" i="1"/>
  <c r="P724" i="1"/>
  <c r="Q724" i="1"/>
  <c r="H726" i="1"/>
  <c r="J726" i="1"/>
  <c r="K726" i="1"/>
  <c r="N726" i="1"/>
  <c r="F727" i="1"/>
  <c r="H727" i="1"/>
  <c r="J727" i="1"/>
  <c r="K727" i="1"/>
  <c r="M727" i="1"/>
  <c r="N727" i="1"/>
  <c r="P727" i="1"/>
  <c r="Q727" i="1"/>
  <c r="H729" i="1"/>
  <c r="J729" i="1"/>
  <c r="K729" i="1"/>
  <c r="N729" i="1"/>
  <c r="F730" i="1"/>
  <c r="H730" i="1"/>
  <c r="J730" i="1"/>
  <c r="K730" i="1"/>
  <c r="M730" i="1"/>
  <c r="N730" i="1"/>
  <c r="P730" i="1"/>
  <c r="Q730" i="1"/>
  <c r="H732" i="1"/>
  <c r="J732" i="1"/>
  <c r="K732" i="1"/>
  <c r="N732" i="1"/>
  <c r="F733" i="1"/>
  <c r="H733" i="1"/>
  <c r="J733" i="1"/>
  <c r="K733" i="1"/>
  <c r="M733" i="1"/>
  <c r="N733" i="1"/>
  <c r="P733" i="1"/>
  <c r="Q733" i="1"/>
  <c r="H735" i="1"/>
  <c r="J735" i="1"/>
  <c r="K735" i="1"/>
  <c r="N735" i="1"/>
  <c r="F736" i="1"/>
  <c r="H736" i="1"/>
  <c r="J736" i="1"/>
  <c r="K736" i="1"/>
  <c r="M736" i="1"/>
  <c r="N736" i="1"/>
  <c r="P736" i="1"/>
  <c r="Q736" i="1"/>
  <c r="H738" i="1"/>
  <c r="J738" i="1"/>
  <c r="K738" i="1"/>
  <c r="N738" i="1"/>
  <c r="F739" i="1"/>
  <c r="H739" i="1"/>
  <c r="J739" i="1"/>
  <c r="K739" i="1"/>
  <c r="M739" i="1"/>
  <c r="N739" i="1"/>
  <c r="P739" i="1"/>
  <c r="Q739" i="1"/>
  <c r="H741" i="1"/>
  <c r="J741" i="1"/>
  <c r="K741" i="1"/>
  <c r="N741" i="1"/>
  <c r="F742" i="1"/>
  <c r="H742" i="1"/>
  <c r="J742" i="1"/>
  <c r="K742" i="1"/>
  <c r="M742" i="1"/>
  <c r="N742" i="1"/>
  <c r="P742" i="1"/>
  <c r="Q742" i="1"/>
  <c r="H744" i="1"/>
  <c r="J744" i="1"/>
  <c r="K744" i="1"/>
  <c r="N744" i="1"/>
  <c r="F745" i="1"/>
  <c r="H745" i="1"/>
  <c r="J745" i="1"/>
  <c r="K745" i="1"/>
  <c r="M745" i="1"/>
  <c r="N745" i="1"/>
  <c r="P745" i="1"/>
  <c r="Q745" i="1"/>
  <c r="H747" i="1"/>
  <c r="J747" i="1"/>
  <c r="K747" i="1"/>
  <c r="N747" i="1"/>
  <c r="F748" i="1"/>
  <c r="H748" i="1"/>
  <c r="J748" i="1"/>
  <c r="K748" i="1"/>
  <c r="M748" i="1"/>
  <c r="N748" i="1"/>
  <c r="P748" i="1"/>
  <c r="Q748" i="1"/>
  <c r="H750" i="1"/>
  <c r="J750" i="1"/>
  <c r="K750" i="1"/>
  <c r="N750" i="1"/>
  <c r="F751" i="1"/>
  <c r="H751" i="1"/>
  <c r="J751" i="1"/>
  <c r="K751" i="1"/>
  <c r="M751" i="1"/>
  <c r="N751" i="1"/>
  <c r="P751" i="1"/>
  <c r="Q751" i="1"/>
  <c r="H753" i="1"/>
  <c r="J753" i="1"/>
  <c r="K753" i="1"/>
  <c r="N753" i="1"/>
  <c r="F754" i="1"/>
  <c r="H754" i="1"/>
  <c r="J754" i="1"/>
  <c r="K754" i="1"/>
  <c r="M754" i="1"/>
  <c r="N754" i="1"/>
  <c r="P754" i="1"/>
  <c r="Q754" i="1"/>
  <c r="H756" i="1"/>
  <c r="J756" i="1"/>
  <c r="K756" i="1"/>
  <c r="N756" i="1"/>
  <c r="F757" i="1"/>
  <c r="H757" i="1"/>
  <c r="J757" i="1"/>
  <c r="K757" i="1"/>
  <c r="M757" i="1"/>
  <c r="N757" i="1"/>
  <c r="P757" i="1"/>
  <c r="Q757" i="1"/>
  <c r="H759" i="1"/>
  <c r="J759" i="1"/>
  <c r="K759" i="1"/>
  <c r="N759" i="1"/>
  <c r="F760" i="1"/>
  <c r="H760" i="1"/>
  <c r="J760" i="1"/>
  <c r="K760" i="1"/>
  <c r="M760" i="1"/>
  <c r="N760" i="1"/>
  <c r="P760" i="1"/>
  <c r="Q760" i="1"/>
  <c r="H762" i="1"/>
  <c r="J762" i="1"/>
  <c r="K762" i="1"/>
  <c r="N762" i="1"/>
  <c r="F763" i="1"/>
  <c r="H763" i="1"/>
  <c r="J763" i="1"/>
  <c r="K763" i="1"/>
  <c r="M763" i="1"/>
  <c r="N763" i="1"/>
  <c r="P763" i="1"/>
  <c r="Q763" i="1"/>
  <c r="H765" i="1"/>
  <c r="J765" i="1"/>
  <c r="K765" i="1"/>
  <c r="N765" i="1"/>
  <c r="F766" i="1"/>
  <c r="H766" i="1"/>
  <c r="J766" i="1"/>
  <c r="K766" i="1"/>
  <c r="M766" i="1"/>
  <c r="N766" i="1"/>
  <c r="P766" i="1"/>
  <c r="Q766" i="1"/>
  <c r="H768" i="1"/>
  <c r="J768" i="1"/>
  <c r="K768" i="1"/>
  <c r="N768" i="1"/>
  <c r="F769" i="1"/>
  <c r="H769" i="1"/>
  <c r="J769" i="1"/>
  <c r="K769" i="1"/>
  <c r="M769" i="1"/>
  <c r="N769" i="1"/>
  <c r="P769" i="1"/>
  <c r="Q769" i="1"/>
  <c r="H771" i="1"/>
  <c r="J771" i="1"/>
  <c r="K771" i="1"/>
  <c r="N771" i="1"/>
  <c r="F772" i="1"/>
  <c r="H772" i="1"/>
  <c r="J772" i="1"/>
  <c r="K772" i="1"/>
  <c r="M772" i="1"/>
  <c r="N772" i="1"/>
  <c r="P772" i="1"/>
  <c r="Q772" i="1"/>
  <c r="H774" i="1"/>
  <c r="J774" i="1"/>
  <c r="K774" i="1"/>
  <c r="N774" i="1"/>
  <c r="F775" i="1"/>
  <c r="H775" i="1"/>
  <c r="J775" i="1"/>
  <c r="K775" i="1"/>
  <c r="M775" i="1"/>
  <c r="N775" i="1"/>
  <c r="P775" i="1"/>
  <c r="Q775" i="1"/>
  <c r="H777" i="1"/>
  <c r="J777" i="1"/>
  <c r="K777" i="1"/>
  <c r="N777" i="1"/>
  <c r="F778" i="1"/>
  <c r="H778" i="1"/>
  <c r="J778" i="1"/>
  <c r="K778" i="1"/>
  <c r="M778" i="1"/>
  <c r="N778" i="1"/>
  <c r="P778" i="1"/>
  <c r="Q778" i="1"/>
  <c r="H780" i="1"/>
  <c r="J780" i="1"/>
  <c r="K780" i="1"/>
  <c r="N780" i="1"/>
  <c r="F781" i="1"/>
  <c r="H781" i="1"/>
  <c r="J781" i="1"/>
  <c r="K781" i="1"/>
  <c r="M781" i="1"/>
  <c r="N781" i="1"/>
  <c r="P781" i="1"/>
  <c r="Q781" i="1"/>
  <c r="H783" i="1"/>
  <c r="J783" i="1"/>
  <c r="K783" i="1"/>
  <c r="N783" i="1"/>
  <c r="F784" i="1"/>
  <c r="H784" i="1"/>
  <c r="J784" i="1"/>
  <c r="K784" i="1"/>
  <c r="M784" i="1"/>
  <c r="N784" i="1"/>
  <c r="P784" i="1"/>
  <c r="Q784" i="1"/>
  <c r="H786" i="1"/>
  <c r="J786" i="1"/>
  <c r="K786" i="1"/>
  <c r="N786" i="1"/>
  <c r="F787" i="1"/>
  <c r="H787" i="1"/>
  <c r="J787" i="1"/>
  <c r="K787" i="1"/>
  <c r="M787" i="1"/>
  <c r="N787" i="1"/>
  <c r="P787" i="1"/>
  <c r="Q787" i="1"/>
  <c r="H789" i="1"/>
  <c r="J789" i="1"/>
  <c r="K789" i="1"/>
  <c r="N789" i="1"/>
  <c r="F790" i="1"/>
  <c r="H790" i="1"/>
  <c r="J790" i="1"/>
  <c r="K790" i="1"/>
  <c r="M790" i="1"/>
  <c r="N790" i="1"/>
  <c r="P790" i="1"/>
  <c r="Q790" i="1"/>
  <c r="H792" i="1"/>
  <c r="J792" i="1"/>
  <c r="K792" i="1"/>
  <c r="N792" i="1"/>
  <c r="F793" i="1"/>
  <c r="H793" i="1"/>
  <c r="J793" i="1"/>
  <c r="K793" i="1"/>
  <c r="M793" i="1"/>
  <c r="N793" i="1"/>
  <c r="P793" i="1"/>
  <c r="Q793" i="1"/>
  <c r="H795" i="1"/>
  <c r="J795" i="1"/>
  <c r="K795" i="1"/>
  <c r="N795" i="1"/>
  <c r="F796" i="1"/>
  <c r="H796" i="1"/>
  <c r="J796" i="1"/>
  <c r="K796" i="1"/>
  <c r="M796" i="1"/>
  <c r="N796" i="1"/>
  <c r="P796" i="1"/>
  <c r="Q796" i="1"/>
  <c r="H798" i="1"/>
  <c r="J798" i="1"/>
  <c r="K798" i="1"/>
  <c r="N798" i="1"/>
  <c r="F799" i="1"/>
  <c r="H799" i="1"/>
  <c r="J799" i="1"/>
  <c r="K799" i="1"/>
  <c r="M799" i="1"/>
  <c r="N799" i="1"/>
  <c r="P799" i="1"/>
  <c r="Q799" i="1"/>
  <c r="H801" i="1"/>
  <c r="J801" i="1"/>
  <c r="K801" i="1"/>
  <c r="N801" i="1"/>
  <c r="F802" i="1"/>
  <c r="H802" i="1"/>
  <c r="J802" i="1"/>
  <c r="K802" i="1"/>
  <c r="M802" i="1"/>
  <c r="N802" i="1"/>
  <c r="P802" i="1"/>
  <c r="Q802" i="1"/>
  <c r="H804" i="1"/>
  <c r="J804" i="1"/>
  <c r="K804" i="1"/>
  <c r="N804" i="1"/>
  <c r="F805" i="1"/>
  <c r="H805" i="1"/>
  <c r="J805" i="1"/>
  <c r="K805" i="1"/>
  <c r="M805" i="1"/>
  <c r="N805" i="1"/>
  <c r="P805" i="1"/>
  <c r="Q805" i="1"/>
  <c r="H807" i="1"/>
  <c r="J807" i="1"/>
  <c r="K807" i="1"/>
  <c r="N807" i="1"/>
  <c r="F808" i="1"/>
  <c r="H808" i="1"/>
  <c r="J808" i="1"/>
  <c r="K808" i="1"/>
  <c r="M808" i="1"/>
  <c r="N808" i="1"/>
  <c r="P808" i="1"/>
  <c r="Q808" i="1"/>
  <c r="H810" i="1"/>
  <c r="J810" i="1"/>
  <c r="K810" i="1"/>
  <c r="N810" i="1"/>
  <c r="F811" i="1"/>
  <c r="H811" i="1"/>
  <c r="J811" i="1"/>
  <c r="K811" i="1"/>
  <c r="M811" i="1"/>
  <c r="N811" i="1"/>
  <c r="P811" i="1"/>
  <c r="Q811" i="1"/>
  <c r="H813" i="1"/>
  <c r="J813" i="1"/>
  <c r="K813" i="1"/>
  <c r="N813" i="1"/>
  <c r="F814" i="1"/>
  <c r="H814" i="1"/>
  <c r="J814" i="1"/>
  <c r="K814" i="1"/>
  <c r="M814" i="1"/>
  <c r="N814" i="1"/>
  <c r="P814" i="1"/>
  <c r="Q814" i="1"/>
  <c r="H816" i="1"/>
  <c r="J816" i="1"/>
  <c r="K816" i="1"/>
  <c r="N816" i="1"/>
  <c r="F817" i="1"/>
  <c r="H817" i="1"/>
  <c r="J817" i="1"/>
  <c r="K817" i="1"/>
  <c r="M817" i="1"/>
  <c r="N817" i="1"/>
  <c r="P817" i="1"/>
  <c r="Q817" i="1"/>
  <c r="H819" i="1"/>
  <c r="J819" i="1"/>
  <c r="K819" i="1"/>
  <c r="N819" i="1"/>
  <c r="F820" i="1"/>
  <c r="H820" i="1"/>
  <c r="J820" i="1"/>
  <c r="K820" i="1"/>
  <c r="M820" i="1"/>
  <c r="N820" i="1"/>
  <c r="P820" i="1"/>
  <c r="Q820" i="1"/>
  <c r="H822" i="1"/>
  <c r="J822" i="1"/>
  <c r="K822" i="1"/>
  <c r="N822" i="1"/>
  <c r="F823" i="1"/>
  <c r="H823" i="1"/>
  <c r="J823" i="1"/>
  <c r="K823" i="1"/>
  <c r="M823" i="1"/>
  <c r="N823" i="1"/>
  <c r="P823" i="1"/>
  <c r="Q823" i="1"/>
  <c r="H825" i="1"/>
  <c r="J825" i="1"/>
  <c r="K825" i="1"/>
  <c r="N825" i="1"/>
  <c r="F826" i="1"/>
  <c r="H826" i="1"/>
  <c r="J826" i="1"/>
  <c r="K826" i="1"/>
  <c r="M826" i="1"/>
  <c r="N826" i="1"/>
  <c r="P826" i="1"/>
  <c r="Q826" i="1"/>
  <c r="H828" i="1"/>
  <c r="J828" i="1"/>
  <c r="K828" i="1"/>
  <c r="N828" i="1"/>
  <c r="F829" i="1"/>
  <c r="H829" i="1"/>
  <c r="J829" i="1"/>
  <c r="K829" i="1"/>
  <c r="M829" i="1"/>
  <c r="N829" i="1"/>
  <c r="P829" i="1"/>
  <c r="Q829" i="1"/>
  <c r="H831" i="1"/>
  <c r="J831" i="1"/>
  <c r="K831" i="1"/>
  <c r="N831" i="1"/>
  <c r="F832" i="1"/>
  <c r="H832" i="1"/>
  <c r="J832" i="1"/>
  <c r="K832" i="1"/>
  <c r="M832" i="1"/>
  <c r="N832" i="1"/>
  <c r="P832" i="1"/>
  <c r="Q832" i="1"/>
  <c r="H834" i="1"/>
  <c r="J834" i="1"/>
  <c r="K834" i="1"/>
  <c r="N834" i="1"/>
  <c r="F835" i="1"/>
  <c r="H835" i="1"/>
  <c r="J835" i="1"/>
  <c r="K835" i="1"/>
  <c r="M835" i="1"/>
  <c r="N835" i="1"/>
  <c r="P835" i="1"/>
  <c r="Q835" i="1"/>
  <c r="H837" i="1"/>
  <c r="J837" i="1"/>
  <c r="K837" i="1"/>
  <c r="N837" i="1"/>
  <c r="F838" i="1"/>
  <c r="H838" i="1"/>
  <c r="J838" i="1"/>
  <c r="K838" i="1"/>
  <c r="M838" i="1"/>
  <c r="N838" i="1"/>
  <c r="P838" i="1"/>
  <c r="Q838" i="1"/>
  <c r="H840" i="1"/>
  <c r="J840" i="1"/>
  <c r="K840" i="1"/>
  <c r="N840" i="1"/>
  <c r="F841" i="1"/>
  <c r="H841" i="1"/>
  <c r="J841" i="1"/>
  <c r="K841" i="1"/>
  <c r="M841" i="1"/>
  <c r="N841" i="1"/>
  <c r="P841" i="1"/>
  <c r="Q841" i="1"/>
  <c r="H843" i="1"/>
  <c r="J843" i="1"/>
  <c r="K843" i="1"/>
  <c r="N843" i="1"/>
  <c r="F844" i="1"/>
  <c r="H844" i="1"/>
  <c r="J844" i="1"/>
  <c r="K844" i="1"/>
  <c r="M844" i="1"/>
  <c r="N844" i="1"/>
  <c r="P844" i="1"/>
  <c r="Q844" i="1"/>
  <c r="H846" i="1"/>
  <c r="J846" i="1"/>
  <c r="K846" i="1"/>
  <c r="N846" i="1"/>
  <c r="F847" i="1"/>
  <c r="H847" i="1"/>
  <c r="J847" i="1"/>
  <c r="K847" i="1"/>
  <c r="M847" i="1"/>
  <c r="N847" i="1"/>
  <c r="P847" i="1"/>
  <c r="Q847" i="1"/>
  <c r="H849" i="1"/>
  <c r="J849" i="1"/>
  <c r="K849" i="1"/>
  <c r="N849" i="1"/>
  <c r="F850" i="1"/>
  <c r="H850" i="1"/>
  <c r="J850" i="1"/>
  <c r="K850" i="1"/>
  <c r="M850" i="1"/>
  <c r="N850" i="1"/>
  <c r="P850" i="1"/>
  <c r="Q850" i="1"/>
  <c r="H852" i="1"/>
  <c r="J852" i="1"/>
  <c r="K852" i="1"/>
  <c r="N852" i="1"/>
  <c r="F853" i="1"/>
  <c r="H853" i="1"/>
  <c r="J853" i="1"/>
  <c r="K853" i="1"/>
  <c r="M853" i="1"/>
  <c r="N853" i="1"/>
  <c r="P853" i="1"/>
  <c r="Q853" i="1"/>
  <c r="H855" i="1"/>
  <c r="J855" i="1"/>
  <c r="K855" i="1"/>
  <c r="N855" i="1"/>
  <c r="F856" i="1"/>
  <c r="H856" i="1"/>
  <c r="J856" i="1"/>
  <c r="K856" i="1"/>
  <c r="M856" i="1"/>
  <c r="N856" i="1"/>
  <c r="P856" i="1"/>
  <c r="Q856" i="1"/>
  <c r="H858" i="1"/>
  <c r="J858" i="1"/>
  <c r="K858" i="1"/>
  <c r="N858" i="1"/>
  <c r="F859" i="1"/>
  <c r="H859" i="1"/>
  <c r="J859" i="1"/>
  <c r="K859" i="1"/>
  <c r="M859" i="1"/>
  <c r="N859" i="1"/>
  <c r="P859" i="1"/>
  <c r="Q859" i="1"/>
  <c r="H861" i="1"/>
  <c r="J861" i="1"/>
  <c r="K861" i="1"/>
  <c r="N861" i="1"/>
  <c r="F862" i="1"/>
  <c r="H862" i="1"/>
  <c r="J862" i="1"/>
  <c r="K862" i="1"/>
  <c r="M862" i="1"/>
  <c r="N862" i="1"/>
  <c r="P862" i="1"/>
  <c r="Q862" i="1"/>
  <c r="H864" i="1"/>
  <c r="J864" i="1"/>
  <c r="K864" i="1"/>
  <c r="N864" i="1"/>
  <c r="F865" i="1"/>
  <c r="H865" i="1"/>
  <c r="J865" i="1"/>
  <c r="K865" i="1"/>
  <c r="M865" i="1"/>
  <c r="N865" i="1"/>
  <c r="P865" i="1"/>
  <c r="Q865" i="1"/>
  <c r="H867" i="1"/>
  <c r="J867" i="1"/>
  <c r="K867" i="1"/>
  <c r="N867" i="1"/>
  <c r="F868" i="1"/>
  <c r="H868" i="1"/>
  <c r="J868" i="1"/>
  <c r="K868" i="1"/>
  <c r="M868" i="1"/>
  <c r="N868" i="1"/>
  <c r="P868" i="1"/>
  <c r="Q868" i="1"/>
  <c r="H870" i="1"/>
  <c r="J870" i="1"/>
  <c r="K870" i="1"/>
  <c r="N870" i="1"/>
  <c r="F871" i="1"/>
  <c r="H871" i="1"/>
  <c r="J871" i="1"/>
  <c r="K871" i="1"/>
  <c r="M871" i="1"/>
  <c r="N871" i="1"/>
  <c r="P871" i="1"/>
  <c r="Q871" i="1"/>
  <c r="H873" i="1"/>
  <c r="J873" i="1"/>
  <c r="K873" i="1"/>
  <c r="N873" i="1"/>
  <c r="F874" i="1"/>
  <c r="H874" i="1"/>
  <c r="J874" i="1"/>
  <c r="K874" i="1"/>
  <c r="M874" i="1"/>
  <c r="N874" i="1"/>
  <c r="P874" i="1"/>
  <c r="Q874" i="1"/>
  <c r="H876" i="1"/>
  <c r="J876" i="1"/>
  <c r="K876" i="1"/>
  <c r="N876" i="1"/>
  <c r="F877" i="1"/>
  <c r="H877" i="1"/>
  <c r="J877" i="1"/>
  <c r="K877" i="1"/>
  <c r="M877" i="1"/>
  <c r="N877" i="1"/>
  <c r="P877" i="1"/>
  <c r="Q877" i="1"/>
  <c r="H879" i="1"/>
  <c r="J879" i="1"/>
  <c r="K879" i="1"/>
  <c r="N879" i="1"/>
  <c r="F880" i="1"/>
  <c r="H880" i="1"/>
  <c r="J880" i="1"/>
  <c r="K880" i="1"/>
  <c r="M880" i="1"/>
  <c r="N880" i="1"/>
  <c r="P880" i="1"/>
  <c r="Q880" i="1"/>
  <c r="H882" i="1"/>
  <c r="J882" i="1"/>
  <c r="K882" i="1"/>
  <c r="N882" i="1"/>
  <c r="F883" i="1"/>
  <c r="H883" i="1"/>
  <c r="J883" i="1"/>
  <c r="K883" i="1"/>
  <c r="M883" i="1"/>
  <c r="N883" i="1"/>
  <c r="P883" i="1"/>
  <c r="Q883" i="1"/>
  <c r="E6" i="2"/>
  <c r="E7" i="2"/>
  <c r="E8" i="2"/>
  <c r="B421" i="1"/>
  <c r="B134" i="1"/>
  <c r="E333" i="1"/>
  <c r="E334" i="1" s="1"/>
  <c r="D333" i="1"/>
  <c r="D334" i="1" s="1"/>
  <c r="E330" i="1"/>
  <c r="E331" i="1" s="1"/>
  <c r="D330" i="1"/>
  <c r="D331" i="1" s="1"/>
  <c r="E327" i="1"/>
  <c r="E328" i="1" s="1"/>
  <c r="D327" i="1"/>
  <c r="D328" i="1" s="1"/>
  <c r="E324" i="1"/>
  <c r="E325" i="1" s="1"/>
  <c r="D324" i="1"/>
  <c r="D325" i="1" s="1"/>
  <c r="E321" i="1"/>
  <c r="E322" i="1" s="1"/>
  <c r="D321" i="1"/>
  <c r="D322" i="1" s="1"/>
  <c r="E318" i="1"/>
  <c r="E319" i="1" s="1"/>
  <c r="D318" i="1"/>
  <c r="D319" i="1" s="1"/>
  <c r="E315" i="1"/>
  <c r="E316" i="1" s="1"/>
  <c r="D315" i="1"/>
  <c r="D316" i="1" s="1"/>
  <c r="E312" i="1"/>
  <c r="E313" i="1" s="1"/>
  <c r="D312" i="1"/>
  <c r="D313" i="1" s="1"/>
  <c r="E309" i="1"/>
  <c r="E310" i="1" s="1"/>
  <c r="D309" i="1"/>
  <c r="D310" i="1" s="1"/>
  <c r="E306" i="1"/>
  <c r="E307" i="1" s="1"/>
  <c r="D306" i="1"/>
  <c r="D307" i="1" s="1"/>
  <c r="E303" i="1"/>
  <c r="E304" i="1" s="1"/>
  <c r="D303" i="1"/>
  <c r="D304" i="1" s="1"/>
  <c r="E300" i="1"/>
  <c r="E301" i="1" s="1"/>
  <c r="D300" i="1"/>
  <c r="D301" i="1" s="1"/>
  <c r="E297" i="1"/>
  <c r="E298" i="1" s="1"/>
  <c r="D297" i="1"/>
  <c r="D298" i="1" s="1"/>
  <c r="E294" i="1"/>
  <c r="E295" i="1" s="1"/>
  <c r="D294" i="1"/>
  <c r="D295" i="1" s="1"/>
  <c r="E291" i="1"/>
  <c r="E292" i="1" s="1"/>
  <c r="D291" i="1"/>
  <c r="D292" i="1" s="1"/>
  <c r="E288" i="1"/>
  <c r="E289" i="1" s="1"/>
  <c r="D288" i="1"/>
  <c r="D289" i="1" s="1"/>
  <c r="E285" i="1"/>
  <c r="E286" i="1" s="1"/>
  <c r="D285" i="1"/>
  <c r="D286" i="1" s="1"/>
  <c r="E282" i="1"/>
  <c r="E283" i="1" s="1"/>
  <c r="D282" i="1"/>
  <c r="D283" i="1" s="1"/>
  <c r="E279" i="1"/>
  <c r="E280" i="1" s="1"/>
  <c r="D279" i="1"/>
  <c r="D280" i="1" s="1"/>
  <c r="E276" i="1"/>
  <c r="E277" i="1" s="1"/>
  <c r="D276" i="1"/>
  <c r="D277" i="1" s="1"/>
  <c r="E273" i="1"/>
  <c r="E274" i="1" s="1"/>
  <c r="D273" i="1"/>
  <c r="D274" i="1" s="1"/>
  <c r="E270" i="1"/>
  <c r="E271" i="1" s="1"/>
  <c r="D270" i="1"/>
  <c r="D271" i="1" s="1"/>
  <c r="E267" i="1"/>
  <c r="E268" i="1" s="1"/>
  <c r="D267" i="1"/>
  <c r="D268" i="1" s="1"/>
  <c r="E264" i="1"/>
  <c r="E265" i="1" s="1"/>
  <c r="D264" i="1"/>
  <c r="D265" i="1" s="1"/>
  <c r="E261" i="1"/>
  <c r="E262" i="1" s="1"/>
  <c r="D261" i="1"/>
  <c r="D262" i="1" s="1"/>
  <c r="E258" i="1"/>
  <c r="E259" i="1" s="1"/>
  <c r="D258" i="1"/>
  <c r="D259" i="1" s="1"/>
  <c r="E255" i="1"/>
  <c r="E256" i="1" s="1"/>
  <c r="D255" i="1"/>
  <c r="D256" i="1" s="1"/>
  <c r="E252" i="1"/>
  <c r="E253" i="1" s="1"/>
  <c r="D252" i="1"/>
  <c r="D253" i="1" s="1"/>
  <c r="E249" i="1"/>
  <c r="E250" i="1" s="1"/>
  <c r="D249" i="1"/>
  <c r="D250" i="1" s="1"/>
  <c r="E246" i="1"/>
  <c r="E247" i="1" s="1"/>
  <c r="D246" i="1"/>
  <c r="D247" i="1" s="1"/>
  <c r="E367" i="1"/>
  <c r="E368" i="1" s="1"/>
  <c r="E364" i="1"/>
  <c r="E365" i="1" s="1"/>
  <c r="D364" i="1"/>
  <c r="D365" i="1" s="1"/>
  <c r="E361" i="1"/>
  <c r="E362" i="1" s="1"/>
  <c r="D361" i="1"/>
  <c r="D362" i="1" s="1"/>
  <c r="E359" i="1"/>
  <c r="E358" i="1"/>
  <c r="E355" i="1"/>
  <c r="E356" i="1" s="1"/>
  <c r="E353" i="1"/>
  <c r="E352" i="1"/>
  <c r="D352" i="1"/>
  <c r="D353" i="1" s="1"/>
  <c r="E349" i="1"/>
  <c r="E350" i="1" s="1"/>
  <c r="E346" i="1"/>
  <c r="E347" i="1" s="1"/>
  <c r="D346" i="1"/>
  <c r="D347" i="1" s="1"/>
  <c r="E405" i="1"/>
  <c r="E404" i="1"/>
  <c r="D404" i="1"/>
  <c r="D405" i="1" s="1"/>
  <c r="E401" i="1"/>
  <c r="E402" i="1" s="1"/>
  <c r="D401" i="1"/>
  <c r="D402" i="1" s="1"/>
  <c r="E398" i="1"/>
  <c r="E399" i="1" s="1"/>
  <c r="D398" i="1"/>
  <c r="D399" i="1" s="1"/>
  <c r="E395" i="1"/>
  <c r="E396" i="1" s="1"/>
  <c r="D395" i="1"/>
  <c r="D396" i="1" s="1"/>
  <c r="E392" i="1"/>
  <c r="E393" i="1" s="1"/>
  <c r="D392" i="1"/>
  <c r="D393" i="1" s="1"/>
  <c r="E389" i="1"/>
  <c r="E390" i="1" s="1"/>
  <c r="D389" i="1"/>
  <c r="D390" i="1" s="1"/>
  <c r="E387" i="1"/>
  <c r="E386" i="1"/>
  <c r="D386" i="1"/>
  <c r="D387" i="1" s="1"/>
  <c r="E383" i="1"/>
  <c r="E384" i="1" s="1"/>
  <c r="D383" i="1"/>
  <c r="D384" i="1" s="1"/>
  <c r="E380" i="1"/>
  <c r="E381" i="1" s="1"/>
  <c r="E423" i="1"/>
  <c r="E424" i="1" s="1"/>
  <c r="D423" i="1"/>
  <c r="D424" i="1" s="1"/>
  <c r="E420" i="1"/>
  <c r="E421" i="1" s="1"/>
  <c r="E417" i="1"/>
  <c r="E418" i="1" s="1"/>
  <c r="D417" i="1"/>
  <c r="D418" i="1" s="1"/>
  <c r="E446" i="1"/>
  <c r="E447" i="1" s="1"/>
  <c r="D446" i="1"/>
  <c r="D447" i="1" s="1"/>
  <c r="E474" i="1"/>
  <c r="E475" i="1" s="1"/>
  <c r="D474" i="1"/>
  <c r="D475" i="1" s="1"/>
  <c r="E471" i="1"/>
  <c r="E472" i="1" s="1"/>
  <c r="D471" i="1"/>
  <c r="D472" i="1" s="1"/>
  <c r="E468" i="1"/>
  <c r="E469" i="1" s="1"/>
  <c r="D468" i="1"/>
  <c r="D469" i="1" s="1"/>
  <c r="E465" i="1"/>
  <c r="E466" i="1" s="1"/>
  <c r="D465" i="1"/>
  <c r="D466" i="1" s="1"/>
  <c r="E462" i="1"/>
  <c r="E463" i="1" s="1"/>
  <c r="D462" i="1"/>
  <c r="D463" i="1" s="1"/>
  <c r="E459" i="1"/>
  <c r="E460" i="1" s="1"/>
  <c r="D459" i="1"/>
  <c r="D460" i="1" s="1"/>
  <c r="E502" i="1"/>
  <c r="E503" i="1" s="1"/>
  <c r="D502" i="1"/>
  <c r="D503" i="1" s="1"/>
  <c r="E499" i="1"/>
  <c r="E500" i="1" s="1"/>
  <c r="D499" i="1"/>
  <c r="D500" i="1" s="1"/>
  <c r="E496" i="1"/>
  <c r="E497" i="1" s="1"/>
  <c r="D496" i="1"/>
  <c r="D497" i="1" s="1"/>
  <c r="E493" i="1"/>
  <c r="E494" i="1" s="1"/>
  <c r="E490" i="1"/>
  <c r="E491" i="1" s="1"/>
  <c r="E487" i="1"/>
  <c r="E488" i="1" s="1"/>
  <c r="E692" i="1"/>
  <c r="E693" i="1" s="1"/>
  <c r="E689" i="1"/>
  <c r="E690" i="1" s="1"/>
  <c r="E686" i="1"/>
  <c r="E687" i="1" s="1"/>
  <c r="D686" i="1"/>
  <c r="D687" i="1" s="1"/>
  <c r="E683" i="1"/>
  <c r="E684" i="1" s="1"/>
  <c r="E680" i="1"/>
  <c r="E681" i="1" s="1"/>
  <c r="D680" i="1"/>
  <c r="D681" i="1" s="1"/>
  <c r="E678" i="1"/>
  <c r="E677" i="1"/>
  <c r="D677" i="1"/>
  <c r="D678" i="1" s="1"/>
  <c r="E674" i="1"/>
  <c r="E675" i="1" s="1"/>
  <c r="E671" i="1"/>
  <c r="E672" i="1" s="1"/>
  <c r="D671" i="1"/>
  <c r="D672" i="1" s="1"/>
  <c r="E668" i="1"/>
  <c r="E669" i="1" s="1"/>
  <c r="D668" i="1"/>
  <c r="D669" i="1" s="1"/>
  <c r="E665" i="1"/>
  <c r="E666" i="1" s="1"/>
  <c r="D665" i="1"/>
  <c r="D666" i="1" s="1"/>
  <c r="E662" i="1"/>
  <c r="E663" i="1" s="1"/>
  <c r="D662" i="1"/>
  <c r="D663" i="1" s="1"/>
  <c r="E659" i="1"/>
  <c r="E660" i="1" s="1"/>
  <c r="D659" i="1"/>
  <c r="D660" i="1" s="1"/>
  <c r="D657" i="1"/>
  <c r="E656" i="1"/>
  <c r="E657" i="1" s="1"/>
  <c r="D656" i="1"/>
  <c r="E653" i="1"/>
  <c r="E654" i="1" s="1"/>
  <c r="E651" i="1"/>
  <c r="E650" i="1"/>
  <c r="D650" i="1"/>
  <c r="D651" i="1" s="1"/>
  <c r="D648" i="1"/>
  <c r="E647" i="1"/>
  <c r="E648" i="1" s="1"/>
  <c r="D647" i="1"/>
  <c r="E645" i="1"/>
  <c r="E644" i="1"/>
  <c r="D644" i="1"/>
  <c r="D645" i="1" s="1"/>
  <c r="E641" i="1"/>
  <c r="E642" i="1" s="1"/>
  <c r="D641" i="1"/>
  <c r="D642" i="1" s="1"/>
  <c r="E638" i="1"/>
  <c r="E639" i="1" s="1"/>
  <c r="D638" i="1"/>
  <c r="D639" i="1" s="1"/>
  <c r="E635" i="1"/>
  <c r="E636" i="1" s="1"/>
  <c r="D635" i="1"/>
  <c r="D636" i="1" s="1"/>
  <c r="E632" i="1"/>
  <c r="E633" i="1" s="1"/>
  <c r="E629" i="1"/>
  <c r="E630" i="1" s="1"/>
  <c r="D629" i="1"/>
  <c r="D630" i="1" s="1"/>
  <c r="E627" i="1"/>
  <c r="E626" i="1"/>
  <c r="D626" i="1"/>
  <c r="D627" i="1" s="1"/>
  <c r="D624" i="1"/>
  <c r="E623" i="1"/>
  <c r="E624" i="1" s="1"/>
  <c r="D623" i="1"/>
  <c r="E620" i="1"/>
  <c r="E621" i="1" s="1"/>
  <c r="D620" i="1"/>
  <c r="D621" i="1" s="1"/>
  <c r="E617" i="1"/>
  <c r="E618" i="1" s="1"/>
  <c r="D617" i="1"/>
  <c r="D618" i="1" s="1"/>
  <c r="E614" i="1"/>
  <c r="E615" i="1" s="1"/>
  <c r="D614" i="1"/>
  <c r="D615" i="1" s="1"/>
  <c r="E611" i="1"/>
  <c r="E612" i="1" s="1"/>
  <c r="D611" i="1"/>
  <c r="D612" i="1" s="1"/>
  <c r="E608" i="1"/>
  <c r="E609" i="1" s="1"/>
  <c r="D608" i="1"/>
  <c r="D609" i="1" s="1"/>
  <c r="E605" i="1"/>
  <c r="E606" i="1" s="1"/>
  <c r="D605" i="1"/>
  <c r="D606" i="1" s="1"/>
  <c r="E603" i="1"/>
  <c r="E602" i="1"/>
  <c r="D602" i="1"/>
  <c r="D603" i="1" s="1"/>
  <c r="D600" i="1"/>
  <c r="E599" i="1"/>
  <c r="E600" i="1" s="1"/>
  <c r="D599" i="1"/>
  <c r="E596" i="1"/>
  <c r="E597" i="1" s="1"/>
  <c r="D596" i="1"/>
  <c r="D597" i="1" s="1"/>
  <c r="E593" i="1"/>
  <c r="E594" i="1" s="1"/>
  <c r="D593" i="1"/>
  <c r="D594" i="1" s="1"/>
  <c r="E590" i="1"/>
  <c r="E591" i="1" s="1"/>
  <c r="D590" i="1"/>
  <c r="D591" i="1" s="1"/>
  <c r="E587" i="1"/>
  <c r="E588" i="1" s="1"/>
  <c r="D587" i="1"/>
  <c r="D588" i="1" s="1"/>
  <c r="E584" i="1"/>
  <c r="E585" i="1" s="1"/>
  <c r="D584" i="1"/>
  <c r="D585" i="1" s="1"/>
  <c r="E581" i="1"/>
  <c r="E582" i="1" s="1"/>
  <c r="D581" i="1"/>
  <c r="D582" i="1" s="1"/>
  <c r="E578" i="1"/>
  <c r="E579" i="1" s="1"/>
  <c r="D578" i="1"/>
  <c r="D579" i="1" s="1"/>
  <c r="E575" i="1"/>
  <c r="E576" i="1" s="1"/>
  <c r="D575" i="1"/>
  <c r="D576" i="1" s="1"/>
  <c r="E572" i="1"/>
  <c r="E573" i="1" s="1"/>
  <c r="D572" i="1"/>
  <c r="D573" i="1" s="1"/>
  <c r="E569" i="1"/>
  <c r="E570" i="1" s="1"/>
  <c r="D569" i="1"/>
  <c r="D570" i="1" s="1"/>
  <c r="E566" i="1"/>
  <c r="E567" i="1" s="1"/>
  <c r="D566" i="1"/>
  <c r="D567" i="1" s="1"/>
  <c r="E563" i="1"/>
  <c r="E564" i="1" s="1"/>
  <c r="D563" i="1"/>
  <c r="D564" i="1" s="1"/>
  <c r="D561" i="1"/>
  <c r="E560" i="1"/>
  <c r="E561" i="1" s="1"/>
  <c r="D560" i="1"/>
  <c r="E557" i="1"/>
  <c r="E558" i="1" s="1"/>
  <c r="D557" i="1"/>
  <c r="D558" i="1" s="1"/>
  <c r="E554" i="1"/>
  <c r="E555" i="1" s="1"/>
  <c r="D554" i="1"/>
  <c r="D555" i="1" s="1"/>
  <c r="E551" i="1"/>
  <c r="E552" i="1" s="1"/>
  <c r="D551" i="1"/>
  <c r="D552" i="1" s="1"/>
  <c r="E548" i="1"/>
  <c r="E549" i="1" s="1"/>
  <c r="D548" i="1"/>
  <c r="D549" i="1" s="1"/>
  <c r="E545" i="1"/>
  <c r="E546" i="1" s="1"/>
  <c r="D545" i="1"/>
  <c r="D546" i="1" s="1"/>
  <c r="E542" i="1"/>
  <c r="E543" i="1" s="1"/>
  <c r="D542" i="1"/>
  <c r="D543" i="1" s="1"/>
  <c r="E540" i="1"/>
  <c r="E539" i="1"/>
  <c r="D539" i="1"/>
  <c r="D540" i="1" s="1"/>
  <c r="E536" i="1"/>
  <c r="E537" i="1" s="1"/>
  <c r="D536" i="1"/>
  <c r="D537" i="1" s="1"/>
  <c r="E533" i="1"/>
  <c r="E534" i="1" s="1"/>
  <c r="D533" i="1"/>
  <c r="D534" i="1" s="1"/>
  <c r="E530" i="1"/>
  <c r="E531" i="1" s="1"/>
  <c r="D530" i="1"/>
  <c r="D531" i="1" s="1"/>
  <c r="E527" i="1"/>
  <c r="E528" i="1" s="1"/>
  <c r="D527" i="1"/>
  <c r="D528" i="1" s="1"/>
  <c r="E524" i="1"/>
  <c r="E525" i="1" s="1"/>
  <c r="D524" i="1"/>
  <c r="D525" i="1" s="1"/>
  <c r="E521" i="1"/>
  <c r="E522" i="1" s="1"/>
  <c r="D521" i="1"/>
  <c r="D522" i="1" s="1"/>
  <c r="E518" i="1"/>
  <c r="E519" i="1" s="1"/>
  <c r="D518" i="1"/>
  <c r="D519" i="1" s="1"/>
  <c r="E515" i="1"/>
  <c r="E516" i="1" s="1"/>
  <c r="D515" i="1"/>
  <c r="D516" i="1" s="1"/>
  <c r="E882" i="1"/>
  <c r="E883" i="1" s="1"/>
  <c r="D882" i="1"/>
  <c r="D883" i="1" s="1"/>
  <c r="E879" i="1"/>
  <c r="E880" i="1" s="1"/>
  <c r="E876" i="1"/>
  <c r="E877" i="1" s="1"/>
  <c r="D876" i="1"/>
  <c r="D877" i="1" s="1"/>
  <c r="E873" i="1"/>
  <c r="E874" i="1" s="1"/>
  <c r="E871" i="1"/>
  <c r="E870" i="1"/>
  <c r="E867" i="1"/>
  <c r="E868" i="1" s="1"/>
  <c r="D867" i="1"/>
  <c r="D868" i="1" s="1"/>
  <c r="E864" i="1"/>
  <c r="E865" i="1" s="1"/>
  <c r="D864" i="1"/>
  <c r="D865" i="1" s="1"/>
  <c r="E861" i="1"/>
  <c r="E862" i="1" s="1"/>
  <c r="D861" i="1"/>
  <c r="D862" i="1" s="1"/>
  <c r="E859" i="1"/>
  <c r="E858" i="1"/>
  <c r="D858" i="1"/>
  <c r="D859" i="1" s="1"/>
  <c r="E855" i="1"/>
  <c r="E856" i="1" s="1"/>
  <c r="E853" i="1"/>
  <c r="E852" i="1"/>
  <c r="D852" i="1"/>
  <c r="D853" i="1" s="1"/>
  <c r="E849" i="1"/>
  <c r="E850" i="1" s="1"/>
  <c r="D849" i="1"/>
  <c r="D850" i="1" s="1"/>
  <c r="D847" i="1"/>
  <c r="E846" i="1"/>
  <c r="E847" i="1" s="1"/>
  <c r="D846" i="1"/>
  <c r="E843" i="1"/>
  <c r="E844" i="1" s="1"/>
  <c r="D843" i="1"/>
  <c r="D844" i="1" s="1"/>
  <c r="E841" i="1"/>
  <c r="E840" i="1"/>
  <c r="D840" i="1"/>
  <c r="D841" i="1" s="1"/>
  <c r="E838" i="1"/>
  <c r="E837" i="1"/>
  <c r="D837" i="1"/>
  <c r="D838" i="1" s="1"/>
  <c r="E834" i="1"/>
  <c r="E835" i="1" s="1"/>
  <c r="D834" i="1"/>
  <c r="D835" i="1" s="1"/>
  <c r="E831" i="1"/>
  <c r="E832" i="1" s="1"/>
  <c r="D831" i="1"/>
  <c r="D832" i="1" s="1"/>
  <c r="E828" i="1"/>
  <c r="E829" i="1" s="1"/>
  <c r="D828" i="1"/>
  <c r="D829" i="1" s="1"/>
  <c r="D826" i="1"/>
  <c r="E825" i="1"/>
  <c r="E826" i="1" s="1"/>
  <c r="D825" i="1"/>
  <c r="E822" i="1"/>
  <c r="E823" i="1" s="1"/>
  <c r="D822" i="1"/>
  <c r="D823" i="1" s="1"/>
  <c r="E819" i="1"/>
  <c r="E820" i="1" s="1"/>
  <c r="D819" i="1"/>
  <c r="D820" i="1" s="1"/>
  <c r="E817" i="1"/>
  <c r="E816" i="1"/>
  <c r="D816" i="1"/>
  <c r="D817" i="1" s="1"/>
  <c r="E813" i="1"/>
  <c r="E814" i="1" s="1"/>
  <c r="D813" i="1"/>
  <c r="D814" i="1" s="1"/>
  <c r="E810" i="1"/>
  <c r="E811" i="1" s="1"/>
  <c r="D810" i="1"/>
  <c r="D811" i="1" s="1"/>
  <c r="E808" i="1"/>
  <c r="D808" i="1"/>
  <c r="E807" i="1"/>
  <c r="D807" i="1"/>
  <c r="E804" i="1"/>
  <c r="E805" i="1" s="1"/>
  <c r="D804" i="1"/>
  <c r="D805" i="1" s="1"/>
  <c r="E801" i="1"/>
  <c r="E802" i="1" s="1"/>
  <c r="D801" i="1"/>
  <c r="D802" i="1" s="1"/>
  <c r="E799" i="1"/>
  <c r="E798" i="1"/>
  <c r="D798" i="1"/>
  <c r="D799" i="1" s="1"/>
  <c r="E795" i="1"/>
  <c r="E796" i="1" s="1"/>
  <c r="D795" i="1"/>
  <c r="D796" i="1" s="1"/>
  <c r="D793" i="1"/>
  <c r="E792" i="1"/>
  <c r="E793" i="1" s="1"/>
  <c r="D792" i="1"/>
  <c r="E790" i="1"/>
  <c r="E789" i="1"/>
  <c r="D789" i="1"/>
  <c r="D790" i="1" s="1"/>
  <c r="E787" i="1"/>
  <c r="E786" i="1"/>
  <c r="D786" i="1"/>
  <c r="D787" i="1" s="1"/>
  <c r="E783" i="1"/>
  <c r="E784" i="1" s="1"/>
  <c r="D783" i="1"/>
  <c r="D784" i="1" s="1"/>
  <c r="E780" i="1"/>
  <c r="E781" i="1" s="1"/>
  <c r="D780" i="1"/>
  <c r="D781" i="1" s="1"/>
  <c r="E778" i="1"/>
  <c r="E777" i="1"/>
  <c r="D777" i="1"/>
  <c r="D778" i="1" s="1"/>
  <c r="E774" i="1"/>
  <c r="E775" i="1" s="1"/>
  <c r="D774" i="1"/>
  <c r="D775" i="1" s="1"/>
  <c r="E771" i="1"/>
  <c r="E772" i="1" s="1"/>
  <c r="D771" i="1"/>
  <c r="D772" i="1" s="1"/>
  <c r="E768" i="1"/>
  <c r="E769" i="1" s="1"/>
  <c r="D768" i="1"/>
  <c r="D769" i="1" s="1"/>
  <c r="D766" i="1"/>
  <c r="E765" i="1"/>
  <c r="E766" i="1" s="1"/>
  <c r="D765" i="1"/>
  <c r="E762" i="1"/>
  <c r="E763" i="1" s="1"/>
  <c r="D762" i="1"/>
  <c r="D763" i="1" s="1"/>
  <c r="E759" i="1"/>
  <c r="E760" i="1" s="1"/>
  <c r="D759" i="1"/>
  <c r="D760" i="1" s="1"/>
  <c r="E756" i="1"/>
  <c r="E757" i="1" s="1"/>
  <c r="D756" i="1"/>
  <c r="D757" i="1" s="1"/>
  <c r="E753" i="1"/>
  <c r="E754" i="1" s="1"/>
  <c r="D753" i="1"/>
  <c r="D754" i="1" s="1"/>
  <c r="E750" i="1"/>
  <c r="E751" i="1" s="1"/>
  <c r="D750" i="1"/>
  <c r="D751" i="1" s="1"/>
  <c r="E747" i="1"/>
  <c r="E748" i="1" s="1"/>
  <c r="D747" i="1"/>
  <c r="D748" i="1" s="1"/>
  <c r="E744" i="1"/>
  <c r="E745" i="1" s="1"/>
  <c r="D744" i="1"/>
  <c r="D745" i="1" s="1"/>
  <c r="E741" i="1"/>
  <c r="E742" i="1" s="1"/>
  <c r="D741" i="1"/>
  <c r="D742" i="1" s="1"/>
  <c r="E738" i="1"/>
  <c r="E739" i="1" s="1"/>
  <c r="D738" i="1"/>
  <c r="D739" i="1" s="1"/>
  <c r="E736" i="1"/>
  <c r="E735" i="1"/>
  <c r="D735" i="1"/>
  <c r="D736" i="1" s="1"/>
  <c r="E732" i="1"/>
  <c r="E733" i="1" s="1"/>
  <c r="D732" i="1"/>
  <c r="D733" i="1" s="1"/>
  <c r="E730" i="1"/>
  <c r="E729" i="1"/>
  <c r="D729" i="1"/>
  <c r="D730" i="1" s="1"/>
  <c r="E726" i="1"/>
  <c r="E727" i="1" s="1"/>
  <c r="D726" i="1"/>
  <c r="D727" i="1" s="1"/>
  <c r="E723" i="1"/>
  <c r="E724" i="1" s="1"/>
  <c r="D723" i="1"/>
  <c r="D724" i="1" s="1"/>
  <c r="D721" i="1"/>
  <c r="E720" i="1"/>
  <c r="E721" i="1" s="1"/>
  <c r="D720" i="1"/>
  <c r="E717" i="1"/>
  <c r="E718" i="1" s="1"/>
  <c r="D717" i="1"/>
  <c r="D718" i="1" s="1"/>
  <c r="E714" i="1"/>
  <c r="E715" i="1" s="1"/>
  <c r="D714" i="1"/>
  <c r="D715" i="1" s="1"/>
  <c r="D712" i="1"/>
  <c r="E711" i="1"/>
  <c r="E712" i="1" s="1"/>
  <c r="D711" i="1"/>
  <c r="E708" i="1"/>
  <c r="E709" i="1" s="1"/>
  <c r="D708" i="1"/>
  <c r="D709" i="1" s="1"/>
  <c r="E705" i="1"/>
  <c r="E706" i="1" s="1"/>
  <c r="D705" i="1"/>
  <c r="D706" i="1" s="1"/>
  <c r="D224" i="1"/>
  <c r="E223" i="1"/>
  <c r="E224" i="1" s="1"/>
  <c r="D223" i="1"/>
  <c r="E220" i="1"/>
  <c r="E221" i="1" s="1"/>
  <c r="D220" i="1"/>
  <c r="D221" i="1" s="1"/>
  <c r="E217" i="1"/>
  <c r="E218" i="1" s="1"/>
  <c r="D217" i="1"/>
  <c r="D218" i="1" s="1"/>
  <c r="E214" i="1"/>
  <c r="E215" i="1" s="1"/>
  <c r="D214" i="1"/>
  <c r="D215" i="1" s="1"/>
  <c r="E211" i="1"/>
  <c r="E212" i="1" s="1"/>
  <c r="D211" i="1"/>
  <c r="D212" i="1" s="1"/>
  <c r="E208" i="1"/>
  <c r="E209" i="1" s="1"/>
  <c r="E205" i="1"/>
  <c r="E206" i="1" s="1"/>
  <c r="D205" i="1"/>
  <c r="D206" i="1" s="1"/>
  <c r="E202" i="1"/>
  <c r="E203" i="1" s="1"/>
  <c r="E199" i="1"/>
  <c r="E200" i="1" s="1"/>
  <c r="D199" i="1"/>
  <c r="D200" i="1" s="1"/>
  <c r="E196" i="1"/>
  <c r="E197" i="1" s="1"/>
  <c r="D196" i="1"/>
  <c r="D197" i="1" s="1"/>
  <c r="E194" i="1"/>
  <c r="E193" i="1"/>
  <c r="D193" i="1"/>
  <c r="D194" i="1" s="1"/>
  <c r="E190" i="1"/>
  <c r="E191" i="1" s="1"/>
  <c r="D190" i="1"/>
  <c r="D191" i="1" s="1"/>
  <c r="E188" i="1"/>
  <c r="E187" i="1"/>
  <c r="D187" i="1"/>
  <c r="D188" i="1" s="1"/>
  <c r="E184" i="1"/>
  <c r="E185" i="1" s="1"/>
  <c r="D184" i="1"/>
  <c r="D185" i="1" s="1"/>
  <c r="E181" i="1"/>
  <c r="E182" i="1" s="1"/>
  <c r="D181" i="1"/>
  <c r="D182" i="1" s="1"/>
  <c r="E178" i="1"/>
  <c r="E179" i="1" s="1"/>
  <c r="E175" i="1"/>
  <c r="E176" i="1" s="1"/>
  <c r="D175" i="1"/>
  <c r="D176" i="1" s="1"/>
  <c r="E172" i="1"/>
  <c r="E173" i="1" s="1"/>
  <c r="D172" i="1"/>
  <c r="D173" i="1" s="1"/>
  <c r="E170" i="1"/>
  <c r="E169" i="1"/>
  <c r="D169" i="1"/>
  <c r="D170" i="1" s="1"/>
  <c r="E166" i="1"/>
  <c r="E167" i="1" s="1"/>
  <c r="D166" i="1"/>
  <c r="D167" i="1" s="1"/>
  <c r="E163" i="1"/>
  <c r="E164" i="1" s="1"/>
  <c r="D163" i="1"/>
  <c r="D164" i="1" s="1"/>
  <c r="E160" i="1"/>
  <c r="E161" i="1" s="1"/>
  <c r="D160" i="1"/>
  <c r="D161" i="1" s="1"/>
  <c r="E157" i="1"/>
  <c r="E158" i="1" s="1"/>
  <c r="D157" i="1"/>
  <c r="D158" i="1" s="1"/>
  <c r="E154" i="1"/>
  <c r="E155" i="1" s="1"/>
  <c r="D154" i="1"/>
  <c r="D155" i="1" s="1"/>
  <c r="E151" i="1"/>
  <c r="E152" i="1" s="1"/>
  <c r="D151" i="1"/>
  <c r="D152" i="1" s="1"/>
  <c r="E148" i="1"/>
  <c r="E149" i="1" s="1"/>
  <c r="D148" i="1"/>
  <c r="D149" i="1" s="1"/>
  <c r="E145" i="1"/>
  <c r="E146" i="1" s="1"/>
  <c r="D145" i="1"/>
  <c r="D146" i="1" s="1"/>
  <c r="E142" i="1"/>
  <c r="E143" i="1" s="1"/>
  <c r="D142" i="1"/>
  <c r="D143" i="1" s="1"/>
  <c r="E139" i="1"/>
  <c r="E140" i="1" s="1"/>
  <c r="D139" i="1"/>
  <c r="D140" i="1" s="1"/>
  <c r="E136" i="1"/>
  <c r="E137" i="1" s="1"/>
  <c r="D136" i="1"/>
  <c r="D137" i="1" s="1"/>
  <c r="E134" i="1"/>
  <c r="E133" i="1"/>
  <c r="D133" i="1"/>
  <c r="D134" i="1" s="1"/>
  <c r="E130" i="1"/>
  <c r="E131" i="1" s="1"/>
  <c r="E127" i="1"/>
  <c r="E128" i="1" s="1"/>
  <c r="D127" i="1"/>
  <c r="D128" i="1" s="1"/>
  <c r="E124" i="1"/>
  <c r="E125" i="1" s="1"/>
  <c r="D124" i="1"/>
  <c r="D125" i="1" s="1"/>
  <c r="E121" i="1"/>
  <c r="E122" i="1" s="1"/>
  <c r="D121" i="1"/>
  <c r="D122" i="1" s="1"/>
  <c r="D119" i="1"/>
  <c r="E118" i="1"/>
  <c r="E119" i="1" s="1"/>
  <c r="D118" i="1"/>
  <c r="E115" i="1"/>
  <c r="E116" i="1" s="1"/>
  <c r="D115" i="1"/>
  <c r="D116" i="1" s="1"/>
  <c r="E112" i="1"/>
  <c r="E113" i="1" s="1"/>
  <c r="D112" i="1"/>
  <c r="D113" i="1" s="1"/>
  <c r="E110" i="1"/>
  <c r="E109" i="1"/>
  <c r="D109" i="1"/>
  <c r="D110" i="1" s="1"/>
  <c r="E106" i="1"/>
  <c r="E107" i="1" s="1"/>
  <c r="D106" i="1"/>
  <c r="D107" i="1" s="1"/>
  <c r="E103" i="1"/>
  <c r="E104" i="1" s="1"/>
  <c r="D103" i="1"/>
  <c r="D104" i="1" s="1"/>
  <c r="E100" i="1"/>
  <c r="E101" i="1" s="1"/>
  <c r="D100" i="1"/>
  <c r="D101" i="1" s="1"/>
  <c r="E97" i="1"/>
  <c r="E98" i="1" s="1"/>
  <c r="D97" i="1"/>
  <c r="D98" i="1" s="1"/>
  <c r="D95" i="1"/>
  <c r="E94" i="1"/>
  <c r="E95" i="1" s="1"/>
  <c r="D94" i="1"/>
  <c r="E91" i="1"/>
  <c r="E92" i="1" s="1"/>
  <c r="D91" i="1"/>
  <c r="D92" i="1" s="1"/>
  <c r="E89" i="1"/>
  <c r="E88" i="1"/>
  <c r="D88" i="1"/>
  <c r="D89" i="1" s="1"/>
  <c r="E85" i="1"/>
  <c r="E86" i="1" s="1"/>
  <c r="D85" i="1"/>
  <c r="D86" i="1" s="1"/>
  <c r="E82" i="1"/>
  <c r="E83" i="1" s="1"/>
  <c r="D82" i="1"/>
  <c r="D83" i="1" s="1"/>
  <c r="E80" i="1"/>
  <c r="E79" i="1"/>
  <c r="D79" i="1"/>
  <c r="D80" i="1" s="1"/>
  <c r="E77" i="1"/>
  <c r="E76" i="1"/>
  <c r="D76" i="1"/>
  <c r="D77" i="1" s="1"/>
  <c r="E73" i="1"/>
  <c r="E74" i="1" s="1"/>
  <c r="D73" i="1"/>
  <c r="D74" i="1" s="1"/>
  <c r="E71" i="1"/>
  <c r="E70" i="1"/>
  <c r="D70" i="1"/>
  <c r="D71" i="1" s="1"/>
  <c r="E67" i="1"/>
  <c r="E68" i="1" s="1"/>
  <c r="D67" i="1"/>
  <c r="D68" i="1" s="1"/>
  <c r="E64" i="1"/>
  <c r="E65" i="1" s="1"/>
  <c r="D64" i="1"/>
  <c r="D65" i="1" s="1"/>
  <c r="E61" i="1"/>
  <c r="E62" i="1" s="1"/>
  <c r="D61" i="1"/>
  <c r="D62" i="1" s="1"/>
  <c r="E58" i="1"/>
  <c r="E59" i="1" s="1"/>
  <c r="D58" i="1"/>
  <c r="D59" i="1" s="1"/>
  <c r="D56" i="1"/>
  <c r="E55" i="1"/>
  <c r="E56" i="1" s="1"/>
  <c r="D55" i="1"/>
  <c r="E52" i="1"/>
  <c r="E53" i="1" s="1"/>
  <c r="D52" i="1"/>
  <c r="D53" i="1" s="1"/>
  <c r="E49" i="1"/>
  <c r="E50" i="1" s="1"/>
  <c r="D49" i="1"/>
  <c r="D50" i="1" s="1"/>
  <c r="E46" i="1"/>
  <c r="E47" i="1" s="1"/>
  <c r="D46" i="1"/>
  <c r="D47" i="1" s="1"/>
  <c r="E43" i="1"/>
  <c r="E44" i="1" s="1"/>
  <c r="D43" i="1"/>
  <c r="D44" i="1" s="1"/>
  <c r="E40" i="1"/>
  <c r="E41" i="1" s="1"/>
  <c r="D40" i="1"/>
  <c r="D41" i="1" s="1"/>
  <c r="D38" i="1"/>
  <c r="E37" i="1"/>
  <c r="E38" i="1" s="1"/>
  <c r="D37" i="1"/>
  <c r="E34" i="1"/>
  <c r="E35" i="1" s="1"/>
  <c r="D34" i="1"/>
  <c r="D35" i="1" s="1"/>
  <c r="E31" i="1"/>
  <c r="E32" i="1" s="1"/>
  <c r="D31" i="1"/>
  <c r="D32" i="1" s="1"/>
  <c r="E28" i="1"/>
  <c r="E29" i="1" s="1"/>
  <c r="D28" i="1"/>
  <c r="D29" i="1" s="1"/>
  <c r="E25" i="1"/>
  <c r="E26" i="1" s="1"/>
  <c r="D25" i="1"/>
  <c r="D26" i="1" s="1"/>
  <c r="E22" i="1"/>
  <c r="E23" i="1" s="1"/>
  <c r="D22" i="1"/>
  <c r="D23" i="1" s="1"/>
  <c r="E19" i="1"/>
  <c r="E20" i="1" s="1"/>
  <c r="D19" i="1"/>
  <c r="D20" i="1" s="1"/>
  <c r="B573" i="1" l="1"/>
  <c r="B666" i="1"/>
  <c r="B393" i="1"/>
  <c r="B715" i="1"/>
  <c r="B799" i="1"/>
  <c r="B805" i="1"/>
  <c r="B802" i="1"/>
  <c r="B808" i="1"/>
  <c r="B173" i="1"/>
  <c r="B50" i="1"/>
  <c r="B712" i="1"/>
  <c r="B74" i="1"/>
  <c r="B65" i="1"/>
  <c r="B101" i="1"/>
  <c r="B62" i="1"/>
  <c r="B110" i="1"/>
  <c r="B98" i="1"/>
  <c r="B56" i="1"/>
  <c r="B59" i="1"/>
  <c r="B53" i="1"/>
  <c r="B44" i="1"/>
  <c r="B95" i="1"/>
  <c r="B32" i="1"/>
  <c r="B41" i="1"/>
  <c r="B26" i="1"/>
  <c r="B29" i="1"/>
  <c r="B89" i="1"/>
  <c r="B47" i="1"/>
  <c r="B38" i="1"/>
  <c r="B80" i="1"/>
  <c r="B77" i="1"/>
  <c r="B92" i="1"/>
  <c r="B104" i="1"/>
  <c r="B137" i="1"/>
  <c r="B20" i="1"/>
  <c r="B68" i="1"/>
  <c r="B122" i="1"/>
  <c r="B170" i="1"/>
  <c r="B188" i="1"/>
  <c r="B221" i="1"/>
  <c r="B116" i="1"/>
  <c r="B167" i="1"/>
  <c r="B107" i="1"/>
  <c r="B128" i="1"/>
  <c r="B164" i="1"/>
  <c r="B206" i="1"/>
  <c r="B125" i="1"/>
  <c r="B152" i="1"/>
  <c r="B119" i="1"/>
  <c r="B155" i="1"/>
  <c r="B83" i="1"/>
  <c r="B35" i="1"/>
  <c r="B149" i="1"/>
  <c r="B158" i="1"/>
  <c r="B197" i="1"/>
  <c r="B200" i="1"/>
  <c r="B709" i="1"/>
  <c r="B146" i="1"/>
  <c r="B182" i="1"/>
  <c r="B179" i="1"/>
  <c r="B194" i="1"/>
  <c r="B23" i="1"/>
  <c r="B71" i="1"/>
  <c r="B131" i="1"/>
  <c r="B140" i="1"/>
  <c r="B143" i="1"/>
  <c r="B176" i="1"/>
  <c r="B86" i="1"/>
  <c r="B191" i="1"/>
  <c r="D130" i="1"/>
  <c r="D131" i="1" s="1"/>
  <c r="B718" i="1"/>
  <c r="D202" i="1"/>
  <c r="D203" i="1" s="1"/>
  <c r="D208" i="1"/>
  <c r="D209" i="1" s="1"/>
  <c r="B724" i="1"/>
  <c r="B727" i="1"/>
  <c r="D178" i="1"/>
  <c r="D179" i="1" s="1"/>
  <c r="B706" i="1"/>
  <c r="B745" i="1"/>
  <c r="B721" i="1"/>
  <c r="B739" i="1"/>
  <c r="B787" i="1"/>
  <c r="B784" i="1"/>
  <c r="B763" i="1"/>
  <c r="B760" i="1"/>
  <c r="B748" i="1"/>
  <c r="B757" i="1"/>
  <c r="B733" i="1"/>
  <c r="B781" i="1"/>
  <c r="B793" i="1"/>
  <c r="B796" i="1"/>
  <c r="B730" i="1"/>
  <c r="B736" i="1"/>
  <c r="B772" i="1"/>
  <c r="B754" i="1"/>
  <c r="B742" i="1"/>
  <c r="B817" i="1"/>
  <c r="B826" i="1"/>
  <c r="B850" i="1"/>
  <c r="B775" i="1"/>
  <c r="B823" i="1"/>
  <c r="B829" i="1"/>
  <c r="B832" i="1"/>
  <c r="B811" i="1"/>
  <c r="B820" i="1"/>
  <c r="B847" i="1"/>
  <c r="B751" i="1"/>
  <c r="B877" i="1"/>
  <c r="B865" i="1"/>
  <c r="B868" i="1"/>
  <c r="B862" i="1"/>
  <c r="B766" i="1"/>
  <c r="B883" i="1"/>
  <c r="B790" i="1"/>
  <c r="B814" i="1"/>
  <c r="B778" i="1"/>
  <c r="B856" i="1"/>
  <c r="B522" i="1"/>
  <c r="B838" i="1"/>
  <c r="B841" i="1"/>
  <c r="B871" i="1"/>
  <c r="B769" i="1"/>
  <c r="B835" i="1"/>
  <c r="B844" i="1"/>
  <c r="B540" i="1"/>
  <c r="B555" i="1"/>
  <c r="B567" i="1"/>
  <c r="D855" i="1"/>
  <c r="D856" i="1" s="1"/>
  <c r="B519" i="1"/>
  <c r="D870" i="1"/>
  <c r="D871" i="1" s="1"/>
  <c r="B531" i="1"/>
  <c r="B558" i="1"/>
  <c r="B564" i="1"/>
  <c r="D873" i="1"/>
  <c r="D874" i="1" s="1"/>
  <c r="D879" i="1"/>
  <c r="D880" i="1" s="1"/>
  <c r="B552" i="1"/>
  <c r="B546" i="1"/>
  <c r="B516" i="1"/>
  <c r="B528" i="1"/>
  <c r="B534" i="1"/>
  <c r="B579" i="1"/>
  <c r="B525" i="1"/>
  <c r="B600" i="1"/>
  <c r="B603" i="1"/>
  <c r="B609" i="1"/>
  <c r="B654" i="1"/>
  <c r="B612" i="1"/>
  <c r="B681" i="1"/>
  <c r="B488" i="1"/>
  <c r="B645" i="1"/>
  <c r="B651" i="1"/>
  <c r="B663" i="1"/>
  <c r="B543" i="1"/>
  <c r="B618" i="1"/>
  <c r="B624" i="1"/>
  <c r="B621" i="1"/>
  <c r="B627" i="1"/>
  <c r="B630" i="1"/>
  <c r="B639" i="1"/>
  <c r="B642" i="1"/>
  <c r="B561" i="1"/>
  <c r="B615" i="1"/>
  <c r="B633" i="1"/>
  <c r="B636" i="1"/>
  <c r="B497" i="1"/>
  <c r="B585" i="1"/>
  <c r="B591" i="1"/>
  <c r="B672" i="1"/>
  <c r="B466" i="1"/>
  <c r="B588" i="1"/>
  <c r="B594" i="1"/>
  <c r="B678" i="1"/>
  <c r="B660" i="1"/>
  <c r="B549" i="1"/>
  <c r="B570" i="1"/>
  <c r="B576" i="1"/>
  <c r="B537" i="1"/>
  <c r="B669" i="1"/>
  <c r="B500" i="1"/>
  <c r="B582" i="1"/>
  <c r="B606" i="1"/>
  <c r="B648" i="1"/>
  <c r="B657" i="1"/>
  <c r="D653" i="1"/>
  <c r="D654" i="1" s="1"/>
  <c r="B463" i="1"/>
  <c r="D692" i="1"/>
  <c r="D693" i="1" s="1"/>
  <c r="B475" i="1"/>
  <c r="B597" i="1"/>
  <c r="D689" i="1"/>
  <c r="D690" i="1" s="1"/>
  <c r="D493" i="1"/>
  <c r="D494" i="1" s="1"/>
  <c r="D674" i="1"/>
  <c r="D675" i="1" s="1"/>
  <c r="D490" i="1"/>
  <c r="D491" i="1" s="1"/>
  <c r="B460" i="1"/>
  <c r="D632" i="1"/>
  <c r="D633" i="1" s="1"/>
  <c r="B447" i="1"/>
  <c r="B381" i="1"/>
  <c r="B390" i="1"/>
  <c r="B387" i="1"/>
  <c r="B350" i="1"/>
  <c r="B396" i="1"/>
  <c r="B347" i="1"/>
  <c r="D683" i="1"/>
  <c r="D684" i="1" s="1"/>
  <c r="D487" i="1"/>
  <c r="D488" i="1" s="1"/>
  <c r="B353" i="1"/>
  <c r="B362" i="1"/>
  <c r="B274" i="1"/>
  <c r="B292" i="1"/>
  <c r="D380" i="1"/>
  <c r="D381" i="1" s="1"/>
  <c r="B365" i="1"/>
  <c r="B356" i="1"/>
  <c r="B247" i="1"/>
  <c r="B250" i="1"/>
  <c r="D358" i="1"/>
  <c r="D359" i="1" s="1"/>
  <c r="B295" i="1"/>
  <c r="B280" i="1"/>
  <c r="B313" i="1"/>
  <c r="B316" i="1"/>
  <c r="B268" i="1"/>
  <c r="B277" i="1"/>
  <c r="B265" i="1"/>
  <c r="B271" i="1"/>
  <c r="D420" i="1"/>
  <c r="D421" i="1" s="1"/>
  <c r="D355" i="1"/>
  <c r="D356" i="1" s="1"/>
  <c r="B262" i="1"/>
  <c r="B253" i="1"/>
  <c r="B256" i="1"/>
  <c r="B289" i="1"/>
  <c r="B310" i="1"/>
  <c r="B259" i="1"/>
  <c r="B331" i="1"/>
  <c r="D349" i="1"/>
  <c r="D350" i="1" s="1"/>
  <c r="B307" i="1"/>
  <c r="B334" i="1"/>
  <c r="B286" i="1"/>
  <c r="B304" i="1"/>
  <c r="B328" i="1"/>
  <c r="D367" i="1"/>
  <c r="D368" i="1" s="1"/>
  <c r="B301" i="1"/>
  <c r="B325" i="1"/>
  <c r="B283" i="1"/>
  <c r="B298" i="1"/>
  <c r="B322" i="1"/>
  <c r="B319" i="1"/>
  <c r="E443" i="1"/>
  <c r="E243" i="1"/>
  <c r="E343" i="1"/>
  <c r="E456" i="1"/>
  <c r="E414" i="1"/>
  <c r="E377" i="1"/>
  <c r="E484" i="1"/>
  <c r="E233" i="1"/>
  <c r="E702" i="1"/>
  <c r="Q886" i="1"/>
  <c r="B384" i="1" l="1"/>
  <c r="B218" i="1"/>
  <c r="B215" i="1"/>
  <c r="B880" i="1"/>
  <c r="B405" i="1"/>
  <c r="B675" i="1"/>
  <c r="B874" i="1"/>
  <c r="B853" i="1"/>
  <c r="B224" i="1"/>
  <c r="B359" i="1"/>
  <c r="B399" i="1"/>
  <c r="B503" i="1"/>
  <c r="B418" i="1"/>
  <c r="B684" i="1"/>
  <c r="B690" i="1"/>
  <c r="B469" i="1"/>
  <c r="B687" i="1"/>
  <c r="B368" i="1"/>
  <c r="B859" i="1"/>
  <c r="E433" i="1"/>
  <c r="B472" i="1"/>
  <c r="B212" i="1"/>
  <c r="B402" i="1"/>
  <c r="B161" i="1"/>
  <c r="B693" i="1"/>
  <c r="B185" i="1"/>
  <c r="B113" i="1"/>
  <c r="B424" i="1"/>
  <c r="B491" i="1"/>
  <c r="B494" i="1"/>
  <c r="B203" i="1"/>
  <c r="B209" i="1"/>
  <c r="E234" i="1"/>
  <c r="E485" i="1"/>
  <c r="E415" i="1"/>
  <c r="E457" i="1"/>
  <c r="E344" i="1"/>
  <c r="E512" i="1"/>
  <c r="E244" i="1"/>
  <c r="E378" i="1"/>
  <c r="E703" i="1"/>
  <c r="E444" i="1"/>
  <c r="E434" i="1" l="1"/>
  <c r="E513" i="1"/>
  <c r="D7" i="2" l="1"/>
  <c r="D6" i="2"/>
  <c r="D5" i="2"/>
  <c r="D512" i="1" l="1"/>
  <c r="D513" i="1" s="1"/>
  <c r="D243" i="1"/>
  <c r="D244" i="1" s="1"/>
  <c r="D343" i="1"/>
  <c r="D344" i="1" s="1"/>
  <c r="D456" i="1"/>
  <c r="D457" i="1" s="1"/>
  <c r="D414" i="1"/>
  <c r="D415" i="1" s="1"/>
  <c r="D377" i="1"/>
  <c r="D378" i="1" s="1"/>
  <c r="D484" i="1"/>
  <c r="D485" i="1" s="1"/>
  <c r="D443" i="1"/>
  <c r="D444" i="1" s="1"/>
  <c r="R886" i="1"/>
  <c r="D702" i="1"/>
  <c r="D703" i="1" s="1"/>
  <c r="D233" i="1"/>
  <c r="D234" i="1" s="1"/>
  <c r="D433" i="1"/>
  <c r="D434" i="1" s="1"/>
  <c r="B444" i="1" l="1"/>
  <c r="B415" i="1"/>
  <c r="B513" i="1"/>
  <c r="B234" i="1"/>
  <c r="B703" i="1"/>
  <c r="B457" i="1"/>
  <c r="B378" i="1"/>
  <c r="B344" i="1"/>
  <c r="B434" i="1"/>
  <c r="B485" i="1"/>
  <c r="B244" i="1"/>
  <c r="E16" i="1"/>
  <c r="E17" i="1" l="1"/>
  <c r="D16" i="1" l="1"/>
  <c r="D17" i="1" s="1"/>
  <c r="B17" i="1" l="1"/>
</calcChain>
</file>

<file path=xl/sharedStrings.xml><?xml version="1.0" encoding="utf-8"?>
<sst xmlns="http://schemas.openxmlformats.org/spreadsheetml/2006/main" count="9394" uniqueCount="6748">
  <si>
    <t>hide</t>
  </si>
  <si>
    <t>fit</t>
  </si>
  <si>
    <t>Due Date</t>
  </si>
  <si>
    <t>Posting Date</t>
  </si>
  <si>
    <t>Report Options</t>
  </si>
  <si>
    <t>Title</t>
  </si>
  <si>
    <t>Value</t>
  </si>
  <si>
    <t>Description</t>
  </si>
  <si>
    <t>Lookup</t>
  </si>
  <si>
    <t>Report Date:</t>
  </si>
  <si>
    <t>Option</t>
  </si>
  <si>
    <t>Doc. No.</t>
  </si>
  <si>
    <t>Amount (LCY)</t>
  </si>
  <si>
    <t>Hide</t>
  </si>
  <si>
    <t>Entry No</t>
  </si>
  <si>
    <t>min width --</t>
  </si>
  <si>
    <t>Amount</t>
  </si>
  <si>
    <t>Posting Date:</t>
  </si>
  <si>
    <t>Open</t>
  </si>
  <si>
    <t xml:space="preserve">Amount </t>
  </si>
  <si>
    <t>Remaining</t>
  </si>
  <si>
    <t>Currency Code</t>
  </si>
  <si>
    <t>Transaction Currency</t>
  </si>
  <si>
    <t>Local Currency</t>
  </si>
  <si>
    <t>Country/Region Code</t>
  </si>
  <si>
    <t>Country/ Region Code</t>
  </si>
  <si>
    <t>Tooltip</t>
  </si>
  <si>
    <t>Enter a date using the date format used in your NAV instance</t>
  </si>
  <si>
    <t>Hide+?</t>
  </si>
  <si>
    <t>AP Vendor Invoices &amp; Applied Payments</t>
  </si>
  <si>
    <t>Vendor No</t>
  </si>
  <si>
    <t>Vendor</t>
  </si>
  <si>
    <t>Vendor Np</t>
  </si>
  <si>
    <t>="*"</t>
  </si>
  <si>
    <t>=NL("Lookup","Vendor","35 Country/Region Code")</t>
  </si>
  <si>
    <t>=NL("Lookup","Vendor",{"No.","Name"})</t>
  </si>
  <si>
    <t>FALSE</t>
  </si>
  <si>
    <t>=NL("Lookup",{"True","False"},{"True is Open, False is Closed"})</t>
  </si>
  <si>
    <t>Auto+Hide+Hidesheet+Formulas=Sheet1,Sheet2+FormulasOnly</t>
  </si>
  <si>
    <t>=NP("eval","=Options!$D$5")</t>
  </si>
  <si>
    <t>=TODAY()</t>
  </si>
  <si>
    <t>=NP("eval","=Options!$D$6")</t>
  </si>
  <si>
    <t>=NP("eval","=Options!$D$7")</t>
  </si>
  <si>
    <t>=NP("eval","=Options!$D$8")</t>
  </si>
  <si>
    <t>=NL("Rows=10","Vendor",,"1 No.",$J$8,"35 Country/Region Code",$J$7,"LINK=","Vendor Ledger Entry","Vendor No.","=1 No.","Document Type","Invoice","4 Posting Date",$J$6,"36 Open",$J$9)</t>
  </si>
  <si>
    <t>=NF(H11,"No.")</t>
  </si>
  <si>
    <t>=H11</t>
  </si>
  <si>
    <t>=NF(H11,"Name")</t>
  </si>
  <si>
    <t>=H12</t>
  </si>
  <si>
    <t>=NF(H11,"8 Contact")</t>
  </si>
  <si>
    <t>=H16</t>
  </si>
  <si>
    <t>=I11</t>
  </si>
  <si>
    <t>=IF(NF(H16,"Entry no.")&lt;&gt;"",NF(H16,"Entry no."),0)</t>
  </si>
  <si>
    <t>=NL("Rows=3","Vendor Ledger Entry",,"Vendor No.","@@"&amp;E16,"5 Document Type","Invoice","Posting Date",$J$6,"36 Open",$J$9)</t>
  </si>
  <si>
    <t>=NF(H16,"7 Description")</t>
  </si>
  <si>
    <t>=NF(H16,"6 Document No.")</t>
  </si>
  <si>
    <t>=NF(H16,"37 Due Date")</t>
  </si>
  <si>
    <t>=NF(H16,"4 Posting Date")</t>
  </si>
  <si>
    <t>=NF(H16,"11 Currency code")</t>
  </si>
  <si>
    <t>=IF(NF($H16,"13 Amount")=Q16,0,NF($H16,"13 Amount"))</t>
  </si>
  <si>
    <t>=IF(NF($H16,"14 Remaining Amount")=R16,0,NF($H16,"14 Remaining Amount"))</t>
  </si>
  <si>
    <t>=NF(H16,"17 Amount (LCY)")</t>
  </si>
  <si>
    <t>=NF(H16,"16 Remaining Amt. (LCY)")</t>
  </si>
  <si>
    <t>=IF(H17="","Hide","Show")</t>
  </si>
  <si>
    <t>=D16</t>
  </si>
  <si>
    <t>=E16</t>
  </si>
  <si>
    <t>=NF(H17,"Vendor Ledger Entry No.")</t>
  </si>
  <si>
    <t>=NL("Rows","Detailed Vendor Ledg. Entry",,"Vendor Ledger Entry No.","@@"&amp;G16,"Entry Type","&lt;&gt;"&amp;"Initial Entry")</t>
  </si>
  <si>
    <t>=NF($H17,"5 Document Type")</t>
  </si>
  <si>
    <t>=NF($H17,"6 Document No.")</t>
  </si>
  <si>
    <t>=NF($H17,"4 Posting Date")</t>
  </si>
  <si>
    <t>=NF(H17,"10 Currency Code")</t>
  </si>
  <si>
    <t>=IF(NF($H17,"7 Amount")=Q17,0,NF($H17,"7 Amount"))</t>
  </si>
  <si>
    <t>=IF(NF($H17,"16 Debit Amount")=R17,0,NF($H17,"16 Debit Amount"))</t>
  </si>
  <si>
    <t>=NF(H17,"8 Amount (LCY)")</t>
  </si>
  <si>
    <t>=CONCATENATE(I11," - ",I12,"      Remaining Amount  In Local Currency")</t>
  </si>
  <si>
    <t>=SUBTOTAL(9,R16:R19)</t>
  </si>
  <si>
    <t>Auto+Hide+Values+Formulas=Sheet3,Sheet4+FormulasOnly</t>
  </si>
  <si>
    <t>Auto</t>
  </si>
  <si>
    <t>=H19</t>
  </si>
  <si>
    <t>=I14</t>
  </si>
  <si>
    <t>=IF(NF(H19,"Entry no.")&lt;&gt;"",NF(H19,"Entry no."),0)</t>
  </si>
  <si>
    <t>="""Business Central"",""CRONUS JetCorp USA"",""25"",""1"",""361"""</t>
  </si>
  <si>
    <t>=NF(H19,"7 Description")</t>
  </si>
  <si>
    <t>=NF(H19,"6 Document No.")</t>
  </si>
  <si>
    <t>=NF(H19,"37 Due Date")</t>
  </si>
  <si>
    <t>=NF(H19,"4 Posting Date")</t>
  </si>
  <si>
    <t>=NF(H19,"11 Currency code")</t>
  </si>
  <si>
    <t>=IF(NF($H19,"13 Amount")=Q19,0,NF($H19,"13 Amount"))</t>
  </si>
  <si>
    <t>=IF(NF($H19,"14 Remaining Amount")=R19,0,NF($H19,"14 Remaining Amount"))</t>
  </si>
  <si>
    <t>=NF(H19,"17 Amount (LCY)")</t>
  </si>
  <si>
    <t>=NF(H19,"16 Remaining Amt. (LCY)")</t>
  </si>
  <si>
    <t>=IF(H20="","Hide","Show")</t>
  </si>
  <si>
    <t>=D19</t>
  </si>
  <si>
    <t>=E19</t>
  </si>
  <si>
    <t>=NF(H20,"Vendor Ledger Entry No.")</t>
  </si>
  <si>
    <t>=NL("Rows","Detailed Vendor Ledg. Entry",,"Vendor Ledger Entry No.","@@"&amp;G19,"Entry Type","&lt;&gt;"&amp;"Initial Entry")</t>
  </si>
  <si>
    <t>=NF($H20,"5 Document Type")</t>
  </si>
  <si>
    <t>=NF($H20,"6 Document No.")</t>
  </si>
  <si>
    <t>=NF($H20,"4 Posting Date")</t>
  </si>
  <si>
    <t>=NF(H20,"10 Currency Code")</t>
  </si>
  <si>
    <t>=IF(NF($H20,"7 Amount")=Q20,0,NF($H20,"7 Amount"))</t>
  </si>
  <si>
    <t>=IF(NF($H20,"16 Debit Amount")=R20,0,NF($H20,"16 Debit Amount"))</t>
  </si>
  <si>
    <t>=NF(H20,"8 Amount (LCY)")</t>
  </si>
  <si>
    <t>=H22</t>
  </si>
  <si>
    <t>=I17</t>
  </si>
  <si>
    <t>=IF(NF(H22,"Entry no.")&lt;&gt;"",NF(H22,"Entry no."),0)</t>
  </si>
  <si>
    <t>="""Business Central"",""CRONUS JetCorp USA"",""25"",""1"",""445"""</t>
  </si>
  <si>
    <t>=NF(H22,"7 Description")</t>
  </si>
  <si>
    <t>=NF(H22,"6 Document No.")</t>
  </si>
  <si>
    <t>=NF(H22,"37 Due Date")</t>
  </si>
  <si>
    <t>=NF(H22,"4 Posting Date")</t>
  </si>
  <si>
    <t>=NF(H22,"11 Currency code")</t>
  </si>
  <si>
    <t>=IF(NF($H22,"13 Amount")=Q22,0,NF($H22,"13 Amount"))</t>
  </si>
  <si>
    <t>=IF(NF($H22,"14 Remaining Amount")=R22,0,NF($H22,"14 Remaining Amount"))</t>
  </si>
  <si>
    <t>=NF(H22,"17 Amount (LCY)")</t>
  </si>
  <si>
    <t>=NF(H22,"16 Remaining Amt. (LCY)")</t>
  </si>
  <si>
    <t>=IF(H23="","Hide","Show")</t>
  </si>
  <si>
    <t>=D22</t>
  </si>
  <si>
    <t>=E22</t>
  </si>
  <si>
    <t>=NF(H23,"Vendor Ledger Entry No.")</t>
  </si>
  <si>
    <t>=NL("Rows","Detailed Vendor Ledg. Entry",,"Vendor Ledger Entry No.","@@"&amp;G22,"Entry Type","&lt;&gt;"&amp;"Initial Entry")</t>
  </si>
  <si>
    <t>=NF($H23,"5 Document Type")</t>
  </si>
  <si>
    <t>=NF($H23,"6 Document No.")</t>
  </si>
  <si>
    <t>=NF($H23,"4 Posting Date")</t>
  </si>
  <si>
    <t>=NF(H23,"10 Currency Code")</t>
  </si>
  <si>
    <t>=IF(NF($H23,"7 Amount")=Q23,0,NF($H23,"7 Amount"))</t>
  </si>
  <si>
    <t>=IF(NF($H23,"16 Debit Amount")=R23,0,NF($H23,"16 Debit Amount"))</t>
  </si>
  <si>
    <t>=NF(H23,"8 Amount (LCY)")</t>
  </si>
  <si>
    <t>=H25</t>
  </si>
  <si>
    <t>=I20</t>
  </si>
  <si>
    <t>=IF(NF(H25,"Entry no.")&lt;&gt;"",NF(H25,"Entry no."),0)</t>
  </si>
  <si>
    <t>="""Business Central"",""CRONUS JetCorp USA"",""25"",""1"",""487"""</t>
  </si>
  <si>
    <t>=NF(H25,"7 Description")</t>
  </si>
  <si>
    <t>=NF(H25,"6 Document No.")</t>
  </si>
  <si>
    <t>=NF(H25,"37 Due Date")</t>
  </si>
  <si>
    <t>=NF(H25,"4 Posting Date")</t>
  </si>
  <si>
    <t>=NF(H25,"11 Currency code")</t>
  </si>
  <si>
    <t>=IF(NF($H25,"13 Amount")=Q25,0,NF($H25,"13 Amount"))</t>
  </si>
  <si>
    <t>=IF(NF($H25,"14 Remaining Amount")=R25,0,NF($H25,"14 Remaining Amount"))</t>
  </si>
  <si>
    <t>=NF(H25,"17 Amount (LCY)")</t>
  </si>
  <si>
    <t>=NF(H25,"16 Remaining Amt. (LCY)")</t>
  </si>
  <si>
    <t>=IF(H26="","Hide","Show")</t>
  </si>
  <si>
    <t>=D25</t>
  </si>
  <si>
    <t>=E25</t>
  </si>
  <si>
    <t>=NF(H26,"Vendor Ledger Entry No.")</t>
  </si>
  <si>
    <t>=NL("Rows","Detailed Vendor Ledg. Entry",,"Vendor Ledger Entry No.","@@"&amp;G25,"Entry Type","&lt;&gt;"&amp;"Initial Entry")</t>
  </si>
  <si>
    <t>=NF($H26,"5 Document Type")</t>
  </si>
  <si>
    <t>=NF($H26,"6 Document No.")</t>
  </si>
  <si>
    <t>=NF($H26,"4 Posting Date")</t>
  </si>
  <si>
    <t>=NF(H26,"10 Currency Code")</t>
  </si>
  <si>
    <t>=IF(NF($H26,"7 Amount")=Q26,0,NF($H26,"7 Amount"))</t>
  </si>
  <si>
    <t>=IF(NF($H26,"16 Debit Amount")=R26,0,NF($H26,"16 Debit Amount"))</t>
  </si>
  <si>
    <t>=NF(H26,"8 Amount (LCY)")</t>
  </si>
  <si>
    <t>=H28</t>
  </si>
  <si>
    <t>=I23</t>
  </si>
  <si>
    <t>=IF(NF(H28,"Entry no.")&lt;&gt;"",NF(H28,"Entry no."),0)</t>
  </si>
  <si>
    <t>="""Business Central"",""CRONUS JetCorp USA"",""25"",""1"",""613"""</t>
  </si>
  <si>
    <t>=NF(H28,"7 Description")</t>
  </si>
  <si>
    <t>=NF(H28,"6 Document No.")</t>
  </si>
  <si>
    <t>=NF(H28,"37 Due Date")</t>
  </si>
  <si>
    <t>=NF(H28,"4 Posting Date")</t>
  </si>
  <si>
    <t>=NF(H28,"11 Currency code")</t>
  </si>
  <si>
    <t>=IF(NF($H28,"13 Amount")=Q28,0,NF($H28,"13 Amount"))</t>
  </si>
  <si>
    <t>=IF(NF($H28,"14 Remaining Amount")=R28,0,NF($H28,"14 Remaining Amount"))</t>
  </si>
  <si>
    <t>=NF(H28,"17 Amount (LCY)")</t>
  </si>
  <si>
    <t>=NF(H28,"16 Remaining Amt. (LCY)")</t>
  </si>
  <si>
    <t>=IF(H29="","Hide","Show")</t>
  </si>
  <si>
    <t>=D28</t>
  </si>
  <si>
    <t>=E28</t>
  </si>
  <si>
    <t>=NF(H29,"Vendor Ledger Entry No.")</t>
  </si>
  <si>
    <t>=NL("Rows","Detailed Vendor Ledg. Entry",,"Vendor Ledger Entry No.","@@"&amp;G28,"Entry Type","&lt;&gt;"&amp;"Initial Entry")</t>
  </si>
  <si>
    <t>=NF($H29,"5 Document Type")</t>
  </si>
  <si>
    <t>=NF($H29,"6 Document No.")</t>
  </si>
  <si>
    <t>=NF($H29,"4 Posting Date")</t>
  </si>
  <si>
    <t>=NF(H29,"10 Currency Code")</t>
  </si>
  <si>
    <t>=IF(NF($H29,"7 Amount")=Q29,0,NF($H29,"7 Amount"))</t>
  </si>
  <si>
    <t>=IF(NF($H29,"16 Debit Amount")=R29,0,NF($H29,"16 Debit Amount"))</t>
  </si>
  <si>
    <t>=NF(H29,"8 Amount (LCY)")</t>
  </si>
  <si>
    <t>=H31</t>
  </si>
  <si>
    <t>=I26</t>
  </si>
  <si>
    <t>=IF(NF(H31,"Entry no.")&lt;&gt;"",NF(H31,"Entry no."),0)</t>
  </si>
  <si>
    <t>="""Business Central"",""CRONUS JetCorp USA"",""25"",""1"",""697"""</t>
  </si>
  <si>
    <t>=NF(H31,"7 Description")</t>
  </si>
  <si>
    <t>=NF(H31,"6 Document No.")</t>
  </si>
  <si>
    <t>=NF(H31,"37 Due Date")</t>
  </si>
  <si>
    <t>=NF(H31,"4 Posting Date")</t>
  </si>
  <si>
    <t>=NF(H31,"11 Currency code")</t>
  </si>
  <si>
    <t>=IF(NF($H31,"13 Amount")=Q31,0,NF($H31,"13 Amount"))</t>
  </si>
  <si>
    <t>=IF(NF($H31,"14 Remaining Amount")=R31,0,NF($H31,"14 Remaining Amount"))</t>
  </si>
  <si>
    <t>=NF(H31,"17 Amount (LCY)")</t>
  </si>
  <si>
    <t>=NF(H31,"16 Remaining Amt. (LCY)")</t>
  </si>
  <si>
    <t>=IF(H32="","Hide","Show")</t>
  </si>
  <si>
    <t>=D31</t>
  </si>
  <si>
    <t>=E31</t>
  </si>
  <si>
    <t>=NF(H32,"Vendor Ledger Entry No.")</t>
  </si>
  <si>
    <t>=NL("Rows","Detailed Vendor Ledg. Entry",,"Vendor Ledger Entry No.","@@"&amp;G31,"Entry Type","&lt;&gt;"&amp;"Initial Entry")</t>
  </si>
  <si>
    <t>=NF($H32,"5 Document Type")</t>
  </si>
  <si>
    <t>=NF($H32,"6 Document No.")</t>
  </si>
  <si>
    <t>=NF($H32,"4 Posting Date")</t>
  </si>
  <si>
    <t>=NF(H32,"10 Currency Code")</t>
  </si>
  <si>
    <t>=IF(NF($H32,"7 Amount")=Q32,0,NF($H32,"7 Amount"))</t>
  </si>
  <si>
    <t>=IF(NF($H32,"16 Debit Amount")=R32,0,NF($H32,"16 Debit Amount"))</t>
  </si>
  <si>
    <t>=NF(H32,"8 Amount (LCY)")</t>
  </si>
  <si>
    <t>=H34</t>
  </si>
  <si>
    <t>=I29</t>
  </si>
  <si>
    <t>=IF(NF(H34,"Entry no.")&lt;&gt;"",NF(H34,"Entry no."),0)</t>
  </si>
  <si>
    <t>="""Business Central"",""CRONUS JetCorp USA"",""25"",""1"",""781"""</t>
  </si>
  <si>
    <t>=NF(H34,"7 Description")</t>
  </si>
  <si>
    <t>=NF(H34,"6 Document No.")</t>
  </si>
  <si>
    <t>=NF(H34,"37 Due Date")</t>
  </si>
  <si>
    <t>=NF(H34,"4 Posting Date")</t>
  </si>
  <si>
    <t>=NF(H34,"11 Currency code")</t>
  </si>
  <si>
    <t>=IF(NF($H34,"13 Amount")=Q34,0,NF($H34,"13 Amount"))</t>
  </si>
  <si>
    <t>=IF(NF($H34,"14 Remaining Amount")=R34,0,NF($H34,"14 Remaining Amount"))</t>
  </si>
  <si>
    <t>=NF(H34,"17 Amount (LCY)")</t>
  </si>
  <si>
    <t>=NF(H34,"16 Remaining Amt. (LCY)")</t>
  </si>
  <si>
    <t>=IF(H35="","Hide","Show")</t>
  </si>
  <si>
    <t>=D34</t>
  </si>
  <si>
    <t>=E34</t>
  </si>
  <si>
    <t>=NF(H35,"Vendor Ledger Entry No.")</t>
  </si>
  <si>
    <t>=NL("Rows","Detailed Vendor Ledg. Entry",,"Vendor Ledger Entry No.","@@"&amp;G34,"Entry Type","&lt;&gt;"&amp;"Initial Entry")</t>
  </si>
  <si>
    <t>=NF($H35,"5 Document Type")</t>
  </si>
  <si>
    <t>=NF($H35,"6 Document No.")</t>
  </si>
  <si>
    <t>=NF($H35,"4 Posting Date")</t>
  </si>
  <si>
    <t>=NF(H35,"10 Currency Code")</t>
  </si>
  <si>
    <t>=IF(NF($H35,"7 Amount")=Q35,0,NF($H35,"7 Amount"))</t>
  </si>
  <si>
    <t>=IF(NF($H35,"16 Debit Amount")=R35,0,NF($H35,"16 Debit Amount"))</t>
  </si>
  <si>
    <t>=NF(H35,"8 Amount (LCY)")</t>
  </si>
  <si>
    <t>=H37</t>
  </si>
  <si>
    <t>=I32</t>
  </si>
  <si>
    <t>=IF(NF(H37,"Entry no.")&lt;&gt;"",NF(H37,"Entry no."),0)</t>
  </si>
  <si>
    <t>="""Business Central"",""CRONUS JetCorp USA"",""25"",""1"",""865"""</t>
  </si>
  <si>
    <t>=NF(H37,"7 Description")</t>
  </si>
  <si>
    <t>=NF(H37,"6 Document No.")</t>
  </si>
  <si>
    <t>=NF(H37,"37 Due Date")</t>
  </si>
  <si>
    <t>=NF(H37,"4 Posting Date")</t>
  </si>
  <si>
    <t>=NF(H37,"11 Currency code")</t>
  </si>
  <si>
    <t>=IF(NF($H37,"13 Amount")=Q37,0,NF($H37,"13 Amount"))</t>
  </si>
  <si>
    <t>=IF(NF($H37,"14 Remaining Amount")=R37,0,NF($H37,"14 Remaining Amount"))</t>
  </si>
  <si>
    <t>=NF(H37,"17 Amount (LCY)")</t>
  </si>
  <si>
    <t>=NF(H37,"16 Remaining Amt. (LCY)")</t>
  </si>
  <si>
    <t>=IF(H38="","Hide","Show")</t>
  </si>
  <si>
    <t>=D37</t>
  </si>
  <si>
    <t>=E37</t>
  </si>
  <si>
    <t>=NF(H38,"Vendor Ledger Entry No.")</t>
  </si>
  <si>
    <t>=NL("Rows","Detailed Vendor Ledg. Entry",,"Vendor Ledger Entry No.","@@"&amp;G37,"Entry Type","&lt;&gt;"&amp;"Initial Entry")</t>
  </si>
  <si>
    <t>=NF($H38,"5 Document Type")</t>
  </si>
  <si>
    <t>=NF($H38,"6 Document No.")</t>
  </si>
  <si>
    <t>=NF($H38,"4 Posting Date")</t>
  </si>
  <si>
    <t>=NF(H38,"10 Currency Code")</t>
  </si>
  <si>
    <t>=IF(NF($H38,"7 Amount")=Q38,0,NF($H38,"7 Amount"))</t>
  </si>
  <si>
    <t>=IF(NF($H38,"16 Debit Amount")=R38,0,NF($H38,"16 Debit Amount"))</t>
  </si>
  <si>
    <t>=NF(H38,"8 Amount (LCY)")</t>
  </si>
  <si>
    <t>=H40</t>
  </si>
  <si>
    <t>=I35</t>
  </si>
  <si>
    <t>=IF(NF(H40,"Entry no.")&lt;&gt;"",NF(H40,"Entry no."),0)</t>
  </si>
  <si>
    <t>="""Business Central"",""CRONUS JetCorp USA"",""25"",""1"",""907"""</t>
  </si>
  <si>
    <t>=NF(H40,"7 Description")</t>
  </si>
  <si>
    <t>=NF(H40,"6 Document No.")</t>
  </si>
  <si>
    <t>=NF(H40,"37 Due Date")</t>
  </si>
  <si>
    <t>=NF(H40,"4 Posting Date")</t>
  </si>
  <si>
    <t>=NF(H40,"11 Currency code")</t>
  </si>
  <si>
    <t>=IF(NF($H40,"13 Amount")=Q40,0,NF($H40,"13 Amount"))</t>
  </si>
  <si>
    <t>=IF(NF($H40,"14 Remaining Amount")=R40,0,NF($H40,"14 Remaining Amount"))</t>
  </si>
  <si>
    <t>=NF(H40,"17 Amount (LCY)")</t>
  </si>
  <si>
    <t>=NF(H40,"16 Remaining Amt. (LCY)")</t>
  </si>
  <si>
    <t>=IF(H41="","Hide","Show")</t>
  </si>
  <si>
    <t>=D40</t>
  </si>
  <si>
    <t>=E40</t>
  </si>
  <si>
    <t>=NF(H41,"Vendor Ledger Entry No.")</t>
  </si>
  <si>
    <t>=NL("Rows","Detailed Vendor Ledg. Entry",,"Vendor Ledger Entry No.","@@"&amp;G40,"Entry Type","&lt;&gt;"&amp;"Initial Entry")</t>
  </si>
  <si>
    <t>=NF($H41,"5 Document Type")</t>
  </si>
  <si>
    <t>=NF($H41,"6 Document No.")</t>
  </si>
  <si>
    <t>=NF($H41,"4 Posting Date")</t>
  </si>
  <si>
    <t>=NF(H41,"10 Currency Code")</t>
  </si>
  <si>
    <t>=IF(NF($H41,"7 Amount")=Q41,0,NF($H41,"7 Amount"))</t>
  </si>
  <si>
    <t>=IF(NF($H41,"16 Debit Amount")=R41,0,NF($H41,"16 Debit Amount"))</t>
  </si>
  <si>
    <t>=NF(H41,"8 Amount (LCY)")</t>
  </si>
  <si>
    <t>=H43</t>
  </si>
  <si>
    <t>=I38</t>
  </si>
  <si>
    <t>=IF(NF(H43,"Entry no.")&lt;&gt;"",NF(H43,"Entry no."),0)</t>
  </si>
  <si>
    <t>="""Business Central"",""CRONUS JetCorp USA"",""25"",""1"",""1033"""</t>
  </si>
  <si>
    <t>=NF(H43,"7 Description")</t>
  </si>
  <si>
    <t>=NF(H43,"6 Document No.")</t>
  </si>
  <si>
    <t>=NF(H43,"37 Due Date")</t>
  </si>
  <si>
    <t>=NF(H43,"4 Posting Date")</t>
  </si>
  <si>
    <t>=NF(H43,"11 Currency code")</t>
  </si>
  <si>
    <t>=IF(NF($H43,"13 Amount")=Q43,0,NF($H43,"13 Amount"))</t>
  </si>
  <si>
    <t>=IF(NF($H43,"14 Remaining Amount")=R43,0,NF($H43,"14 Remaining Amount"))</t>
  </si>
  <si>
    <t>=NF(H43,"17 Amount (LCY)")</t>
  </si>
  <si>
    <t>=NF(H43,"16 Remaining Amt. (LCY)")</t>
  </si>
  <si>
    <t>=IF(H44="","Hide","Show")</t>
  </si>
  <si>
    <t>=D43</t>
  </si>
  <si>
    <t>=E43</t>
  </si>
  <si>
    <t>=NF(H44,"Vendor Ledger Entry No.")</t>
  </si>
  <si>
    <t>=NL("Rows","Detailed Vendor Ledg. Entry",,"Vendor Ledger Entry No.","@@"&amp;G43,"Entry Type","&lt;&gt;"&amp;"Initial Entry")</t>
  </si>
  <si>
    <t>=NF($H44,"5 Document Type")</t>
  </si>
  <si>
    <t>=NF($H44,"6 Document No.")</t>
  </si>
  <si>
    <t>=NF($H44,"4 Posting Date")</t>
  </si>
  <si>
    <t>=NF(H44,"10 Currency Code")</t>
  </si>
  <si>
    <t>=IF(NF($H44,"7 Amount")=Q44,0,NF($H44,"7 Amount"))</t>
  </si>
  <si>
    <t>=IF(NF($H44,"16 Debit Amount")=R44,0,NF($H44,"16 Debit Amount"))</t>
  </si>
  <si>
    <t>=NF(H44,"8 Amount (LCY)")</t>
  </si>
  <si>
    <t>=H46</t>
  </si>
  <si>
    <t>=I41</t>
  </si>
  <si>
    <t>=IF(NF(H46,"Entry no.")&lt;&gt;"",NF(H46,"Entry no."),0)</t>
  </si>
  <si>
    <t>="""Business Central"",""CRONUS JetCorp USA"",""25"",""1"",""1117"""</t>
  </si>
  <si>
    <t>=NF(H46,"7 Description")</t>
  </si>
  <si>
    <t>=NF(H46,"6 Document No.")</t>
  </si>
  <si>
    <t>=NF(H46,"37 Due Date")</t>
  </si>
  <si>
    <t>=NF(H46,"4 Posting Date")</t>
  </si>
  <si>
    <t>=NF(H46,"11 Currency code")</t>
  </si>
  <si>
    <t>=IF(NF($H46,"13 Amount")=Q46,0,NF($H46,"13 Amount"))</t>
  </si>
  <si>
    <t>=IF(NF($H46,"14 Remaining Amount")=R46,0,NF($H46,"14 Remaining Amount"))</t>
  </si>
  <si>
    <t>=NF(H46,"17 Amount (LCY)")</t>
  </si>
  <si>
    <t>=NF(H46,"16 Remaining Amt. (LCY)")</t>
  </si>
  <si>
    <t>=IF(H47="","Hide","Show")</t>
  </si>
  <si>
    <t>=D46</t>
  </si>
  <si>
    <t>=E46</t>
  </si>
  <si>
    <t>=NF(H47,"Vendor Ledger Entry No.")</t>
  </si>
  <si>
    <t>=NL("Rows","Detailed Vendor Ledg. Entry",,"Vendor Ledger Entry No.","@@"&amp;G46,"Entry Type","&lt;&gt;"&amp;"Initial Entry")</t>
  </si>
  <si>
    <t>=NF($H47,"5 Document Type")</t>
  </si>
  <si>
    <t>=NF($H47,"6 Document No.")</t>
  </si>
  <si>
    <t>=NF($H47,"4 Posting Date")</t>
  </si>
  <si>
    <t>=NF(H47,"10 Currency Code")</t>
  </si>
  <si>
    <t>=IF(NF($H47,"7 Amount")=Q47,0,NF($H47,"7 Amount"))</t>
  </si>
  <si>
    <t>=IF(NF($H47,"16 Debit Amount")=R47,0,NF($H47,"16 Debit Amount"))</t>
  </si>
  <si>
    <t>=NF(H47,"8 Amount (LCY)")</t>
  </si>
  <si>
    <t>=H49</t>
  </si>
  <si>
    <t>=I44</t>
  </si>
  <si>
    <t>=IF(NF(H49,"Entry no.")&lt;&gt;"",NF(H49,"Entry no."),0)</t>
  </si>
  <si>
    <t>="""Business Central"",""CRONUS JetCorp USA"",""25"",""1"",""1243"""</t>
  </si>
  <si>
    <t>=NF(H49,"7 Description")</t>
  </si>
  <si>
    <t>=NF(H49,"6 Document No.")</t>
  </si>
  <si>
    <t>=NF(H49,"37 Due Date")</t>
  </si>
  <si>
    <t>=NF(H49,"4 Posting Date")</t>
  </si>
  <si>
    <t>=NF(H49,"11 Currency code")</t>
  </si>
  <si>
    <t>=IF(NF($H49,"13 Amount")=Q49,0,NF($H49,"13 Amount"))</t>
  </si>
  <si>
    <t>=IF(NF($H49,"14 Remaining Amount")=R49,0,NF($H49,"14 Remaining Amount"))</t>
  </si>
  <si>
    <t>=NF(H49,"17 Amount (LCY)")</t>
  </si>
  <si>
    <t>=NF(H49,"16 Remaining Amt. (LCY)")</t>
  </si>
  <si>
    <t>=IF(H50="","Hide","Show")</t>
  </si>
  <si>
    <t>=D49</t>
  </si>
  <si>
    <t>=E49</t>
  </si>
  <si>
    <t>=NF(H50,"Vendor Ledger Entry No.")</t>
  </si>
  <si>
    <t>=NL("Rows","Detailed Vendor Ledg. Entry",,"Vendor Ledger Entry No.","@@"&amp;G49,"Entry Type","&lt;&gt;"&amp;"Initial Entry")</t>
  </si>
  <si>
    <t>=NF($H50,"5 Document Type")</t>
  </si>
  <si>
    <t>=NF($H50,"6 Document No.")</t>
  </si>
  <si>
    <t>=NF($H50,"4 Posting Date")</t>
  </si>
  <si>
    <t>=NF(H50,"10 Currency Code")</t>
  </si>
  <si>
    <t>=IF(NF($H50,"7 Amount")=Q50,0,NF($H50,"7 Amount"))</t>
  </si>
  <si>
    <t>=IF(NF($H50,"16 Debit Amount")=R50,0,NF($H50,"16 Debit Amount"))</t>
  </si>
  <si>
    <t>=NF(H50,"8 Amount (LCY)")</t>
  </si>
  <si>
    <t>=H52</t>
  </si>
  <si>
    <t>=I47</t>
  </si>
  <si>
    <t>=IF(NF(H52,"Entry no.")&lt;&gt;"",NF(H52,"Entry no."),0)</t>
  </si>
  <si>
    <t>="""Business Central"",""CRONUS JetCorp USA"",""25"",""1"",""1327"""</t>
  </si>
  <si>
    <t>=NF(H52,"7 Description")</t>
  </si>
  <si>
    <t>=NF(H52,"6 Document No.")</t>
  </si>
  <si>
    <t>=NF(H52,"37 Due Date")</t>
  </si>
  <si>
    <t>=NF(H52,"4 Posting Date")</t>
  </si>
  <si>
    <t>=NF(H52,"11 Currency code")</t>
  </si>
  <si>
    <t>=IF(NF($H52,"13 Amount")=Q52,0,NF($H52,"13 Amount"))</t>
  </si>
  <si>
    <t>=IF(NF($H52,"14 Remaining Amount")=R52,0,NF($H52,"14 Remaining Amount"))</t>
  </si>
  <si>
    <t>=NF(H52,"17 Amount (LCY)")</t>
  </si>
  <si>
    <t>=NF(H52,"16 Remaining Amt. (LCY)")</t>
  </si>
  <si>
    <t>=IF(H53="","Hide","Show")</t>
  </si>
  <si>
    <t>=D52</t>
  </si>
  <si>
    <t>=E52</t>
  </si>
  <si>
    <t>=NF(H53,"Vendor Ledger Entry No.")</t>
  </si>
  <si>
    <t>=NL("Rows","Detailed Vendor Ledg. Entry",,"Vendor Ledger Entry No.","@@"&amp;G52,"Entry Type","&lt;&gt;"&amp;"Initial Entry")</t>
  </si>
  <si>
    <t>=NF($H53,"5 Document Type")</t>
  </si>
  <si>
    <t>=NF($H53,"6 Document No.")</t>
  </si>
  <si>
    <t>=NF($H53,"4 Posting Date")</t>
  </si>
  <si>
    <t>=NF(H53,"10 Currency Code")</t>
  </si>
  <si>
    <t>=IF(NF($H53,"7 Amount")=Q53,0,NF($H53,"7 Amount"))</t>
  </si>
  <si>
    <t>=IF(NF($H53,"16 Debit Amount")=R53,0,NF($H53,"16 Debit Amount"))</t>
  </si>
  <si>
    <t>=NF(H53,"8 Amount (LCY)")</t>
  </si>
  <si>
    <t>=H55</t>
  </si>
  <si>
    <t>=I50</t>
  </si>
  <si>
    <t>=IF(NF(H55,"Entry no.")&lt;&gt;"",NF(H55,"Entry no."),0)</t>
  </si>
  <si>
    <t>="""Business Central"",""CRONUS JetCorp USA"",""25"",""1"",""1369"""</t>
  </si>
  <si>
    <t>=NF(H55,"7 Description")</t>
  </si>
  <si>
    <t>=NF(H55,"6 Document No.")</t>
  </si>
  <si>
    <t>=NF(H55,"37 Due Date")</t>
  </si>
  <si>
    <t>=NF(H55,"4 Posting Date")</t>
  </si>
  <si>
    <t>=NF(H55,"11 Currency code")</t>
  </si>
  <si>
    <t>=IF(NF($H55,"13 Amount")=Q55,0,NF($H55,"13 Amount"))</t>
  </si>
  <si>
    <t>=IF(NF($H55,"14 Remaining Amount")=R55,0,NF($H55,"14 Remaining Amount"))</t>
  </si>
  <si>
    <t>=NF(H55,"17 Amount (LCY)")</t>
  </si>
  <si>
    <t>=NF(H55,"16 Remaining Amt. (LCY)")</t>
  </si>
  <si>
    <t>=IF(H56="","Hide","Show")</t>
  </si>
  <si>
    <t>=D55</t>
  </si>
  <si>
    <t>=E55</t>
  </si>
  <si>
    <t>=NF(H56,"Vendor Ledger Entry No.")</t>
  </si>
  <si>
    <t>=NL("Rows","Detailed Vendor Ledg. Entry",,"Vendor Ledger Entry No.","@@"&amp;G55,"Entry Type","&lt;&gt;"&amp;"Initial Entry")</t>
  </si>
  <si>
    <t>=NF($H56,"5 Document Type")</t>
  </si>
  <si>
    <t>=NF($H56,"6 Document No.")</t>
  </si>
  <si>
    <t>=NF($H56,"4 Posting Date")</t>
  </si>
  <si>
    <t>=NF(H56,"10 Currency Code")</t>
  </si>
  <si>
    <t>=IF(NF($H56,"7 Amount")=Q56,0,NF($H56,"7 Amount"))</t>
  </si>
  <si>
    <t>=IF(NF($H56,"16 Debit Amount")=R56,0,NF($H56,"16 Debit Amount"))</t>
  </si>
  <si>
    <t>=NF(H56,"8 Amount (LCY)")</t>
  </si>
  <si>
    <t>=H58</t>
  </si>
  <si>
    <t>=I53</t>
  </si>
  <si>
    <t>=IF(NF(H58,"Entry no.")&lt;&gt;"",NF(H58,"Entry no."),0)</t>
  </si>
  <si>
    <t>="""Business Central"",""CRONUS JetCorp USA"",""25"",""1"",""1495"""</t>
  </si>
  <si>
    <t>=NF(H58,"7 Description")</t>
  </si>
  <si>
    <t>=NF(H58,"6 Document No.")</t>
  </si>
  <si>
    <t>=NF(H58,"37 Due Date")</t>
  </si>
  <si>
    <t>=NF(H58,"4 Posting Date")</t>
  </si>
  <si>
    <t>=NF(H58,"11 Currency code")</t>
  </si>
  <si>
    <t>=IF(NF($H58,"13 Amount")=Q58,0,NF($H58,"13 Amount"))</t>
  </si>
  <si>
    <t>=IF(NF($H58,"14 Remaining Amount")=R58,0,NF($H58,"14 Remaining Amount"))</t>
  </si>
  <si>
    <t>=NF(H58,"17 Amount (LCY)")</t>
  </si>
  <si>
    <t>=NF(H58,"16 Remaining Amt. (LCY)")</t>
  </si>
  <si>
    <t>=IF(H59="","Hide","Show")</t>
  </si>
  <si>
    <t>=D58</t>
  </si>
  <si>
    <t>=E58</t>
  </si>
  <si>
    <t>=NF(H59,"Vendor Ledger Entry No.")</t>
  </si>
  <si>
    <t>=NL("Rows","Detailed Vendor Ledg. Entry",,"Vendor Ledger Entry No.","@@"&amp;G58,"Entry Type","&lt;&gt;"&amp;"Initial Entry")</t>
  </si>
  <si>
    <t>=NF($H59,"5 Document Type")</t>
  </si>
  <si>
    <t>=NF($H59,"6 Document No.")</t>
  </si>
  <si>
    <t>=NF($H59,"4 Posting Date")</t>
  </si>
  <si>
    <t>=NF(H59,"10 Currency Code")</t>
  </si>
  <si>
    <t>=IF(NF($H59,"7 Amount")=Q59,0,NF($H59,"7 Amount"))</t>
  </si>
  <si>
    <t>=IF(NF($H59,"16 Debit Amount")=R59,0,NF($H59,"16 Debit Amount"))</t>
  </si>
  <si>
    <t>=NF(H59,"8 Amount (LCY)")</t>
  </si>
  <si>
    <t>=H61</t>
  </si>
  <si>
    <t>=I56</t>
  </si>
  <si>
    <t>=IF(NF(H61,"Entry no.")&lt;&gt;"",NF(H61,"Entry no."),0)</t>
  </si>
  <si>
    <t>="""Business Central"",""CRONUS JetCorp USA"",""25"",""1"",""1579"""</t>
  </si>
  <si>
    <t>=NF(H61,"7 Description")</t>
  </si>
  <si>
    <t>=NF(H61,"6 Document No.")</t>
  </si>
  <si>
    <t>=NF(H61,"37 Due Date")</t>
  </si>
  <si>
    <t>=NF(H61,"4 Posting Date")</t>
  </si>
  <si>
    <t>=NF(H61,"11 Currency code")</t>
  </si>
  <si>
    <t>=IF(NF($H61,"13 Amount")=Q61,0,NF($H61,"13 Amount"))</t>
  </si>
  <si>
    <t>=IF(NF($H61,"14 Remaining Amount")=R61,0,NF($H61,"14 Remaining Amount"))</t>
  </si>
  <si>
    <t>=NF(H61,"17 Amount (LCY)")</t>
  </si>
  <si>
    <t>=NF(H61,"16 Remaining Amt. (LCY)")</t>
  </si>
  <si>
    <t>=IF(H62="","Hide","Show")</t>
  </si>
  <si>
    <t>=D61</t>
  </si>
  <si>
    <t>=E61</t>
  </si>
  <si>
    <t>=NF(H62,"Vendor Ledger Entry No.")</t>
  </si>
  <si>
    <t>=NL("Rows","Detailed Vendor Ledg. Entry",,"Vendor Ledger Entry No.","@@"&amp;G61,"Entry Type","&lt;&gt;"&amp;"Initial Entry")</t>
  </si>
  <si>
    <t>=NF($H62,"5 Document Type")</t>
  </si>
  <si>
    <t>=NF($H62,"6 Document No.")</t>
  </si>
  <si>
    <t>=NF($H62,"4 Posting Date")</t>
  </si>
  <si>
    <t>=NF(H62,"10 Currency Code")</t>
  </si>
  <si>
    <t>=IF(NF($H62,"7 Amount")=Q62,0,NF($H62,"7 Amount"))</t>
  </si>
  <si>
    <t>=IF(NF($H62,"16 Debit Amount")=R62,0,NF($H62,"16 Debit Amount"))</t>
  </si>
  <si>
    <t>=NF(H62,"8 Amount (LCY)")</t>
  </si>
  <si>
    <t>=H64</t>
  </si>
  <si>
    <t>=I59</t>
  </si>
  <si>
    <t>=IF(NF(H64,"Entry no.")&lt;&gt;"",NF(H64,"Entry no."),0)</t>
  </si>
  <si>
    <t>="""Business Central"",""CRONUS JetCorp USA"",""25"",""1"",""1747"""</t>
  </si>
  <si>
    <t>=NF(H64,"7 Description")</t>
  </si>
  <si>
    <t>=NF(H64,"6 Document No.")</t>
  </si>
  <si>
    <t>=NF(H64,"37 Due Date")</t>
  </si>
  <si>
    <t>=NF(H64,"4 Posting Date")</t>
  </si>
  <si>
    <t>=NF(H64,"11 Currency code")</t>
  </si>
  <si>
    <t>=IF(NF($H64,"13 Amount")=Q64,0,NF($H64,"13 Amount"))</t>
  </si>
  <si>
    <t>=IF(NF($H64,"14 Remaining Amount")=R64,0,NF($H64,"14 Remaining Amount"))</t>
  </si>
  <si>
    <t>=NF(H64,"17 Amount (LCY)")</t>
  </si>
  <si>
    <t>=NF(H64,"16 Remaining Amt. (LCY)")</t>
  </si>
  <si>
    <t>=IF(H65="","Hide","Show")</t>
  </si>
  <si>
    <t>=D64</t>
  </si>
  <si>
    <t>=E64</t>
  </si>
  <si>
    <t>=NF(H65,"Vendor Ledger Entry No.")</t>
  </si>
  <si>
    <t>=NL("Rows","Detailed Vendor Ledg. Entry",,"Vendor Ledger Entry No.","@@"&amp;G64,"Entry Type","&lt;&gt;"&amp;"Initial Entry")</t>
  </si>
  <si>
    <t>=NF($H65,"5 Document Type")</t>
  </si>
  <si>
    <t>=NF($H65,"6 Document No.")</t>
  </si>
  <si>
    <t>=NF($H65,"4 Posting Date")</t>
  </si>
  <si>
    <t>=NF(H65,"10 Currency Code")</t>
  </si>
  <si>
    <t>=IF(NF($H65,"7 Amount")=Q65,0,NF($H65,"7 Amount"))</t>
  </si>
  <si>
    <t>=IF(NF($H65,"16 Debit Amount")=R65,0,NF($H65,"16 Debit Amount"))</t>
  </si>
  <si>
    <t>=NF(H65,"8 Amount (LCY)")</t>
  </si>
  <si>
    <t>=H67</t>
  </si>
  <si>
    <t>=I62</t>
  </si>
  <si>
    <t>=IF(NF(H67,"Entry no.")&lt;&gt;"",NF(H67,"Entry no."),0)</t>
  </si>
  <si>
    <t>="""Business Central"",""CRONUS JetCorp USA"",""25"",""1"",""1789"""</t>
  </si>
  <si>
    <t>=NF(H67,"7 Description")</t>
  </si>
  <si>
    <t>=NF(H67,"6 Document No.")</t>
  </si>
  <si>
    <t>=NF(H67,"37 Due Date")</t>
  </si>
  <si>
    <t>=NF(H67,"4 Posting Date")</t>
  </si>
  <si>
    <t>=NF(H67,"11 Currency code")</t>
  </si>
  <si>
    <t>=IF(NF($H67,"13 Amount")=Q67,0,NF($H67,"13 Amount"))</t>
  </si>
  <si>
    <t>=IF(NF($H67,"14 Remaining Amount")=R67,0,NF($H67,"14 Remaining Amount"))</t>
  </si>
  <si>
    <t>=NF(H67,"17 Amount (LCY)")</t>
  </si>
  <si>
    <t>=NF(H67,"16 Remaining Amt. (LCY)")</t>
  </si>
  <si>
    <t>=IF(H68="","Hide","Show")</t>
  </si>
  <si>
    <t>=D67</t>
  </si>
  <si>
    <t>=E67</t>
  </si>
  <si>
    <t>=NF(H68,"Vendor Ledger Entry No.")</t>
  </si>
  <si>
    <t>=NL("Rows","Detailed Vendor Ledg. Entry",,"Vendor Ledger Entry No.","@@"&amp;G67,"Entry Type","&lt;&gt;"&amp;"Initial Entry")</t>
  </si>
  <si>
    <t>=NF($H68,"5 Document Type")</t>
  </si>
  <si>
    <t>=NF($H68,"6 Document No.")</t>
  </si>
  <si>
    <t>=NF($H68,"4 Posting Date")</t>
  </si>
  <si>
    <t>=NF(H68,"10 Currency Code")</t>
  </si>
  <si>
    <t>=IF(NF($H68,"7 Amount")=Q68,0,NF($H68,"7 Amount"))</t>
  </si>
  <si>
    <t>=IF(NF($H68,"16 Debit Amount")=R68,0,NF($H68,"16 Debit Amount"))</t>
  </si>
  <si>
    <t>=NF(H68,"8 Amount (LCY)")</t>
  </si>
  <si>
    <t>=H70</t>
  </si>
  <si>
    <t>=I65</t>
  </si>
  <si>
    <t>=IF(NF(H70,"Entry no.")&lt;&gt;"",NF(H70,"Entry no."),0)</t>
  </si>
  <si>
    <t>="""Business Central"",""CRONUS JetCorp USA"",""25"",""1"",""1915"""</t>
  </si>
  <si>
    <t>=NF(H70,"7 Description")</t>
  </si>
  <si>
    <t>=NF(H70,"6 Document No.")</t>
  </si>
  <si>
    <t>=NF(H70,"37 Due Date")</t>
  </si>
  <si>
    <t>=NF(H70,"4 Posting Date")</t>
  </si>
  <si>
    <t>=NF(H70,"11 Currency code")</t>
  </si>
  <si>
    <t>=IF(NF($H70,"13 Amount")=Q70,0,NF($H70,"13 Amount"))</t>
  </si>
  <si>
    <t>=IF(NF($H70,"14 Remaining Amount")=R70,0,NF($H70,"14 Remaining Amount"))</t>
  </si>
  <si>
    <t>=NF(H70,"17 Amount (LCY)")</t>
  </si>
  <si>
    <t>=NF(H70,"16 Remaining Amt. (LCY)")</t>
  </si>
  <si>
    <t>=IF(H71="","Hide","Show")</t>
  </si>
  <si>
    <t>=D70</t>
  </si>
  <si>
    <t>=E70</t>
  </si>
  <si>
    <t>=NF(H71,"Vendor Ledger Entry No.")</t>
  </si>
  <si>
    <t>=NL("Rows","Detailed Vendor Ledg. Entry",,"Vendor Ledger Entry No.","@@"&amp;G70,"Entry Type","&lt;&gt;"&amp;"Initial Entry")</t>
  </si>
  <si>
    <t>=NF($H71,"5 Document Type")</t>
  </si>
  <si>
    <t>=NF($H71,"6 Document No.")</t>
  </si>
  <si>
    <t>=NF($H71,"4 Posting Date")</t>
  </si>
  <si>
    <t>=NF(H71,"10 Currency Code")</t>
  </si>
  <si>
    <t>=IF(NF($H71,"7 Amount")=Q71,0,NF($H71,"7 Amount"))</t>
  </si>
  <si>
    <t>=IF(NF($H71,"16 Debit Amount")=R71,0,NF($H71,"16 Debit Amount"))</t>
  </si>
  <si>
    <t>=NF(H71,"8 Amount (LCY)")</t>
  </si>
  <si>
    <t>=H73</t>
  </si>
  <si>
    <t>=I68</t>
  </si>
  <si>
    <t>=IF(NF(H73,"Entry no.")&lt;&gt;"",NF(H73,"Entry no."),0)</t>
  </si>
  <si>
    <t>="""Business Central"",""CRONUS JetCorp USA"",""25"",""1"",""1999"""</t>
  </si>
  <si>
    <t>=NF(H73,"7 Description")</t>
  </si>
  <si>
    <t>=NF(H73,"6 Document No.")</t>
  </si>
  <si>
    <t>=NF(H73,"37 Due Date")</t>
  </si>
  <si>
    <t>=NF(H73,"4 Posting Date")</t>
  </si>
  <si>
    <t>=NF(H73,"11 Currency code")</t>
  </si>
  <si>
    <t>=IF(NF($H73,"13 Amount")=Q73,0,NF($H73,"13 Amount"))</t>
  </si>
  <si>
    <t>=IF(NF($H73,"14 Remaining Amount")=R73,0,NF($H73,"14 Remaining Amount"))</t>
  </si>
  <si>
    <t>=NF(H73,"17 Amount (LCY)")</t>
  </si>
  <si>
    <t>=NF(H73,"16 Remaining Amt. (LCY)")</t>
  </si>
  <si>
    <t>=IF(H74="","Hide","Show")</t>
  </si>
  <si>
    <t>=D73</t>
  </si>
  <si>
    <t>=E73</t>
  </si>
  <si>
    <t>=NF(H74,"Vendor Ledger Entry No.")</t>
  </si>
  <si>
    <t>=NL("Rows","Detailed Vendor Ledg. Entry",,"Vendor Ledger Entry No.","@@"&amp;G73,"Entry Type","&lt;&gt;"&amp;"Initial Entry")</t>
  </si>
  <si>
    <t>=NF($H74,"5 Document Type")</t>
  </si>
  <si>
    <t>=NF($H74,"6 Document No.")</t>
  </si>
  <si>
    <t>=NF($H74,"4 Posting Date")</t>
  </si>
  <si>
    <t>=NF(H74,"10 Currency Code")</t>
  </si>
  <si>
    <t>=IF(NF($H74,"7 Amount")=Q74,0,NF($H74,"7 Amount"))</t>
  </si>
  <si>
    <t>=IF(NF($H74,"16 Debit Amount")=R74,0,NF($H74,"16 Debit Amount"))</t>
  </si>
  <si>
    <t>=NF(H74,"8 Amount (LCY)")</t>
  </si>
  <si>
    <t>=H76</t>
  </si>
  <si>
    <t>=I71</t>
  </si>
  <si>
    <t>=IF(NF(H76,"Entry no.")&lt;&gt;"",NF(H76,"Entry no."),0)</t>
  </si>
  <si>
    <t>="""Business Central"",""CRONUS JetCorp USA"",""25"",""1"",""2125"""</t>
  </si>
  <si>
    <t>=NF(H76,"7 Description")</t>
  </si>
  <si>
    <t>=NF(H76,"6 Document No.")</t>
  </si>
  <si>
    <t>=NF(H76,"37 Due Date")</t>
  </si>
  <si>
    <t>=NF(H76,"4 Posting Date")</t>
  </si>
  <si>
    <t>=NF(H76,"11 Currency code")</t>
  </si>
  <si>
    <t>=IF(NF($H76,"13 Amount")=Q76,0,NF($H76,"13 Amount"))</t>
  </si>
  <si>
    <t>=IF(NF($H76,"14 Remaining Amount")=R76,0,NF($H76,"14 Remaining Amount"))</t>
  </si>
  <si>
    <t>=NF(H76,"17 Amount (LCY)")</t>
  </si>
  <si>
    <t>=NF(H76,"16 Remaining Amt. (LCY)")</t>
  </si>
  <si>
    <t>=IF(H77="","Hide","Show")</t>
  </si>
  <si>
    <t>=D76</t>
  </si>
  <si>
    <t>=E76</t>
  </si>
  <si>
    <t>=NF(H77,"Vendor Ledger Entry No.")</t>
  </si>
  <si>
    <t>=NL("Rows","Detailed Vendor Ledg. Entry",,"Vendor Ledger Entry No.","@@"&amp;G76,"Entry Type","&lt;&gt;"&amp;"Initial Entry")</t>
  </si>
  <si>
    <t>=NF($H77,"5 Document Type")</t>
  </si>
  <si>
    <t>=NF($H77,"6 Document No.")</t>
  </si>
  <si>
    <t>=NF($H77,"4 Posting Date")</t>
  </si>
  <si>
    <t>=NF(H77,"10 Currency Code")</t>
  </si>
  <si>
    <t>=IF(NF($H77,"7 Amount")=Q77,0,NF($H77,"7 Amount"))</t>
  </si>
  <si>
    <t>=IF(NF($H77,"16 Debit Amount")=R77,0,NF($H77,"16 Debit Amount"))</t>
  </si>
  <si>
    <t>=NF(H77,"8 Amount (LCY)")</t>
  </si>
  <si>
    <t>=H79</t>
  </si>
  <si>
    <t>=I74</t>
  </si>
  <si>
    <t>=IF(NF(H79,"Entry no.")&lt;&gt;"",NF(H79,"Entry no."),0)</t>
  </si>
  <si>
    <t>="""Business Central"",""CRONUS JetCorp USA"",""25"",""1"",""2251"""</t>
  </si>
  <si>
    <t>=NF(H79,"7 Description")</t>
  </si>
  <si>
    <t>=NF(H79,"6 Document No.")</t>
  </si>
  <si>
    <t>=NF(H79,"37 Due Date")</t>
  </si>
  <si>
    <t>=NF(H79,"4 Posting Date")</t>
  </si>
  <si>
    <t>=NF(H79,"11 Currency code")</t>
  </si>
  <si>
    <t>=IF(NF($H79,"13 Amount")=Q79,0,NF($H79,"13 Amount"))</t>
  </si>
  <si>
    <t>=IF(NF($H79,"14 Remaining Amount")=R79,0,NF($H79,"14 Remaining Amount"))</t>
  </si>
  <si>
    <t>=NF(H79,"17 Amount (LCY)")</t>
  </si>
  <si>
    <t>=NF(H79,"16 Remaining Amt. (LCY)")</t>
  </si>
  <si>
    <t>=IF(H80="","Hide","Show")</t>
  </si>
  <si>
    <t>=D79</t>
  </si>
  <si>
    <t>=E79</t>
  </si>
  <si>
    <t>=NF(H80,"Vendor Ledger Entry No.")</t>
  </si>
  <si>
    <t>=NL("Rows","Detailed Vendor Ledg. Entry",,"Vendor Ledger Entry No.","@@"&amp;G79,"Entry Type","&lt;&gt;"&amp;"Initial Entry")</t>
  </si>
  <si>
    <t>=NF($H80,"5 Document Type")</t>
  </si>
  <si>
    <t>=NF($H80,"6 Document No.")</t>
  </si>
  <si>
    <t>=NF($H80,"4 Posting Date")</t>
  </si>
  <si>
    <t>=NF(H80,"10 Currency Code")</t>
  </si>
  <si>
    <t>=IF(NF($H80,"7 Amount")=Q80,0,NF($H80,"7 Amount"))</t>
  </si>
  <si>
    <t>=IF(NF($H80,"16 Debit Amount")=R80,0,NF($H80,"16 Debit Amount"))</t>
  </si>
  <si>
    <t>=NF(H80,"8 Amount (LCY)")</t>
  </si>
  <si>
    <t>=H82</t>
  </si>
  <si>
    <t>=I77</t>
  </si>
  <si>
    <t>=IF(NF(H82,"Entry no.")&lt;&gt;"",NF(H82,"Entry no."),0)</t>
  </si>
  <si>
    <t>="""Business Central"",""CRONUS JetCorp USA"",""25"",""1"",""2335"""</t>
  </si>
  <si>
    <t>=NF(H82,"7 Description")</t>
  </si>
  <si>
    <t>=NF(H82,"6 Document No.")</t>
  </si>
  <si>
    <t>=NF(H82,"37 Due Date")</t>
  </si>
  <si>
    <t>=NF(H82,"4 Posting Date")</t>
  </si>
  <si>
    <t>=NF(H82,"11 Currency code")</t>
  </si>
  <si>
    <t>=IF(NF($H82,"13 Amount")=Q82,0,NF($H82,"13 Amount"))</t>
  </si>
  <si>
    <t>=IF(NF($H82,"14 Remaining Amount")=R82,0,NF($H82,"14 Remaining Amount"))</t>
  </si>
  <si>
    <t>=NF(H82,"17 Amount (LCY)")</t>
  </si>
  <si>
    <t>=NF(H82,"16 Remaining Amt. (LCY)")</t>
  </si>
  <si>
    <t>=IF(H83="","Hide","Show")</t>
  </si>
  <si>
    <t>=D82</t>
  </si>
  <si>
    <t>=E82</t>
  </si>
  <si>
    <t>=NF(H83,"Vendor Ledger Entry No.")</t>
  </si>
  <si>
    <t>=NL("Rows","Detailed Vendor Ledg. Entry",,"Vendor Ledger Entry No.","@@"&amp;G82,"Entry Type","&lt;&gt;"&amp;"Initial Entry")</t>
  </si>
  <si>
    <t>=NF($H83,"5 Document Type")</t>
  </si>
  <si>
    <t>=NF($H83,"6 Document No.")</t>
  </si>
  <si>
    <t>=NF($H83,"4 Posting Date")</t>
  </si>
  <si>
    <t>=NF(H83,"10 Currency Code")</t>
  </si>
  <si>
    <t>=IF(NF($H83,"7 Amount")=Q83,0,NF($H83,"7 Amount"))</t>
  </si>
  <si>
    <t>=IF(NF($H83,"16 Debit Amount")=R83,0,NF($H83,"16 Debit Amount"))</t>
  </si>
  <si>
    <t>=NF(H83,"8 Amount (LCY)")</t>
  </si>
  <si>
    <t>=H85</t>
  </si>
  <si>
    <t>=I80</t>
  </si>
  <si>
    <t>=IF(NF(H85,"Entry no.")&lt;&gt;"",NF(H85,"Entry no."),0)</t>
  </si>
  <si>
    <t>="""Business Central"",""CRONUS JetCorp USA"",""25"",""1"",""2461"""</t>
  </si>
  <si>
    <t>=NF(H85,"7 Description")</t>
  </si>
  <si>
    <t>=NF(H85,"6 Document No.")</t>
  </si>
  <si>
    <t>=NF(H85,"37 Due Date")</t>
  </si>
  <si>
    <t>=NF(H85,"4 Posting Date")</t>
  </si>
  <si>
    <t>=NF(H85,"11 Currency code")</t>
  </si>
  <si>
    <t>=IF(NF($H85,"13 Amount")=Q85,0,NF($H85,"13 Amount"))</t>
  </si>
  <si>
    <t>=IF(NF($H85,"14 Remaining Amount")=R85,0,NF($H85,"14 Remaining Amount"))</t>
  </si>
  <si>
    <t>=NF(H85,"17 Amount (LCY)")</t>
  </si>
  <si>
    <t>=NF(H85,"16 Remaining Amt. (LCY)")</t>
  </si>
  <si>
    <t>=IF(H86="","Hide","Show")</t>
  </si>
  <si>
    <t>=D85</t>
  </si>
  <si>
    <t>=E85</t>
  </si>
  <si>
    <t>=NF(H86,"Vendor Ledger Entry No.")</t>
  </si>
  <si>
    <t>=NL("Rows","Detailed Vendor Ledg. Entry",,"Vendor Ledger Entry No.","@@"&amp;G85,"Entry Type","&lt;&gt;"&amp;"Initial Entry")</t>
  </si>
  <si>
    <t>=NF($H86,"5 Document Type")</t>
  </si>
  <si>
    <t>=NF($H86,"6 Document No.")</t>
  </si>
  <si>
    <t>=NF($H86,"4 Posting Date")</t>
  </si>
  <si>
    <t>=NF(H86,"10 Currency Code")</t>
  </si>
  <si>
    <t>=IF(NF($H86,"7 Amount")=Q86,0,NF($H86,"7 Amount"))</t>
  </si>
  <si>
    <t>=IF(NF($H86,"16 Debit Amount")=R86,0,NF($H86,"16 Debit Amount"))</t>
  </si>
  <si>
    <t>=NF(H86,"8 Amount (LCY)")</t>
  </si>
  <si>
    <t>=H88</t>
  </si>
  <si>
    <t>=I83</t>
  </si>
  <si>
    <t>=IF(NF(H88,"Entry no.")&lt;&gt;"",NF(H88,"Entry no."),0)</t>
  </si>
  <si>
    <t>="""Business Central"",""CRONUS JetCorp USA"",""25"",""1"",""2545"""</t>
  </si>
  <si>
    <t>=NF(H88,"7 Description")</t>
  </si>
  <si>
    <t>=NF(H88,"6 Document No.")</t>
  </si>
  <si>
    <t>=NF(H88,"37 Due Date")</t>
  </si>
  <si>
    <t>=NF(H88,"4 Posting Date")</t>
  </si>
  <si>
    <t>=NF(H88,"11 Currency code")</t>
  </si>
  <si>
    <t>=IF(NF($H88,"13 Amount")=Q88,0,NF($H88,"13 Amount"))</t>
  </si>
  <si>
    <t>=IF(NF($H88,"14 Remaining Amount")=R88,0,NF($H88,"14 Remaining Amount"))</t>
  </si>
  <si>
    <t>=NF(H88,"17 Amount (LCY)")</t>
  </si>
  <si>
    <t>=NF(H88,"16 Remaining Amt. (LCY)")</t>
  </si>
  <si>
    <t>=IF(H89="","Hide","Show")</t>
  </si>
  <si>
    <t>=D88</t>
  </si>
  <si>
    <t>=E88</t>
  </si>
  <si>
    <t>=NF(H89,"Vendor Ledger Entry No.")</t>
  </si>
  <si>
    <t>=NL("Rows","Detailed Vendor Ledg. Entry",,"Vendor Ledger Entry No.","@@"&amp;G88,"Entry Type","&lt;&gt;"&amp;"Initial Entry")</t>
  </si>
  <si>
    <t>=NF($H89,"5 Document Type")</t>
  </si>
  <si>
    <t>=NF($H89,"6 Document No.")</t>
  </si>
  <si>
    <t>=NF($H89,"4 Posting Date")</t>
  </si>
  <si>
    <t>=NF(H89,"10 Currency Code")</t>
  </si>
  <si>
    <t>=IF(NF($H89,"7 Amount")=Q89,0,NF($H89,"7 Amount"))</t>
  </si>
  <si>
    <t>=IF(NF($H89,"16 Debit Amount")=R89,0,NF($H89,"16 Debit Amount"))</t>
  </si>
  <si>
    <t>=NF(H89,"8 Amount (LCY)")</t>
  </si>
  <si>
    <t>=H91</t>
  </si>
  <si>
    <t>=I86</t>
  </si>
  <si>
    <t>=IF(NF(H91,"Entry no.")&lt;&gt;"",NF(H91,"Entry no."),0)</t>
  </si>
  <si>
    <t>="""Business Central"",""CRONUS JetCorp USA"",""25"",""1"",""2671"""</t>
  </si>
  <si>
    <t>=NF(H91,"7 Description")</t>
  </si>
  <si>
    <t>=NF(H91,"6 Document No.")</t>
  </si>
  <si>
    <t>=NF(H91,"37 Due Date")</t>
  </si>
  <si>
    <t>=NF(H91,"4 Posting Date")</t>
  </si>
  <si>
    <t>=NF(H91,"11 Currency code")</t>
  </si>
  <si>
    <t>=IF(NF($H91,"13 Amount")=Q91,0,NF($H91,"13 Amount"))</t>
  </si>
  <si>
    <t>=IF(NF($H91,"14 Remaining Amount")=R91,0,NF($H91,"14 Remaining Amount"))</t>
  </si>
  <si>
    <t>=NF(H91,"17 Amount (LCY)")</t>
  </si>
  <si>
    <t>=NF(H91,"16 Remaining Amt. (LCY)")</t>
  </si>
  <si>
    <t>=IF(H92="","Hide","Show")</t>
  </si>
  <si>
    <t>=D91</t>
  </si>
  <si>
    <t>=E91</t>
  </si>
  <si>
    <t>=NF(H92,"Vendor Ledger Entry No.")</t>
  </si>
  <si>
    <t>=NL("Rows","Detailed Vendor Ledg. Entry",,"Vendor Ledger Entry No.","@@"&amp;G91,"Entry Type","&lt;&gt;"&amp;"Initial Entry")</t>
  </si>
  <si>
    <t>=NF($H92,"5 Document Type")</t>
  </si>
  <si>
    <t>=NF($H92,"6 Document No.")</t>
  </si>
  <si>
    <t>=NF($H92,"4 Posting Date")</t>
  </si>
  <si>
    <t>=NF(H92,"10 Currency Code")</t>
  </si>
  <si>
    <t>=IF(NF($H92,"7 Amount")=Q92,0,NF($H92,"7 Amount"))</t>
  </si>
  <si>
    <t>=IF(NF($H92,"16 Debit Amount")=R92,0,NF($H92,"16 Debit Amount"))</t>
  </si>
  <si>
    <t>=NF(H92,"8 Amount (LCY)")</t>
  </si>
  <si>
    <t>=H94</t>
  </si>
  <si>
    <t>=I89</t>
  </si>
  <si>
    <t>=IF(NF(H94,"Entry no.")&lt;&gt;"",NF(H94,"Entry no."),0)</t>
  </si>
  <si>
    <t>="""Business Central"",""CRONUS JetCorp USA"",""25"",""1"",""2755"""</t>
  </si>
  <si>
    <t>=NF(H94,"7 Description")</t>
  </si>
  <si>
    <t>=NF(H94,"6 Document No.")</t>
  </si>
  <si>
    <t>=NF(H94,"37 Due Date")</t>
  </si>
  <si>
    <t>=NF(H94,"4 Posting Date")</t>
  </si>
  <si>
    <t>=NF(H94,"11 Currency code")</t>
  </si>
  <si>
    <t>=IF(NF($H94,"13 Amount")=Q94,0,NF($H94,"13 Amount"))</t>
  </si>
  <si>
    <t>=IF(NF($H94,"14 Remaining Amount")=R94,0,NF($H94,"14 Remaining Amount"))</t>
  </si>
  <si>
    <t>=NF(H94,"17 Amount (LCY)")</t>
  </si>
  <si>
    <t>=NF(H94,"16 Remaining Amt. (LCY)")</t>
  </si>
  <si>
    <t>=IF(H95="","Hide","Show")</t>
  </si>
  <si>
    <t>=D94</t>
  </si>
  <si>
    <t>=E94</t>
  </si>
  <si>
    <t>=NF(H95,"Vendor Ledger Entry No.")</t>
  </si>
  <si>
    <t>=NL("Rows","Detailed Vendor Ledg. Entry",,"Vendor Ledger Entry No.","@@"&amp;G94,"Entry Type","&lt;&gt;"&amp;"Initial Entry")</t>
  </si>
  <si>
    <t>=NF($H95,"5 Document Type")</t>
  </si>
  <si>
    <t>=NF($H95,"6 Document No.")</t>
  </si>
  <si>
    <t>=NF($H95,"4 Posting Date")</t>
  </si>
  <si>
    <t>=NF(H95,"10 Currency Code")</t>
  </si>
  <si>
    <t>=IF(NF($H95,"7 Amount")=Q95,0,NF($H95,"7 Amount"))</t>
  </si>
  <si>
    <t>=IF(NF($H95,"16 Debit Amount")=R95,0,NF($H95,"16 Debit Amount"))</t>
  </si>
  <si>
    <t>=NF(H95,"8 Amount (LCY)")</t>
  </si>
  <si>
    <t>=H97</t>
  </si>
  <si>
    <t>=I92</t>
  </si>
  <si>
    <t>=IF(NF(H97,"Entry no.")&lt;&gt;"",NF(H97,"Entry no."),0)</t>
  </si>
  <si>
    <t>="""Business Central"",""CRONUS JetCorp USA"",""25"",""1"",""2881"""</t>
  </si>
  <si>
    <t>=NF(H97,"7 Description")</t>
  </si>
  <si>
    <t>=NF(H97,"6 Document No.")</t>
  </si>
  <si>
    <t>=NF(H97,"37 Due Date")</t>
  </si>
  <si>
    <t>=NF(H97,"4 Posting Date")</t>
  </si>
  <si>
    <t>=NF(H97,"11 Currency code")</t>
  </si>
  <si>
    <t>=IF(NF($H97,"13 Amount")=Q97,0,NF($H97,"13 Amount"))</t>
  </si>
  <si>
    <t>=IF(NF($H97,"14 Remaining Amount")=R97,0,NF($H97,"14 Remaining Amount"))</t>
  </si>
  <si>
    <t>=NF(H97,"17 Amount (LCY)")</t>
  </si>
  <si>
    <t>=NF(H97,"16 Remaining Amt. (LCY)")</t>
  </si>
  <si>
    <t>=IF(H98="","Hide","Show")</t>
  </si>
  <si>
    <t>=D97</t>
  </si>
  <si>
    <t>=E97</t>
  </si>
  <si>
    <t>=NF(H98,"Vendor Ledger Entry No.")</t>
  </si>
  <si>
    <t>=NL("Rows","Detailed Vendor Ledg. Entry",,"Vendor Ledger Entry No.","@@"&amp;G97,"Entry Type","&lt;&gt;"&amp;"Initial Entry")</t>
  </si>
  <si>
    <t>=NF($H98,"5 Document Type")</t>
  </si>
  <si>
    <t>=NF($H98,"6 Document No.")</t>
  </si>
  <si>
    <t>=NF($H98,"4 Posting Date")</t>
  </si>
  <si>
    <t>=NF(H98,"10 Currency Code")</t>
  </si>
  <si>
    <t>=IF(NF($H98,"7 Amount")=Q98,0,NF($H98,"7 Amount"))</t>
  </si>
  <si>
    <t>=IF(NF($H98,"16 Debit Amount")=R98,0,NF($H98,"16 Debit Amount"))</t>
  </si>
  <si>
    <t>=NF(H98,"8 Amount (LCY)")</t>
  </si>
  <si>
    <t>=H100</t>
  </si>
  <si>
    <t>=I95</t>
  </si>
  <si>
    <t>=IF(NF(H100,"Entry no.")&lt;&gt;"",NF(H100,"Entry no."),0)</t>
  </si>
  <si>
    <t>="""Business Central"",""CRONUS JetCorp USA"",""25"",""1"",""2965"""</t>
  </si>
  <si>
    <t>=NF(H100,"7 Description")</t>
  </si>
  <si>
    <t>=NF(H100,"6 Document No.")</t>
  </si>
  <si>
    <t>=NF(H100,"37 Due Date")</t>
  </si>
  <si>
    <t>=NF(H100,"4 Posting Date")</t>
  </si>
  <si>
    <t>=NF(H100,"11 Currency code")</t>
  </si>
  <si>
    <t>=IF(NF($H100,"13 Amount")=Q100,0,NF($H100,"13 Amount"))</t>
  </si>
  <si>
    <t>=IF(NF($H100,"14 Remaining Amount")=R100,0,NF($H100,"14 Remaining Amount"))</t>
  </si>
  <si>
    <t>=NF(H100,"17 Amount (LCY)")</t>
  </si>
  <si>
    <t>=NF(H100,"16 Remaining Amt. (LCY)")</t>
  </si>
  <si>
    <t>=IF(H101="","Hide","Show")</t>
  </si>
  <si>
    <t>=D100</t>
  </si>
  <si>
    <t>=E100</t>
  </si>
  <si>
    <t>=NF(H101,"Vendor Ledger Entry No.")</t>
  </si>
  <si>
    <t>=NL("Rows","Detailed Vendor Ledg. Entry",,"Vendor Ledger Entry No.","@@"&amp;G100,"Entry Type","&lt;&gt;"&amp;"Initial Entry")</t>
  </si>
  <si>
    <t>=NF($H101,"5 Document Type")</t>
  </si>
  <si>
    <t>=NF($H101,"6 Document No.")</t>
  </si>
  <si>
    <t>=NF($H101,"4 Posting Date")</t>
  </si>
  <si>
    <t>=NF(H101,"10 Currency Code")</t>
  </si>
  <si>
    <t>=IF(NF($H101,"7 Amount")=Q101,0,NF($H101,"7 Amount"))</t>
  </si>
  <si>
    <t>=IF(NF($H101,"16 Debit Amount")=R101,0,NF($H101,"16 Debit Amount"))</t>
  </si>
  <si>
    <t>=NF(H101,"8 Amount (LCY)")</t>
  </si>
  <si>
    <t>=H103</t>
  </si>
  <si>
    <t>=I98</t>
  </si>
  <si>
    <t>=IF(NF(H103,"Entry no.")&lt;&gt;"",NF(H103,"Entry no."),0)</t>
  </si>
  <si>
    <t>="""Business Central"",""CRONUS JetCorp USA"",""25"",""1"",""3007"""</t>
  </si>
  <si>
    <t>=NF(H103,"7 Description")</t>
  </si>
  <si>
    <t>=NF(H103,"6 Document No.")</t>
  </si>
  <si>
    <t>=NF(H103,"37 Due Date")</t>
  </si>
  <si>
    <t>=NF(H103,"4 Posting Date")</t>
  </si>
  <si>
    <t>=NF(H103,"11 Currency code")</t>
  </si>
  <si>
    <t>=IF(NF($H103,"13 Amount")=Q103,0,NF($H103,"13 Amount"))</t>
  </si>
  <si>
    <t>=IF(NF($H103,"14 Remaining Amount")=R103,0,NF($H103,"14 Remaining Amount"))</t>
  </si>
  <si>
    <t>=NF(H103,"17 Amount (LCY)")</t>
  </si>
  <si>
    <t>=NF(H103,"16 Remaining Amt. (LCY)")</t>
  </si>
  <si>
    <t>=IF(H104="","Hide","Show")</t>
  </si>
  <si>
    <t>=D103</t>
  </si>
  <si>
    <t>=E103</t>
  </si>
  <si>
    <t>=NF(H104,"Vendor Ledger Entry No.")</t>
  </si>
  <si>
    <t>=NL("Rows","Detailed Vendor Ledg. Entry",,"Vendor Ledger Entry No.","@@"&amp;G103,"Entry Type","&lt;&gt;"&amp;"Initial Entry")</t>
  </si>
  <si>
    <t>=NF($H104,"5 Document Type")</t>
  </si>
  <si>
    <t>=NF($H104,"6 Document No.")</t>
  </si>
  <si>
    <t>=NF($H104,"4 Posting Date")</t>
  </si>
  <si>
    <t>=NF(H104,"10 Currency Code")</t>
  </si>
  <si>
    <t>=IF(NF($H104,"7 Amount")=Q104,0,NF($H104,"7 Amount"))</t>
  </si>
  <si>
    <t>=IF(NF($H104,"16 Debit Amount")=R104,0,NF($H104,"16 Debit Amount"))</t>
  </si>
  <si>
    <t>=NF(H104,"8 Amount (LCY)")</t>
  </si>
  <si>
    <t>=H106</t>
  </si>
  <si>
    <t>=I101</t>
  </si>
  <si>
    <t>=IF(NF(H106,"Entry no.")&lt;&gt;"",NF(H106,"Entry no."),0)</t>
  </si>
  <si>
    <t>="""Business Central"",""CRONUS JetCorp USA"",""25"",""1"",""3033"""</t>
  </si>
  <si>
    <t>=NF(H106,"7 Description")</t>
  </si>
  <si>
    <t>=NF(H106,"6 Document No.")</t>
  </si>
  <si>
    <t>=NF(H106,"37 Due Date")</t>
  </si>
  <si>
    <t>=NF(H106,"4 Posting Date")</t>
  </si>
  <si>
    <t>=NF(H106,"11 Currency code")</t>
  </si>
  <si>
    <t>=IF(NF($H106,"13 Amount")=Q106,0,NF($H106,"13 Amount"))</t>
  </si>
  <si>
    <t>=IF(NF($H106,"14 Remaining Amount")=R106,0,NF($H106,"14 Remaining Amount"))</t>
  </si>
  <si>
    <t>=NF(H106,"17 Amount (LCY)")</t>
  </si>
  <si>
    <t>=NF(H106,"16 Remaining Amt. (LCY)")</t>
  </si>
  <si>
    <t>=IF(H107="","Hide","Show")</t>
  </si>
  <si>
    <t>=D106</t>
  </si>
  <si>
    <t>=E106</t>
  </si>
  <si>
    <t>=NF(H107,"Vendor Ledger Entry No.")</t>
  </si>
  <si>
    <t>=NL("Rows","Detailed Vendor Ledg. Entry",,"Vendor Ledger Entry No.","@@"&amp;G106,"Entry Type","&lt;&gt;"&amp;"Initial Entry")</t>
  </si>
  <si>
    <t>=NF($H107,"5 Document Type")</t>
  </si>
  <si>
    <t>=NF($H107,"6 Document No.")</t>
  </si>
  <si>
    <t>=NF($H107,"4 Posting Date")</t>
  </si>
  <si>
    <t>=NF(H107,"10 Currency Code")</t>
  </si>
  <si>
    <t>=IF(NF($H107,"7 Amount")=Q107,0,NF($H107,"7 Amount"))</t>
  </si>
  <si>
    <t>=IF(NF($H107,"16 Debit Amount")=R107,0,NF($H107,"16 Debit Amount"))</t>
  </si>
  <si>
    <t>=NF(H107,"8 Amount (LCY)")</t>
  </si>
  <si>
    <t>=H109</t>
  </si>
  <si>
    <t>=I104</t>
  </si>
  <si>
    <t>=IF(NF(H109,"Entry no.")&lt;&gt;"",NF(H109,"Entry no."),0)</t>
  </si>
  <si>
    <t>="""Business Central"",""CRONUS JetCorp USA"",""25"",""1"",""3105"""</t>
  </si>
  <si>
    <t>=NF(H109,"7 Description")</t>
  </si>
  <si>
    <t>=NF(H109,"6 Document No.")</t>
  </si>
  <si>
    <t>=NF(H109,"37 Due Date")</t>
  </si>
  <si>
    <t>=NF(H109,"4 Posting Date")</t>
  </si>
  <si>
    <t>=NF(H109,"11 Currency code")</t>
  </si>
  <si>
    <t>=IF(NF($H109,"13 Amount")=Q109,0,NF($H109,"13 Amount"))</t>
  </si>
  <si>
    <t>=IF(NF($H109,"14 Remaining Amount")=R109,0,NF($H109,"14 Remaining Amount"))</t>
  </si>
  <si>
    <t>=NF(H109,"17 Amount (LCY)")</t>
  </si>
  <si>
    <t>=NF(H109,"16 Remaining Amt. (LCY)")</t>
  </si>
  <si>
    <t>=IF(H110="","Hide","Show")</t>
  </si>
  <si>
    <t>=D109</t>
  </si>
  <si>
    <t>=E109</t>
  </si>
  <si>
    <t>=NF(H110,"Vendor Ledger Entry No.")</t>
  </si>
  <si>
    <t>=NL("Rows","Detailed Vendor Ledg. Entry",,"Vendor Ledger Entry No.","@@"&amp;G109,"Entry Type","&lt;&gt;"&amp;"Initial Entry")</t>
  </si>
  <si>
    <t>=NF($H110,"5 Document Type")</t>
  </si>
  <si>
    <t>=NF($H110,"6 Document No.")</t>
  </si>
  <si>
    <t>=NF($H110,"4 Posting Date")</t>
  </si>
  <si>
    <t>=NF(H110,"10 Currency Code")</t>
  </si>
  <si>
    <t>=IF(NF($H110,"7 Amount")=Q110,0,NF($H110,"7 Amount"))</t>
  </si>
  <si>
    <t>=IF(NF($H110,"16 Debit Amount")=R110,0,NF($H110,"16 Debit Amount"))</t>
  </si>
  <si>
    <t>=NF(H110,"8 Amount (LCY)")</t>
  </si>
  <si>
    <t>=H112</t>
  </si>
  <si>
    <t>=I107</t>
  </si>
  <si>
    <t>=IF(NF(H112,"Entry no.")&lt;&gt;"",NF(H112,"Entry no."),0)</t>
  </si>
  <si>
    <t>="""Business Central"",""CRONUS JetCorp USA"",""25"",""1"",""3141"""</t>
  </si>
  <si>
    <t>=NF(H112,"7 Description")</t>
  </si>
  <si>
    <t>=NF(H112,"6 Document No.")</t>
  </si>
  <si>
    <t>=NF(H112,"37 Due Date")</t>
  </si>
  <si>
    <t>=NF(H112,"4 Posting Date")</t>
  </si>
  <si>
    <t>=NF(H112,"11 Currency code")</t>
  </si>
  <si>
    <t>=IF(NF($H112,"13 Amount")=Q112,0,NF($H112,"13 Amount"))</t>
  </si>
  <si>
    <t>=IF(NF($H112,"14 Remaining Amount")=R112,0,NF($H112,"14 Remaining Amount"))</t>
  </si>
  <si>
    <t>=NF(H112,"17 Amount (LCY)")</t>
  </si>
  <si>
    <t>=NF(H112,"16 Remaining Amt. (LCY)")</t>
  </si>
  <si>
    <t>=IF(H113="","Hide","Show")</t>
  </si>
  <si>
    <t>=D112</t>
  </si>
  <si>
    <t>=E112</t>
  </si>
  <si>
    <t>=NF(H113,"Vendor Ledger Entry No.")</t>
  </si>
  <si>
    <t>=NL("Rows","Detailed Vendor Ledg. Entry",,"Vendor Ledger Entry No.","@@"&amp;G112,"Entry Type","&lt;&gt;"&amp;"Initial Entry")</t>
  </si>
  <si>
    <t>=NF($H113,"5 Document Type")</t>
  </si>
  <si>
    <t>=NF($H113,"6 Document No.")</t>
  </si>
  <si>
    <t>=NF($H113,"4 Posting Date")</t>
  </si>
  <si>
    <t>=NF(H113,"10 Currency Code")</t>
  </si>
  <si>
    <t>=IF(NF($H113,"7 Amount")=Q113,0,NF($H113,"7 Amount"))</t>
  </si>
  <si>
    <t>=IF(NF($H113,"16 Debit Amount")=R113,0,NF($H113,"16 Debit Amount"))</t>
  </si>
  <si>
    <t>=NF(H113,"8 Amount (LCY)")</t>
  </si>
  <si>
    <t>=H115</t>
  </si>
  <si>
    <t>=I110</t>
  </si>
  <si>
    <t>=IF(NF(H115,"Entry no.")&lt;&gt;"",NF(H115,"Entry no."),0)</t>
  </si>
  <si>
    <t>="""Business Central"",""CRONUS JetCorp USA"",""25"",""1"",""3175"""</t>
  </si>
  <si>
    <t>=NF(H115,"7 Description")</t>
  </si>
  <si>
    <t>=NF(H115,"6 Document No.")</t>
  </si>
  <si>
    <t>=NF(H115,"37 Due Date")</t>
  </si>
  <si>
    <t>=NF(H115,"4 Posting Date")</t>
  </si>
  <si>
    <t>=NF(H115,"11 Currency code")</t>
  </si>
  <si>
    <t>=IF(NF($H115,"13 Amount")=Q115,0,NF($H115,"13 Amount"))</t>
  </si>
  <si>
    <t>=IF(NF($H115,"14 Remaining Amount")=R115,0,NF($H115,"14 Remaining Amount"))</t>
  </si>
  <si>
    <t>=NF(H115,"17 Amount (LCY)")</t>
  </si>
  <si>
    <t>=NF(H115,"16 Remaining Amt. (LCY)")</t>
  </si>
  <si>
    <t>=IF(H116="","Hide","Show")</t>
  </si>
  <si>
    <t>=D115</t>
  </si>
  <si>
    <t>=E115</t>
  </si>
  <si>
    <t>=NF(H116,"Vendor Ledger Entry No.")</t>
  </si>
  <si>
    <t>=NL("Rows","Detailed Vendor Ledg. Entry",,"Vendor Ledger Entry No.","@@"&amp;G115,"Entry Type","&lt;&gt;"&amp;"Initial Entry")</t>
  </si>
  <si>
    <t>=NF($H116,"5 Document Type")</t>
  </si>
  <si>
    <t>=NF($H116,"6 Document No.")</t>
  </si>
  <si>
    <t>=NF($H116,"4 Posting Date")</t>
  </si>
  <si>
    <t>=NF(H116,"10 Currency Code")</t>
  </si>
  <si>
    <t>=IF(NF($H116,"7 Amount")=Q116,0,NF($H116,"7 Amount"))</t>
  </si>
  <si>
    <t>=IF(NF($H116,"16 Debit Amount")=R116,0,NF($H116,"16 Debit Amount"))</t>
  </si>
  <si>
    <t>=NF(H116,"8 Amount (LCY)")</t>
  </si>
  <si>
    <t>=H118</t>
  </si>
  <si>
    <t>=I113</t>
  </si>
  <si>
    <t>=IF(NF(H118,"Entry no.")&lt;&gt;"",NF(H118,"Entry no."),0)</t>
  </si>
  <si>
    <t>="""Business Central"",""CRONUS JetCorp USA"",""25"",""1"",""3207"""</t>
  </si>
  <si>
    <t>=NF(H118,"7 Description")</t>
  </si>
  <si>
    <t>=NF(H118,"6 Document No.")</t>
  </si>
  <si>
    <t>=NF(H118,"37 Due Date")</t>
  </si>
  <si>
    <t>=NF(H118,"4 Posting Date")</t>
  </si>
  <si>
    <t>=NF(H118,"11 Currency code")</t>
  </si>
  <si>
    <t>=IF(NF($H118,"13 Amount")=Q118,0,NF($H118,"13 Amount"))</t>
  </si>
  <si>
    <t>=IF(NF($H118,"14 Remaining Amount")=R118,0,NF($H118,"14 Remaining Amount"))</t>
  </si>
  <si>
    <t>=NF(H118,"17 Amount (LCY)")</t>
  </si>
  <si>
    <t>=NF(H118,"16 Remaining Amt. (LCY)")</t>
  </si>
  <si>
    <t>=IF(H119="","Hide","Show")</t>
  </si>
  <si>
    <t>=D118</t>
  </si>
  <si>
    <t>=E118</t>
  </si>
  <si>
    <t>=NF(H119,"Vendor Ledger Entry No.")</t>
  </si>
  <si>
    <t>=NL("Rows","Detailed Vendor Ledg. Entry",,"Vendor Ledger Entry No.","@@"&amp;G118,"Entry Type","&lt;&gt;"&amp;"Initial Entry")</t>
  </si>
  <si>
    <t>=NF($H119,"5 Document Type")</t>
  </si>
  <si>
    <t>=NF($H119,"6 Document No.")</t>
  </si>
  <si>
    <t>=NF($H119,"4 Posting Date")</t>
  </si>
  <si>
    <t>=NF(H119,"10 Currency Code")</t>
  </si>
  <si>
    <t>=IF(NF($H119,"7 Amount")=Q119,0,NF($H119,"7 Amount"))</t>
  </si>
  <si>
    <t>=IF(NF($H119,"16 Debit Amount")=R119,0,NF($H119,"16 Debit Amount"))</t>
  </si>
  <si>
    <t>=NF(H119,"8 Amount (LCY)")</t>
  </si>
  <si>
    <t>=H121</t>
  </si>
  <si>
    <t>=I116</t>
  </si>
  <si>
    <t>=IF(NF(H121,"Entry no.")&lt;&gt;"",NF(H121,"Entry no."),0)</t>
  </si>
  <si>
    <t>="""Business Central"",""CRONUS JetCorp USA"",""25"",""1"",""3242"""</t>
  </si>
  <si>
    <t>=NF(H121,"7 Description")</t>
  </si>
  <si>
    <t>=NF(H121,"6 Document No.")</t>
  </si>
  <si>
    <t>=NF(H121,"37 Due Date")</t>
  </si>
  <si>
    <t>=NF(H121,"4 Posting Date")</t>
  </si>
  <si>
    <t>=NF(H121,"11 Currency code")</t>
  </si>
  <si>
    <t>=IF(NF($H121,"13 Amount")=Q121,0,NF($H121,"13 Amount"))</t>
  </si>
  <si>
    <t>=IF(NF($H121,"14 Remaining Amount")=R121,0,NF($H121,"14 Remaining Amount"))</t>
  </si>
  <si>
    <t>=NF(H121,"17 Amount (LCY)")</t>
  </si>
  <si>
    <t>=NF(H121,"16 Remaining Amt. (LCY)")</t>
  </si>
  <si>
    <t>=IF(H122="","Hide","Show")</t>
  </si>
  <si>
    <t>=D121</t>
  </si>
  <si>
    <t>=E121</t>
  </si>
  <si>
    <t>=NF(H122,"Vendor Ledger Entry No.")</t>
  </si>
  <si>
    <t>=NL("Rows","Detailed Vendor Ledg. Entry",,"Vendor Ledger Entry No.","@@"&amp;G121,"Entry Type","&lt;&gt;"&amp;"Initial Entry")</t>
  </si>
  <si>
    <t>=NF($H122,"5 Document Type")</t>
  </si>
  <si>
    <t>=NF($H122,"6 Document No.")</t>
  </si>
  <si>
    <t>=NF($H122,"4 Posting Date")</t>
  </si>
  <si>
    <t>=NF(H122,"10 Currency Code")</t>
  </si>
  <si>
    <t>=IF(NF($H122,"7 Amount")=Q122,0,NF($H122,"7 Amount"))</t>
  </si>
  <si>
    <t>=IF(NF($H122,"16 Debit Amount")=R122,0,NF($H122,"16 Debit Amount"))</t>
  </si>
  <si>
    <t>=NF(H122,"8 Amount (LCY)")</t>
  </si>
  <si>
    <t>=H124</t>
  </si>
  <si>
    <t>=I119</t>
  </si>
  <si>
    <t>=IF(NF(H124,"Entry no.")&lt;&gt;"",NF(H124,"Entry no."),0)</t>
  </si>
  <si>
    <t>="""Business Central"",""CRONUS JetCorp USA"",""25"",""1"",""3260"""</t>
  </si>
  <si>
    <t>=NF(H124,"7 Description")</t>
  </si>
  <si>
    <t>=NF(H124,"6 Document No.")</t>
  </si>
  <si>
    <t>=NF(H124,"37 Due Date")</t>
  </si>
  <si>
    <t>=NF(H124,"4 Posting Date")</t>
  </si>
  <si>
    <t>=NF(H124,"11 Currency code")</t>
  </si>
  <si>
    <t>=IF(NF($H124,"13 Amount")=Q124,0,NF($H124,"13 Amount"))</t>
  </si>
  <si>
    <t>=IF(NF($H124,"14 Remaining Amount")=R124,0,NF($H124,"14 Remaining Amount"))</t>
  </si>
  <si>
    <t>=NF(H124,"17 Amount (LCY)")</t>
  </si>
  <si>
    <t>=NF(H124,"16 Remaining Amt. (LCY)")</t>
  </si>
  <si>
    <t>=IF(H125="","Hide","Show")</t>
  </si>
  <si>
    <t>=D124</t>
  </si>
  <si>
    <t>=E124</t>
  </si>
  <si>
    <t>=NF(H125,"Vendor Ledger Entry No.")</t>
  </si>
  <si>
    <t>=NL("Rows","Detailed Vendor Ledg. Entry",,"Vendor Ledger Entry No.","@@"&amp;G124,"Entry Type","&lt;&gt;"&amp;"Initial Entry")</t>
  </si>
  <si>
    <t>=NF($H125,"5 Document Type")</t>
  </si>
  <si>
    <t>=NF($H125,"6 Document No.")</t>
  </si>
  <si>
    <t>=NF($H125,"4 Posting Date")</t>
  </si>
  <si>
    <t>=NF(H125,"10 Currency Code")</t>
  </si>
  <si>
    <t>=IF(NF($H125,"7 Amount")=Q125,0,NF($H125,"7 Amount"))</t>
  </si>
  <si>
    <t>=IF(NF($H125,"16 Debit Amount")=R125,0,NF($H125,"16 Debit Amount"))</t>
  </si>
  <si>
    <t>=NF(H125,"8 Amount (LCY)")</t>
  </si>
  <si>
    <t>=H127</t>
  </si>
  <si>
    <t>=I122</t>
  </si>
  <si>
    <t>=IF(NF(H127,"Entry no.")&lt;&gt;"",NF(H127,"Entry no."),0)</t>
  </si>
  <si>
    <t>="""Business Central"",""CRONUS JetCorp USA"",""25"",""1"",""3264"""</t>
  </si>
  <si>
    <t>=NF(H127,"7 Description")</t>
  </si>
  <si>
    <t>=NF(H127,"6 Document No.")</t>
  </si>
  <si>
    <t>=NF(H127,"37 Due Date")</t>
  </si>
  <si>
    <t>=NF(H127,"4 Posting Date")</t>
  </si>
  <si>
    <t>=NF(H127,"11 Currency code")</t>
  </si>
  <si>
    <t>=IF(NF($H127,"13 Amount")=Q127,0,NF($H127,"13 Amount"))</t>
  </si>
  <si>
    <t>=IF(NF($H127,"14 Remaining Amount")=R127,0,NF($H127,"14 Remaining Amount"))</t>
  </si>
  <si>
    <t>=NF(H127,"17 Amount (LCY)")</t>
  </si>
  <si>
    <t>=NF(H127,"16 Remaining Amt. (LCY)")</t>
  </si>
  <si>
    <t>=IF(H128="","Hide","Show")</t>
  </si>
  <si>
    <t>=D127</t>
  </si>
  <si>
    <t>=E127</t>
  </si>
  <si>
    <t>=NF(H128,"Vendor Ledger Entry No.")</t>
  </si>
  <si>
    <t>=NL("Rows","Detailed Vendor Ledg. Entry",,"Vendor Ledger Entry No.","@@"&amp;G127,"Entry Type","&lt;&gt;"&amp;"Initial Entry")</t>
  </si>
  <si>
    <t>=NF($H128,"5 Document Type")</t>
  </si>
  <si>
    <t>=NF($H128,"6 Document No.")</t>
  </si>
  <si>
    <t>=NF($H128,"4 Posting Date")</t>
  </si>
  <si>
    <t>=NF(H128,"10 Currency Code")</t>
  </si>
  <si>
    <t>=IF(NF($H128,"7 Amount")=Q128,0,NF($H128,"7 Amount"))</t>
  </si>
  <si>
    <t>=IF(NF($H128,"16 Debit Amount")=R128,0,NF($H128,"16 Debit Amount"))</t>
  </si>
  <si>
    <t>=NF(H128,"8 Amount (LCY)")</t>
  </si>
  <si>
    <t>=H130</t>
  </si>
  <si>
    <t>=I125</t>
  </si>
  <si>
    <t>=IF(NF(H130,"Entry no.")&lt;&gt;"",NF(H130,"Entry no."),0)</t>
  </si>
  <si>
    <t>="""Business Central"",""CRONUS JetCorp USA"",""25"",""1"",""3278"""</t>
  </si>
  <si>
    <t>=NF(H130,"7 Description")</t>
  </si>
  <si>
    <t>=NF(H130,"6 Document No.")</t>
  </si>
  <si>
    <t>=NF(H130,"37 Due Date")</t>
  </si>
  <si>
    <t>=NF(H130,"4 Posting Date")</t>
  </si>
  <si>
    <t>=NF(H130,"11 Currency code")</t>
  </si>
  <si>
    <t>=IF(NF($H130,"13 Amount")=Q130,0,NF($H130,"13 Amount"))</t>
  </si>
  <si>
    <t>=IF(NF($H130,"14 Remaining Amount")=R130,0,NF($H130,"14 Remaining Amount"))</t>
  </si>
  <si>
    <t>=NF(H130,"17 Amount (LCY)")</t>
  </si>
  <si>
    <t>=NF(H130,"16 Remaining Amt. (LCY)")</t>
  </si>
  <si>
    <t>=IF(H131="","Hide","Show")</t>
  </si>
  <si>
    <t>=D130</t>
  </si>
  <si>
    <t>=E130</t>
  </si>
  <si>
    <t>=NF(H131,"Vendor Ledger Entry No.")</t>
  </si>
  <si>
    <t>=NL("Rows","Detailed Vendor Ledg. Entry",,"Vendor Ledger Entry No.","@@"&amp;G130,"Entry Type","&lt;&gt;"&amp;"Initial Entry")</t>
  </si>
  <si>
    <t>=NF($H131,"5 Document Type")</t>
  </si>
  <si>
    <t>=NF($H131,"6 Document No.")</t>
  </si>
  <si>
    <t>=NF($H131,"4 Posting Date")</t>
  </si>
  <si>
    <t>=NF(H131,"10 Currency Code")</t>
  </si>
  <si>
    <t>=IF(NF($H131,"7 Amount")=Q131,0,NF($H131,"7 Amount"))</t>
  </si>
  <si>
    <t>=IF(NF($H131,"16 Debit Amount")=R131,0,NF($H131,"16 Debit Amount"))</t>
  </si>
  <si>
    <t>=NF(H131,"8 Amount (LCY)")</t>
  </si>
  <si>
    <t>=H133</t>
  </si>
  <si>
    <t>=I128</t>
  </si>
  <si>
    <t>=IF(NF(H133,"Entry no.")&lt;&gt;"",NF(H133,"Entry no."),0)</t>
  </si>
  <si>
    <t>="""Business Central"",""CRONUS JetCorp USA"",""25"",""1"",""446766"""</t>
  </si>
  <si>
    <t>=NF(H133,"7 Description")</t>
  </si>
  <si>
    <t>=NF(H133,"6 Document No.")</t>
  </si>
  <si>
    <t>=NF(H133,"37 Due Date")</t>
  </si>
  <si>
    <t>=NF(H133,"4 Posting Date")</t>
  </si>
  <si>
    <t>=NF(H133,"11 Currency code")</t>
  </si>
  <si>
    <t>=IF(NF($H133,"13 Amount")=Q133,0,NF($H133,"13 Amount"))</t>
  </si>
  <si>
    <t>=IF(NF($H133,"14 Remaining Amount")=R133,0,NF($H133,"14 Remaining Amount"))</t>
  </si>
  <si>
    <t>=NF(H133,"17 Amount (LCY)")</t>
  </si>
  <si>
    <t>=NF(H133,"16 Remaining Amt. (LCY)")</t>
  </si>
  <si>
    <t>=IF(H134="","Hide","Show")</t>
  </si>
  <si>
    <t>=D133</t>
  </si>
  <si>
    <t>=E133</t>
  </si>
  <si>
    <t>=NF(H134,"Vendor Ledger Entry No.")</t>
  </si>
  <si>
    <t>=NL("Rows","Detailed Vendor Ledg. Entry",,"Vendor Ledger Entry No.","@@"&amp;G133,"Entry Type","&lt;&gt;"&amp;"Initial Entry")</t>
  </si>
  <si>
    <t>=NF($H134,"5 Document Type")</t>
  </si>
  <si>
    <t>=NF($H134,"6 Document No.")</t>
  </si>
  <si>
    <t>=NF($H134,"4 Posting Date")</t>
  </si>
  <si>
    <t>=NF(H134,"10 Currency Code")</t>
  </si>
  <si>
    <t>=IF(NF($H134,"7 Amount")=Q134,0,NF($H134,"7 Amount"))</t>
  </si>
  <si>
    <t>=IF(NF($H134,"16 Debit Amount")=R134,0,NF($H134,"16 Debit Amount"))</t>
  </si>
  <si>
    <t>=NF(H134,"8 Amount (LCY)")</t>
  </si>
  <si>
    <t>=H136</t>
  </si>
  <si>
    <t>=I131</t>
  </si>
  <si>
    <t>=IF(NF(H136,"Entry no.")&lt;&gt;"",NF(H136,"Entry no."),0)</t>
  </si>
  <si>
    <t>="""Business Central"",""CRONUS JetCorp USA"",""25"",""1"",""446892"""</t>
  </si>
  <si>
    <t>=NF(H136,"7 Description")</t>
  </si>
  <si>
    <t>=NF(H136,"6 Document No.")</t>
  </si>
  <si>
    <t>=NF(H136,"37 Due Date")</t>
  </si>
  <si>
    <t>=NF(H136,"4 Posting Date")</t>
  </si>
  <si>
    <t>=NF(H136,"11 Currency code")</t>
  </si>
  <si>
    <t>=IF(NF($H136,"13 Amount")=Q136,0,NF($H136,"13 Amount"))</t>
  </si>
  <si>
    <t>=IF(NF($H136,"14 Remaining Amount")=R136,0,NF($H136,"14 Remaining Amount"))</t>
  </si>
  <si>
    <t>=NF(H136,"17 Amount (LCY)")</t>
  </si>
  <si>
    <t>=NF(H136,"16 Remaining Amt. (LCY)")</t>
  </si>
  <si>
    <t>=IF(H137="","Hide","Show")</t>
  </si>
  <si>
    <t>=D136</t>
  </si>
  <si>
    <t>=E136</t>
  </si>
  <si>
    <t>=NF(H137,"Vendor Ledger Entry No.")</t>
  </si>
  <si>
    <t>=NL("Rows","Detailed Vendor Ledg. Entry",,"Vendor Ledger Entry No.","@@"&amp;G136,"Entry Type","&lt;&gt;"&amp;"Initial Entry")</t>
  </si>
  <si>
    <t>=NF($H137,"5 Document Type")</t>
  </si>
  <si>
    <t>=NF($H137,"6 Document No.")</t>
  </si>
  <si>
    <t>=NF($H137,"4 Posting Date")</t>
  </si>
  <si>
    <t>=NF(H137,"10 Currency Code")</t>
  </si>
  <si>
    <t>=IF(NF($H137,"7 Amount")=Q137,0,NF($H137,"7 Amount"))</t>
  </si>
  <si>
    <t>=IF(NF($H137,"16 Debit Amount")=R137,0,NF($H137,"16 Debit Amount"))</t>
  </si>
  <si>
    <t>=NF(H137,"8 Amount (LCY)")</t>
  </si>
  <si>
    <t>=H139</t>
  </si>
  <si>
    <t>=I134</t>
  </si>
  <si>
    <t>=IF(NF(H139,"Entry no.")&lt;&gt;"",NF(H139,"Entry no."),0)</t>
  </si>
  <si>
    <t>="""Business Central"",""CRONUS JetCorp USA"",""25"",""1"",""447018"""</t>
  </si>
  <si>
    <t>=NF(H139,"7 Description")</t>
  </si>
  <si>
    <t>=NF(H139,"6 Document No.")</t>
  </si>
  <si>
    <t>=NF(H139,"37 Due Date")</t>
  </si>
  <si>
    <t>=NF(H139,"4 Posting Date")</t>
  </si>
  <si>
    <t>=NF(H139,"11 Currency code")</t>
  </si>
  <si>
    <t>=IF(NF($H139,"13 Amount")=Q139,0,NF($H139,"13 Amount"))</t>
  </si>
  <si>
    <t>=IF(NF($H139,"14 Remaining Amount")=R139,0,NF($H139,"14 Remaining Amount"))</t>
  </si>
  <si>
    <t>=NF(H139,"17 Amount (LCY)")</t>
  </si>
  <si>
    <t>=NF(H139,"16 Remaining Amt. (LCY)")</t>
  </si>
  <si>
    <t>=IF(H140="","Hide","Show")</t>
  </si>
  <si>
    <t>=D139</t>
  </si>
  <si>
    <t>=E139</t>
  </si>
  <si>
    <t>=NF(H140,"Vendor Ledger Entry No.")</t>
  </si>
  <si>
    <t>=NL("Rows","Detailed Vendor Ledg. Entry",,"Vendor Ledger Entry No.","@@"&amp;G139,"Entry Type","&lt;&gt;"&amp;"Initial Entry")</t>
  </si>
  <si>
    <t>=NF($H140,"5 Document Type")</t>
  </si>
  <si>
    <t>=NF($H140,"6 Document No.")</t>
  </si>
  <si>
    <t>=NF($H140,"4 Posting Date")</t>
  </si>
  <si>
    <t>=NF(H140,"10 Currency Code")</t>
  </si>
  <si>
    <t>=IF(NF($H140,"7 Amount")=Q140,0,NF($H140,"7 Amount"))</t>
  </si>
  <si>
    <t>=IF(NF($H140,"16 Debit Amount")=R140,0,NF($H140,"16 Debit Amount"))</t>
  </si>
  <si>
    <t>=NF(H140,"8 Amount (LCY)")</t>
  </si>
  <si>
    <t>=H142</t>
  </si>
  <si>
    <t>=I137</t>
  </si>
  <si>
    <t>=IF(NF(H142,"Entry no.")&lt;&gt;"",NF(H142,"Entry no."),0)</t>
  </si>
  <si>
    <t>="""Business Central"",""CRONUS JetCorp USA"",""25"",""1"",""493793"""</t>
  </si>
  <si>
    <t>=NF(H142,"7 Description")</t>
  </si>
  <si>
    <t>=NF(H142,"6 Document No.")</t>
  </si>
  <si>
    <t>=NF(H142,"37 Due Date")</t>
  </si>
  <si>
    <t>=NF(H142,"4 Posting Date")</t>
  </si>
  <si>
    <t>=NF(H142,"11 Currency code")</t>
  </si>
  <si>
    <t>=IF(NF($H142,"13 Amount")=Q142,0,NF($H142,"13 Amount"))</t>
  </si>
  <si>
    <t>=IF(NF($H142,"14 Remaining Amount")=R142,0,NF($H142,"14 Remaining Amount"))</t>
  </si>
  <si>
    <t>=NF(H142,"17 Amount (LCY)")</t>
  </si>
  <si>
    <t>=NF(H142,"16 Remaining Amt. (LCY)")</t>
  </si>
  <si>
    <t>=IF(H143="","Hide","Show")</t>
  </si>
  <si>
    <t>=D142</t>
  </si>
  <si>
    <t>=E142</t>
  </si>
  <si>
    <t>=NF(H143,"Vendor Ledger Entry No.")</t>
  </si>
  <si>
    <t>=NL("Rows","Detailed Vendor Ledg. Entry",,"Vendor Ledger Entry No.","@@"&amp;G142,"Entry Type","&lt;&gt;"&amp;"Initial Entry")</t>
  </si>
  <si>
    <t>=NF($H143,"5 Document Type")</t>
  </si>
  <si>
    <t>=NF($H143,"6 Document No.")</t>
  </si>
  <si>
    <t>=NF($H143,"4 Posting Date")</t>
  </si>
  <si>
    <t>=NF(H143,"10 Currency Code")</t>
  </si>
  <si>
    <t>=IF(NF($H143,"7 Amount")=Q143,0,NF($H143,"7 Amount"))</t>
  </si>
  <si>
    <t>=IF(NF($H143,"16 Debit Amount")=R143,0,NF($H143,"16 Debit Amount"))</t>
  </si>
  <si>
    <t>=NF(H143,"8 Amount (LCY)")</t>
  </si>
  <si>
    <t>=H145</t>
  </si>
  <si>
    <t>=I140</t>
  </si>
  <si>
    <t>=IF(NF(H145,"Entry no.")&lt;&gt;"",NF(H145,"Entry no."),0)</t>
  </si>
  <si>
    <t>="""Business Central"",""CRONUS JetCorp USA"",""25"",""1"",""493919"""</t>
  </si>
  <si>
    <t>=NF(H145,"7 Description")</t>
  </si>
  <si>
    <t>=NF(H145,"6 Document No.")</t>
  </si>
  <si>
    <t>=NF(H145,"37 Due Date")</t>
  </si>
  <si>
    <t>=NF(H145,"4 Posting Date")</t>
  </si>
  <si>
    <t>=NF(H145,"11 Currency code")</t>
  </si>
  <si>
    <t>=IF(NF($H145,"13 Amount")=Q145,0,NF($H145,"13 Amount"))</t>
  </si>
  <si>
    <t>=IF(NF($H145,"14 Remaining Amount")=R145,0,NF($H145,"14 Remaining Amount"))</t>
  </si>
  <si>
    <t>=NF(H145,"17 Amount (LCY)")</t>
  </si>
  <si>
    <t>=NF(H145,"16 Remaining Amt. (LCY)")</t>
  </si>
  <si>
    <t>=IF(H146="","Hide","Show")</t>
  </si>
  <si>
    <t>=D145</t>
  </si>
  <si>
    <t>=E145</t>
  </si>
  <si>
    <t>=NF(H146,"Vendor Ledger Entry No.")</t>
  </si>
  <si>
    <t>=NL("Rows","Detailed Vendor Ledg. Entry",,"Vendor Ledger Entry No.","@@"&amp;G145,"Entry Type","&lt;&gt;"&amp;"Initial Entry")</t>
  </si>
  <si>
    <t>=NF($H146,"5 Document Type")</t>
  </si>
  <si>
    <t>=NF($H146,"6 Document No.")</t>
  </si>
  <si>
    <t>=NF($H146,"4 Posting Date")</t>
  </si>
  <si>
    <t>=NF(H146,"10 Currency Code")</t>
  </si>
  <si>
    <t>=IF(NF($H146,"7 Amount")=Q146,0,NF($H146,"7 Amount"))</t>
  </si>
  <si>
    <t>=IF(NF($H146,"16 Debit Amount")=R146,0,NF($H146,"16 Debit Amount"))</t>
  </si>
  <si>
    <t>=NF(H146,"8 Amount (LCY)")</t>
  </si>
  <si>
    <t>=H148</t>
  </si>
  <si>
    <t>=I143</t>
  </si>
  <si>
    <t>=IF(NF(H148,"Entry no.")&lt;&gt;"",NF(H148,"Entry no."),0)</t>
  </si>
  <si>
    <t>="""Business Central"",""CRONUS JetCorp USA"",""25"",""1"",""494074"""</t>
  </si>
  <si>
    <t>=NF(H148,"7 Description")</t>
  </si>
  <si>
    <t>=NF(H148,"6 Document No.")</t>
  </si>
  <si>
    <t>=NF(H148,"37 Due Date")</t>
  </si>
  <si>
    <t>=NF(H148,"4 Posting Date")</t>
  </si>
  <si>
    <t>=NF(H148,"11 Currency code")</t>
  </si>
  <si>
    <t>=IF(NF($H148,"13 Amount")=Q148,0,NF($H148,"13 Amount"))</t>
  </si>
  <si>
    <t>=IF(NF($H148,"14 Remaining Amount")=R148,0,NF($H148,"14 Remaining Amount"))</t>
  </si>
  <si>
    <t>=NF(H148,"17 Amount (LCY)")</t>
  </si>
  <si>
    <t>=NF(H148,"16 Remaining Amt. (LCY)")</t>
  </si>
  <si>
    <t>=IF(H149="","Hide","Show")</t>
  </si>
  <si>
    <t>=D148</t>
  </si>
  <si>
    <t>=E148</t>
  </si>
  <si>
    <t>=NF(H149,"Vendor Ledger Entry No.")</t>
  </si>
  <si>
    <t>=NL("Rows","Detailed Vendor Ledg. Entry",,"Vendor Ledger Entry No.","@@"&amp;G148,"Entry Type","&lt;&gt;"&amp;"Initial Entry")</t>
  </si>
  <si>
    <t>=NF($H149,"5 Document Type")</t>
  </si>
  <si>
    <t>=NF($H149,"6 Document No.")</t>
  </si>
  <si>
    <t>=NF($H149,"4 Posting Date")</t>
  </si>
  <si>
    <t>=NF(H149,"10 Currency Code")</t>
  </si>
  <si>
    <t>=IF(NF($H149,"7 Amount")=Q149,0,NF($H149,"7 Amount"))</t>
  </si>
  <si>
    <t>=IF(NF($H149,"16 Debit Amount")=R149,0,NF($H149,"16 Debit Amount"))</t>
  </si>
  <si>
    <t>=NF(H149,"8 Amount (LCY)")</t>
  </si>
  <si>
    <t>="""Business Central"",""CRONUS JetCorp USA"",""23"",""1"",""V100002"""</t>
  </si>
  <si>
    <t>=H154</t>
  </si>
  <si>
    <t>="""Business Central"",""CRONUS JetCorp USA"",""23"",""1"",""V100003"""</t>
  </si>
  <si>
    <t>=H163</t>
  </si>
  <si>
    <t>="""Business Central"",""CRONUS JetCorp USA"",""25"",""1"",""1201"""</t>
  </si>
  <si>
    <t>="""Business Central"",""CRONUS JetCorp USA"",""25"",""1"",""1663"""</t>
  </si>
  <si>
    <t>="""Business Central"",""CRONUS JetCorp USA"",""25"",""1"",""2083"""</t>
  </si>
  <si>
    <t>="""Business Central"",""CRONUS JetCorp USA"",""25"",""1"",""2419"""</t>
  </si>
  <si>
    <t>="""Business Central"",""CRONUS JetCorp USA"",""25"",""1"",""2839"""</t>
  </si>
  <si>
    <t>="""Business Central"",""CRONUS JetCorp USA"",""25"",""1"",""3157"""</t>
  </si>
  <si>
    <t>="""Business Central"",""CRONUS JetCorp USA"",""25"",""1"",""3195"""</t>
  </si>
  <si>
    <t>="""Business Central"",""CRONUS JetCorp USA"",""25"",""1"",""3252"""</t>
  </si>
  <si>
    <t>="""Business Central"",""CRONUS JetCorp USA"",""25"",""1"",""446955"""</t>
  </si>
  <si>
    <t>="""Business Central"",""CRONUS JetCorp USA"",""23"",""1"",""V100004"""</t>
  </si>
  <si>
    <t>=H205</t>
  </si>
  <si>
    <t>=I200</t>
  </si>
  <si>
    <t>=IF(NF(H205,"Entry no.")&lt;&gt;"",NF(H205,"Entry no."),0)</t>
  </si>
  <si>
    <t>=NF(H205,"7 Description")</t>
  </si>
  <si>
    <t>=NF(H205,"6 Document No.")</t>
  </si>
  <si>
    <t>=NF(H205,"37 Due Date")</t>
  </si>
  <si>
    <t>=NF(H205,"4 Posting Date")</t>
  </si>
  <si>
    <t>=NF(H205,"11 Currency code")</t>
  </si>
  <si>
    <t>=IF(NF($H205,"13 Amount")=Q205,0,NF($H205,"13 Amount"))</t>
  </si>
  <si>
    <t>=IF(NF($H205,"14 Remaining Amount")=R205,0,NF($H205,"14 Remaining Amount"))</t>
  </si>
  <si>
    <t>=NF(H205,"17 Amount (LCY)")</t>
  </si>
  <si>
    <t>=NF(H205,"16 Remaining Amt. (LCY)")</t>
  </si>
  <si>
    <t>=IF(H206="","Hide","Show")</t>
  </si>
  <si>
    <t>=D205</t>
  </si>
  <si>
    <t>=E205</t>
  </si>
  <si>
    <t>=NF(H206,"Vendor Ledger Entry No.")</t>
  </si>
  <si>
    <t>=NL("Rows","Detailed Vendor Ledg. Entry",,"Vendor Ledger Entry No.","@@"&amp;G205,"Entry Type","&lt;&gt;"&amp;"Initial Entry")</t>
  </si>
  <si>
    <t>=NF($H206,"5 Document Type")</t>
  </si>
  <si>
    <t>=NF($H206,"6 Document No.")</t>
  </si>
  <si>
    <t>=NF($H206,"4 Posting Date")</t>
  </si>
  <si>
    <t>=NF(H206,"10 Currency Code")</t>
  </si>
  <si>
    <t>=IF(NF($H206,"7 Amount")=Q206,0,NF($H206,"7 Amount"))</t>
  </si>
  <si>
    <t>=IF(NF($H206,"16 Debit Amount")=R206,0,NF($H206,"16 Debit Amount"))</t>
  </si>
  <si>
    <t>=NF(H206,"8 Amount (LCY)")</t>
  </si>
  <si>
    <t>=H208</t>
  </si>
  <si>
    <t>=I203</t>
  </si>
  <si>
    <t>=IF(NF(H208,"Entry no.")&lt;&gt;"",NF(H208,"Entry no."),0)</t>
  </si>
  <si>
    <t>="""Business Central"",""CRONUS JetCorp USA"",""25"",""1"",""823"""</t>
  </si>
  <si>
    <t>=NF(H208,"7 Description")</t>
  </si>
  <si>
    <t>=NF(H208,"6 Document No.")</t>
  </si>
  <si>
    <t>=NF(H208,"37 Due Date")</t>
  </si>
  <si>
    <t>=NF(H208,"4 Posting Date")</t>
  </si>
  <si>
    <t>=NF(H208,"11 Currency code")</t>
  </si>
  <si>
    <t>=IF(NF($H208,"13 Amount")=Q208,0,NF($H208,"13 Amount"))</t>
  </si>
  <si>
    <t>=IF(NF($H208,"14 Remaining Amount")=R208,0,NF($H208,"14 Remaining Amount"))</t>
  </si>
  <si>
    <t>=NF(H208,"17 Amount (LCY)")</t>
  </si>
  <si>
    <t>=NF(H208,"16 Remaining Amt. (LCY)")</t>
  </si>
  <si>
    <t>=IF(H209="","Hide","Show")</t>
  </si>
  <si>
    <t>=D208</t>
  </si>
  <si>
    <t>=E208</t>
  </si>
  <si>
    <t>=NF(H209,"Vendor Ledger Entry No.")</t>
  </si>
  <si>
    <t>=NL("Rows","Detailed Vendor Ledg. Entry",,"Vendor Ledger Entry No.","@@"&amp;G208,"Entry Type","&lt;&gt;"&amp;"Initial Entry")</t>
  </si>
  <si>
    <t>=NF($H209,"5 Document Type")</t>
  </si>
  <si>
    <t>=NF($H209,"6 Document No.")</t>
  </si>
  <si>
    <t>=NF($H209,"4 Posting Date")</t>
  </si>
  <si>
    <t>=NF(H209,"10 Currency Code")</t>
  </si>
  <si>
    <t>=IF(NF($H209,"7 Amount")=Q209,0,NF($H209,"7 Amount"))</t>
  </si>
  <si>
    <t>=IF(NF($H209,"16 Debit Amount")=R209,0,NF($H209,"16 Debit Amount"))</t>
  </si>
  <si>
    <t>=NF(H209,"8 Amount (LCY)")</t>
  </si>
  <si>
    <t>=H211</t>
  </si>
  <si>
    <t>=I206</t>
  </si>
  <si>
    <t>=IF(NF(H211,"Entry no.")&lt;&gt;"",NF(H211,"Entry no."),0)</t>
  </si>
  <si>
    <t>="""Business Central"",""CRONUS JetCorp USA"",""25"",""1"",""1285"""</t>
  </si>
  <si>
    <t>=NF(H211,"7 Description")</t>
  </si>
  <si>
    <t>=NF(H211,"6 Document No.")</t>
  </si>
  <si>
    <t>=NF(H211,"37 Due Date")</t>
  </si>
  <si>
    <t>=NF(H211,"4 Posting Date")</t>
  </si>
  <si>
    <t>=NF(H211,"11 Currency code")</t>
  </si>
  <si>
    <t>=IF(NF($H211,"13 Amount")=Q211,0,NF($H211,"13 Amount"))</t>
  </si>
  <si>
    <t>=IF(NF($H211,"14 Remaining Amount")=R211,0,NF($H211,"14 Remaining Amount"))</t>
  </si>
  <si>
    <t>=NF(H211,"17 Amount (LCY)")</t>
  </si>
  <si>
    <t>=NF(H211,"16 Remaining Amt. (LCY)")</t>
  </si>
  <si>
    <t>=IF(H212="","Hide","Show")</t>
  </si>
  <si>
    <t>=D211</t>
  </si>
  <si>
    <t>=E211</t>
  </si>
  <si>
    <t>=NF(H212,"Vendor Ledger Entry No.")</t>
  </si>
  <si>
    <t>=NL("Rows","Detailed Vendor Ledg. Entry",,"Vendor Ledger Entry No.","@@"&amp;G211,"Entry Type","&lt;&gt;"&amp;"Initial Entry")</t>
  </si>
  <si>
    <t>=NF($H212,"5 Document Type")</t>
  </si>
  <si>
    <t>=NF($H212,"6 Document No.")</t>
  </si>
  <si>
    <t>=NF($H212,"4 Posting Date")</t>
  </si>
  <si>
    <t>=NF(H212,"10 Currency Code")</t>
  </si>
  <si>
    <t>=IF(NF($H212,"7 Amount")=Q212,0,NF($H212,"7 Amount"))</t>
  </si>
  <si>
    <t>=IF(NF($H212,"16 Debit Amount")=R212,0,NF($H212,"16 Debit Amount"))</t>
  </si>
  <si>
    <t>=NF(H212,"8 Amount (LCY)")</t>
  </si>
  <si>
    <t>=H214</t>
  </si>
  <si>
    <t>=I209</t>
  </si>
  <si>
    <t>=IF(NF(H214,"Entry no.")&lt;&gt;"",NF(H214,"Entry no."),0)</t>
  </si>
  <si>
    <t>="""Business Central"",""CRONUS JetCorp USA"",""25"",""1"",""1705"""</t>
  </si>
  <si>
    <t>=NF(H214,"7 Description")</t>
  </si>
  <si>
    <t>=NF(H214,"6 Document No.")</t>
  </si>
  <si>
    <t>=NF(H214,"37 Due Date")</t>
  </si>
  <si>
    <t>=NF(H214,"4 Posting Date")</t>
  </si>
  <si>
    <t>=NF(H214,"11 Currency code")</t>
  </si>
  <si>
    <t>=IF(NF($H214,"13 Amount")=Q214,0,NF($H214,"13 Amount"))</t>
  </si>
  <si>
    <t>=IF(NF($H214,"14 Remaining Amount")=R214,0,NF($H214,"14 Remaining Amount"))</t>
  </si>
  <si>
    <t>=NF(H214,"17 Amount (LCY)")</t>
  </si>
  <si>
    <t>=NF(H214,"16 Remaining Amt. (LCY)")</t>
  </si>
  <si>
    <t>=IF(H215="","Hide","Show")</t>
  </si>
  <si>
    <t>=D214</t>
  </si>
  <si>
    <t>=E214</t>
  </si>
  <si>
    <t>=NF(H215,"Vendor Ledger Entry No.")</t>
  </si>
  <si>
    <t>=NL("Rows","Detailed Vendor Ledg. Entry",,"Vendor Ledger Entry No.","@@"&amp;G214,"Entry Type","&lt;&gt;"&amp;"Initial Entry")</t>
  </si>
  <si>
    <t>=NF($H215,"5 Document Type")</t>
  </si>
  <si>
    <t>=NF($H215,"6 Document No.")</t>
  </si>
  <si>
    <t>=NF($H215,"4 Posting Date")</t>
  </si>
  <si>
    <t>=NF(H215,"10 Currency Code")</t>
  </si>
  <si>
    <t>=IF(NF($H215,"7 Amount")=Q215,0,NF($H215,"7 Amount"))</t>
  </si>
  <si>
    <t>=IF(NF($H215,"16 Debit Amount")=R215,0,NF($H215,"16 Debit Amount"))</t>
  </si>
  <si>
    <t>=NF(H215,"8 Amount (LCY)")</t>
  </si>
  <si>
    <t>=H217</t>
  </si>
  <si>
    <t>=I212</t>
  </si>
  <si>
    <t>=IF(NF(H217,"Entry no.")&lt;&gt;"",NF(H217,"Entry no."),0)</t>
  </si>
  <si>
    <t>="""Business Central"",""CRONUS JetCorp USA"",""25"",""1"",""2503"""</t>
  </si>
  <si>
    <t>=NF(H217,"7 Description")</t>
  </si>
  <si>
    <t>=NF(H217,"6 Document No.")</t>
  </si>
  <si>
    <t>=NF(H217,"37 Due Date")</t>
  </si>
  <si>
    <t>=NF(H217,"4 Posting Date")</t>
  </si>
  <si>
    <t>=NF(H217,"11 Currency code")</t>
  </si>
  <si>
    <t>=IF(NF($H217,"13 Amount")=Q217,0,NF($H217,"13 Amount"))</t>
  </si>
  <si>
    <t>=IF(NF($H217,"14 Remaining Amount")=R217,0,NF($H217,"14 Remaining Amount"))</t>
  </si>
  <si>
    <t>=NF(H217,"17 Amount (LCY)")</t>
  </si>
  <si>
    <t>=NF(H217,"16 Remaining Amt. (LCY)")</t>
  </si>
  <si>
    <t>=IF(H218="","Hide","Show")</t>
  </si>
  <si>
    <t>=D217</t>
  </si>
  <si>
    <t>=E217</t>
  </si>
  <si>
    <t>=NF(H218,"Vendor Ledger Entry No.")</t>
  </si>
  <si>
    <t>=NL("Rows","Detailed Vendor Ledg. Entry",,"Vendor Ledger Entry No.","@@"&amp;G217,"Entry Type","&lt;&gt;"&amp;"Initial Entry")</t>
  </si>
  <si>
    <t>=NF($H218,"5 Document Type")</t>
  </si>
  <si>
    <t>=NF($H218,"6 Document No.")</t>
  </si>
  <si>
    <t>=NF($H218,"4 Posting Date")</t>
  </si>
  <si>
    <t>=NF(H218,"10 Currency Code")</t>
  </si>
  <si>
    <t>=IF(NF($H218,"7 Amount")=Q218,0,NF($H218,"7 Amount"))</t>
  </si>
  <si>
    <t>=IF(NF($H218,"16 Debit Amount")=R218,0,NF($H218,"16 Debit Amount"))</t>
  </si>
  <si>
    <t>=NF(H218,"8 Amount (LCY)")</t>
  </si>
  <si>
    <t>=H220</t>
  </si>
  <si>
    <t>=I215</t>
  </si>
  <si>
    <t>=IF(NF(H220,"Entry no.")&lt;&gt;"",NF(H220,"Entry no."),0)</t>
  </si>
  <si>
    <t>="""Business Central"",""CRONUS JetCorp USA"",""25"",""1"",""2923"""</t>
  </si>
  <si>
    <t>=NF(H220,"7 Description")</t>
  </si>
  <si>
    <t>=NF(H220,"6 Document No.")</t>
  </si>
  <si>
    <t>=NF(H220,"37 Due Date")</t>
  </si>
  <si>
    <t>=NF(H220,"4 Posting Date")</t>
  </si>
  <si>
    <t>=NF(H220,"11 Currency code")</t>
  </si>
  <si>
    <t>=IF(NF($H220,"13 Amount")=Q220,0,NF($H220,"13 Amount"))</t>
  </si>
  <si>
    <t>=IF(NF($H220,"14 Remaining Amount")=R220,0,NF($H220,"14 Remaining Amount"))</t>
  </si>
  <si>
    <t>=NF(H220,"17 Amount (LCY)")</t>
  </si>
  <si>
    <t>=NF(H220,"16 Remaining Amt. (LCY)")</t>
  </si>
  <si>
    <t>=IF(H221="","Hide","Show")</t>
  </si>
  <si>
    <t>=D220</t>
  </si>
  <si>
    <t>=E220</t>
  </si>
  <si>
    <t>=NF(H221,"Vendor Ledger Entry No.")</t>
  </si>
  <si>
    <t>=NL("Rows","Detailed Vendor Ledg. Entry",,"Vendor Ledger Entry No.","@@"&amp;G220,"Entry Type","&lt;&gt;"&amp;"Initial Entry")</t>
  </si>
  <si>
    <t>=NF($H221,"5 Document Type")</t>
  </si>
  <si>
    <t>=NF($H221,"6 Document No.")</t>
  </si>
  <si>
    <t>=NF($H221,"4 Posting Date")</t>
  </si>
  <si>
    <t>=NF(H221,"10 Currency Code")</t>
  </si>
  <si>
    <t>=IF(NF($H221,"7 Amount")=Q221,0,NF($H221,"7 Amount"))</t>
  </si>
  <si>
    <t>=IF(NF($H221,"16 Debit Amount")=R221,0,NF($H221,"16 Debit Amount"))</t>
  </si>
  <si>
    <t>=NF(H221,"8 Amount (LCY)")</t>
  </si>
  <si>
    <t>=H223</t>
  </si>
  <si>
    <t>=I218</t>
  </si>
  <si>
    <t>=IF(NF(H223,"Entry no.")&lt;&gt;"",NF(H223,"Entry no."),0)</t>
  </si>
  <si>
    <t>="""Business Central"",""CRONUS JetCorp USA"",""25"",""1"",""3069"""</t>
  </si>
  <si>
    <t>=NF(H223,"7 Description")</t>
  </si>
  <si>
    <t>=NF(H223,"6 Document No.")</t>
  </si>
  <si>
    <t>=NF(H223,"37 Due Date")</t>
  </si>
  <si>
    <t>=NF(H223,"4 Posting Date")</t>
  </si>
  <si>
    <t>=NF(H223,"11 Currency code")</t>
  </si>
  <si>
    <t>=IF(NF($H223,"13 Amount")=Q223,0,NF($H223,"13 Amount"))</t>
  </si>
  <si>
    <t>=IF(NF($H223,"14 Remaining Amount")=R223,0,NF($H223,"14 Remaining Amount"))</t>
  </si>
  <si>
    <t>=NF(H223,"17 Amount (LCY)")</t>
  </si>
  <si>
    <t>=NF(H223,"16 Remaining Amt. (LCY)")</t>
  </si>
  <si>
    <t>=IF(H224="","Hide","Show")</t>
  </si>
  <si>
    <t>=D223</t>
  </si>
  <si>
    <t>=E223</t>
  </si>
  <si>
    <t>=NF(H224,"Vendor Ledger Entry No.")</t>
  </si>
  <si>
    <t>=NL("Rows","Detailed Vendor Ledg. Entry",,"Vendor Ledger Entry No.","@@"&amp;G223,"Entry Type","&lt;&gt;"&amp;"Initial Entry")</t>
  </si>
  <si>
    <t>=NF($H224,"5 Document Type")</t>
  </si>
  <si>
    <t>=NF($H224,"6 Document No.")</t>
  </si>
  <si>
    <t>=NF($H224,"4 Posting Date")</t>
  </si>
  <si>
    <t>=NF(H224,"10 Currency Code")</t>
  </si>
  <si>
    <t>=IF(NF($H224,"7 Amount")=Q224,0,NF($H224,"7 Amount"))</t>
  </si>
  <si>
    <t>=IF(NF($H224,"16 Debit Amount")=R224,0,NF($H224,"16 Debit Amount"))</t>
  </si>
  <si>
    <t>=NF(H224,"8 Amount (LCY)")</t>
  </si>
  <si>
    <t>="""Business Central"",""CRONUS JetCorp USA"",""25"",""1"",""3201"""</t>
  </si>
  <si>
    <t>=H229</t>
  </si>
  <si>
    <t>="""Business Central"",""CRONUS JetCorp USA"",""25"",""1"",""3256"""</t>
  </si>
  <si>
    <t>="""Business Central"",""CRONUS JetCorp USA"",""23"",""1"",""V100007"""</t>
  </si>
  <si>
    <t>=H239</t>
  </si>
  <si>
    <t>="""Business Central"",""CRONUS JetCorp USA"",""25"",""1"",""655"""</t>
  </si>
  <si>
    <t>="""Business Central"",""CRONUS JetCorp USA"",""25"",""1"",""1075"""</t>
  </si>
  <si>
    <t>="""Business Central"",""CRONUS JetCorp USA"",""25"",""1"",""1537"""</t>
  </si>
  <si>
    <t>="""Business Central"",""CRONUS JetCorp USA"",""25"",""1"",""1957"""</t>
  </si>
  <si>
    <t>="""Business Central"",""CRONUS JetCorp USA"",""25"",""1"",""2293"""</t>
  </si>
  <si>
    <t>="""Business Central"",""CRONUS JetCorp USA"",""25"",""1"",""2713"""</t>
  </si>
  <si>
    <t>="""Business Central"",""CRONUS JetCorp USA"",""25"",""1"",""446829"""</t>
  </si>
  <si>
    <t>="""Business Central"",""CRONUS JetCorp USA"",""25"",""1"",""493856"""</t>
  </si>
  <si>
    <t>="""Business Central"",""CRONUS JetCorp USA"",""23"",""1"",""V100009"""</t>
  </si>
  <si>
    <t>=H273</t>
  </si>
  <si>
    <t>=I268</t>
  </si>
  <si>
    <t>=IF(NF(H273,"Entry no.")&lt;&gt;"",NF(H273,"Entry no."),0)</t>
  </si>
  <si>
    <t>=NF(H273,"7 Description")</t>
  </si>
  <si>
    <t>=NF(H273,"6 Document No.")</t>
  </si>
  <si>
    <t>=NF(H273,"37 Due Date")</t>
  </si>
  <si>
    <t>=NF(H273,"4 Posting Date")</t>
  </si>
  <si>
    <t>=NF(H273,"11 Currency code")</t>
  </si>
  <si>
    <t>=IF(NF($H273,"13 Amount")=Q273,0,NF($H273,"13 Amount"))</t>
  </si>
  <si>
    <t>=IF(NF($H273,"14 Remaining Amount")=R273,0,NF($H273,"14 Remaining Amount"))</t>
  </si>
  <si>
    <t>=NF(H273,"17 Amount (LCY)")</t>
  </si>
  <si>
    <t>=NF(H273,"16 Remaining Amt. (LCY)")</t>
  </si>
  <si>
    <t>=IF(H274="","Hide","Show")</t>
  </si>
  <si>
    <t>=D273</t>
  </si>
  <si>
    <t>=E273</t>
  </si>
  <si>
    <t>=NF(H274,"Vendor Ledger Entry No.")</t>
  </si>
  <si>
    <t>=NL("Rows","Detailed Vendor Ledg. Entry",,"Vendor Ledger Entry No.","@@"&amp;G273,"Entry Type","&lt;&gt;"&amp;"Initial Entry")</t>
  </si>
  <si>
    <t>=NF($H274,"5 Document Type")</t>
  </si>
  <si>
    <t>=NF($H274,"6 Document No.")</t>
  </si>
  <si>
    <t>=NF($H274,"4 Posting Date")</t>
  </si>
  <si>
    <t>=NF(H274,"10 Currency Code")</t>
  </si>
  <si>
    <t>=IF(NF($H274,"7 Amount")=Q274,0,NF($H274,"7 Amount"))</t>
  </si>
  <si>
    <t>=IF(NF($H274,"16 Debit Amount")=R274,0,NF($H274,"16 Debit Amount"))</t>
  </si>
  <si>
    <t>=NF(H274,"8 Amount (LCY)")</t>
  </si>
  <si>
    <t>=H276</t>
  </si>
  <si>
    <t>=I271</t>
  </si>
  <si>
    <t>=IF(NF(H276,"Entry no.")&lt;&gt;"",NF(H276,"Entry no."),0)</t>
  </si>
  <si>
    <t>="""Business Central"",""CRONUS JetCorp USA"",""25"",""1"",""529"""</t>
  </si>
  <si>
    <t>=NF(H276,"7 Description")</t>
  </si>
  <si>
    <t>=NF(H276,"6 Document No.")</t>
  </si>
  <si>
    <t>=NF(H276,"37 Due Date")</t>
  </si>
  <si>
    <t>=NF(H276,"4 Posting Date")</t>
  </si>
  <si>
    <t>=NF(H276,"11 Currency code")</t>
  </si>
  <si>
    <t>=IF(NF($H276,"13 Amount")=Q276,0,NF($H276,"13 Amount"))</t>
  </si>
  <si>
    <t>=IF(NF($H276,"14 Remaining Amount")=R276,0,NF($H276,"14 Remaining Amount"))</t>
  </si>
  <si>
    <t>=NF(H276,"17 Amount (LCY)")</t>
  </si>
  <si>
    <t>=NF(H276,"16 Remaining Amt. (LCY)")</t>
  </si>
  <si>
    <t>=IF(H277="","Hide","Show")</t>
  </si>
  <si>
    <t>=D276</t>
  </si>
  <si>
    <t>=E276</t>
  </si>
  <si>
    <t>=NF(H277,"Vendor Ledger Entry No.")</t>
  </si>
  <si>
    <t>=NL("Rows","Detailed Vendor Ledg. Entry",,"Vendor Ledger Entry No.","@@"&amp;G276,"Entry Type","&lt;&gt;"&amp;"Initial Entry")</t>
  </si>
  <si>
    <t>=NF($H277,"5 Document Type")</t>
  </si>
  <si>
    <t>=NF($H277,"6 Document No.")</t>
  </si>
  <si>
    <t>=NF($H277,"4 Posting Date")</t>
  </si>
  <si>
    <t>=NF(H277,"10 Currency Code")</t>
  </si>
  <si>
    <t>=IF(NF($H277,"7 Amount")=Q277,0,NF($H277,"7 Amount"))</t>
  </si>
  <si>
    <t>=IF(NF($H277,"16 Debit Amount")=R277,0,NF($H277,"16 Debit Amount"))</t>
  </si>
  <si>
    <t>=NF(H277,"8 Amount (LCY)")</t>
  </si>
  <si>
    <t>=H279</t>
  </si>
  <si>
    <t>=I274</t>
  </si>
  <si>
    <t>=IF(NF(H279,"Entry no.")&lt;&gt;"",NF(H279,"Entry no."),0)</t>
  </si>
  <si>
    <t>="""Business Central"",""CRONUS JetCorp USA"",""25"",""1"",""949"""</t>
  </si>
  <si>
    <t>=NF(H279,"7 Description")</t>
  </si>
  <si>
    <t>=NF(H279,"6 Document No.")</t>
  </si>
  <si>
    <t>=NF(H279,"37 Due Date")</t>
  </si>
  <si>
    <t>=NF(H279,"4 Posting Date")</t>
  </si>
  <si>
    <t>=NF(H279,"11 Currency code")</t>
  </si>
  <si>
    <t>=IF(NF($H279,"13 Amount")=Q279,0,NF($H279,"13 Amount"))</t>
  </si>
  <si>
    <t>=IF(NF($H279,"14 Remaining Amount")=R279,0,NF($H279,"14 Remaining Amount"))</t>
  </si>
  <si>
    <t>=NF(H279,"17 Amount (LCY)")</t>
  </si>
  <si>
    <t>=NF(H279,"16 Remaining Amt. (LCY)")</t>
  </si>
  <si>
    <t>=IF(H280="","Hide","Show")</t>
  </si>
  <si>
    <t>=D279</t>
  </si>
  <si>
    <t>=E279</t>
  </si>
  <si>
    <t>=NF(H280,"Vendor Ledger Entry No.")</t>
  </si>
  <si>
    <t>=NL("Rows","Detailed Vendor Ledg. Entry",,"Vendor Ledger Entry No.","@@"&amp;G279,"Entry Type","&lt;&gt;"&amp;"Initial Entry")</t>
  </si>
  <si>
    <t>=NF($H280,"5 Document Type")</t>
  </si>
  <si>
    <t>=NF($H280,"6 Document No.")</t>
  </si>
  <si>
    <t>=NF($H280,"4 Posting Date")</t>
  </si>
  <si>
    <t>=NF(H280,"10 Currency Code")</t>
  </si>
  <si>
    <t>=IF(NF($H280,"7 Amount")=Q280,0,NF($H280,"7 Amount"))</t>
  </si>
  <si>
    <t>=IF(NF($H280,"16 Debit Amount")=R280,0,NF($H280,"16 Debit Amount"))</t>
  </si>
  <si>
    <t>=NF(H280,"8 Amount (LCY)")</t>
  </si>
  <si>
    <t>=H282</t>
  </si>
  <si>
    <t>=I277</t>
  </si>
  <si>
    <t>=IF(NF(H282,"Entry no.")&lt;&gt;"",NF(H282,"Entry no."),0)</t>
  </si>
  <si>
    <t>="""Business Central"",""CRONUS JetCorp USA"",""25"",""1"",""1411"""</t>
  </si>
  <si>
    <t>=NF(H282,"7 Description")</t>
  </si>
  <si>
    <t>=NF(H282,"6 Document No.")</t>
  </si>
  <si>
    <t>=NF(H282,"37 Due Date")</t>
  </si>
  <si>
    <t>=NF(H282,"4 Posting Date")</t>
  </si>
  <si>
    <t>=NF(H282,"11 Currency code")</t>
  </si>
  <si>
    <t>=IF(NF($H282,"13 Amount")=Q282,0,NF($H282,"13 Amount"))</t>
  </si>
  <si>
    <t>=IF(NF($H282,"14 Remaining Amount")=R282,0,NF($H282,"14 Remaining Amount"))</t>
  </si>
  <si>
    <t>=NF(H282,"17 Amount (LCY)")</t>
  </si>
  <si>
    <t>=NF(H282,"16 Remaining Amt. (LCY)")</t>
  </si>
  <si>
    <t>=IF(H283="","Hide","Show")</t>
  </si>
  <si>
    <t>=D282</t>
  </si>
  <si>
    <t>=E282</t>
  </si>
  <si>
    <t>=NF(H283,"Vendor Ledger Entry No.")</t>
  </si>
  <si>
    <t>=NL("Rows","Detailed Vendor Ledg. Entry",,"Vendor Ledger Entry No.","@@"&amp;G282,"Entry Type","&lt;&gt;"&amp;"Initial Entry")</t>
  </si>
  <si>
    <t>=NF($H283,"5 Document Type")</t>
  </si>
  <si>
    <t>=NF($H283,"6 Document No.")</t>
  </si>
  <si>
    <t>=NF($H283,"4 Posting Date")</t>
  </si>
  <si>
    <t>=NF(H283,"10 Currency Code")</t>
  </si>
  <si>
    <t>=IF(NF($H283,"7 Amount")=Q283,0,NF($H283,"7 Amount"))</t>
  </si>
  <si>
    <t>=IF(NF($H283,"16 Debit Amount")=R283,0,NF($H283,"16 Debit Amount"))</t>
  </si>
  <si>
    <t>=NF(H283,"8 Amount (LCY)")</t>
  </si>
  <si>
    <t>="""Business Central"",""CRONUS JetCorp USA"",""23"",""1"",""V100023"""</t>
  </si>
  <si>
    <t>=H288</t>
  </si>
  <si>
    <t>="""Business Central"",""CRONUS JetCorp USA"",""23"",""1"",""V100025"""</t>
  </si>
  <si>
    <t>=H297</t>
  </si>
  <si>
    <t>="""Business Central"",""CRONUS JetCorp USA"",""25"",""1"",""2587"""</t>
  </si>
  <si>
    <t>="""Business Central"",""CRONUS JetCorp USA"",""23"",""1"",""V100040"""</t>
  </si>
  <si>
    <t>=H315</t>
  </si>
  <si>
    <t>=I310</t>
  </si>
  <si>
    <t>=IF(NF(H315,"Entry no.")&lt;&gt;"",NF(H315,"Entry no."),0)</t>
  </si>
  <si>
    <t>=NF(H315,"7 Description")</t>
  </si>
  <si>
    <t>=NF(H315,"6 Document No.")</t>
  </si>
  <si>
    <t>=NF(H315,"37 Due Date")</t>
  </si>
  <si>
    <t>=NF(H315,"4 Posting Date")</t>
  </si>
  <si>
    <t>=NF(H315,"11 Currency code")</t>
  </si>
  <si>
    <t>=IF(NF($H315,"13 Amount")=Q315,0,NF($H315,"13 Amount"))</t>
  </si>
  <si>
    <t>=IF(NF($H315,"14 Remaining Amount")=R315,0,NF($H315,"14 Remaining Amount"))</t>
  </si>
  <si>
    <t>=NF(H315,"17 Amount (LCY)")</t>
  </si>
  <si>
    <t>=NF(H315,"16 Remaining Amt. (LCY)")</t>
  </si>
  <si>
    <t>=IF(H316="","Hide","Show")</t>
  </si>
  <si>
    <t>=D315</t>
  </si>
  <si>
    <t>=E315</t>
  </si>
  <si>
    <t>=NF(H316,"Vendor Ledger Entry No.")</t>
  </si>
  <si>
    <t>=NL("Rows","Detailed Vendor Ledg. Entry",,"Vendor Ledger Entry No.","@@"&amp;G315,"Entry Type","&lt;&gt;"&amp;"Initial Entry")</t>
  </si>
  <si>
    <t>=NF($H316,"5 Document Type")</t>
  </si>
  <si>
    <t>=NF($H316,"6 Document No.")</t>
  </si>
  <si>
    <t>=NF($H316,"4 Posting Date")</t>
  </si>
  <si>
    <t>=NF(H316,"10 Currency Code")</t>
  </si>
  <si>
    <t>=IF(NF($H316,"7 Amount")=Q316,0,NF($H316,"7 Amount"))</t>
  </si>
  <si>
    <t>=IF(NF($H316,"16 Debit Amount")=R316,0,NF($H316,"16 Debit Amount"))</t>
  </si>
  <si>
    <t>=NF(H316,"8 Amount (LCY)")</t>
  </si>
  <si>
    <t>=H318</t>
  </si>
  <si>
    <t>=I313</t>
  </si>
  <si>
    <t>=IF(NF(H318,"Entry no.")&lt;&gt;"",NF(H318,"Entry no."),0)</t>
  </si>
  <si>
    <t>="""Business Central"",""CRONUS JetCorp USA"",""25"",""1"",""571"""</t>
  </si>
  <si>
    <t>=NF(H318,"7 Description")</t>
  </si>
  <si>
    <t>=NF(H318,"6 Document No.")</t>
  </si>
  <si>
    <t>=NF(H318,"37 Due Date")</t>
  </si>
  <si>
    <t>=NF(H318,"4 Posting Date")</t>
  </si>
  <si>
    <t>=NF(H318,"11 Currency code")</t>
  </si>
  <si>
    <t>=IF(NF($H318,"13 Amount")=Q318,0,NF($H318,"13 Amount"))</t>
  </si>
  <si>
    <t>=IF(NF($H318,"14 Remaining Amount")=R318,0,NF($H318,"14 Remaining Amount"))</t>
  </si>
  <si>
    <t>=NF(H318,"17 Amount (LCY)")</t>
  </si>
  <si>
    <t>=NF(H318,"16 Remaining Amt. (LCY)")</t>
  </si>
  <si>
    <t>=IF(H319="","Hide","Show")</t>
  </si>
  <si>
    <t>=D318</t>
  </si>
  <si>
    <t>=E318</t>
  </si>
  <si>
    <t>=NF(H319,"Vendor Ledger Entry No.")</t>
  </si>
  <si>
    <t>=NL("Rows","Detailed Vendor Ledg. Entry",,"Vendor Ledger Entry No.","@@"&amp;G318,"Entry Type","&lt;&gt;"&amp;"Initial Entry")</t>
  </si>
  <si>
    <t>=NF($H319,"5 Document Type")</t>
  </si>
  <si>
    <t>=NF($H319,"6 Document No.")</t>
  </si>
  <si>
    <t>=NF($H319,"4 Posting Date")</t>
  </si>
  <si>
    <t>=NF(H319,"10 Currency Code")</t>
  </si>
  <si>
    <t>=IF(NF($H319,"7 Amount")=Q319,0,NF($H319,"7 Amount"))</t>
  </si>
  <si>
    <t>=IF(NF($H319,"16 Debit Amount")=R319,0,NF($H319,"16 Debit Amount"))</t>
  </si>
  <si>
    <t>=NF(H319,"8 Amount (LCY)")</t>
  </si>
  <si>
    <t>=H321</t>
  </si>
  <si>
    <t>=I316</t>
  </si>
  <si>
    <t>=IF(NF(H321,"Entry no.")&lt;&gt;"",NF(H321,"Entry no."),0)</t>
  </si>
  <si>
    <t>="""Business Central"",""CRONUS JetCorp USA"",""25"",""1"",""991"""</t>
  </si>
  <si>
    <t>=NF(H321,"7 Description")</t>
  </si>
  <si>
    <t>=NF(H321,"6 Document No.")</t>
  </si>
  <si>
    <t>=NF(H321,"37 Due Date")</t>
  </si>
  <si>
    <t>=NF(H321,"4 Posting Date")</t>
  </si>
  <si>
    <t>=NF(H321,"11 Currency code")</t>
  </si>
  <si>
    <t>=IF(NF($H321,"13 Amount")=Q321,0,NF($H321,"13 Amount"))</t>
  </si>
  <si>
    <t>=IF(NF($H321,"14 Remaining Amount")=R321,0,NF($H321,"14 Remaining Amount"))</t>
  </si>
  <si>
    <t>=NF(H321,"17 Amount (LCY)")</t>
  </si>
  <si>
    <t>=NF(H321,"16 Remaining Amt. (LCY)")</t>
  </si>
  <si>
    <t>=IF(H322="","Hide","Show")</t>
  </si>
  <si>
    <t>=D321</t>
  </si>
  <si>
    <t>=E321</t>
  </si>
  <si>
    <t>=NF(H322,"Vendor Ledger Entry No.")</t>
  </si>
  <si>
    <t>=NL("Rows","Detailed Vendor Ledg. Entry",,"Vendor Ledger Entry No.","@@"&amp;G321,"Entry Type","&lt;&gt;"&amp;"Initial Entry")</t>
  </si>
  <si>
    <t>=NF($H322,"5 Document Type")</t>
  </si>
  <si>
    <t>=NF($H322,"6 Document No.")</t>
  </si>
  <si>
    <t>=NF($H322,"4 Posting Date")</t>
  </si>
  <si>
    <t>=NF(H322,"10 Currency Code")</t>
  </si>
  <si>
    <t>=IF(NF($H322,"7 Amount")=Q322,0,NF($H322,"7 Amount"))</t>
  </si>
  <si>
    <t>=IF(NF($H322,"16 Debit Amount")=R322,0,NF($H322,"16 Debit Amount"))</t>
  </si>
  <si>
    <t>=NF(H322,"8 Amount (LCY)")</t>
  </si>
  <si>
    <t>=H324</t>
  </si>
  <si>
    <t>=I319</t>
  </si>
  <si>
    <t>=IF(NF(H324,"Entry no.")&lt;&gt;"",NF(H324,"Entry no."),0)</t>
  </si>
  <si>
    <t>="""Business Central"",""CRONUS JetCorp USA"",""25"",""1"",""1453"""</t>
  </si>
  <si>
    <t>=NF(H324,"7 Description")</t>
  </si>
  <si>
    <t>=NF(H324,"6 Document No.")</t>
  </si>
  <si>
    <t>=NF(H324,"37 Due Date")</t>
  </si>
  <si>
    <t>=NF(H324,"4 Posting Date")</t>
  </si>
  <si>
    <t>=NF(H324,"11 Currency code")</t>
  </si>
  <si>
    <t>=IF(NF($H324,"13 Amount")=Q324,0,NF($H324,"13 Amount"))</t>
  </si>
  <si>
    <t>=IF(NF($H324,"14 Remaining Amount")=R324,0,NF($H324,"14 Remaining Amount"))</t>
  </si>
  <si>
    <t>=NF(H324,"17 Amount (LCY)")</t>
  </si>
  <si>
    <t>=NF(H324,"16 Remaining Amt. (LCY)")</t>
  </si>
  <si>
    <t>=IF(H325="","Hide","Show")</t>
  </si>
  <si>
    <t>=D324</t>
  </si>
  <si>
    <t>=E324</t>
  </si>
  <si>
    <t>=NF(H325,"Vendor Ledger Entry No.")</t>
  </si>
  <si>
    <t>=NL("Rows","Detailed Vendor Ledg. Entry",,"Vendor Ledger Entry No.","@@"&amp;G324,"Entry Type","&lt;&gt;"&amp;"Initial Entry")</t>
  </si>
  <si>
    <t>=NF($H325,"5 Document Type")</t>
  </si>
  <si>
    <t>=NF($H325,"6 Document No.")</t>
  </si>
  <si>
    <t>=NF($H325,"4 Posting Date")</t>
  </si>
  <si>
    <t>=NF(H325,"10 Currency Code")</t>
  </si>
  <si>
    <t>=IF(NF($H325,"7 Amount")=Q325,0,NF($H325,"7 Amount"))</t>
  </si>
  <si>
    <t>=IF(NF($H325,"16 Debit Amount")=R325,0,NF($H325,"16 Debit Amount"))</t>
  </si>
  <si>
    <t>=NF(H325,"8 Amount (LCY)")</t>
  </si>
  <si>
    <t>=H327</t>
  </si>
  <si>
    <t>=I322</t>
  </si>
  <si>
    <t>=IF(NF(H327,"Entry no.")&lt;&gt;"",NF(H327,"Entry no."),0)</t>
  </si>
  <si>
    <t>="""Business Central"",""CRONUS JetCorp USA"",""25"",""1"",""1873"""</t>
  </si>
  <si>
    <t>=NF(H327,"7 Description")</t>
  </si>
  <si>
    <t>=NF(H327,"6 Document No.")</t>
  </si>
  <si>
    <t>=NF(H327,"37 Due Date")</t>
  </si>
  <si>
    <t>=NF(H327,"4 Posting Date")</t>
  </si>
  <si>
    <t>=NF(H327,"11 Currency code")</t>
  </si>
  <si>
    <t>=IF(NF($H327,"13 Amount")=Q327,0,NF($H327,"13 Amount"))</t>
  </si>
  <si>
    <t>=IF(NF($H327,"14 Remaining Amount")=R327,0,NF($H327,"14 Remaining Amount"))</t>
  </si>
  <si>
    <t>=NF(H327,"17 Amount (LCY)")</t>
  </si>
  <si>
    <t>=NF(H327,"16 Remaining Amt. (LCY)")</t>
  </si>
  <si>
    <t>=IF(H328="","Hide","Show")</t>
  </si>
  <si>
    <t>=D327</t>
  </si>
  <si>
    <t>=E327</t>
  </si>
  <si>
    <t>=NF(H328,"Vendor Ledger Entry No.")</t>
  </si>
  <si>
    <t>=NL("Rows","Detailed Vendor Ledg. Entry",,"Vendor Ledger Entry No.","@@"&amp;G327,"Entry Type","&lt;&gt;"&amp;"Initial Entry")</t>
  </si>
  <si>
    <t>=NF($H328,"5 Document Type")</t>
  </si>
  <si>
    <t>=NF($H328,"6 Document No.")</t>
  </si>
  <si>
    <t>=NF($H328,"4 Posting Date")</t>
  </si>
  <si>
    <t>=NF(H328,"10 Currency Code")</t>
  </si>
  <si>
    <t>=IF(NF($H328,"7 Amount")=Q328,0,NF($H328,"7 Amount"))</t>
  </si>
  <si>
    <t>=IF(NF($H328,"16 Debit Amount")=R328,0,NF($H328,"16 Debit Amount"))</t>
  </si>
  <si>
    <t>=NF(H328,"8 Amount (LCY)")</t>
  </si>
  <si>
    <t>=H330</t>
  </si>
  <si>
    <t>=I325</t>
  </si>
  <si>
    <t>=IF(NF(H330,"Entry no.")&lt;&gt;"",NF(H330,"Entry no."),0)</t>
  </si>
  <si>
    <t>="""Business Central"",""CRONUS JetCorp USA"",""25"",""1"",""2209"""</t>
  </si>
  <si>
    <t>=NF(H330,"7 Description")</t>
  </si>
  <si>
    <t>=NF(H330,"6 Document No.")</t>
  </si>
  <si>
    <t>=NF(H330,"37 Due Date")</t>
  </si>
  <si>
    <t>=NF(H330,"4 Posting Date")</t>
  </si>
  <si>
    <t>=NF(H330,"11 Currency code")</t>
  </si>
  <si>
    <t>=IF(NF($H330,"13 Amount")=Q330,0,NF($H330,"13 Amount"))</t>
  </si>
  <si>
    <t>=IF(NF($H330,"14 Remaining Amount")=R330,0,NF($H330,"14 Remaining Amount"))</t>
  </si>
  <si>
    <t>=NF(H330,"17 Amount (LCY)")</t>
  </si>
  <si>
    <t>=NF(H330,"16 Remaining Amt. (LCY)")</t>
  </si>
  <si>
    <t>=IF(H331="","Hide","Show")</t>
  </si>
  <si>
    <t>=D330</t>
  </si>
  <si>
    <t>=E330</t>
  </si>
  <si>
    <t>=NF(H331,"Vendor Ledger Entry No.")</t>
  </si>
  <si>
    <t>=NL("Rows","Detailed Vendor Ledg. Entry",,"Vendor Ledger Entry No.","@@"&amp;G330,"Entry Type","&lt;&gt;"&amp;"Initial Entry")</t>
  </si>
  <si>
    <t>=NF($H331,"5 Document Type")</t>
  </si>
  <si>
    <t>=NF($H331,"6 Document No.")</t>
  </si>
  <si>
    <t>=NF($H331,"4 Posting Date")</t>
  </si>
  <si>
    <t>=NF(H331,"10 Currency Code")</t>
  </si>
  <si>
    <t>=IF(NF($H331,"7 Amount")=Q331,0,NF($H331,"7 Amount"))</t>
  </si>
  <si>
    <t>=IF(NF($H331,"16 Debit Amount")=R331,0,NF($H331,"16 Debit Amount"))</t>
  </si>
  <si>
    <t>=NF(H331,"8 Amount (LCY)")</t>
  </si>
  <si>
    <t>=H333</t>
  </si>
  <si>
    <t>=I328</t>
  </si>
  <si>
    <t>=IF(NF(H333,"Entry no.")&lt;&gt;"",NF(H333,"Entry no."),0)</t>
  </si>
  <si>
    <t>="""Business Central"",""CRONUS JetCorp USA"",""25"",""1"",""2629"""</t>
  </si>
  <si>
    <t>=NF(H333,"7 Description")</t>
  </si>
  <si>
    <t>=NF(H333,"6 Document No.")</t>
  </si>
  <si>
    <t>=NF(H333,"37 Due Date")</t>
  </si>
  <si>
    <t>=NF(H333,"4 Posting Date")</t>
  </si>
  <si>
    <t>=NF(H333,"11 Currency code")</t>
  </si>
  <si>
    <t>=IF(NF($H333,"13 Amount")=Q333,0,NF($H333,"13 Amount"))</t>
  </si>
  <si>
    <t>=IF(NF($H333,"14 Remaining Amount")=R333,0,NF($H333,"14 Remaining Amount"))</t>
  </si>
  <si>
    <t>=NF(H333,"17 Amount (LCY)")</t>
  </si>
  <si>
    <t>=NF(H333,"16 Remaining Amt. (LCY)")</t>
  </si>
  <si>
    <t>=IF(H334="","Hide","Show")</t>
  </si>
  <si>
    <t>=D333</t>
  </si>
  <si>
    <t>=E333</t>
  </si>
  <si>
    <t>=NF(H334,"Vendor Ledger Entry No.")</t>
  </si>
  <si>
    <t>=NL("Rows","Detailed Vendor Ledg. Entry",,"Vendor Ledger Entry No.","@@"&amp;G333,"Entry Type","&lt;&gt;"&amp;"Initial Entry")</t>
  </si>
  <si>
    <t>=NF($H334,"5 Document Type")</t>
  </si>
  <si>
    <t>=NF($H334,"6 Document No.")</t>
  </si>
  <si>
    <t>=NF($H334,"4 Posting Date")</t>
  </si>
  <si>
    <t>=NF(H334,"10 Currency Code")</t>
  </si>
  <si>
    <t>=IF(NF($H334,"7 Amount")=Q334,0,NF($H334,"7 Amount"))</t>
  </si>
  <si>
    <t>=IF(NF($H334,"16 Debit Amount")=R334,0,NF($H334,"16 Debit Amount"))</t>
  </si>
  <si>
    <t>=NF(H334,"8 Amount (LCY)")</t>
  </si>
  <si>
    <t>="""Business Central"",""CRONUS JetCorp USA"",""23"",""1"",""V100047"""</t>
  </si>
  <si>
    <t>=NF(H338,"No.")</t>
  </si>
  <si>
    <t>=H338</t>
  </si>
  <si>
    <t>=NF(H338,"Name")</t>
  </si>
  <si>
    <t>=H339</t>
  </si>
  <si>
    <t>=NF(H338,"8 Contact")</t>
  </si>
  <si>
    <t>=H343</t>
  </si>
  <si>
    <t>=I338</t>
  </si>
  <si>
    <t>=IF(NF(H343,"Entry no.")&lt;&gt;"",NF(H343,"Entry no."),0)</t>
  </si>
  <si>
    <t>=NL("Rows=3","Vendor Ledger Entry",,"Vendor No.","@@"&amp;E343,"5 Document Type","Invoice","Posting Date",$J$6,"36 Open",$J$9)</t>
  </si>
  <si>
    <t>=NF(H343,"7 Description")</t>
  </si>
  <si>
    <t>=NF(H343,"6 Document No.")</t>
  </si>
  <si>
    <t>=NF(H343,"37 Due Date")</t>
  </si>
  <si>
    <t>=NF(H343,"4 Posting Date")</t>
  </si>
  <si>
    <t>=NF(H343,"11 Currency code")</t>
  </si>
  <si>
    <t>=IF(NF($H343,"13 Amount")=Q343,0,NF($H343,"13 Amount"))</t>
  </si>
  <si>
    <t>=IF(NF($H343,"14 Remaining Amount")=R343,0,NF($H343,"14 Remaining Amount"))</t>
  </si>
  <si>
    <t>=NF(H343,"17 Amount (LCY)")</t>
  </si>
  <si>
    <t>=NF(H343,"16 Remaining Amt. (LCY)")</t>
  </si>
  <si>
    <t>=IF(H344="","Hide","Show")</t>
  </si>
  <si>
    <t>=D343</t>
  </si>
  <si>
    <t>=E343</t>
  </si>
  <si>
    <t>=NF(H344,"Vendor Ledger Entry No.")</t>
  </si>
  <si>
    <t>=NL("Rows","Detailed Vendor Ledg. Entry",,"Vendor Ledger Entry No.","@@"&amp;G343,"Entry Type","&lt;&gt;"&amp;"Initial Entry")</t>
  </si>
  <si>
    <t>=NF($H344,"5 Document Type")</t>
  </si>
  <si>
    <t>=NF($H344,"6 Document No.")</t>
  </si>
  <si>
    <t>=NF($H344,"4 Posting Date")</t>
  </si>
  <si>
    <t>=NF(H344,"10 Currency Code")</t>
  </si>
  <si>
    <t>=IF(NF($H344,"7 Amount")=Q344,0,NF($H344,"7 Amount"))</t>
  </si>
  <si>
    <t>=IF(NF($H344,"16 Debit Amount")=R344,0,NF($H344,"16 Debit Amount"))</t>
  </si>
  <si>
    <t>=NF(H344,"8 Amount (LCY)")</t>
  </si>
  <si>
    <t>=H346</t>
  </si>
  <si>
    <t>=I341</t>
  </si>
  <si>
    <t>=IF(NF(H346,"Entry no.")&lt;&gt;"",NF(H346,"Entry no."),0)</t>
  </si>
  <si>
    <t>="""Business Central"",""CRONUS JetCorp USA"",""25"",""1"",""739"""</t>
  </si>
  <si>
    <t>=NF(H346,"7 Description")</t>
  </si>
  <si>
    <t>=NF(H346,"6 Document No.")</t>
  </si>
  <si>
    <t>=NF(H346,"37 Due Date")</t>
  </si>
  <si>
    <t>=NF(H346,"4 Posting Date")</t>
  </si>
  <si>
    <t>=NF(H346,"11 Currency code")</t>
  </si>
  <si>
    <t>=IF(NF($H346,"13 Amount")=Q346,0,NF($H346,"13 Amount"))</t>
  </si>
  <si>
    <t>=IF(NF($H346,"14 Remaining Amount")=R346,0,NF($H346,"14 Remaining Amount"))</t>
  </si>
  <si>
    <t>=NF(H346,"17 Amount (LCY)")</t>
  </si>
  <si>
    <t>=NF(H346,"16 Remaining Amt. (LCY)")</t>
  </si>
  <si>
    <t>=IF(H347="","Hide","Show")</t>
  </si>
  <si>
    <t>=D346</t>
  </si>
  <si>
    <t>=E346</t>
  </si>
  <si>
    <t>=NF(H347,"Vendor Ledger Entry No.")</t>
  </si>
  <si>
    <t>=NL("Rows","Detailed Vendor Ledg. Entry",,"Vendor Ledger Entry No.","@@"&amp;G346,"Entry Type","&lt;&gt;"&amp;"Initial Entry")</t>
  </si>
  <si>
    <t>=NF($H347,"5 Document Type")</t>
  </si>
  <si>
    <t>=NF($H347,"6 Document No.")</t>
  </si>
  <si>
    <t>=NF($H347,"4 Posting Date")</t>
  </si>
  <si>
    <t>=NF(H347,"10 Currency Code")</t>
  </si>
  <si>
    <t>=IF(NF($H347,"7 Amount")=Q347,0,NF($H347,"7 Amount"))</t>
  </si>
  <si>
    <t>=IF(NF($H347,"16 Debit Amount")=R347,0,NF($H347,"16 Debit Amount"))</t>
  </si>
  <si>
    <t>=NF(H347,"8 Amount (LCY)")</t>
  </si>
  <si>
    <t>=H349</t>
  </si>
  <si>
    <t>=I344</t>
  </si>
  <si>
    <t>=IF(NF(H349,"Entry no.")&lt;&gt;"",NF(H349,"Entry no."),0)</t>
  </si>
  <si>
    <t>="""Business Central"",""CRONUS JetCorp USA"",""25"",""1"",""1159"""</t>
  </si>
  <si>
    <t>=NF(H349,"7 Description")</t>
  </si>
  <si>
    <t>=NF(H349,"6 Document No.")</t>
  </si>
  <si>
    <t>=NF(H349,"37 Due Date")</t>
  </si>
  <si>
    <t>=NF(H349,"4 Posting Date")</t>
  </si>
  <si>
    <t>=NF(H349,"11 Currency code")</t>
  </si>
  <si>
    <t>=IF(NF($H349,"13 Amount")=Q349,0,NF($H349,"13 Amount"))</t>
  </si>
  <si>
    <t>=IF(NF($H349,"14 Remaining Amount")=R349,0,NF($H349,"14 Remaining Amount"))</t>
  </si>
  <si>
    <t>=NF(H349,"17 Amount (LCY)")</t>
  </si>
  <si>
    <t>=NF(H349,"16 Remaining Amt. (LCY)")</t>
  </si>
  <si>
    <t>=IF(H350="","Hide","Show")</t>
  </si>
  <si>
    <t>=D349</t>
  </si>
  <si>
    <t>=E349</t>
  </si>
  <si>
    <t>=NF(H350,"Vendor Ledger Entry No.")</t>
  </si>
  <si>
    <t>=NL("Rows","Detailed Vendor Ledg. Entry",,"Vendor Ledger Entry No.","@@"&amp;G349,"Entry Type","&lt;&gt;"&amp;"Initial Entry")</t>
  </si>
  <si>
    <t>=NF($H350,"5 Document Type")</t>
  </si>
  <si>
    <t>=NF($H350,"6 Document No.")</t>
  </si>
  <si>
    <t>=NF($H350,"4 Posting Date")</t>
  </si>
  <si>
    <t>=NF(H350,"10 Currency Code")</t>
  </si>
  <si>
    <t>=IF(NF($H350,"7 Amount")=Q350,0,NF($H350,"7 Amount"))</t>
  </si>
  <si>
    <t>=IF(NF($H350,"16 Debit Amount")=R350,0,NF($H350,"16 Debit Amount"))</t>
  </si>
  <si>
    <t>=NF(H350,"8 Amount (LCY)")</t>
  </si>
  <si>
    <t>=H352</t>
  </si>
  <si>
    <t>=I347</t>
  </si>
  <si>
    <t>=IF(NF(H352,"Entry no.")&lt;&gt;"",NF(H352,"Entry no."),0)</t>
  </si>
  <si>
    <t>="""Business Central"",""CRONUS JetCorp USA"",""25"",""1"",""1621"""</t>
  </si>
  <si>
    <t>=NF(H352,"7 Description")</t>
  </si>
  <si>
    <t>=NF(H352,"6 Document No.")</t>
  </si>
  <si>
    <t>=NF(H352,"37 Due Date")</t>
  </si>
  <si>
    <t>=NF(H352,"4 Posting Date")</t>
  </si>
  <si>
    <t>=NF(H352,"11 Currency code")</t>
  </si>
  <si>
    <t>=IF(NF($H352,"13 Amount")=Q352,0,NF($H352,"13 Amount"))</t>
  </si>
  <si>
    <t>=IF(NF($H352,"14 Remaining Amount")=R352,0,NF($H352,"14 Remaining Amount"))</t>
  </si>
  <si>
    <t>=NF(H352,"17 Amount (LCY)")</t>
  </si>
  <si>
    <t>=NF(H352,"16 Remaining Amt. (LCY)")</t>
  </si>
  <si>
    <t>=IF(H353="","Hide","Show")</t>
  </si>
  <si>
    <t>=D352</t>
  </si>
  <si>
    <t>=E352</t>
  </si>
  <si>
    <t>=NF(H353,"Vendor Ledger Entry No.")</t>
  </si>
  <si>
    <t>=NL("Rows","Detailed Vendor Ledg. Entry",,"Vendor Ledger Entry No.","@@"&amp;G352,"Entry Type","&lt;&gt;"&amp;"Initial Entry")</t>
  </si>
  <si>
    <t>=NF($H353,"5 Document Type")</t>
  </si>
  <si>
    <t>=NF($H353,"6 Document No.")</t>
  </si>
  <si>
    <t>=NF($H353,"4 Posting Date")</t>
  </si>
  <si>
    <t>=NF(H353,"10 Currency Code")</t>
  </si>
  <si>
    <t>=IF(NF($H353,"7 Amount")=Q353,0,NF($H353,"7 Amount"))</t>
  </si>
  <si>
    <t>=IF(NF($H353,"16 Debit Amount")=R353,0,NF($H353,"16 Debit Amount"))</t>
  </si>
  <si>
    <t>=NF(H353,"8 Amount (LCY)")</t>
  </si>
  <si>
    <t>=H355</t>
  </si>
  <si>
    <t>=I350</t>
  </si>
  <si>
    <t>=IF(NF(H355,"Entry no.")&lt;&gt;"",NF(H355,"Entry no."),0)</t>
  </si>
  <si>
    <t>="""Business Central"",""CRONUS JetCorp USA"",""25"",""1"",""2041"""</t>
  </si>
  <si>
    <t>=NF(H355,"7 Description")</t>
  </si>
  <si>
    <t>=NF(H355,"6 Document No.")</t>
  </si>
  <si>
    <t>=NF(H355,"37 Due Date")</t>
  </si>
  <si>
    <t>=NF(H355,"4 Posting Date")</t>
  </si>
  <si>
    <t>=NF(H355,"11 Currency code")</t>
  </si>
  <si>
    <t>=IF(NF($H355,"13 Amount")=Q355,0,NF($H355,"13 Amount"))</t>
  </si>
  <si>
    <t>=IF(NF($H355,"14 Remaining Amount")=R355,0,NF($H355,"14 Remaining Amount"))</t>
  </si>
  <si>
    <t>=NF(H355,"17 Amount (LCY)")</t>
  </si>
  <si>
    <t>=NF(H355,"16 Remaining Amt. (LCY)")</t>
  </si>
  <si>
    <t>=IF(H356="","Hide","Show")</t>
  </si>
  <si>
    <t>=D355</t>
  </si>
  <si>
    <t>=E355</t>
  </si>
  <si>
    <t>=NF(H356,"Vendor Ledger Entry No.")</t>
  </si>
  <si>
    <t>=NL("Rows","Detailed Vendor Ledg. Entry",,"Vendor Ledger Entry No.","@@"&amp;G355,"Entry Type","&lt;&gt;"&amp;"Initial Entry")</t>
  </si>
  <si>
    <t>=NF($H356,"5 Document Type")</t>
  </si>
  <si>
    <t>=NF($H356,"6 Document No.")</t>
  </si>
  <si>
    <t>=NF($H356,"4 Posting Date")</t>
  </si>
  <si>
    <t>=NF(H356,"10 Currency Code")</t>
  </si>
  <si>
    <t>=IF(NF($H356,"7 Amount")=Q356,0,NF($H356,"7 Amount"))</t>
  </si>
  <si>
    <t>=IF(NF($H356,"16 Debit Amount")=R356,0,NF($H356,"16 Debit Amount"))</t>
  </si>
  <si>
    <t>=NF(H356,"8 Amount (LCY)")</t>
  </si>
  <si>
    <t>=H358</t>
  </si>
  <si>
    <t>=I353</t>
  </si>
  <si>
    <t>=IF(NF(H358,"Entry no.")&lt;&gt;"",NF(H358,"Entry no."),0)</t>
  </si>
  <si>
    <t>="""Business Central"",""CRONUS JetCorp USA"",""25"",""1"",""2377"""</t>
  </si>
  <si>
    <t>=NF(H358,"7 Description")</t>
  </si>
  <si>
    <t>=NF(H358,"6 Document No.")</t>
  </si>
  <si>
    <t>=NF(H358,"37 Due Date")</t>
  </si>
  <si>
    <t>=NF(H358,"4 Posting Date")</t>
  </si>
  <si>
    <t>=NF(H358,"11 Currency code")</t>
  </si>
  <si>
    <t>=IF(NF($H358,"13 Amount")=Q358,0,NF($H358,"13 Amount"))</t>
  </si>
  <si>
    <t>=IF(NF($H358,"14 Remaining Amount")=R358,0,NF($H358,"14 Remaining Amount"))</t>
  </si>
  <si>
    <t>=NF(H358,"17 Amount (LCY)")</t>
  </si>
  <si>
    <t>=NF(H358,"16 Remaining Amt. (LCY)")</t>
  </si>
  <si>
    <t>=IF(H359="","Hide","Show")</t>
  </si>
  <si>
    <t>=D358</t>
  </si>
  <si>
    <t>=E358</t>
  </si>
  <si>
    <t>=NF(H359,"Vendor Ledger Entry No.")</t>
  </si>
  <si>
    <t>=NL("Rows","Detailed Vendor Ledg. Entry",,"Vendor Ledger Entry No.","@@"&amp;G358,"Entry Type","&lt;&gt;"&amp;"Initial Entry")</t>
  </si>
  <si>
    <t>=NF($H359,"5 Document Type")</t>
  </si>
  <si>
    <t>=NF($H359,"6 Document No.")</t>
  </si>
  <si>
    <t>=NF($H359,"4 Posting Date")</t>
  </si>
  <si>
    <t>=NF(H359,"10 Currency Code")</t>
  </si>
  <si>
    <t>=IF(NF($H359,"7 Amount")=Q359,0,NF($H359,"7 Amount"))</t>
  </si>
  <si>
    <t>=IF(NF($H359,"16 Debit Amount")=R359,0,NF($H359,"16 Debit Amount"))</t>
  </si>
  <si>
    <t>=NF(H359,"8 Amount (LCY)")</t>
  </si>
  <si>
    <t>=H361</t>
  </si>
  <si>
    <t>=I356</t>
  </si>
  <si>
    <t>=IF(NF(H361,"Entry no.")&lt;&gt;"",NF(H361,"Entry no."),0)</t>
  </si>
  <si>
    <t>="""Business Central"",""CRONUS JetCorp USA"",""25"",""1"",""2797"""</t>
  </si>
  <si>
    <t>=NF(H361,"7 Description")</t>
  </si>
  <si>
    <t>=NF(H361,"6 Document No.")</t>
  </si>
  <si>
    <t>=NF(H361,"37 Due Date")</t>
  </si>
  <si>
    <t>=NF(H361,"4 Posting Date")</t>
  </si>
  <si>
    <t>=NF(H361,"11 Currency code")</t>
  </si>
  <si>
    <t>=IF(NF($H361,"13 Amount")=Q361,0,NF($H361,"13 Amount"))</t>
  </si>
  <si>
    <t>=IF(NF($H361,"14 Remaining Amount")=R361,0,NF($H361,"14 Remaining Amount"))</t>
  </si>
  <si>
    <t>=NF(H361,"17 Amount (LCY)")</t>
  </si>
  <si>
    <t>=NF(H361,"16 Remaining Amt. (LCY)")</t>
  </si>
  <si>
    <t>=IF(H362="","Hide","Show")</t>
  </si>
  <si>
    <t>=D361</t>
  </si>
  <si>
    <t>=E361</t>
  </si>
  <si>
    <t>=NF(H362,"Vendor Ledger Entry No.")</t>
  </si>
  <si>
    <t>=NL("Rows","Detailed Vendor Ledg. Entry",,"Vendor Ledger Entry No.","@@"&amp;G361,"Entry Type","&lt;&gt;"&amp;"Initial Entry")</t>
  </si>
  <si>
    <t>=NF($H362,"5 Document Type")</t>
  </si>
  <si>
    <t>=NF($H362,"6 Document No.")</t>
  </si>
  <si>
    <t>=NF($H362,"4 Posting Date")</t>
  </si>
  <si>
    <t>=NF(H362,"10 Currency Code")</t>
  </si>
  <si>
    <t>=IF(NF($H362,"7 Amount")=Q362,0,NF($H362,"7 Amount"))</t>
  </si>
  <si>
    <t>=IF(NF($H362,"16 Debit Amount")=R362,0,NF($H362,"16 Debit Amount"))</t>
  </si>
  <si>
    <t>=NF(H362,"8 Amount (LCY)")</t>
  </si>
  <si>
    <t>=CONCATENATE(I338," - ",I339,"      Remaining Amount  In Local Currency")</t>
  </si>
  <si>
    <t>False</t>
  </si>
  <si>
    <t>Auto+Hide+Hidesheet+Formulas=Sheet7,Sheet1,Sheet2</t>
  </si>
  <si>
    <t>Auto+Hide+Hidesheet+Formulas=Sheet7,Sheet1,Sheet2+FormulasOnly</t>
  </si>
  <si>
    <t>Auto+Hide+Values+Formulas=Sheet8,Sheet3,Sheet4</t>
  </si>
  <si>
    <t>="""Business Central"",""CRONUS JetCorp USA"",""25"",""1"",""452346"""</t>
  </si>
  <si>
    <t>="""Business Central"",""CRONUS JetCorp USA"",""25"",""1"",""452352"""</t>
  </si>
  <si>
    <t>="""Business Central"",""CRONUS JetCorp USA"",""25"",""1"",""457937"""</t>
  </si>
  <si>
    <t>=H151</t>
  </si>
  <si>
    <t>=I146</t>
  </si>
  <si>
    <t>=IF(NF(H151,"Entry no.")&lt;&gt;"",NF(H151,"Entry no."),0)</t>
  </si>
  <si>
    <t>="""Business Central"",""CRONUS JetCorp USA"",""25"",""1"",""457958"""</t>
  </si>
  <si>
    <t>=NF(H151,"7 Description")</t>
  </si>
  <si>
    <t>=NF(H151,"6 Document No.")</t>
  </si>
  <si>
    <t>=NF(H151,"37 Due Date")</t>
  </si>
  <si>
    <t>=NF(H151,"4 Posting Date")</t>
  </si>
  <si>
    <t>=NF(H151,"11 Currency code")</t>
  </si>
  <si>
    <t>=IF(NF($H151,"13 Amount")=Q151,0,NF($H151,"13 Amount"))</t>
  </si>
  <si>
    <t>=IF(NF($H151,"14 Remaining Amount")=R151,0,NF($H151,"14 Remaining Amount"))</t>
  </si>
  <si>
    <t>=NF(H151,"17 Amount (LCY)")</t>
  </si>
  <si>
    <t>=NF(H151,"16 Remaining Amt. (LCY)")</t>
  </si>
  <si>
    <t>=IF(H152="","Hide","Show")</t>
  </si>
  <si>
    <t>=D151</t>
  </si>
  <si>
    <t>=E151</t>
  </si>
  <si>
    <t>=NF(H152,"Vendor Ledger Entry No.")</t>
  </si>
  <si>
    <t>=NL("Rows","Detailed Vendor Ledg. Entry",,"Vendor Ledger Entry No.","@@"&amp;G151,"Entry Type","&lt;&gt;"&amp;"Initial Entry")</t>
  </si>
  <si>
    <t>=NF($H152,"5 Document Type")</t>
  </si>
  <si>
    <t>=NF($H152,"6 Document No.")</t>
  </si>
  <si>
    <t>=NF($H152,"4 Posting Date")</t>
  </si>
  <si>
    <t>=NF(H152,"10 Currency Code")</t>
  </si>
  <si>
    <t>=IF(NF($H152,"7 Amount")=Q152,0,NF($H152,"7 Amount"))</t>
  </si>
  <si>
    <t>=IF(NF($H152,"16 Debit Amount")=R152,0,NF($H152,"16 Debit Amount"))</t>
  </si>
  <si>
    <t>=NF(H152,"8 Amount (LCY)")</t>
  </si>
  <si>
    <t>=I149</t>
  </si>
  <si>
    <t>=IF(NF(H154,"Entry no.")&lt;&gt;"",NF(H154,"Entry no."),0)</t>
  </si>
  <si>
    <t>="""Business Central"",""CRONUS JetCorp USA"",""25"",""1"",""457996"""</t>
  </si>
  <si>
    <t>=NF(H154,"7 Description")</t>
  </si>
  <si>
    <t>=NF(H154,"6 Document No.")</t>
  </si>
  <si>
    <t>=NF(H154,"37 Due Date")</t>
  </si>
  <si>
    <t>=NF(H154,"4 Posting Date")</t>
  </si>
  <si>
    <t>=NF(H154,"11 Currency code")</t>
  </si>
  <si>
    <t>=IF(NF($H154,"13 Amount")=Q154,0,NF($H154,"13 Amount"))</t>
  </si>
  <si>
    <t>=IF(NF($H154,"14 Remaining Amount")=R154,0,NF($H154,"14 Remaining Amount"))</t>
  </si>
  <si>
    <t>=NF(H154,"17 Amount (LCY)")</t>
  </si>
  <si>
    <t>=NF(H154,"16 Remaining Amt. (LCY)")</t>
  </si>
  <si>
    <t>=IF(H155="","Hide","Show")</t>
  </si>
  <si>
    <t>=D154</t>
  </si>
  <si>
    <t>=E154</t>
  </si>
  <si>
    <t>=NF(H155,"Vendor Ledger Entry No.")</t>
  </si>
  <si>
    <t>=NL("Rows","Detailed Vendor Ledg. Entry",,"Vendor Ledger Entry No.","@@"&amp;G154,"Entry Type","&lt;&gt;"&amp;"Initial Entry")</t>
  </si>
  <si>
    <t>=NF($H155,"5 Document Type")</t>
  </si>
  <si>
    <t>=NF($H155,"6 Document No.")</t>
  </si>
  <si>
    <t>=NF($H155,"4 Posting Date")</t>
  </si>
  <si>
    <t>=NF(H155,"10 Currency Code")</t>
  </si>
  <si>
    <t>=IF(NF($H155,"7 Amount")=Q155,0,NF($H155,"7 Amount"))</t>
  </si>
  <si>
    <t>=IF(NF($H155,"16 Debit Amount")=R155,0,NF($H155,"16 Debit Amount"))</t>
  </si>
  <si>
    <t>=NF(H155,"8 Amount (LCY)")</t>
  </si>
  <si>
    <t>=H157</t>
  </si>
  <si>
    <t>=I152</t>
  </si>
  <si>
    <t>=IF(NF(H157,"Entry no.")&lt;&gt;"",NF(H157,"Entry no."),0)</t>
  </si>
  <si>
    <t>="""Business Central"",""CRONUS JetCorp USA"",""25"",""1"",""464336"""</t>
  </si>
  <si>
    <t>=NF(H157,"7 Description")</t>
  </si>
  <si>
    <t>=NF(H157,"6 Document No.")</t>
  </si>
  <si>
    <t>=NF(H157,"37 Due Date")</t>
  </si>
  <si>
    <t>=NF(H157,"4 Posting Date")</t>
  </si>
  <si>
    <t>=NF(H157,"11 Currency code")</t>
  </si>
  <si>
    <t>=IF(NF($H157,"13 Amount")=Q157,0,NF($H157,"13 Amount"))</t>
  </si>
  <si>
    <t>=IF(NF($H157,"14 Remaining Amount")=R157,0,NF($H157,"14 Remaining Amount"))</t>
  </si>
  <si>
    <t>=NF(H157,"17 Amount (LCY)")</t>
  </si>
  <si>
    <t>=NF(H157,"16 Remaining Amt. (LCY)")</t>
  </si>
  <si>
    <t>=IF(H158="","Hide","Show")</t>
  </si>
  <si>
    <t>=D157</t>
  </si>
  <si>
    <t>=E157</t>
  </si>
  <si>
    <t>=NF(H158,"Vendor Ledger Entry No.")</t>
  </si>
  <si>
    <t>=NL("Rows","Detailed Vendor Ledg. Entry",,"Vendor Ledger Entry No.","@@"&amp;G157,"Entry Type","&lt;&gt;"&amp;"Initial Entry")</t>
  </si>
  <si>
    <t>=NF($H158,"5 Document Type")</t>
  </si>
  <si>
    <t>=NF($H158,"6 Document No.")</t>
  </si>
  <si>
    <t>=NF($H158,"4 Posting Date")</t>
  </si>
  <si>
    <t>=NF(H158,"10 Currency Code")</t>
  </si>
  <si>
    <t>=IF(NF($H158,"7 Amount")=Q158,0,NF($H158,"7 Amount"))</t>
  </si>
  <si>
    <t>=IF(NF($H158,"16 Debit Amount")=R158,0,NF($H158,"16 Debit Amount"))</t>
  </si>
  <si>
    <t>=NF(H158,"8 Amount (LCY)")</t>
  </si>
  <si>
    <t>=H160</t>
  </si>
  <si>
    <t>=I155</t>
  </si>
  <si>
    <t>=IF(NF(H160,"Entry no.")&lt;&gt;"",NF(H160,"Entry no."),0)</t>
  </si>
  <si>
    <t>="""Business Central"",""CRONUS JetCorp USA"",""25"",""1"",""464396"""</t>
  </si>
  <si>
    <t>=NF(H160,"7 Description")</t>
  </si>
  <si>
    <t>=NF(H160,"6 Document No.")</t>
  </si>
  <si>
    <t>=NF(H160,"37 Due Date")</t>
  </si>
  <si>
    <t>=NF(H160,"4 Posting Date")</t>
  </si>
  <si>
    <t>=NF(H160,"11 Currency code")</t>
  </si>
  <si>
    <t>=IF(NF($H160,"13 Amount")=Q160,0,NF($H160,"13 Amount"))</t>
  </si>
  <si>
    <t>=IF(NF($H160,"14 Remaining Amount")=R160,0,NF($H160,"14 Remaining Amount"))</t>
  </si>
  <si>
    <t>=NF(H160,"17 Amount (LCY)")</t>
  </si>
  <si>
    <t>=NF(H160,"16 Remaining Amt. (LCY)")</t>
  </si>
  <si>
    <t>=IF(H161="","Hide","Show")</t>
  </si>
  <si>
    <t>=D160</t>
  </si>
  <si>
    <t>=E160</t>
  </si>
  <si>
    <t>=NF(H161,"Vendor Ledger Entry No.")</t>
  </si>
  <si>
    <t>=NL("Rows","Detailed Vendor Ledg. Entry",,"Vendor Ledger Entry No.","@@"&amp;G160,"Entry Type","&lt;&gt;"&amp;"Initial Entry")</t>
  </si>
  <si>
    <t>=NF($H161,"5 Document Type")</t>
  </si>
  <si>
    <t>=NF($H161,"6 Document No.")</t>
  </si>
  <si>
    <t>=NF($H161,"4 Posting Date")</t>
  </si>
  <si>
    <t>=NF(H161,"10 Currency Code")</t>
  </si>
  <si>
    <t>=IF(NF($H161,"7 Amount")=Q161,0,NF($H161,"7 Amount"))</t>
  </si>
  <si>
    <t>=IF(NF($H161,"16 Debit Amount")=R161,0,NF($H161,"16 Debit Amount"))</t>
  </si>
  <si>
    <t>=NF(H161,"8 Amount (LCY)")</t>
  </si>
  <si>
    <t>=I158</t>
  </si>
  <si>
    <t>=IF(NF(H163,"Entry no.")&lt;&gt;"",NF(H163,"Entry no."),0)</t>
  </si>
  <si>
    <t>="""Business Central"",""CRONUS JetCorp USA"",""25"",""1"",""471319"""</t>
  </si>
  <si>
    <t>=NF(H163,"7 Description")</t>
  </si>
  <si>
    <t>=NF(H163,"6 Document No.")</t>
  </si>
  <si>
    <t>=NF(H163,"37 Due Date")</t>
  </si>
  <si>
    <t>=NF(H163,"4 Posting Date")</t>
  </si>
  <si>
    <t>=NF(H163,"11 Currency code")</t>
  </si>
  <si>
    <t>=IF(NF($H163,"13 Amount")=Q163,0,NF($H163,"13 Amount"))</t>
  </si>
  <si>
    <t>=IF(NF($H163,"14 Remaining Amount")=R163,0,NF($H163,"14 Remaining Amount"))</t>
  </si>
  <si>
    <t>=NF(H163,"17 Amount (LCY)")</t>
  </si>
  <si>
    <t>=NF(H163,"16 Remaining Amt. (LCY)")</t>
  </si>
  <si>
    <t>=IF(H164="","Hide","Show")</t>
  </si>
  <si>
    <t>=D163</t>
  </si>
  <si>
    <t>=E163</t>
  </si>
  <si>
    <t>=NF(H164,"Vendor Ledger Entry No.")</t>
  </si>
  <si>
    <t>=NL("Rows","Detailed Vendor Ledg. Entry",,"Vendor Ledger Entry No.","@@"&amp;G163,"Entry Type","&lt;&gt;"&amp;"Initial Entry")</t>
  </si>
  <si>
    <t>=NF($H164,"5 Document Type")</t>
  </si>
  <si>
    <t>=NF($H164,"6 Document No.")</t>
  </si>
  <si>
    <t>=NF($H164,"4 Posting Date")</t>
  </si>
  <si>
    <t>=NF(H164,"10 Currency Code")</t>
  </si>
  <si>
    <t>=IF(NF($H164,"7 Amount")=Q164,0,NF($H164,"7 Amount"))</t>
  </si>
  <si>
    <t>=IF(NF($H164,"16 Debit Amount")=R164,0,NF($H164,"16 Debit Amount"))</t>
  </si>
  <si>
    <t>=NF(H164,"8 Amount (LCY)")</t>
  </si>
  <si>
    <t>=H166</t>
  </si>
  <si>
    <t>=I161</t>
  </si>
  <si>
    <t>=IF(NF(H166,"Entry no.")&lt;&gt;"",NF(H166,"Entry no."),0)</t>
  </si>
  <si>
    <t>="""Business Central"",""CRONUS JetCorp USA"",""25"",""1"",""471379"""</t>
  </si>
  <si>
    <t>=NF(H166,"7 Description")</t>
  </si>
  <si>
    <t>=NF(H166,"6 Document No.")</t>
  </si>
  <si>
    <t>=NF(H166,"37 Due Date")</t>
  </si>
  <si>
    <t>=NF(H166,"4 Posting Date")</t>
  </si>
  <si>
    <t>=NF(H166,"11 Currency code")</t>
  </si>
  <si>
    <t>=IF(NF($H166,"13 Amount")=Q166,0,NF($H166,"13 Amount"))</t>
  </si>
  <si>
    <t>=IF(NF($H166,"14 Remaining Amount")=R166,0,NF($H166,"14 Remaining Amount"))</t>
  </si>
  <si>
    <t>=NF(H166,"17 Amount (LCY)")</t>
  </si>
  <si>
    <t>=NF(H166,"16 Remaining Amt. (LCY)")</t>
  </si>
  <si>
    <t>=IF(H167="","Hide","Show")</t>
  </si>
  <si>
    <t>=D166</t>
  </si>
  <si>
    <t>=E166</t>
  </si>
  <si>
    <t>=NF(H167,"Vendor Ledger Entry No.")</t>
  </si>
  <si>
    <t>=NL("Rows","Detailed Vendor Ledg. Entry",,"Vendor Ledger Entry No.","@@"&amp;G166,"Entry Type","&lt;&gt;"&amp;"Initial Entry")</t>
  </si>
  <si>
    <t>=NF($H167,"5 Document Type")</t>
  </si>
  <si>
    <t>=NF($H167,"6 Document No.")</t>
  </si>
  <si>
    <t>=NF($H167,"4 Posting Date")</t>
  </si>
  <si>
    <t>=NF(H167,"10 Currency Code")</t>
  </si>
  <si>
    <t>=IF(NF($H167,"7 Amount")=Q167,0,NF($H167,"7 Amount"))</t>
  </si>
  <si>
    <t>=IF(NF($H167,"16 Debit Amount")=R167,0,NF($H167,"16 Debit Amount"))</t>
  </si>
  <si>
    <t>=NF(H167,"8 Amount (LCY)")</t>
  </si>
  <si>
    <t>=H169</t>
  </si>
  <si>
    <t>=I164</t>
  </si>
  <si>
    <t>=IF(NF(H169,"Entry no.")&lt;&gt;"",NF(H169,"Entry no."),0)</t>
  </si>
  <si>
    <t>="""Business Central"",""CRONUS JetCorp USA"",""25"",""1"",""471449"""</t>
  </si>
  <si>
    <t>=NF(H169,"7 Description")</t>
  </si>
  <si>
    <t>=NF(H169,"6 Document No.")</t>
  </si>
  <si>
    <t>=NF(H169,"37 Due Date")</t>
  </si>
  <si>
    <t>=NF(H169,"4 Posting Date")</t>
  </si>
  <si>
    <t>=NF(H169,"11 Currency code")</t>
  </si>
  <si>
    <t>=IF(NF($H169,"13 Amount")=Q169,0,NF($H169,"13 Amount"))</t>
  </si>
  <si>
    <t>=IF(NF($H169,"14 Remaining Amount")=R169,0,NF($H169,"14 Remaining Amount"))</t>
  </si>
  <si>
    <t>=NF(H169,"17 Amount (LCY)")</t>
  </si>
  <si>
    <t>=NF(H169,"16 Remaining Amt. (LCY)")</t>
  </si>
  <si>
    <t>=IF(H170="","Hide","Show")</t>
  </si>
  <si>
    <t>=D169</t>
  </si>
  <si>
    <t>=E169</t>
  </si>
  <si>
    <t>=NF(H170,"Vendor Ledger Entry No.")</t>
  </si>
  <si>
    <t>=NL("Rows","Detailed Vendor Ledg. Entry",,"Vendor Ledger Entry No.","@@"&amp;G169,"Entry Type","&lt;&gt;"&amp;"Initial Entry")</t>
  </si>
  <si>
    <t>=NF($H170,"5 Document Type")</t>
  </si>
  <si>
    <t>=NF($H170,"6 Document No.")</t>
  </si>
  <si>
    <t>=NF($H170,"4 Posting Date")</t>
  </si>
  <si>
    <t>=NF(H170,"10 Currency Code")</t>
  </si>
  <si>
    <t>=IF(NF($H170,"7 Amount")=Q170,0,NF($H170,"7 Amount"))</t>
  </si>
  <si>
    <t>=IF(NF($H170,"16 Debit Amount")=R170,0,NF($H170,"16 Debit Amount"))</t>
  </si>
  <si>
    <t>=NF(H170,"8 Amount (LCY)")</t>
  </si>
  <si>
    <t>=H172</t>
  </si>
  <si>
    <t>=I167</t>
  </si>
  <si>
    <t>=IF(NF(H172,"Entry no.")&lt;&gt;"",NF(H172,"Entry no."),0)</t>
  </si>
  <si>
    <t>="""Business Central"",""CRONUS JetCorp USA"",""25"",""1"",""471503"""</t>
  </si>
  <si>
    <t>=NF(H172,"7 Description")</t>
  </si>
  <si>
    <t>=NF(H172,"6 Document No.")</t>
  </si>
  <si>
    <t>=NF(H172,"37 Due Date")</t>
  </si>
  <si>
    <t>=NF(H172,"4 Posting Date")</t>
  </si>
  <si>
    <t>=NF(H172,"11 Currency code")</t>
  </si>
  <si>
    <t>=IF(NF($H172,"13 Amount")=Q172,0,NF($H172,"13 Amount"))</t>
  </si>
  <si>
    <t>=IF(NF($H172,"14 Remaining Amount")=R172,0,NF($H172,"14 Remaining Amount"))</t>
  </si>
  <si>
    <t>=NF(H172,"17 Amount (LCY)")</t>
  </si>
  <si>
    <t>=NF(H172,"16 Remaining Amt. (LCY)")</t>
  </si>
  <si>
    <t>=IF(H173="","Hide","Show")</t>
  </si>
  <si>
    <t>=D172</t>
  </si>
  <si>
    <t>=E172</t>
  </si>
  <si>
    <t>=NF(H173,"Vendor Ledger Entry No.")</t>
  </si>
  <si>
    <t>=NL("Rows","Detailed Vendor Ledg. Entry",,"Vendor Ledger Entry No.","@@"&amp;G172,"Entry Type","&lt;&gt;"&amp;"Initial Entry")</t>
  </si>
  <si>
    <t>=NF($H173,"5 Document Type")</t>
  </si>
  <si>
    <t>=NF($H173,"6 Document No.")</t>
  </si>
  <si>
    <t>=NF($H173,"4 Posting Date")</t>
  </si>
  <si>
    <t>=NF(H173,"10 Currency Code")</t>
  </si>
  <si>
    <t>=IF(NF($H173,"7 Amount")=Q173,0,NF($H173,"7 Amount"))</t>
  </si>
  <si>
    <t>=IF(NF($H173,"16 Debit Amount")=R173,0,NF($H173,"16 Debit Amount"))</t>
  </si>
  <si>
    <t>=NF(H173,"8 Amount (LCY)")</t>
  </si>
  <si>
    <t>=H175</t>
  </si>
  <si>
    <t>=I170</t>
  </si>
  <si>
    <t>=IF(NF(H175,"Entry no.")&lt;&gt;"",NF(H175,"Entry no."),0)</t>
  </si>
  <si>
    <t>="""Business Central"",""CRONUS JetCorp USA"",""25"",""1"",""471529"""</t>
  </si>
  <si>
    <t>=NF(H175,"7 Description")</t>
  </si>
  <si>
    <t>=NF(H175,"6 Document No.")</t>
  </si>
  <si>
    <t>=NF(H175,"37 Due Date")</t>
  </si>
  <si>
    <t>=NF(H175,"4 Posting Date")</t>
  </si>
  <si>
    <t>=NF(H175,"11 Currency code")</t>
  </si>
  <si>
    <t>=IF(NF($H175,"13 Amount")=Q175,0,NF($H175,"13 Amount"))</t>
  </si>
  <si>
    <t>=IF(NF($H175,"14 Remaining Amount")=R175,0,NF($H175,"14 Remaining Amount"))</t>
  </si>
  <si>
    <t>=NF(H175,"17 Amount (LCY)")</t>
  </si>
  <si>
    <t>=NF(H175,"16 Remaining Amt. (LCY)")</t>
  </si>
  <si>
    <t>=IF(H176="","Hide","Show")</t>
  </si>
  <si>
    <t>=D175</t>
  </si>
  <si>
    <t>=E175</t>
  </si>
  <si>
    <t>=NF(H176,"Vendor Ledger Entry No.")</t>
  </si>
  <si>
    <t>=NL("Rows","Detailed Vendor Ledg. Entry",,"Vendor Ledger Entry No.","@@"&amp;G175,"Entry Type","&lt;&gt;"&amp;"Initial Entry")</t>
  </si>
  <si>
    <t>=NF($H176,"5 Document Type")</t>
  </si>
  <si>
    <t>=NF($H176,"6 Document No.")</t>
  </si>
  <si>
    <t>=NF($H176,"4 Posting Date")</t>
  </si>
  <si>
    <t>=NF(H176,"10 Currency Code")</t>
  </si>
  <si>
    <t>=IF(NF($H176,"7 Amount")=Q176,0,NF($H176,"7 Amount"))</t>
  </si>
  <si>
    <t>=IF(NF($H176,"16 Debit Amount")=R176,0,NF($H176,"16 Debit Amount"))</t>
  </si>
  <si>
    <t>=NF(H176,"8 Amount (LCY)")</t>
  </si>
  <si>
    <t>=H178</t>
  </si>
  <si>
    <t>=I173</t>
  </si>
  <si>
    <t>=IF(NF(H178,"Entry no.")&lt;&gt;"",NF(H178,"Entry no."),0)</t>
  </si>
  <si>
    <t>="""Business Central"",""CRONUS JetCorp USA"",""25"",""1"",""471556"""</t>
  </si>
  <si>
    <t>=NF(H178,"7 Description")</t>
  </si>
  <si>
    <t>=NF(H178,"6 Document No.")</t>
  </si>
  <si>
    <t>=NF(H178,"37 Due Date")</t>
  </si>
  <si>
    <t>=NF(H178,"4 Posting Date")</t>
  </si>
  <si>
    <t>=NF(H178,"11 Currency code")</t>
  </si>
  <si>
    <t>=IF(NF($H178,"13 Amount")=Q178,0,NF($H178,"13 Amount"))</t>
  </si>
  <si>
    <t>=IF(NF($H178,"14 Remaining Amount")=R178,0,NF($H178,"14 Remaining Amount"))</t>
  </si>
  <si>
    <t>=NF(H178,"17 Amount (LCY)")</t>
  </si>
  <si>
    <t>=NF(H178,"16 Remaining Amt. (LCY)")</t>
  </si>
  <si>
    <t>=IF(H179="","Hide","Show")</t>
  </si>
  <si>
    <t>=D178</t>
  </si>
  <si>
    <t>=E178</t>
  </si>
  <si>
    <t>=NF(H179,"Vendor Ledger Entry No.")</t>
  </si>
  <si>
    <t>=NL("Rows","Detailed Vendor Ledg. Entry",,"Vendor Ledger Entry No.","@@"&amp;G178,"Entry Type","&lt;&gt;"&amp;"Initial Entry")</t>
  </si>
  <si>
    <t>=NF($H179,"5 Document Type")</t>
  </si>
  <si>
    <t>=NF($H179,"6 Document No.")</t>
  </si>
  <si>
    <t>=NF($H179,"4 Posting Date")</t>
  </si>
  <si>
    <t>=NF(H179,"10 Currency Code")</t>
  </si>
  <si>
    <t>=IF(NF($H179,"7 Amount")=Q179,0,NF($H179,"7 Amount"))</t>
  </si>
  <si>
    <t>=IF(NF($H179,"16 Debit Amount")=R179,0,NF($H179,"16 Debit Amount"))</t>
  </si>
  <si>
    <t>=NF(H179,"8 Amount (LCY)")</t>
  </si>
  <si>
    <t>=H181</t>
  </si>
  <si>
    <t>=I176</t>
  </si>
  <si>
    <t>=IF(NF(H181,"Entry no.")&lt;&gt;"",NF(H181,"Entry no."),0)</t>
  </si>
  <si>
    <t>="""Business Central"",""CRONUS JetCorp USA"",""25"",""1"",""482792"""</t>
  </si>
  <si>
    <t>=NF(H181,"7 Description")</t>
  </si>
  <si>
    <t>=NF(H181,"6 Document No.")</t>
  </si>
  <si>
    <t>=NF(H181,"37 Due Date")</t>
  </si>
  <si>
    <t>=NF(H181,"4 Posting Date")</t>
  </si>
  <si>
    <t>=NF(H181,"11 Currency code")</t>
  </si>
  <si>
    <t>=IF(NF($H181,"13 Amount")=Q181,0,NF($H181,"13 Amount"))</t>
  </si>
  <si>
    <t>=IF(NF($H181,"14 Remaining Amount")=R181,0,NF($H181,"14 Remaining Amount"))</t>
  </si>
  <si>
    <t>=NF(H181,"17 Amount (LCY)")</t>
  </si>
  <si>
    <t>=NF(H181,"16 Remaining Amt. (LCY)")</t>
  </si>
  <si>
    <t>=IF(H182="","Hide","Show")</t>
  </si>
  <si>
    <t>=D181</t>
  </si>
  <si>
    <t>=E181</t>
  </si>
  <si>
    <t>=NF(H182,"Vendor Ledger Entry No.")</t>
  </si>
  <si>
    <t>=NL("Rows","Detailed Vendor Ledg. Entry",,"Vendor Ledger Entry No.","@@"&amp;G181,"Entry Type","&lt;&gt;"&amp;"Initial Entry")</t>
  </si>
  <si>
    <t>=NF($H182,"5 Document Type")</t>
  </si>
  <si>
    <t>=NF($H182,"6 Document No.")</t>
  </si>
  <si>
    <t>=NF($H182,"4 Posting Date")</t>
  </si>
  <si>
    <t>=NF(H182,"10 Currency Code")</t>
  </si>
  <si>
    <t>=IF(NF($H182,"7 Amount")=Q182,0,NF($H182,"7 Amount"))</t>
  </si>
  <si>
    <t>=IF(NF($H182,"16 Debit Amount")=R182,0,NF($H182,"16 Debit Amount"))</t>
  </si>
  <si>
    <t>=NF(H182,"8 Amount (LCY)")</t>
  </si>
  <si>
    <t>=H184</t>
  </si>
  <si>
    <t>=I179</t>
  </si>
  <si>
    <t>=IF(NF(H184,"Entry no.")&lt;&gt;"",NF(H184,"Entry no."),0)</t>
  </si>
  <si>
    <t>="""Business Central"",""CRONUS JetCorp USA"",""25"",""1"",""482846"""</t>
  </si>
  <si>
    <t>=NF(H184,"7 Description")</t>
  </si>
  <si>
    <t>=NF(H184,"6 Document No.")</t>
  </si>
  <si>
    <t>=NF(H184,"37 Due Date")</t>
  </si>
  <si>
    <t>=NF(H184,"4 Posting Date")</t>
  </si>
  <si>
    <t>=NF(H184,"11 Currency code")</t>
  </si>
  <si>
    <t>=IF(NF($H184,"13 Amount")=Q184,0,NF($H184,"13 Amount"))</t>
  </si>
  <si>
    <t>=IF(NF($H184,"14 Remaining Amount")=R184,0,NF($H184,"14 Remaining Amount"))</t>
  </si>
  <si>
    <t>=NF(H184,"17 Amount (LCY)")</t>
  </si>
  <si>
    <t>=NF(H184,"16 Remaining Amt. (LCY)")</t>
  </si>
  <si>
    <t>=IF(H185="","Hide","Show")</t>
  </si>
  <si>
    <t>=D184</t>
  </si>
  <si>
    <t>=E184</t>
  </si>
  <si>
    <t>=NF(H185,"Vendor Ledger Entry No.")</t>
  </si>
  <si>
    <t>=NL("Rows","Detailed Vendor Ledg. Entry",,"Vendor Ledger Entry No.","@@"&amp;G184,"Entry Type","&lt;&gt;"&amp;"Initial Entry")</t>
  </si>
  <si>
    <t>=NF($H185,"5 Document Type")</t>
  </si>
  <si>
    <t>=NF($H185,"6 Document No.")</t>
  </si>
  <si>
    <t>=NF($H185,"4 Posting Date")</t>
  </si>
  <si>
    <t>=NF(H185,"10 Currency Code")</t>
  </si>
  <si>
    <t>=IF(NF($H185,"7 Amount")=Q185,0,NF($H185,"7 Amount"))</t>
  </si>
  <si>
    <t>=IF(NF($H185,"16 Debit Amount")=R185,0,NF($H185,"16 Debit Amount"))</t>
  </si>
  <si>
    <t>=NF(H185,"8 Amount (LCY)")</t>
  </si>
  <si>
    <t>=H187</t>
  </si>
  <si>
    <t>=I182</t>
  </si>
  <si>
    <t>=IF(NF(H187,"Entry no.")&lt;&gt;"",NF(H187,"Entry no."),0)</t>
  </si>
  <si>
    <t>="""Business Central"",""CRONUS JetCorp USA"",""25"",""1"",""482889"""</t>
  </si>
  <si>
    <t>=NF(H187,"7 Description")</t>
  </si>
  <si>
    <t>=NF(H187,"6 Document No.")</t>
  </si>
  <si>
    <t>=NF(H187,"37 Due Date")</t>
  </si>
  <si>
    <t>=NF(H187,"4 Posting Date")</t>
  </si>
  <si>
    <t>=NF(H187,"11 Currency code")</t>
  </si>
  <si>
    <t>=IF(NF($H187,"13 Amount")=Q187,0,NF($H187,"13 Amount"))</t>
  </si>
  <si>
    <t>=IF(NF($H187,"14 Remaining Amount")=R187,0,NF($H187,"14 Remaining Amount"))</t>
  </si>
  <si>
    <t>=NF(H187,"17 Amount (LCY)")</t>
  </si>
  <si>
    <t>=NF(H187,"16 Remaining Amt. (LCY)")</t>
  </si>
  <si>
    <t>=IF(H188="","Hide","Show")</t>
  </si>
  <si>
    <t>=D187</t>
  </si>
  <si>
    <t>=E187</t>
  </si>
  <si>
    <t>=NF(H188,"Vendor Ledger Entry No.")</t>
  </si>
  <si>
    <t>=NL("Rows","Detailed Vendor Ledg. Entry",,"Vendor Ledger Entry No.","@@"&amp;G187,"Entry Type","&lt;&gt;"&amp;"Initial Entry")</t>
  </si>
  <si>
    <t>=NF($H188,"5 Document Type")</t>
  </si>
  <si>
    <t>=NF($H188,"6 Document No.")</t>
  </si>
  <si>
    <t>=NF($H188,"4 Posting Date")</t>
  </si>
  <si>
    <t>=NF(H188,"10 Currency Code")</t>
  </si>
  <si>
    <t>=IF(NF($H188,"7 Amount")=Q188,0,NF($H188,"7 Amount"))</t>
  </si>
  <si>
    <t>=IF(NF($H188,"16 Debit Amount")=R188,0,NF($H188,"16 Debit Amount"))</t>
  </si>
  <si>
    <t>=NF(H188,"8 Amount (LCY)")</t>
  </si>
  <si>
    <t>=H190</t>
  </si>
  <si>
    <t>=I185</t>
  </si>
  <si>
    <t>=IF(NF(H190,"Entry no.")&lt;&gt;"",NF(H190,"Entry no."),0)</t>
  </si>
  <si>
    <t>="""Business Central"",""CRONUS JetCorp USA"",""25"",""1"",""482965"""</t>
  </si>
  <si>
    <t>=NF(H190,"7 Description")</t>
  </si>
  <si>
    <t>=NF(H190,"6 Document No.")</t>
  </si>
  <si>
    <t>=NF(H190,"37 Due Date")</t>
  </si>
  <si>
    <t>=NF(H190,"4 Posting Date")</t>
  </si>
  <si>
    <t>=NF(H190,"11 Currency code")</t>
  </si>
  <si>
    <t>=IF(NF($H190,"13 Amount")=Q190,0,NF($H190,"13 Amount"))</t>
  </si>
  <si>
    <t>=IF(NF($H190,"14 Remaining Amount")=R190,0,NF($H190,"14 Remaining Amount"))</t>
  </si>
  <si>
    <t>=NF(H190,"17 Amount (LCY)")</t>
  </si>
  <si>
    <t>=NF(H190,"16 Remaining Amt. (LCY)")</t>
  </si>
  <si>
    <t>=IF(H191="","Hide","Show")</t>
  </si>
  <si>
    <t>=D190</t>
  </si>
  <si>
    <t>=E190</t>
  </si>
  <si>
    <t>=NF(H191,"Vendor Ledger Entry No.")</t>
  </si>
  <si>
    <t>=NL("Rows","Detailed Vendor Ledg. Entry",,"Vendor Ledger Entry No.","@@"&amp;G190,"Entry Type","&lt;&gt;"&amp;"Initial Entry")</t>
  </si>
  <si>
    <t>=NF($H191,"5 Document Type")</t>
  </si>
  <si>
    <t>=NF($H191,"6 Document No.")</t>
  </si>
  <si>
    <t>=NF($H191,"4 Posting Date")</t>
  </si>
  <si>
    <t>=NF(H191,"10 Currency Code")</t>
  </si>
  <si>
    <t>=IF(NF($H191,"7 Amount")=Q191,0,NF($H191,"7 Amount"))</t>
  </si>
  <si>
    <t>=IF(NF($H191,"16 Debit Amount")=R191,0,NF($H191,"16 Debit Amount"))</t>
  </si>
  <si>
    <t>=NF(H191,"8 Amount (LCY)")</t>
  </si>
  <si>
    <t>=H193</t>
  </si>
  <si>
    <t>=I188</t>
  </si>
  <si>
    <t>=IF(NF(H193,"Entry no.")&lt;&gt;"",NF(H193,"Entry no."),0)</t>
  </si>
  <si>
    <t>="""Business Central"",""CRONUS JetCorp USA"",""25"",""1"",""483027"""</t>
  </si>
  <si>
    <t>=NF(H193,"7 Description")</t>
  </si>
  <si>
    <t>=NF(H193,"6 Document No.")</t>
  </si>
  <si>
    <t>=NF(H193,"37 Due Date")</t>
  </si>
  <si>
    <t>=NF(H193,"4 Posting Date")</t>
  </si>
  <si>
    <t>=NF(H193,"11 Currency code")</t>
  </si>
  <si>
    <t>=IF(NF($H193,"13 Amount")=Q193,0,NF($H193,"13 Amount"))</t>
  </si>
  <si>
    <t>=IF(NF($H193,"14 Remaining Amount")=R193,0,NF($H193,"14 Remaining Amount"))</t>
  </si>
  <si>
    <t>=NF(H193,"17 Amount (LCY)")</t>
  </si>
  <si>
    <t>=NF(H193,"16 Remaining Amt. (LCY)")</t>
  </si>
  <si>
    <t>=IF(H194="","Hide","Show")</t>
  </si>
  <si>
    <t>=D193</t>
  </si>
  <si>
    <t>=E193</t>
  </si>
  <si>
    <t>=NF(H194,"Vendor Ledger Entry No.")</t>
  </si>
  <si>
    <t>=NL("Rows","Detailed Vendor Ledg. Entry",,"Vendor Ledger Entry No.","@@"&amp;G193,"Entry Type","&lt;&gt;"&amp;"Initial Entry")</t>
  </si>
  <si>
    <t>=NF($H194,"5 Document Type")</t>
  </si>
  <si>
    <t>=NF($H194,"6 Document No.")</t>
  </si>
  <si>
    <t>=NF($H194,"4 Posting Date")</t>
  </si>
  <si>
    <t>=NF(H194,"10 Currency Code")</t>
  </si>
  <si>
    <t>=IF(NF($H194,"7 Amount")=Q194,0,NF($H194,"7 Amount"))</t>
  </si>
  <si>
    <t>=IF(NF($H194,"16 Debit Amount")=R194,0,NF($H194,"16 Debit Amount"))</t>
  </si>
  <si>
    <t>=NF(H194,"8 Amount (LCY)")</t>
  </si>
  <si>
    <t>=H196</t>
  </si>
  <si>
    <t>=I191</t>
  </si>
  <si>
    <t>=IF(NF(H196,"Entry no.")&lt;&gt;"",NF(H196,"Entry no."),0)</t>
  </si>
  <si>
    <t>="""Business Central"",""CRONUS JetCorp USA"",""25"",""1"",""483105"""</t>
  </si>
  <si>
    <t>=NF(H196,"7 Description")</t>
  </si>
  <si>
    <t>=NF(H196,"6 Document No.")</t>
  </si>
  <si>
    <t>=NF(H196,"37 Due Date")</t>
  </si>
  <si>
    <t>=NF(H196,"4 Posting Date")</t>
  </si>
  <si>
    <t>=NF(H196,"11 Currency code")</t>
  </si>
  <si>
    <t>=IF(NF($H196,"13 Amount")=Q196,0,NF($H196,"13 Amount"))</t>
  </si>
  <si>
    <t>=IF(NF($H196,"14 Remaining Amount")=R196,0,NF($H196,"14 Remaining Amount"))</t>
  </si>
  <si>
    <t>=NF(H196,"17 Amount (LCY)")</t>
  </si>
  <si>
    <t>=NF(H196,"16 Remaining Amt. (LCY)")</t>
  </si>
  <si>
    <t>=IF(H197="","Hide","Show")</t>
  </si>
  <si>
    <t>=D196</t>
  </si>
  <si>
    <t>=E196</t>
  </si>
  <si>
    <t>=NF(H197,"Vendor Ledger Entry No.")</t>
  </si>
  <si>
    <t>=NL("Rows","Detailed Vendor Ledg. Entry",,"Vendor Ledger Entry No.","@@"&amp;G196,"Entry Type","&lt;&gt;"&amp;"Initial Entry")</t>
  </si>
  <si>
    <t>=NF($H197,"5 Document Type")</t>
  </si>
  <si>
    <t>=NF($H197,"6 Document No.")</t>
  </si>
  <si>
    <t>=NF($H197,"4 Posting Date")</t>
  </si>
  <si>
    <t>=NF(H197,"10 Currency Code")</t>
  </si>
  <si>
    <t>=IF(NF($H197,"7 Amount")=Q197,0,NF($H197,"7 Amount"))</t>
  </si>
  <si>
    <t>=IF(NF($H197,"16 Debit Amount")=R197,0,NF($H197,"16 Debit Amount"))</t>
  </si>
  <si>
    <t>=NF(H197,"8 Amount (LCY)")</t>
  </si>
  <si>
    <t>=H199</t>
  </si>
  <si>
    <t>=I194</t>
  </si>
  <si>
    <t>=IF(NF(H199,"Entry no.")&lt;&gt;"",NF(H199,"Entry no."),0)</t>
  </si>
  <si>
    <t>="""Business Central"",""CRONUS JetCorp USA"",""25"",""1"",""483179"""</t>
  </si>
  <si>
    <t>=NF(H199,"7 Description")</t>
  </si>
  <si>
    <t>=NF(H199,"6 Document No.")</t>
  </si>
  <si>
    <t>=NF(H199,"37 Due Date")</t>
  </si>
  <si>
    <t>=NF(H199,"4 Posting Date")</t>
  </si>
  <si>
    <t>=NF(H199,"11 Currency code")</t>
  </si>
  <si>
    <t>=IF(NF($H199,"13 Amount")=Q199,0,NF($H199,"13 Amount"))</t>
  </si>
  <si>
    <t>=IF(NF($H199,"14 Remaining Amount")=R199,0,NF($H199,"14 Remaining Amount"))</t>
  </si>
  <si>
    <t>=NF(H199,"17 Amount (LCY)")</t>
  </si>
  <si>
    <t>=NF(H199,"16 Remaining Amt. (LCY)")</t>
  </si>
  <si>
    <t>=IF(H200="","Hide","Show")</t>
  </si>
  <si>
    <t>=D199</t>
  </si>
  <si>
    <t>=E199</t>
  </si>
  <si>
    <t>=NF(H200,"Vendor Ledger Entry No.")</t>
  </si>
  <si>
    <t>=NL("Rows","Detailed Vendor Ledg. Entry",,"Vendor Ledger Entry No.","@@"&amp;G199,"Entry Type","&lt;&gt;"&amp;"Initial Entry")</t>
  </si>
  <si>
    <t>=NF($H200,"5 Document Type")</t>
  </si>
  <si>
    <t>=NF($H200,"6 Document No.")</t>
  </si>
  <si>
    <t>=NF($H200,"4 Posting Date")</t>
  </si>
  <si>
    <t>=NF(H200,"10 Currency Code")</t>
  </si>
  <si>
    <t>=IF(NF($H200,"7 Amount")=Q200,0,NF($H200,"7 Amount"))</t>
  </si>
  <si>
    <t>=IF(NF($H200,"16 Debit Amount")=R200,0,NF($H200,"16 Debit Amount"))</t>
  </si>
  <si>
    <t>=NF(H200,"8 Amount (LCY)")</t>
  </si>
  <si>
    <t>=H202</t>
  </si>
  <si>
    <t>=I197</t>
  </si>
  <si>
    <t>=IF(NF(H202,"Entry no.")&lt;&gt;"",NF(H202,"Entry no."),0)</t>
  </si>
  <si>
    <t>="""Business Central"",""CRONUS JetCorp USA"",""25"",""1"",""483229"""</t>
  </si>
  <si>
    <t>=NF(H202,"7 Description")</t>
  </si>
  <si>
    <t>=NF(H202,"6 Document No.")</t>
  </si>
  <si>
    <t>=NF(H202,"37 Due Date")</t>
  </si>
  <si>
    <t>=NF(H202,"4 Posting Date")</t>
  </si>
  <si>
    <t>=NF(H202,"11 Currency code")</t>
  </si>
  <si>
    <t>=IF(NF($H202,"13 Amount")=Q202,0,NF($H202,"13 Amount"))</t>
  </si>
  <si>
    <t>=IF(NF($H202,"14 Remaining Amount")=R202,0,NF($H202,"14 Remaining Amount"))</t>
  </si>
  <si>
    <t>=NF(H202,"17 Amount (LCY)")</t>
  </si>
  <si>
    <t>=NF(H202,"16 Remaining Amt. (LCY)")</t>
  </si>
  <si>
    <t>=IF(H203="","Hide","Show")</t>
  </si>
  <si>
    <t>=D202</t>
  </si>
  <si>
    <t>=E202</t>
  </si>
  <si>
    <t>=NF(H203,"Vendor Ledger Entry No.")</t>
  </si>
  <si>
    <t>=NL("Rows","Detailed Vendor Ledg. Entry",,"Vendor Ledger Entry No.","@@"&amp;G202,"Entry Type","&lt;&gt;"&amp;"Initial Entry")</t>
  </si>
  <si>
    <t>=NF($H203,"5 Document Type")</t>
  </si>
  <si>
    <t>=NF($H203,"6 Document No.")</t>
  </si>
  <si>
    <t>=NF($H203,"4 Posting Date")</t>
  </si>
  <si>
    <t>=NF(H203,"10 Currency Code")</t>
  </si>
  <si>
    <t>=IF(NF($H203,"7 Amount")=Q203,0,NF($H203,"7 Amount"))</t>
  </si>
  <si>
    <t>=IF(NF($H203,"16 Debit Amount")=R203,0,NF($H203,"16 Debit Amount"))</t>
  </si>
  <si>
    <t>=NF(H203,"8 Amount (LCY)")</t>
  </si>
  <si>
    <t>="""Business Central"",""CRONUS JetCorp USA"",""25"",""1"",""483283"""</t>
  </si>
  <si>
    <t>="""Business Central"",""CRONUS JetCorp USA"",""25"",""1"",""483333"""</t>
  </si>
  <si>
    <t>="""Business Central"",""CRONUS JetCorp USA"",""25"",""1"",""483390"""</t>
  </si>
  <si>
    <t>="""Business Central"",""CRONUS JetCorp USA"",""25"",""1"",""484620"""</t>
  </si>
  <si>
    <t>=SUBTOTAL(9,R16:R226)</t>
  </si>
  <si>
    <t>=NF(H228,"No.")</t>
  </si>
  <si>
    <t>=H228</t>
  </si>
  <si>
    <t>=NF(H228,"Name")</t>
  </si>
  <si>
    <t>=NF(H228,"8 Contact")</t>
  </si>
  <si>
    <t>=H233</t>
  </si>
  <si>
    <t>=I228</t>
  </si>
  <si>
    <t>=IF(NF(H233,"Entry no.")&lt;&gt;"",NF(H233,"Entry no."),0)</t>
  </si>
  <si>
    <t>=NL("Rows=3","Vendor Ledger Entry",,"Vendor No.","@@"&amp;E233,"5 Document Type","Invoice","Posting Date",$J$6,"36 Open",$J$9)</t>
  </si>
  <si>
    <t>=NF(H233,"7 Description")</t>
  </si>
  <si>
    <t>=NF(H233,"6 Document No.")</t>
  </si>
  <si>
    <t>=NF(H233,"37 Due Date")</t>
  </si>
  <si>
    <t>=NF(H233,"4 Posting Date")</t>
  </si>
  <si>
    <t>=NF(H233,"11 Currency code")</t>
  </si>
  <si>
    <t>=IF(NF($H233,"13 Amount")=Q233,0,NF($H233,"13 Amount"))</t>
  </si>
  <si>
    <t>=IF(NF($H233,"14 Remaining Amount")=R233,0,NF($H233,"14 Remaining Amount"))</t>
  </si>
  <si>
    <t>=NF(H233,"17 Amount (LCY)")</t>
  </si>
  <si>
    <t>=NF(H233,"16 Remaining Amt. (LCY)")</t>
  </si>
  <si>
    <t>=IF(H234="","Hide","Show")</t>
  </si>
  <si>
    <t>=D233</t>
  </si>
  <si>
    <t>=E233</t>
  </si>
  <si>
    <t>=NF(H234,"Vendor Ledger Entry No.")</t>
  </si>
  <si>
    <t>=NL("Rows","Detailed Vendor Ledg. Entry",,"Vendor Ledger Entry No.","@@"&amp;G233,"Entry Type","&lt;&gt;"&amp;"Initial Entry")</t>
  </si>
  <si>
    <t>=NF($H234,"5 Document Type")</t>
  </si>
  <si>
    <t>=NF($H234,"6 Document No.")</t>
  </si>
  <si>
    <t>=NF($H234,"4 Posting Date")</t>
  </si>
  <si>
    <t>=NF(H234,"10 Currency Code")</t>
  </si>
  <si>
    <t>=IF(NF($H234,"7 Amount")=Q234,0,NF($H234,"7 Amount"))</t>
  </si>
  <si>
    <t>=IF(NF($H234,"16 Debit Amount")=R234,0,NF($H234,"16 Debit Amount"))</t>
  </si>
  <si>
    <t>=NF(H234,"8 Amount (LCY)")</t>
  </si>
  <si>
    <t>=CONCATENATE(I228," - ",I229,"      Remaining Amount  In Local Currency")</t>
  </si>
  <si>
    <t>=SUBTOTAL(9,R233:R236)</t>
  </si>
  <si>
    <t>=NF(H238,"No.")</t>
  </si>
  <si>
    <t>=H238</t>
  </si>
  <si>
    <t>=NF(H238,"Name")</t>
  </si>
  <si>
    <t>=NF(H238,"8 Contact")</t>
  </si>
  <si>
    <t>=H243</t>
  </si>
  <si>
    <t>=I238</t>
  </si>
  <si>
    <t>=IF(NF(H243,"Entry no.")&lt;&gt;"",NF(H243,"Entry no."),0)</t>
  </si>
  <si>
    <t>=NL("Rows=3","Vendor Ledger Entry",,"Vendor No.","@@"&amp;E243,"5 Document Type","Invoice","Posting Date",$J$6,"36 Open",$J$9)</t>
  </si>
  <si>
    <t>=NF(H243,"7 Description")</t>
  </si>
  <si>
    <t>=NF(H243,"6 Document No.")</t>
  </si>
  <si>
    <t>=NF(H243,"37 Due Date")</t>
  </si>
  <si>
    <t>=NF(H243,"4 Posting Date")</t>
  </si>
  <si>
    <t>=NF(H243,"11 Currency code")</t>
  </si>
  <si>
    <t>=IF(NF($H243,"13 Amount")=Q243,0,NF($H243,"13 Amount"))</t>
  </si>
  <si>
    <t>=IF(NF($H243,"14 Remaining Amount")=R243,0,NF($H243,"14 Remaining Amount"))</t>
  </si>
  <si>
    <t>=NF(H243,"17 Amount (LCY)")</t>
  </si>
  <si>
    <t>=NF(H243,"16 Remaining Amt. (LCY)")</t>
  </si>
  <si>
    <t>=IF(H244="","Hide","Show")</t>
  </si>
  <si>
    <t>=D243</t>
  </si>
  <si>
    <t>=E243</t>
  </si>
  <si>
    <t>=NF(H244,"Vendor Ledger Entry No.")</t>
  </si>
  <si>
    <t>=NL("Rows","Detailed Vendor Ledg. Entry",,"Vendor Ledger Entry No.","@@"&amp;G243,"Entry Type","&lt;&gt;"&amp;"Initial Entry")</t>
  </si>
  <si>
    <t>=NF($H244,"5 Document Type")</t>
  </si>
  <si>
    <t>=NF($H244,"6 Document No.")</t>
  </si>
  <si>
    <t>=NF($H244,"4 Posting Date")</t>
  </si>
  <si>
    <t>=NF(H244,"10 Currency Code")</t>
  </si>
  <si>
    <t>=IF(NF($H244,"7 Amount")=Q244,0,NF($H244,"7 Amount"))</t>
  </si>
  <si>
    <t>=IF(NF($H244,"16 Debit Amount")=R244,0,NF($H244,"16 Debit Amount"))</t>
  </si>
  <si>
    <t>=NF(H244,"8 Amount (LCY)")</t>
  </si>
  <si>
    <t>=H246</t>
  </si>
  <si>
    <t>=I241</t>
  </si>
  <si>
    <t>=IF(NF(H246,"Entry no.")&lt;&gt;"",NF(H246,"Entry no."),0)</t>
  </si>
  <si>
    <t>=NF(H246,"7 Description")</t>
  </si>
  <si>
    <t>=NF(H246,"6 Document No.")</t>
  </si>
  <si>
    <t>=NF(H246,"37 Due Date")</t>
  </si>
  <si>
    <t>=NF(H246,"4 Posting Date")</t>
  </si>
  <si>
    <t>=NF(H246,"11 Currency code")</t>
  </si>
  <si>
    <t>=IF(NF($H246,"13 Amount")=Q246,0,NF($H246,"13 Amount"))</t>
  </si>
  <si>
    <t>=IF(NF($H246,"14 Remaining Amount")=R246,0,NF($H246,"14 Remaining Amount"))</t>
  </si>
  <si>
    <t>=NF(H246,"17 Amount (LCY)")</t>
  </si>
  <si>
    <t>=NF(H246,"16 Remaining Amt. (LCY)")</t>
  </si>
  <si>
    <t>=IF(H247="","Hide","Show")</t>
  </si>
  <si>
    <t>=D246</t>
  </si>
  <si>
    <t>=E246</t>
  </si>
  <si>
    <t>=NF(H247,"Vendor Ledger Entry No.")</t>
  </si>
  <si>
    <t>=NL("Rows","Detailed Vendor Ledg. Entry",,"Vendor Ledger Entry No.","@@"&amp;G246,"Entry Type","&lt;&gt;"&amp;"Initial Entry")</t>
  </si>
  <si>
    <t>=NF($H247,"5 Document Type")</t>
  </si>
  <si>
    <t>=NF($H247,"6 Document No.")</t>
  </si>
  <si>
    <t>=NF($H247,"4 Posting Date")</t>
  </si>
  <si>
    <t>=NF(H247,"10 Currency Code")</t>
  </si>
  <si>
    <t>=IF(NF($H247,"7 Amount")=Q247,0,NF($H247,"7 Amount"))</t>
  </si>
  <si>
    <t>=IF(NF($H247,"16 Debit Amount")=R247,0,NF($H247,"16 Debit Amount"))</t>
  </si>
  <si>
    <t>=NF(H247,"8 Amount (LCY)")</t>
  </si>
  <si>
    <t>=H249</t>
  </si>
  <si>
    <t>=I244</t>
  </si>
  <si>
    <t>=IF(NF(H249,"Entry no.")&lt;&gt;"",NF(H249,"Entry no."),0)</t>
  </si>
  <si>
    <t>=NF(H249,"7 Description")</t>
  </si>
  <si>
    <t>=NF(H249,"6 Document No.")</t>
  </si>
  <si>
    <t>=NF(H249,"37 Due Date")</t>
  </si>
  <si>
    <t>=NF(H249,"4 Posting Date")</t>
  </si>
  <si>
    <t>=NF(H249,"11 Currency code")</t>
  </si>
  <si>
    <t>=IF(NF($H249,"13 Amount")=Q249,0,NF($H249,"13 Amount"))</t>
  </si>
  <si>
    <t>=IF(NF($H249,"14 Remaining Amount")=R249,0,NF($H249,"14 Remaining Amount"))</t>
  </si>
  <si>
    <t>=NF(H249,"17 Amount (LCY)")</t>
  </si>
  <si>
    <t>=NF(H249,"16 Remaining Amt. (LCY)")</t>
  </si>
  <si>
    <t>=IF(H250="","Hide","Show")</t>
  </si>
  <si>
    <t>=D249</t>
  </si>
  <si>
    <t>=E249</t>
  </si>
  <si>
    <t>=NF(H250,"Vendor Ledger Entry No.")</t>
  </si>
  <si>
    <t>=NL("Rows","Detailed Vendor Ledg. Entry",,"Vendor Ledger Entry No.","@@"&amp;G249,"Entry Type","&lt;&gt;"&amp;"Initial Entry")</t>
  </si>
  <si>
    <t>=NF($H250,"5 Document Type")</t>
  </si>
  <si>
    <t>=NF($H250,"6 Document No.")</t>
  </si>
  <si>
    <t>=NF($H250,"4 Posting Date")</t>
  </si>
  <si>
    <t>=NF(H250,"10 Currency Code")</t>
  </si>
  <si>
    <t>=IF(NF($H250,"7 Amount")=Q250,0,NF($H250,"7 Amount"))</t>
  </si>
  <si>
    <t>=IF(NF($H250,"16 Debit Amount")=R250,0,NF($H250,"16 Debit Amount"))</t>
  </si>
  <si>
    <t>=NF(H250,"8 Amount (LCY)")</t>
  </si>
  <si>
    <t>=H252</t>
  </si>
  <si>
    <t>=I247</t>
  </si>
  <si>
    <t>=IF(NF(H252,"Entry no.")&lt;&gt;"",NF(H252,"Entry no."),0)</t>
  </si>
  <si>
    <t>=NF(H252,"7 Description")</t>
  </si>
  <si>
    <t>=NF(H252,"6 Document No.")</t>
  </si>
  <si>
    <t>=NF(H252,"37 Due Date")</t>
  </si>
  <si>
    <t>=NF(H252,"4 Posting Date")</t>
  </si>
  <si>
    <t>=NF(H252,"11 Currency code")</t>
  </si>
  <si>
    <t>=IF(NF($H252,"13 Amount")=Q252,0,NF($H252,"13 Amount"))</t>
  </si>
  <si>
    <t>=IF(NF($H252,"14 Remaining Amount")=R252,0,NF($H252,"14 Remaining Amount"))</t>
  </si>
  <si>
    <t>=NF(H252,"17 Amount (LCY)")</t>
  </si>
  <si>
    <t>=NF(H252,"16 Remaining Amt. (LCY)")</t>
  </si>
  <si>
    <t>=IF(H253="","Hide","Show")</t>
  </si>
  <si>
    <t>=D252</t>
  </si>
  <si>
    <t>=E252</t>
  </si>
  <si>
    <t>=NF(H253,"Vendor Ledger Entry No.")</t>
  </si>
  <si>
    <t>=NL("Rows","Detailed Vendor Ledg. Entry",,"Vendor Ledger Entry No.","@@"&amp;G252,"Entry Type","&lt;&gt;"&amp;"Initial Entry")</t>
  </si>
  <si>
    <t>=NF($H253,"5 Document Type")</t>
  </si>
  <si>
    <t>=NF($H253,"6 Document No.")</t>
  </si>
  <si>
    <t>=NF($H253,"4 Posting Date")</t>
  </si>
  <si>
    <t>=NF(H253,"10 Currency Code")</t>
  </si>
  <si>
    <t>=IF(NF($H253,"7 Amount")=Q253,0,NF($H253,"7 Amount"))</t>
  </si>
  <si>
    <t>=IF(NF($H253,"16 Debit Amount")=R253,0,NF($H253,"16 Debit Amount"))</t>
  </si>
  <si>
    <t>=NF(H253,"8 Amount (LCY)")</t>
  </si>
  <si>
    <t>=H255</t>
  </si>
  <si>
    <t>=I250</t>
  </si>
  <si>
    <t>=IF(NF(H255,"Entry no.")&lt;&gt;"",NF(H255,"Entry no."),0)</t>
  </si>
  <si>
    <t>=NF(H255,"7 Description")</t>
  </si>
  <si>
    <t>=NF(H255,"6 Document No.")</t>
  </si>
  <si>
    <t>=NF(H255,"37 Due Date")</t>
  </si>
  <si>
    <t>=NF(H255,"4 Posting Date")</t>
  </si>
  <si>
    <t>=NF(H255,"11 Currency code")</t>
  </si>
  <si>
    <t>=IF(NF($H255,"13 Amount")=Q255,0,NF($H255,"13 Amount"))</t>
  </si>
  <si>
    <t>=IF(NF($H255,"14 Remaining Amount")=R255,0,NF($H255,"14 Remaining Amount"))</t>
  </si>
  <si>
    <t>=NF(H255,"17 Amount (LCY)")</t>
  </si>
  <si>
    <t>=NF(H255,"16 Remaining Amt. (LCY)")</t>
  </si>
  <si>
    <t>=IF(H256="","Hide","Show")</t>
  </si>
  <si>
    <t>=D255</t>
  </si>
  <si>
    <t>=E255</t>
  </si>
  <si>
    <t>=NF(H256,"Vendor Ledger Entry No.")</t>
  </si>
  <si>
    <t>=NL("Rows","Detailed Vendor Ledg. Entry",,"Vendor Ledger Entry No.","@@"&amp;G255,"Entry Type","&lt;&gt;"&amp;"Initial Entry")</t>
  </si>
  <si>
    <t>=NF($H256,"5 Document Type")</t>
  </si>
  <si>
    <t>=NF($H256,"6 Document No.")</t>
  </si>
  <si>
    <t>=NF($H256,"4 Posting Date")</t>
  </si>
  <si>
    <t>=NF(H256,"10 Currency Code")</t>
  </si>
  <si>
    <t>=IF(NF($H256,"7 Amount")=Q256,0,NF($H256,"7 Amount"))</t>
  </si>
  <si>
    <t>=IF(NF($H256,"16 Debit Amount")=R256,0,NF($H256,"16 Debit Amount"))</t>
  </si>
  <si>
    <t>=NF(H256,"8 Amount (LCY)")</t>
  </si>
  <si>
    <t>=H258</t>
  </si>
  <si>
    <t>=I253</t>
  </si>
  <si>
    <t>=IF(NF(H258,"Entry no.")&lt;&gt;"",NF(H258,"Entry no."),0)</t>
  </si>
  <si>
    <t>=NF(H258,"7 Description")</t>
  </si>
  <si>
    <t>=NF(H258,"6 Document No.")</t>
  </si>
  <si>
    <t>=NF(H258,"37 Due Date")</t>
  </si>
  <si>
    <t>=NF(H258,"4 Posting Date")</t>
  </si>
  <si>
    <t>=NF(H258,"11 Currency code")</t>
  </si>
  <si>
    <t>=IF(NF($H258,"13 Amount")=Q258,0,NF($H258,"13 Amount"))</t>
  </si>
  <si>
    <t>=IF(NF($H258,"14 Remaining Amount")=R258,0,NF($H258,"14 Remaining Amount"))</t>
  </si>
  <si>
    <t>=NF(H258,"17 Amount (LCY)")</t>
  </si>
  <si>
    <t>=NF(H258,"16 Remaining Amt. (LCY)")</t>
  </si>
  <si>
    <t>=IF(H259="","Hide","Show")</t>
  </si>
  <si>
    <t>=D258</t>
  </si>
  <si>
    <t>=E258</t>
  </si>
  <si>
    <t>=NF(H259,"Vendor Ledger Entry No.")</t>
  </si>
  <si>
    <t>=NL("Rows","Detailed Vendor Ledg. Entry",,"Vendor Ledger Entry No.","@@"&amp;G258,"Entry Type","&lt;&gt;"&amp;"Initial Entry")</t>
  </si>
  <si>
    <t>=NF($H259,"5 Document Type")</t>
  </si>
  <si>
    <t>=NF($H259,"6 Document No.")</t>
  </si>
  <si>
    <t>=NF($H259,"4 Posting Date")</t>
  </si>
  <si>
    <t>=NF(H259,"10 Currency Code")</t>
  </si>
  <si>
    <t>=IF(NF($H259,"7 Amount")=Q259,0,NF($H259,"7 Amount"))</t>
  </si>
  <si>
    <t>=IF(NF($H259,"16 Debit Amount")=R259,0,NF($H259,"16 Debit Amount"))</t>
  </si>
  <si>
    <t>=NF(H259,"8 Amount (LCY)")</t>
  </si>
  <si>
    <t>=H261</t>
  </si>
  <si>
    <t>=I256</t>
  </si>
  <si>
    <t>=IF(NF(H261,"Entry no.")&lt;&gt;"",NF(H261,"Entry no."),0)</t>
  </si>
  <si>
    <t>=NF(H261,"7 Description")</t>
  </si>
  <si>
    <t>=NF(H261,"6 Document No.")</t>
  </si>
  <si>
    <t>=NF(H261,"37 Due Date")</t>
  </si>
  <si>
    <t>=NF(H261,"4 Posting Date")</t>
  </si>
  <si>
    <t>=NF(H261,"11 Currency code")</t>
  </si>
  <si>
    <t>=IF(NF($H261,"13 Amount")=Q261,0,NF($H261,"13 Amount"))</t>
  </si>
  <si>
    <t>=IF(NF($H261,"14 Remaining Amount")=R261,0,NF($H261,"14 Remaining Amount"))</t>
  </si>
  <si>
    <t>=NF(H261,"17 Amount (LCY)")</t>
  </si>
  <si>
    <t>=NF(H261,"16 Remaining Amt. (LCY)")</t>
  </si>
  <si>
    <t>=IF(H262="","Hide","Show")</t>
  </si>
  <si>
    <t>=D261</t>
  </si>
  <si>
    <t>=E261</t>
  </si>
  <si>
    <t>=NF(H262,"Vendor Ledger Entry No.")</t>
  </si>
  <si>
    <t>=NL("Rows","Detailed Vendor Ledg. Entry",,"Vendor Ledger Entry No.","@@"&amp;G261,"Entry Type","&lt;&gt;"&amp;"Initial Entry")</t>
  </si>
  <si>
    <t>=NF($H262,"5 Document Type")</t>
  </si>
  <si>
    <t>=NF($H262,"6 Document No.")</t>
  </si>
  <si>
    <t>=NF($H262,"4 Posting Date")</t>
  </si>
  <si>
    <t>=NF(H262,"10 Currency Code")</t>
  </si>
  <si>
    <t>=IF(NF($H262,"7 Amount")=Q262,0,NF($H262,"7 Amount"))</t>
  </si>
  <si>
    <t>=IF(NF($H262,"16 Debit Amount")=R262,0,NF($H262,"16 Debit Amount"))</t>
  </si>
  <si>
    <t>=NF(H262,"8 Amount (LCY)")</t>
  </si>
  <si>
    <t>=H264</t>
  </si>
  <si>
    <t>=I259</t>
  </si>
  <si>
    <t>=IF(NF(H264,"Entry no.")&lt;&gt;"",NF(H264,"Entry no."),0)</t>
  </si>
  <si>
    <t>=NF(H264,"7 Description")</t>
  </si>
  <si>
    <t>=NF(H264,"6 Document No.")</t>
  </si>
  <si>
    <t>=NF(H264,"37 Due Date")</t>
  </si>
  <si>
    <t>=NF(H264,"4 Posting Date")</t>
  </si>
  <si>
    <t>=NF(H264,"11 Currency code")</t>
  </si>
  <si>
    <t>=IF(NF($H264,"13 Amount")=Q264,0,NF($H264,"13 Amount"))</t>
  </si>
  <si>
    <t>=IF(NF($H264,"14 Remaining Amount")=R264,0,NF($H264,"14 Remaining Amount"))</t>
  </si>
  <si>
    <t>=NF(H264,"17 Amount (LCY)")</t>
  </si>
  <si>
    <t>=NF(H264,"16 Remaining Amt. (LCY)")</t>
  </si>
  <si>
    <t>=IF(H265="","Hide","Show")</t>
  </si>
  <si>
    <t>=D264</t>
  </si>
  <si>
    <t>=E264</t>
  </si>
  <si>
    <t>=NF(H265,"Vendor Ledger Entry No.")</t>
  </si>
  <si>
    <t>=NL("Rows","Detailed Vendor Ledg. Entry",,"Vendor Ledger Entry No.","@@"&amp;G264,"Entry Type","&lt;&gt;"&amp;"Initial Entry")</t>
  </si>
  <si>
    <t>=NF($H265,"5 Document Type")</t>
  </si>
  <si>
    <t>=NF($H265,"6 Document No.")</t>
  </si>
  <si>
    <t>=NF($H265,"4 Posting Date")</t>
  </si>
  <si>
    <t>=NF(H265,"10 Currency Code")</t>
  </si>
  <si>
    <t>=IF(NF($H265,"7 Amount")=Q265,0,NF($H265,"7 Amount"))</t>
  </si>
  <si>
    <t>=IF(NF($H265,"16 Debit Amount")=R265,0,NF($H265,"16 Debit Amount"))</t>
  </si>
  <si>
    <t>=NF(H265,"8 Amount (LCY)")</t>
  </si>
  <si>
    <t>=H267</t>
  </si>
  <si>
    <t>=I262</t>
  </si>
  <si>
    <t>=IF(NF(H267,"Entry no.")&lt;&gt;"",NF(H267,"Entry no."),0)</t>
  </si>
  <si>
    <t>=NF(H267,"7 Description")</t>
  </si>
  <si>
    <t>=NF(H267,"6 Document No.")</t>
  </si>
  <si>
    <t>=NF(H267,"37 Due Date")</t>
  </si>
  <si>
    <t>=NF(H267,"4 Posting Date")</t>
  </si>
  <si>
    <t>=NF(H267,"11 Currency code")</t>
  </si>
  <si>
    <t>=IF(NF($H267,"13 Amount")=Q267,0,NF($H267,"13 Amount"))</t>
  </si>
  <si>
    <t>=IF(NF($H267,"14 Remaining Amount")=R267,0,NF($H267,"14 Remaining Amount"))</t>
  </si>
  <si>
    <t>=NF(H267,"17 Amount (LCY)")</t>
  </si>
  <si>
    <t>=NF(H267,"16 Remaining Amt. (LCY)")</t>
  </si>
  <si>
    <t>=IF(H268="","Hide","Show")</t>
  </si>
  <si>
    <t>=D267</t>
  </si>
  <si>
    <t>=E267</t>
  </si>
  <si>
    <t>=NF(H268,"Vendor Ledger Entry No.")</t>
  </si>
  <si>
    <t>=NL("Rows","Detailed Vendor Ledg. Entry",,"Vendor Ledger Entry No.","@@"&amp;G267,"Entry Type","&lt;&gt;"&amp;"Initial Entry")</t>
  </si>
  <si>
    <t>=NF($H268,"5 Document Type")</t>
  </si>
  <si>
    <t>=NF($H268,"6 Document No.")</t>
  </si>
  <si>
    <t>=NF($H268,"4 Posting Date")</t>
  </si>
  <si>
    <t>=NF(H268,"10 Currency Code")</t>
  </si>
  <si>
    <t>=IF(NF($H268,"7 Amount")=Q268,0,NF($H268,"7 Amount"))</t>
  </si>
  <si>
    <t>=IF(NF($H268,"16 Debit Amount")=R268,0,NF($H268,"16 Debit Amount"))</t>
  </si>
  <si>
    <t>=NF(H268,"8 Amount (LCY)")</t>
  </si>
  <si>
    <t>=H270</t>
  </si>
  <si>
    <t>=I265</t>
  </si>
  <si>
    <t>=IF(NF(H270,"Entry no.")&lt;&gt;"",NF(H270,"Entry no."),0)</t>
  </si>
  <si>
    <t>=NF(H270,"7 Description")</t>
  </si>
  <si>
    <t>=NF(H270,"6 Document No.")</t>
  </si>
  <si>
    <t>=NF(H270,"37 Due Date")</t>
  </si>
  <si>
    <t>=NF(H270,"4 Posting Date")</t>
  </si>
  <si>
    <t>=NF(H270,"11 Currency code")</t>
  </si>
  <si>
    <t>=IF(NF($H270,"13 Amount")=Q270,0,NF($H270,"13 Amount"))</t>
  </si>
  <si>
    <t>=IF(NF($H270,"14 Remaining Amount")=R270,0,NF($H270,"14 Remaining Amount"))</t>
  </si>
  <si>
    <t>=NF(H270,"17 Amount (LCY)")</t>
  </si>
  <si>
    <t>=NF(H270,"16 Remaining Amt. (LCY)")</t>
  </si>
  <si>
    <t>=IF(H271="","Hide","Show")</t>
  </si>
  <si>
    <t>=D270</t>
  </si>
  <si>
    <t>=E270</t>
  </si>
  <si>
    <t>=NF(H271,"Vendor Ledger Entry No.")</t>
  </si>
  <si>
    <t>=NL("Rows","Detailed Vendor Ledg. Entry",,"Vendor Ledger Entry No.","@@"&amp;G270,"Entry Type","&lt;&gt;"&amp;"Initial Entry")</t>
  </si>
  <si>
    <t>=NF($H271,"5 Document Type")</t>
  </si>
  <si>
    <t>=NF($H271,"6 Document No.")</t>
  </si>
  <si>
    <t>=NF($H271,"4 Posting Date")</t>
  </si>
  <si>
    <t>=NF(H271,"10 Currency Code")</t>
  </si>
  <si>
    <t>=IF(NF($H271,"7 Amount")=Q271,0,NF($H271,"7 Amount"))</t>
  </si>
  <si>
    <t>=IF(NF($H271,"16 Debit Amount")=R271,0,NF($H271,"16 Debit Amount"))</t>
  </si>
  <si>
    <t>=NF(H271,"8 Amount (LCY)")</t>
  </si>
  <si>
    <t>="""Business Central"",""CRONUS JetCorp USA"",""25"",""1"",""452349"""</t>
  </si>
  <si>
    <t>="""Business Central"",""CRONUS JetCorp USA"",""25"",""1"",""452355"""</t>
  </si>
  <si>
    <t>="""Business Central"",""CRONUS JetCorp USA"",""25"",""1"",""457942"""</t>
  </si>
  <si>
    <t>="""Business Central"",""CRONUS JetCorp USA"",""25"",""1"",""457945"""</t>
  </si>
  <si>
    <t>=H285</t>
  </si>
  <si>
    <t>=I280</t>
  </si>
  <si>
    <t>=IF(NF(H285,"Entry no.")&lt;&gt;"",NF(H285,"Entry no."),0)</t>
  </si>
  <si>
    <t>="""Business Central"",""CRONUS JetCorp USA"",""25"",""1"",""457971"""</t>
  </si>
  <si>
    <t>=NF(H285,"7 Description")</t>
  </si>
  <si>
    <t>=NF(H285,"6 Document No.")</t>
  </si>
  <si>
    <t>=NF(H285,"37 Due Date")</t>
  </si>
  <si>
    <t>=NF(H285,"4 Posting Date")</t>
  </si>
  <si>
    <t>=NF(H285,"11 Currency code")</t>
  </si>
  <si>
    <t>=IF(NF($H285,"13 Amount")=Q285,0,NF($H285,"13 Amount"))</t>
  </si>
  <si>
    <t>=IF(NF($H285,"14 Remaining Amount")=R285,0,NF($H285,"14 Remaining Amount"))</t>
  </si>
  <si>
    <t>=NF(H285,"17 Amount (LCY)")</t>
  </si>
  <si>
    <t>=NF(H285,"16 Remaining Amt. (LCY)")</t>
  </si>
  <si>
    <t>=IF(H286="","Hide","Show")</t>
  </si>
  <si>
    <t>=D285</t>
  </si>
  <si>
    <t>=E285</t>
  </si>
  <si>
    <t>=NF(H286,"Vendor Ledger Entry No.")</t>
  </si>
  <si>
    <t>=NL("Rows","Detailed Vendor Ledg. Entry",,"Vendor Ledger Entry No.","@@"&amp;G285,"Entry Type","&lt;&gt;"&amp;"Initial Entry")</t>
  </si>
  <si>
    <t>=NF($H286,"5 Document Type")</t>
  </si>
  <si>
    <t>=NF($H286,"6 Document No.")</t>
  </si>
  <si>
    <t>=NF($H286,"4 Posting Date")</t>
  </si>
  <si>
    <t>=NF(H286,"10 Currency Code")</t>
  </si>
  <si>
    <t>=IF(NF($H286,"7 Amount")=Q286,0,NF($H286,"7 Amount"))</t>
  </si>
  <si>
    <t>=IF(NF($H286,"16 Debit Amount")=R286,0,NF($H286,"16 Debit Amount"))</t>
  </si>
  <si>
    <t>=NF(H286,"8 Amount (LCY)")</t>
  </si>
  <si>
    <t>=I283</t>
  </si>
  <si>
    <t>=IF(NF(H288,"Entry no.")&lt;&gt;"",NF(H288,"Entry no."),0)</t>
  </si>
  <si>
    <t>="""Business Central"",""CRONUS JetCorp USA"",""25"",""1"",""458007"""</t>
  </si>
  <si>
    <t>=NF(H288,"7 Description")</t>
  </si>
  <si>
    <t>=NF(H288,"6 Document No.")</t>
  </si>
  <si>
    <t>=NF(H288,"37 Due Date")</t>
  </si>
  <si>
    <t>=NF(H288,"4 Posting Date")</t>
  </si>
  <si>
    <t>=NF(H288,"11 Currency code")</t>
  </si>
  <si>
    <t>=IF(NF($H288,"13 Amount")=Q288,0,NF($H288,"13 Amount"))</t>
  </si>
  <si>
    <t>=IF(NF($H288,"14 Remaining Amount")=R288,0,NF($H288,"14 Remaining Amount"))</t>
  </si>
  <si>
    <t>=NF(H288,"17 Amount (LCY)")</t>
  </si>
  <si>
    <t>=NF(H288,"16 Remaining Amt. (LCY)")</t>
  </si>
  <si>
    <t>=IF(H289="","Hide","Show")</t>
  </si>
  <si>
    <t>=D288</t>
  </si>
  <si>
    <t>=E288</t>
  </si>
  <si>
    <t>=NF(H289,"Vendor Ledger Entry No.")</t>
  </si>
  <si>
    <t>=NL("Rows","Detailed Vendor Ledg. Entry",,"Vendor Ledger Entry No.","@@"&amp;G288,"Entry Type","&lt;&gt;"&amp;"Initial Entry")</t>
  </si>
  <si>
    <t>=NF($H289,"5 Document Type")</t>
  </si>
  <si>
    <t>=NF($H289,"6 Document No.")</t>
  </si>
  <si>
    <t>=NF($H289,"4 Posting Date")</t>
  </si>
  <si>
    <t>=NF(H289,"10 Currency Code")</t>
  </si>
  <si>
    <t>=IF(NF($H289,"7 Amount")=Q289,0,NF($H289,"7 Amount"))</t>
  </si>
  <si>
    <t>=IF(NF($H289,"16 Debit Amount")=R289,0,NF($H289,"16 Debit Amount"))</t>
  </si>
  <si>
    <t>=NF(H289,"8 Amount (LCY)")</t>
  </si>
  <si>
    <t>=H291</t>
  </si>
  <si>
    <t>=I286</t>
  </si>
  <si>
    <t>=IF(NF(H291,"Entry no.")&lt;&gt;"",NF(H291,"Entry no."),0)</t>
  </si>
  <si>
    <t>="""Business Central"",""CRONUS JetCorp USA"",""25"",""1"",""464349"""</t>
  </si>
  <si>
    <t>=NF(H291,"7 Description")</t>
  </si>
  <si>
    <t>=NF(H291,"6 Document No.")</t>
  </si>
  <si>
    <t>=NF(H291,"37 Due Date")</t>
  </si>
  <si>
    <t>=NF(H291,"4 Posting Date")</t>
  </si>
  <si>
    <t>=NF(H291,"11 Currency code")</t>
  </si>
  <si>
    <t>=IF(NF($H291,"13 Amount")=Q291,0,NF($H291,"13 Amount"))</t>
  </si>
  <si>
    <t>=IF(NF($H291,"14 Remaining Amount")=R291,0,NF($H291,"14 Remaining Amount"))</t>
  </si>
  <si>
    <t>=NF(H291,"17 Amount (LCY)")</t>
  </si>
  <si>
    <t>=NF(H291,"16 Remaining Amt. (LCY)")</t>
  </si>
  <si>
    <t>=IF(H292="","Hide","Show")</t>
  </si>
  <si>
    <t>=D291</t>
  </si>
  <si>
    <t>=E291</t>
  </si>
  <si>
    <t>=NF(H292,"Vendor Ledger Entry No.")</t>
  </si>
  <si>
    <t>=NL("Rows","Detailed Vendor Ledg. Entry",,"Vendor Ledger Entry No.","@@"&amp;G291,"Entry Type","&lt;&gt;"&amp;"Initial Entry")</t>
  </si>
  <si>
    <t>=NF($H292,"5 Document Type")</t>
  </si>
  <si>
    <t>=NF($H292,"6 Document No.")</t>
  </si>
  <si>
    <t>=NF($H292,"4 Posting Date")</t>
  </si>
  <si>
    <t>=NF(H292,"10 Currency Code")</t>
  </si>
  <si>
    <t>=IF(NF($H292,"7 Amount")=Q292,0,NF($H292,"7 Amount"))</t>
  </si>
  <si>
    <t>=IF(NF($H292,"16 Debit Amount")=R292,0,NF($H292,"16 Debit Amount"))</t>
  </si>
  <si>
    <t>=NF(H292,"8 Amount (LCY)")</t>
  </si>
  <si>
    <t>=H294</t>
  </si>
  <si>
    <t>=I289</t>
  </si>
  <si>
    <t>=IF(NF(H294,"Entry no.")&lt;&gt;"",NF(H294,"Entry no."),0)</t>
  </si>
  <si>
    <t>="""Business Central"",""CRONUS JetCorp USA"",""25"",""1"",""464415"""</t>
  </si>
  <si>
    <t>=NF(H294,"7 Description")</t>
  </si>
  <si>
    <t>=NF(H294,"6 Document No.")</t>
  </si>
  <si>
    <t>=NF(H294,"37 Due Date")</t>
  </si>
  <si>
    <t>=NF(H294,"4 Posting Date")</t>
  </si>
  <si>
    <t>=NF(H294,"11 Currency code")</t>
  </si>
  <si>
    <t>=IF(NF($H294,"13 Amount")=Q294,0,NF($H294,"13 Amount"))</t>
  </si>
  <si>
    <t>=IF(NF($H294,"14 Remaining Amount")=R294,0,NF($H294,"14 Remaining Amount"))</t>
  </si>
  <si>
    <t>=NF(H294,"17 Amount (LCY)")</t>
  </si>
  <si>
    <t>=NF(H294,"16 Remaining Amt. (LCY)")</t>
  </si>
  <si>
    <t>=IF(H295="","Hide","Show")</t>
  </si>
  <si>
    <t>=D294</t>
  </si>
  <si>
    <t>=E294</t>
  </si>
  <si>
    <t>=NF(H295,"Vendor Ledger Entry No.")</t>
  </si>
  <si>
    <t>=NL("Rows","Detailed Vendor Ledg. Entry",,"Vendor Ledger Entry No.","@@"&amp;G294,"Entry Type","&lt;&gt;"&amp;"Initial Entry")</t>
  </si>
  <si>
    <t>=NF($H295,"5 Document Type")</t>
  </si>
  <si>
    <t>=NF($H295,"6 Document No.")</t>
  </si>
  <si>
    <t>=NF($H295,"4 Posting Date")</t>
  </si>
  <si>
    <t>=NF(H295,"10 Currency Code")</t>
  </si>
  <si>
    <t>=IF(NF($H295,"7 Amount")=Q295,0,NF($H295,"7 Amount"))</t>
  </si>
  <si>
    <t>=IF(NF($H295,"16 Debit Amount")=R295,0,NF($H295,"16 Debit Amount"))</t>
  </si>
  <si>
    <t>=NF(H295,"8 Amount (LCY)")</t>
  </si>
  <si>
    <t>=I292</t>
  </si>
  <si>
    <t>=IF(NF(H297,"Entry no.")&lt;&gt;"",NF(H297,"Entry no."),0)</t>
  </si>
  <si>
    <t>="""Business Central"",""CRONUS JetCorp USA"",""25"",""1"",""471338"""</t>
  </si>
  <si>
    <t>=NF(H297,"7 Description")</t>
  </si>
  <si>
    <t>=NF(H297,"6 Document No.")</t>
  </si>
  <si>
    <t>=NF(H297,"37 Due Date")</t>
  </si>
  <si>
    <t>=NF(H297,"4 Posting Date")</t>
  </si>
  <si>
    <t>=NF(H297,"11 Currency code")</t>
  </si>
  <si>
    <t>=IF(NF($H297,"13 Amount")=Q297,0,NF($H297,"13 Amount"))</t>
  </si>
  <si>
    <t>=IF(NF($H297,"14 Remaining Amount")=R297,0,NF($H297,"14 Remaining Amount"))</t>
  </si>
  <si>
    <t>=NF(H297,"17 Amount (LCY)")</t>
  </si>
  <si>
    <t>=NF(H297,"16 Remaining Amt. (LCY)")</t>
  </si>
  <si>
    <t>=IF(H298="","Hide","Show")</t>
  </si>
  <si>
    <t>=D297</t>
  </si>
  <si>
    <t>=E297</t>
  </si>
  <si>
    <t>=NF(H298,"Vendor Ledger Entry No.")</t>
  </si>
  <si>
    <t>=NL("Rows","Detailed Vendor Ledg. Entry",,"Vendor Ledger Entry No.","@@"&amp;G297,"Entry Type","&lt;&gt;"&amp;"Initial Entry")</t>
  </si>
  <si>
    <t>=NF($H298,"5 Document Type")</t>
  </si>
  <si>
    <t>=NF($H298,"6 Document No.")</t>
  </si>
  <si>
    <t>=NF($H298,"4 Posting Date")</t>
  </si>
  <si>
    <t>=NF(H298,"10 Currency Code")</t>
  </si>
  <si>
    <t>=IF(NF($H298,"7 Amount")=Q298,0,NF($H298,"7 Amount"))</t>
  </si>
  <si>
    <t>=IF(NF($H298,"16 Debit Amount")=R298,0,NF($H298,"16 Debit Amount"))</t>
  </si>
  <si>
    <t>=NF(H298,"8 Amount (LCY)")</t>
  </si>
  <si>
    <t>=H300</t>
  </si>
  <si>
    <t>=I295</t>
  </si>
  <si>
    <t>=IF(NF(H300,"Entry no.")&lt;&gt;"",NF(H300,"Entry no."),0)</t>
  </si>
  <si>
    <t>="""Business Central"",""CRONUS JetCorp USA"",""25"",""1"",""471408"""</t>
  </si>
  <si>
    <t>=NF(H300,"7 Description")</t>
  </si>
  <si>
    <t>=NF(H300,"6 Document No.")</t>
  </si>
  <si>
    <t>=NF(H300,"37 Due Date")</t>
  </si>
  <si>
    <t>=NF(H300,"4 Posting Date")</t>
  </si>
  <si>
    <t>=NF(H300,"11 Currency code")</t>
  </si>
  <si>
    <t>=IF(NF($H300,"13 Amount")=Q300,0,NF($H300,"13 Amount"))</t>
  </si>
  <si>
    <t>=IF(NF($H300,"14 Remaining Amount")=R300,0,NF($H300,"14 Remaining Amount"))</t>
  </si>
  <si>
    <t>=NF(H300,"17 Amount (LCY)")</t>
  </si>
  <si>
    <t>=NF(H300,"16 Remaining Amt. (LCY)")</t>
  </si>
  <si>
    <t>=IF(H301="","Hide","Show")</t>
  </si>
  <si>
    <t>=D300</t>
  </si>
  <si>
    <t>=E300</t>
  </si>
  <si>
    <t>=NF(H301,"Vendor Ledger Entry No.")</t>
  </si>
  <si>
    <t>=NL("Rows","Detailed Vendor Ledg. Entry",,"Vendor Ledger Entry No.","@@"&amp;G300,"Entry Type","&lt;&gt;"&amp;"Initial Entry")</t>
  </si>
  <si>
    <t>=NF($H301,"5 Document Type")</t>
  </si>
  <si>
    <t>=NF($H301,"6 Document No.")</t>
  </si>
  <si>
    <t>=NF($H301,"4 Posting Date")</t>
  </si>
  <si>
    <t>=NF(H301,"10 Currency Code")</t>
  </si>
  <si>
    <t>=IF(NF($H301,"7 Amount")=Q301,0,NF($H301,"7 Amount"))</t>
  </si>
  <si>
    <t>=IF(NF($H301,"16 Debit Amount")=R301,0,NF($H301,"16 Debit Amount"))</t>
  </si>
  <si>
    <t>=NF(H301,"8 Amount (LCY)")</t>
  </si>
  <si>
    <t>=H303</t>
  </si>
  <si>
    <t>=I298</t>
  </si>
  <si>
    <t>=IF(NF(H303,"Entry no.")&lt;&gt;"",NF(H303,"Entry no."),0)</t>
  </si>
  <si>
    <t>="""Business Central"",""CRONUS JetCorp USA"",""25"",""1"",""471470"""</t>
  </si>
  <si>
    <t>=NF(H303,"7 Description")</t>
  </si>
  <si>
    <t>=NF(H303,"6 Document No.")</t>
  </si>
  <si>
    <t>=NF(H303,"37 Due Date")</t>
  </si>
  <si>
    <t>=NF(H303,"4 Posting Date")</t>
  </si>
  <si>
    <t>=NF(H303,"11 Currency code")</t>
  </si>
  <si>
    <t>=IF(NF($H303,"13 Amount")=Q303,0,NF($H303,"13 Amount"))</t>
  </si>
  <si>
    <t>=IF(NF($H303,"14 Remaining Amount")=R303,0,NF($H303,"14 Remaining Amount"))</t>
  </si>
  <si>
    <t>=NF(H303,"17 Amount (LCY)")</t>
  </si>
  <si>
    <t>=NF(H303,"16 Remaining Amt. (LCY)")</t>
  </si>
  <si>
    <t>=IF(H304="","Hide","Show")</t>
  </si>
  <si>
    <t>=D303</t>
  </si>
  <si>
    <t>=E303</t>
  </si>
  <si>
    <t>=NF(H304,"Vendor Ledger Entry No.")</t>
  </si>
  <si>
    <t>=NL("Rows","Detailed Vendor Ledg. Entry",,"Vendor Ledger Entry No.","@@"&amp;G303,"Entry Type","&lt;&gt;"&amp;"Initial Entry")</t>
  </si>
  <si>
    <t>=NF($H304,"5 Document Type")</t>
  </si>
  <si>
    <t>=NF($H304,"6 Document No.")</t>
  </si>
  <si>
    <t>=NF($H304,"4 Posting Date")</t>
  </si>
  <si>
    <t>=NF(H304,"10 Currency Code")</t>
  </si>
  <si>
    <t>=IF(NF($H304,"7 Amount")=Q304,0,NF($H304,"7 Amount"))</t>
  </si>
  <si>
    <t>=IF(NF($H304,"16 Debit Amount")=R304,0,NF($H304,"16 Debit Amount"))</t>
  </si>
  <si>
    <t>=NF(H304,"8 Amount (LCY)")</t>
  </si>
  <si>
    <t>=H306</t>
  </si>
  <si>
    <t>=I301</t>
  </si>
  <si>
    <t>=IF(NF(H306,"Entry no.")&lt;&gt;"",NF(H306,"Entry no."),0)</t>
  </si>
  <si>
    <t>="""Business Central"",""CRONUS JetCorp USA"",""25"",""1"",""471526"""</t>
  </si>
  <si>
    <t>=NF(H306,"7 Description")</t>
  </si>
  <si>
    <t>=NF(H306,"6 Document No.")</t>
  </si>
  <si>
    <t>=NF(H306,"37 Due Date")</t>
  </si>
  <si>
    <t>=NF(H306,"4 Posting Date")</t>
  </si>
  <si>
    <t>=NF(H306,"11 Currency code")</t>
  </si>
  <si>
    <t>=IF(NF($H306,"13 Amount")=Q306,0,NF($H306,"13 Amount"))</t>
  </si>
  <si>
    <t>=IF(NF($H306,"14 Remaining Amount")=R306,0,NF($H306,"14 Remaining Amount"))</t>
  </si>
  <si>
    <t>=NF(H306,"17 Amount (LCY)")</t>
  </si>
  <si>
    <t>=NF(H306,"16 Remaining Amt. (LCY)")</t>
  </si>
  <si>
    <t>=IF(H307="","Hide","Show")</t>
  </si>
  <si>
    <t>=D306</t>
  </si>
  <si>
    <t>=E306</t>
  </si>
  <si>
    <t>=NF(H307,"Vendor Ledger Entry No.")</t>
  </si>
  <si>
    <t>=NL("Rows","Detailed Vendor Ledg. Entry",,"Vendor Ledger Entry No.","@@"&amp;G306,"Entry Type","&lt;&gt;"&amp;"Initial Entry")</t>
  </si>
  <si>
    <t>=NF($H307,"5 Document Type")</t>
  </si>
  <si>
    <t>=NF($H307,"6 Document No.")</t>
  </si>
  <si>
    <t>=NF($H307,"4 Posting Date")</t>
  </si>
  <si>
    <t>=NF(H307,"10 Currency Code")</t>
  </si>
  <si>
    <t>=IF(NF($H307,"7 Amount")=Q307,0,NF($H307,"7 Amount"))</t>
  </si>
  <si>
    <t>=IF(NF($H307,"16 Debit Amount")=R307,0,NF($H307,"16 Debit Amount"))</t>
  </si>
  <si>
    <t>=NF(H307,"8 Amount (LCY)")</t>
  </si>
  <si>
    <t>=H309</t>
  </si>
  <si>
    <t>=I304</t>
  </si>
  <si>
    <t>=IF(NF(H309,"Entry no.")&lt;&gt;"",NF(H309,"Entry no."),0)</t>
  </si>
  <si>
    <t>="""Business Central"",""CRONUS JetCorp USA"",""25"",""1"",""471591"""</t>
  </si>
  <si>
    <t>=NF(H309,"7 Description")</t>
  </si>
  <si>
    <t>=NF(H309,"6 Document No.")</t>
  </si>
  <si>
    <t>=NF(H309,"37 Due Date")</t>
  </si>
  <si>
    <t>=NF(H309,"4 Posting Date")</t>
  </si>
  <si>
    <t>=NF(H309,"11 Currency code")</t>
  </si>
  <si>
    <t>=IF(NF($H309,"13 Amount")=Q309,0,NF($H309,"13 Amount"))</t>
  </si>
  <si>
    <t>=IF(NF($H309,"14 Remaining Amount")=R309,0,NF($H309,"14 Remaining Amount"))</t>
  </si>
  <si>
    <t>=NF(H309,"17 Amount (LCY)")</t>
  </si>
  <si>
    <t>=NF(H309,"16 Remaining Amt. (LCY)")</t>
  </si>
  <si>
    <t>=IF(H310="","Hide","Show")</t>
  </si>
  <si>
    <t>=D309</t>
  </si>
  <si>
    <t>=E309</t>
  </si>
  <si>
    <t>=NF(H310,"Vendor Ledger Entry No.")</t>
  </si>
  <si>
    <t>=NL("Rows","Detailed Vendor Ledg. Entry",,"Vendor Ledger Entry No.","@@"&amp;G309,"Entry Type","&lt;&gt;"&amp;"Initial Entry")</t>
  </si>
  <si>
    <t>=NF($H310,"5 Document Type")</t>
  </si>
  <si>
    <t>=NF($H310,"6 Document No.")</t>
  </si>
  <si>
    <t>=NF($H310,"4 Posting Date")</t>
  </si>
  <si>
    <t>=NF(H310,"10 Currency Code")</t>
  </si>
  <si>
    <t>=IF(NF($H310,"7 Amount")=Q310,0,NF($H310,"7 Amount"))</t>
  </si>
  <si>
    <t>=IF(NF($H310,"16 Debit Amount")=R310,0,NF($H310,"16 Debit Amount"))</t>
  </si>
  <si>
    <t>=NF(H310,"8 Amount (LCY)")</t>
  </si>
  <si>
    <t>=H312</t>
  </si>
  <si>
    <t>=I307</t>
  </si>
  <si>
    <t>=IF(NF(H312,"Entry no.")&lt;&gt;"",NF(H312,"Entry no."),0)</t>
  </si>
  <si>
    <t>="""Business Central"",""CRONUS JetCorp USA"",""25"",""1"",""482843"""</t>
  </si>
  <si>
    <t>=NF(H312,"7 Description")</t>
  </si>
  <si>
    <t>=NF(H312,"6 Document No.")</t>
  </si>
  <si>
    <t>=NF(H312,"37 Due Date")</t>
  </si>
  <si>
    <t>=NF(H312,"4 Posting Date")</t>
  </si>
  <si>
    <t>=NF(H312,"11 Currency code")</t>
  </si>
  <si>
    <t>=IF(NF($H312,"13 Amount")=Q312,0,NF($H312,"13 Amount"))</t>
  </si>
  <si>
    <t>=IF(NF($H312,"14 Remaining Amount")=R312,0,NF($H312,"14 Remaining Amount"))</t>
  </si>
  <si>
    <t>=NF(H312,"17 Amount (LCY)")</t>
  </si>
  <si>
    <t>=NF(H312,"16 Remaining Amt. (LCY)")</t>
  </si>
  <si>
    <t>=IF(H313="","Hide","Show")</t>
  </si>
  <si>
    <t>=D312</t>
  </si>
  <si>
    <t>=E312</t>
  </si>
  <si>
    <t>=NF(H313,"Vendor Ledger Entry No.")</t>
  </si>
  <si>
    <t>=NL("Rows","Detailed Vendor Ledg. Entry",,"Vendor Ledger Entry No.","@@"&amp;G312,"Entry Type","&lt;&gt;"&amp;"Initial Entry")</t>
  </si>
  <si>
    <t>=NF($H313,"5 Document Type")</t>
  </si>
  <si>
    <t>=NF($H313,"6 Document No.")</t>
  </si>
  <si>
    <t>=NF($H313,"4 Posting Date")</t>
  </si>
  <si>
    <t>=NF(H313,"10 Currency Code")</t>
  </si>
  <si>
    <t>=IF(NF($H313,"7 Amount")=Q313,0,NF($H313,"7 Amount"))</t>
  </si>
  <si>
    <t>=IF(NF($H313,"16 Debit Amount")=R313,0,NF($H313,"16 Debit Amount"))</t>
  </si>
  <si>
    <t>=NF(H313,"8 Amount (LCY)")</t>
  </si>
  <si>
    <t>="""Business Central"",""CRONUS JetCorp USA"",""25"",""1"",""482916"""</t>
  </si>
  <si>
    <t>="""Business Central"",""CRONUS JetCorp USA"",""25"",""1"",""482988"""</t>
  </si>
  <si>
    <t>="""Business Central"",""CRONUS JetCorp USA"",""25"",""1"",""483064"""</t>
  </si>
  <si>
    <t>="""Business Central"",""CRONUS JetCorp USA"",""25"",""1"",""483142"""</t>
  </si>
  <si>
    <t>="""Business Central"",""CRONUS JetCorp USA"",""25"",""1"",""483224"""</t>
  </si>
  <si>
    <t>="""Business Central"",""CRONUS JetCorp USA"",""25"",""1"",""483326"""</t>
  </si>
  <si>
    <t>="""Business Central"",""CRONUS JetCorp USA"",""25"",""1"",""483437"""</t>
  </si>
  <si>
    <t>=CONCATENATE(I238," - ",I239,"      Remaining Amount  In Local Currency")</t>
  </si>
  <si>
    <t>=SUBTOTAL(9,R243:R336)</t>
  </si>
  <si>
    <t>=H364</t>
  </si>
  <si>
    <t>=I359</t>
  </si>
  <si>
    <t>=IF(NF(H364,"Entry no.")&lt;&gt;"",NF(H364,"Entry no."),0)</t>
  </si>
  <si>
    <t>=NF(H364,"7 Description")</t>
  </si>
  <si>
    <t>=NF(H364,"6 Document No.")</t>
  </si>
  <si>
    <t>=NF(H364,"37 Due Date")</t>
  </si>
  <si>
    <t>=NF(H364,"4 Posting Date")</t>
  </si>
  <si>
    <t>=NF(H364,"11 Currency code")</t>
  </si>
  <si>
    <t>=IF(NF($H364,"13 Amount")=Q364,0,NF($H364,"13 Amount"))</t>
  </si>
  <si>
    <t>=IF(NF($H364,"14 Remaining Amount")=R364,0,NF($H364,"14 Remaining Amount"))</t>
  </si>
  <si>
    <t>=NF(H364,"17 Amount (LCY)")</t>
  </si>
  <si>
    <t>=NF(H364,"16 Remaining Amt. (LCY)")</t>
  </si>
  <si>
    <t>=IF(H365="","Hide","Show")</t>
  </si>
  <si>
    <t>=D364</t>
  </si>
  <si>
    <t>=E364</t>
  </si>
  <si>
    <t>=NF(H365,"Vendor Ledger Entry No.")</t>
  </si>
  <si>
    <t>=NL("Rows","Detailed Vendor Ledg. Entry",,"Vendor Ledger Entry No.","@@"&amp;G364,"Entry Type","&lt;&gt;"&amp;"Initial Entry")</t>
  </si>
  <si>
    <t>=NF($H365,"5 Document Type")</t>
  </si>
  <si>
    <t>=NF($H365,"6 Document No.")</t>
  </si>
  <si>
    <t>=NF($H365,"4 Posting Date")</t>
  </si>
  <si>
    <t>=NF(H365,"10 Currency Code")</t>
  </si>
  <si>
    <t>=IF(NF($H365,"7 Amount")=Q365,0,NF($H365,"7 Amount"))</t>
  </si>
  <si>
    <t>=IF(NF($H365,"16 Debit Amount")=R365,0,NF($H365,"16 Debit Amount"))</t>
  </si>
  <si>
    <t>=NF(H365,"8 Amount (LCY)")</t>
  </si>
  <si>
    <t>=H367</t>
  </si>
  <si>
    <t>=I362</t>
  </si>
  <si>
    <t>=IF(NF(H367,"Entry no.")&lt;&gt;"",NF(H367,"Entry no."),0)</t>
  </si>
  <si>
    <t>=NF(H367,"7 Description")</t>
  </si>
  <si>
    <t>=NF(H367,"6 Document No.")</t>
  </si>
  <si>
    <t>=NF(H367,"37 Due Date")</t>
  </si>
  <si>
    <t>=NF(H367,"4 Posting Date")</t>
  </si>
  <si>
    <t>=NF(H367,"11 Currency code")</t>
  </si>
  <si>
    <t>=IF(NF($H367,"13 Amount")=Q367,0,NF($H367,"13 Amount"))</t>
  </si>
  <si>
    <t>=IF(NF($H367,"14 Remaining Amount")=R367,0,NF($H367,"14 Remaining Amount"))</t>
  </si>
  <si>
    <t>=NF(H367,"17 Amount (LCY)")</t>
  </si>
  <si>
    <t>=NF(H367,"16 Remaining Amt. (LCY)")</t>
  </si>
  <si>
    <t>=IF(H368="","Hide","Show")</t>
  </si>
  <si>
    <t>=D367</t>
  </si>
  <si>
    <t>=E367</t>
  </si>
  <si>
    <t>=NF(H368,"Vendor Ledger Entry No.")</t>
  </si>
  <si>
    <t>=NL("Rows","Detailed Vendor Ledg. Entry",,"Vendor Ledger Entry No.","@@"&amp;G367,"Entry Type","&lt;&gt;"&amp;"Initial Entry")</t>
  </si>
  <si>
    <t>=NF($H368,"5 Document Type")</t>
  </si>
  <si>
    <t>=NF($H368,"6 Document No.")</t>
  </si>
  <si>
    <t>=NF($H368,"4 Posting Date")</t>
  </si>
  <si>
    <t>=NF(H368,"10 Currency Code")</t>
  </si>
  <si>
    <t>=IF(NF($H368,"7 Amount")=Q368,0,NF($H368,"7 Amount"))</t>
  </si>
  <si>
    <t>=IF(NF($H368,"16 Debit Amount")=R368,0,NF($H368,"16 Debit Amount"))</t>
  </si>
  <si>
    <t>=NF(H368,"8 Amount (LCY)")</t>
  </si>
  <si>
    <t>=SUBTOTAL(9,R343:R370)</t>
  </si>
  <si>
    <t>=NF(H372,"No.")</t>
  </si>
  <si>
    <t>=H372</t>
  </si>
  <si>
    <t>=NF(H372,"Name")</t>
  </si>
  <si>
    <t>=H373</t>
  </si>
  <si>
    <t>=NF(H372,"8 Contact")</t>
  </si>
  <si>
    <t>=H377</t>
  </si>
  <si>
    <t>=I372</t>
  </si>
  <si>
    <t>=IF(NF(H377,"Entry no.")&lt;&gt;"",NF(H377,"Entry no."),0)</t>
  </si>
  <si>
    <t>=NL("Rows=3","Vendor Ledger Entry",,"Vendor No.","@@"&amp;E377,"5 Document Type","Invoice","Posting Date",$J$6,"36 Open",$J$9)</t>
  </si>
  <si>
    <t>=NF(H377,"7 Description")</t>
  </si>
  <si>
    <t>=NF(H377,"6 Document No.")</t>
  </si>
  <si>
    <t>=NF(H377,"37 Due Date")</t>
  </si>
  <si>
    <t>=NF(H377,"4 Posting Date")</t>
  </si>
  <si>
    <t>=NF(H377,"11 Currency code")</t>
  </si>
  <si>
    <t>=IF(NF($H377,"13 Amount")=Q377,0,NF($H377,"13 Amount"))</t>
  </si>
  <si>
    <t>=IF(NF($H377,"14 Remaining Amount")=R377,0,NF($H377,"14 Remaining Amount"))</t>
  </si>
  <si>
    <t>=NF(H377,"17 Amount (LCY)")</t>
  </si>
  <si>
    <t>=NF(H377,"16 Remaining Amt. (LCY)")</t>
  </si>
  <si>
    <t>=IF(H378="","Hide","Show")</t>
  </si>
  <si>
    <t>=D377</t>
  </si>
  <si>
    <t>=E377</t>
  </si>
  <si>
    <t>=NF(H378,"Vendor Ledger Entry No.")</t>
  </si>
  <si>
    <t>=NL("Rows","Detailed Vendor Ledg. Entry",,"Vendor Ledger Entry No.","@@"&amp;G377,"Entry Type","&lt;&gt;"&amp;"Initial Entry")</t>
  </si>
  <si>
    <t>=NF($H378,"5 Document Type")</t>
  </si>
  <si>
    <t>=NF($H378,"6 Document No.")</t>
  </si>
  <si>
    <t>=NF($H378,"4 Posting Date")</t>
  </si>
  <si>
    <t>=NF(H378,"10 Currency Code")</t>
  </si>
  <si>
    <t>=IF(NF($H378,"7 Amount")=Q378,0,NF($H378,"7 Amount"))</t>
  </si>
  <si>
    <t>=IF(NF($H378,"16 Debit Amount")=R378,0,NF($H378,"16 Debit Amount"))</t>
  </si>
  <si>
    <t>=NF(H378,"8 Amount (LCY)")</t>
  </si>
  <si>
    <t>=H380</t>
  </si>
  <si>
    <t>=I375</t>
  </si>
  <si>
    <t>=IF(NF(H380,"Entry no.")&lt;&gt;"",NF(H380,"Entry no."),0)</t>
  </si>
  <si>
    <t>=NF(H380,"7 Description")</t>
  </si>
  <si>
    <t>=NF(H380,"6 Document No.")</t>
  </si>
  <si>
    <t>=NF(H380,"37 Due Date")</t>
  </si>
  <si>
    <t>=NF(H380,"4 Posting Date")</t>
  </si>
  <si>
    <t>=NF(H380,"11 Currency code")</t>
  </si>
  <si>
    <t>=IF(NF($H380,"13 Amount")=Q380,0,NF($H380,"13 Amount"))</t>
  </si>
  <si>
    <t>=IF(NF($H380,"14 Remaining Amount")=R380,0,NF($H380,"14 Remaining Amount"))</t>
  </si>
  <si>
    <t>=NF(H380,"17 Amount (LCY)")</t>
  </si>
  <si>
    <t>=NF(H380,"16 Remaining Amt. (LCY)")</t>
  </si>
  <si>
    <t>=IF(H381="","Hide","Show")</t>
  </si>
  <si>
    <t>=D380</t>
  </si>
  <si>
    <t>=E380</t>
  </si>
  <si>
    <t>=NF(H381,"Vendor Ledger Entry No.")</t>
  </si>
  <si>
    <t>=NL("Rows","Detailed Vendor Ledg. Entry",,"Vendor Ledger Entry No.","@@"&amp;G380,"Entry Type","&lt;&gt;"&amp;"Initial Entry")</t>
  </si>
  <si>
    <t>=NF($H381,"5 Document Type")</t>
  </si>
  <si>
    <t>=NF($H381,"6 Document No.")</t>
  </si>
  <si>
    <t>=NF($H381,"4 Posting Date")</t>
  </si>
  <si>
    <t>=NF(H381,"10 Currency Code")</t>
  </si>
  <si>
    <t>=IF(NF($H381,"7 Amount")=Q381,0,NF($H381,"7 Amount"))</t>
  </si>
  <si>
    <t>=IF(NF($H381,"16 Debit Amount")=R381,0,NF($H381,"16 Debit Amount"))</t>
  </si>
  <si>
    <t>=NF(H381,"8 Amount (LCY)")</t>
  </si>
  <si>
    <t>=H383</t>
  </si>
  <si>
    <t>=I378</t>
  </si>
  <si>
    <t>=IF(NF(H383,"Entry no.")&lt;&gt;"",NF(H383,"Entry no."),0)</t>
  </si>
  <si>
    <t>=NF(H383,"7 Description")</t>
  </si>
  <si>
    <t>=NF(H383,"6 Document No.")</t>
  </si>
  <si>
    <t>=NF(H383,"37 Due Date")</t>
  </si>
  <si>
    <t>=NF(H383,"4 Posting Date")</t>
  </si>
  <si>
    <t>=NF(H383,"11 Currency code")</t>
  </si>
  <si>
    <t>=IF(NF($H383,"13 Amount")=Q383,0,NF($H383,"13 Amount"))</t>
  </si>
  <si>
    <t>=IF(NF($H383,"14 Remaining Amount")=R383,0,NF($H383,"14 Remaining Amount"))</t>
  </si>
  <si>
    <t>=NF(H383,"17 Amount (LCY)")</t>
  </si>
  <si>
    <t>=NF(H383,"16 Remaining Amt. (LCY)")</t>
  </si>
  <si>
    <t>=IF(H384="","Hide","Show")</t>
  </si>
  <si>
    <t>=D383</t>
  </si>
  <si>
    <t>=E383</t>
  </si>
  <si>
    <t>=NF(H384,"Vendor Ledger Entry No.")</t>
  </si>
  <si>
    <t>=NL("Rows","Detailed Vendor Ledg. Entry",,"Vendor Ledger Entry No.","@@"&amp;G383,"Entry Type","&lt;&gt;"&amp;"Initial Entry")</t>
  </si>
  <si>
    <t>=NF($H384,"5 Document Type")</t>
  </si>
  <si>
    <t>=NF($H384,"6 Document No.")</t>
  </si>
  <si>
    <t>=NF($H384,"4 Posting Date")</t>
  </si>
  <si>
    <t>=NF(H384,"10 Currency Code")</t>
  </si>
  <si>
    <t>=IF(NF($H384,"7 Amount")=Q384,0,NF($H384,"7 Amount"))</t>
  </si>
  <si>
    <t>=IF(NF($H384,"16 Debit Amount")=R384,0,NF($H384,"16 Debit Amount"))</t>
  </si>
  <si>
    <t>=NF(H384,"8 Amount (LCY)")</t>
  </si>
  <si>
    <t>=H386</t>
  </si>
  <si>
    <t>=I381</t>
  </si>
  <si>
    <t>=IF(NF(H386,"Entry no.")&lt;&gt;"",NF(H386,"Entry no."),0)</t>
  </si>
  <si>
    <t>=NF(H386,"7 Description")</t>
  </si>
  <si>
    <t>=NF(H386,"6 Document No.")</t>
  </si>
  <si>
    <t>=NF(H386,"37 Due Date")</t>
  </si>
  <si>
    <t>=NF(H386,"4 Posting Date")</t>
  </si>
  <si>
    <t>=NF(H386,"11 Currency code")</t>
  </si>
  <si>
    <t>=IF(NF($H386,"13 Amount")=Q386,0,NF($H386,"13 Amount"))</t>
  </si>
  <si>
    <t>=IF(NF($H386,"14 Remaining Amount")=R386,0,NF($H386,"14 Remaining Amount"))</t>
  </si>
  <si>
    <t>=NF(H386,"17 Amount (LCY)")</t>
  </si>
  <si>
    <t>=NF(H386,"16 Remaining Amt. (LCY)")</t>
  </si>
  <si>
    <t>=IF(H387="","Hide","Show")</t>
  </si>
  <si>
    <t>=D386</t>
  </si>
  <si>
    <t>=E386</t>
  </si>
  <si>
    <t>=NF(H387,"Vendor Ledger Entry No.")</t>
  </si>
  <si>
    <t>=NL("Rows","Detailed Vendor Ledg. Entry",,"Vendor Ledger Entry No.","@@"&amp;G386,"Entry Type","&lt;&gt;"&amp;"Initial Entry")</t>
  </si>
  <si>
    <t>=NF($H387,"5 Document Type")</t>
  </si>
  <si>
    <t>=NF($H387,"6 Document No.")</t>
  </si>
  <si>
    <t>=NF($H387,"4 Posting Date")</t>
  </si>
  <si>
    <t>=NF(H387,"10 Currency Code")</t>
  </si>
  <si>
    <t>=IF(NF($H387,"7 Amount")=Q387,0,NF($H387,"7 Amount"))</t>
  </si>
  <si>
    <t>=IF(NF($H387,"16 Debit Amount")=R387,0,NF($H387,"16 Debit Amount"))</t>
  </si>
  <si>
    <t>=NF(H387,"8 Amount (LCY)")</t>
  </si>
  <si>
    <t>=H389</t>
  </si>
  <si>
    <t>=I384</t>
  </si>
  <si>
    <t>=IF(NF(H389,"Entry no.")&lt;&gt;"",NF(H389,"Entry no."),0)</t>
  </si>
  <si>
    <t>=NF(H389,"7 Description")</t>
  </si>
  <si>
    <t>=NF(H389,"6 Document No.")</t>
  </si>
  <si>
    <t>=NF(H389,"37 Due Date")</t>
  </si>
  <si>
    <t>=NF(H389,"4 Posting Date")</t>
  </si>
  <si>
    <t>=NF(H389,"11 Currency code")</t>
  </si>
  <si>
    <t>=IF(NF($H389,"13 Amount")=Q389,0,NF($H389,"13 Amount"))</t>
  </si>
  <si>
    <t>=IF(NF($H389,"14 Remaining Amount")=R389,0,NF($H389,"14 Remaining Amount"))</t>
  </si>
  <si>
    <t>=NF(H389,"17 Amount (LCY)")</t>
  </si>
  <si>
    <t>=NF(H389,"16 Remaining Amt. (LCY)")</t>
  </si>
  <si>
    <t>=IF(H390="","Hide","Show")</t>
  </si>
  <si>
    <t>=D389</t>
  </si>
  <si>
    <t>=E389</t>
  </si>
  <si>
    <t>=NF(H390,"Vendor Ledger Entry No.")</t>
  </si>
  <si>
    <t>=NL("Rows","Detailed Vendor Ledg. Entry",,"Vendor Ledger Entry No.","@@"&amp;G389,"Entry Type","&lt;&gt;"&amp;"Initial Entry")</t>
  </si>
  <si>
    <t>=NF($H390,"5 Document Type")</t>
  </si>
  <si>
    <t>=NF($H390,"6 Document No.")</t>
  </si>
  <si>
    <t>=NF($H390,"4 Posting Date")</t>
  </si>
  <si>
    <t>=NF(H390,"10 Currency Code")</t>
  </si>
  <si>
    <t>=IF(NF($H390,"7 Amount")=Q390,0,NF($H390,"7 Amount"))</t>
  </si>
  <si>
    <t>=IF(NF($H390,"16 Debit Amount")=R390,0,NF($H390,"16 Debit Amount"))</t>
  </si>
  <si>
    <t>=NF(H390,"8 Amount (LCY)")</t>
  </si>
  <si>
    <t>=H392</t>
  </si>
  <si>
    <t>=I387</t>
  </si>
  <si>
    <t>=IF(NF(H392,"Entry no.")&lt;&gt;"",NF(H392,"Entry no."),0)</t>
  </si>
  <si>
    <t>=NF(H392,"7 Description")</t>
  </si>
  <si>
    <t>=NF(H392,"6 Document No.")</t>
  </si>
  <si>
    <t>=NF(H392,"37 Due Date")</t>
  </si>
  <si>
    <t>=NF(H392,"4 Posting Date")</t>
  </si>
  <si>
    <t>=NF(H392,"11 Currency code")</t>
  </si>
  <si>
    <t>=IF(NF($H392,"13 Amount")=Q392,0,NF($H392,"13 Amount"))</t>
  </si>
  <si>
    <t>=IF(NF($H392,"14 Remaining Amount")=R392,0,NF($H392,"14 Remaining Amount"))</t>
  </si>
  <si>
    <t>=NF(H392,"17 Amount (LCY)")</t>
  </si>
  <si>
    <t>=NF(H392,"16 Remaining Amt. (LCY)")</t>
  </si>
  <si>
    <t>=IF(H393="","Hide","Show")</t>
  </si>
  <si>
    <t>=D392</t>
  </si>
  <si>
    <t>=E392</t>
  </si>
  <si>
    <t>=NF(H393,"Vendor Ledger Entry No.")</t>
  </si>
  <si>
    <t>=NL("Rows","Detailed Vendor Ledg. Entry",,"Vendor Ledger Entry No.","@@"&amp;G392,"Entry Type","&lt;&gt;"&amp;"Initial Entry")</t>
  </si>
  <si>
    <t>=NF($H393,"5 Document Type")</t>
  </si>
  <si>
    <t>=NF($H393,"6 Document No.")</t>
  </si>
  <si>
    <t>=NF($H393,"4 Posting Date")</t>
  </si>
  <si>
    <t>=NF(H393,"10 Currency Code")</t>
  </si>
  <si>
    <t>=IF(NF($H393,"7 Amount")=Q393,0,NF($H393,"7 Amount"))</t>
  </si>
  <si>
    <t>=IF(NF($H393,"16 Debit Amount")=R393,0,NF($H393,"16 Debit Amount"))</t>
  </si>
  <si>
    <t>=NF(H393,"8 Amount (LCY)")</t>
  </si>
  <si>
    <t>=H395</t>
  </si>
  <si>
    <t>=I390</t>
  </si>
  <si>
    <t>=IF(NF(H395,"Entry no.")&lt;&gt;"",NF(H395,"Entry no."),0)</t>
  </si>
  <si>
    <t>=NF(H395,"7 Description")</t>
  </si>
  <si>
    <t>=NF(H395,"6 Document No.")</t>
  </si>
  <si>
    <t>=NF(H395,"37 Due Date")</t>
  </si>
  <si>
    <t>=NF(H395,"4 Posting Date")</t>
  </si>
  <si>
    <t>=NF(H395,"11 Currency code")</t>
  </si>
  <si>
    <t>=IF(NF($H395,"13 Amount")=Q395,0,NF($H395,"13 Amount"))</t>
  </si>
  <si>
    <t>=IF(NF($H395,"14 Remaining Amount")=R395,0,NF($H395,"14 Remaining Amount"))</t>
  </si>
  <si>
    <t>=NF(H395,"17 Amount (LCY)")</t>
  </si>
  <si>
    <t>=NF(H395,"16 Remaining Amt. (LCY)")</t>
  </si>
  <si>
    <t>=IF(H396="","Hide","Show")</t>
  </si>
  <si>
    <t>=D395</t>
  </si>
  <si>
    <t>=E395</t>
  </si>
  <si>
    <t>=NF(H396,"Vendor Ledger Entry No.")</t>
  </si>
  <si>
    <t>=NL("Rows","Detailed Vendor Ledg. Entry",,"Vendor Ledger Entry No.","@@"&amp;G395,"Entry Type","&lt;&gt;"&amp;"Initial Entry")</t>
  </si>
  <si>
    <t>=NF($H396,"5 Document Type")</t>
  </si>
  <si>
    <t>=NF($H396,"6 Document No.")</t>
  </si>
  <si>
    <t>=NF($H396,"4 Posting Date")</t>
  </si>
  <si>
    <t>=NF(H396,"10 Currency Code")</t>
  </si>
  <si>
    <t>=IF(NF($H396,"7 Amount")=Q396,0,NF($H396,"7 Amount"))</t>
  </si>
  <si>
    <t>=IF(NF($H396,"16 Debit Amount")=R396,0,NF($H396,"16 Debit Amount"))</t>
  </si>
  <si>
    <t>=NF(H396,"8 Amount (LCY)")</t>
  </si>
  <si>
    <t>=H398</t>
  </si>
  <si>
    <t>=I393</t>
  </si>
  <si>
    <t>=IF(NF(H398,"Entry no.")&lt;&gt;"",NF(H398,"Entry no."),0)</t>
  </si>
  <si>
    <t>=NF(H398,"7 Description")</t>
  </si>
  <si>
    <t>=NF(H398,"6 Document No.")</t>
  </si>
  <si>
    <t>=NF(H398,"37 Due Date")</t>
  </si>
  <si>
    <t>=NF(H398,"4 Posting Date")</t>
  </si>
  <si>
    <t>=NF(H398,"11 Currency code")</t>
  </si>
  <si>
    <t>=IF(NF($H398,"13 Amount")=Q398,0,NF($H398,"13 Amount"))</t>
  </si>
  <si>
    <t>=IF(NF($H398,"14 Remaining Amount")=R398,0,NF($H398,"14 Remaining Amount"))</t>
  </si>
  <si>
    <t>=NF(H398,"17 Amount (LCY)")</t>
  </si>
  <si>
    <t>=NF(H398,"16 Remaining Amt. (LCY)")</t>
  </si>
  <si>
    <t>=IF(H399="","Hide","Show")</t>
  </si>
  <si>
    <t>=D398</t>
  </si>
  <si>
    <t>=E398</t>
  </si>
  <si>
    <t>=NF(H399,"Vendor Ledger Entry No.")</t>
  </si>
  <si>
    <t>=NL("Rows","Detailed Vendor Ledg. Entry",,"Vendor Ledger Entry No.","@@"&amp;G398,"Entry Type","&lt;&gt;"&amp;"Initial Entry")</t>
  </si>
  <si>
    <t>=NF($H399,"5 Document Type")</t>
  </si>
  <si>
    <t>=NF($H399,"6 Document No.")</t>
  </si>
  <si>
    <t>=NF($H399,"4 Posting Date")</t>
  </si>
  <si>
    <t>=NF(H399,"10 Currency Code")</t>
  </si>
  <si>
    <t>=IF(NF($H399,"7 Amount")=Q399,0,NF($H399,"7 Amount"))</t>
  </si>
  <si>
    <t>=IF(NF($H399,"16 Debit Amount")=R399,0,NF($H399,"16 Debit Amount"))</t>
  </si>
  <si>
    <t>=NF(H399,"8 Amount (LCY)")</t>
  </si>
  <si>
    <t>=H401</t>
  </si>
  <si>
    <t>=I396</t>
  </si>
  <si>
    <t>=IF(NF(H401,"Entry no.")&lt;&gt;"",NF(H401,"Entry no."),0)</t>
  </si>
  <si>
    <t>="""Business Central"",""CRONUS JetCorp USA"",""25"",""1"",""483232"""</t>
  </si>
  <si>
    <t>=NF(H401,"7 Description")</t>
  </si>
  <si>
    <t>=NF(H401,"6 Document No.")</t>
  </si>
  <si>
    <t>=NF(H401,"37 Due Date")</t>
  </si>
  <si>
    <t>=NF(H401,"4 Posting Date")</t>
  </si>
  <si>
    <t>=NF(H401,"11 Currency code")</t>
  </si>
  <si>
    <t>=IF(NF($H401,"13 Amount")=Q401,0,NF($H401,"13 Amount"))</t>
  </si>
  <si>
    <t>=IF(NF($H401,"14 Remaining Amount")=R401,0,NF($H401,"14 Remaining Amount"))</t>
  </si>
  <si>
    <t>=NF(H401,"17 Amount (LCY)")</t>
  </si>
  <si>
    <t>=NF(H401,"16 Remaining Amt. (LCY)")</t>
  </si>
  <si>
    <t>=IF(H402="","Hide","Show")</t>
  </si>
  <si>
    <t>=D401</t>
  </si>
  <si>
    <t>=E401</t>
  </si>
  <si>
    <t>=NF(H402,"Vendor Ledger Entry No.")</t>
  </si>
  <si>
    <t>=NL("Rows","Detailed Vendor Ledg. Entry",,"Vendor Ledger Entry No.","@@"&amp;G401,"Entry Type","&lt;&gt;"&amp;"Initial Entry")</t>
  </si>
  <si>
    <t>=NF($H402,"5 Document Type")</t>
  </si>
  <si>
    <t>=NF($H402,"6 Document No.")</t>
  </si>
  <si>
    <t>=NF($H402,"4 Posting Date")</t>
  </si>
  <si>
    <t>=NF(H402,"10 Currency Code")</t>
  </si>
  <si>
    <t>=IF(NF($H402,"7 Amount")=Q402,0,NF($H402,"7 Amount"))</t>
  </si>
  <si>
    <t>=IF(NF($H402,"16 Debit Amount")=R402,0,NF($H402,"16 Debit Amount"))</t>
  </si>
  <si>
    <t>=NF(H402,"8 Amount (LCY)")</t>
  </si>
  <si>
    <t>=H404</t>
  </si>
  <si>
    <t>=I399</t>
  </si>
  <si>
    <t>=IF(NF(H404,"Entry no.")&lt;&gt;"",NF(H404,"Entry no."),0)</t>
  </si>
  <si>
    <t>=NF(H404,"7 Description")</t>
  </si>
  <si>
    <t>=NF(H404,"6 Document No.")</t>
  </si>
  <si>
    <t>=NF(H404,"37 Due Date")</t>
  </si>
  <si>
    <t>=NF(H404,"4 Posting Date")</t>
  </si>
  <si>
    <t>=NF(H404,"11 Currency code")</t>
  </si>
  <si>
    <t>=IF(NF($H404,"13 Amount")=Q404,0,NF($H404,"13 Amount"))</t>
  </si>
  <si>
    <t>=IF(NF($H404,"14 Remaining Amount")=R404,0,NF($H404,"14 Remaining Amount"))</t>
  </si>
  <si>
    <t>=NF(H404,"17 Amount (LCY)")</t>
  </si>
  <si>
    <t>=NF(H404,"16 Remaining Amt. (LCY)")</t>
  </si>
  <si>
    <t>=IF(H405="","Hide","Show")</t>
  </si>
  <si>
    <t>=D404</t>
  </si>
  <si>
    <t>=E404</t>
  </si>
  <si>
    <t>=NF(H405,"Vendor Ledger Entry No.")</t>
  </si>
  <si>
    <t>=NL("Rows","Detailed Vendor Ledg. Entry",,"Vendor Ledger Entry No.","@@"&amp;G404,"Entry Type","&lt;&gt;"&amp;"Initial Entry")</t>
  </si>
  <si>
    <t>=NF($H405,"5 Document Type")</t>
  </si>
  <si>
    <t>=NF($H405,"6 Document No.")</t>
  </si>
  <si>
    <t>=NF($H405,"4 Posting Date")</t>
  </si>
  <si>
    <t>=NF(H405,"10 Currency Code")</t>
  </si>
  <si>
    <t>=IF(NF($H405,"7 Amount")=Q405,0,NF($H405,"7 Amount"))</t>
  </si>
  <si>
    <t>=IF(NF($H405,"16 Debit Amount")=R405,0,NF($H405,"16 Debit Amount"))</t>
  </si>
  <si>
    <t>=NF(H405,"8 Amount (LCY)")</t>
  </si>
  <si>
    <t>=CONCATENATE(I372," - ",I373,"      Remaining Amount  In Local Currency")</t>
  </si>
  <si>
    <t>=SUBTOTAL(9,R377:R407)</t>
  </si>
  <si>
    <t>=NF(H409,"No.")</t>
  </si>
  <si>
    <t>=H409</t>
  </si>
  <si>
    <t>=NF(H409,"Name")</t>
  </si>
  <si>
    <t>=H410</t>
  </si>
  <si>
    <t>=NF(H409,"8 Contact")</t>
  </si>
  <si>
    <t>=H414</t>
  </si>
  <si>
    <t>=I409</t>
  </si>
  <si>
    <t>=IF(NF(H414,"Entry no.")&lt;&gt;"",NF(H414,"Entry no."),0)</t>
  </si>
  <si>
    <t>=NL("Rows=3","Vendor Ledger Entry",,"Vendor No.","@@"&amp;E414,"5 Document Type","Invoice","Posting Date",$J$6,"36 Open",$J$9)</t>
  </si>
  <si>
    <t>=NF(H414,"7 Description")</t>
  </si>
  <si>
    <t>=NF(H414,"6 Document No.")</t>
  </si>
  <si>
    <t>=NF(H414,"37 Due Date")</t>
  </si>
  <si>
    <t>=NF(H414,"4 Posting Date")</t>
  </si>
  <si>
    <t>=NF(H414,"11 Currency code")</t>
  </si>
  <si>
    <t>=IF(NF($H414,"13 Amount")=Q414,0,NF($H414,"13 Amount"))</t>
  </si>
  <si>
    <t>=IF(NF($H414,"14 Remaining Amount")=R414,0,NF($H414,"14 Remaining Amount"))</t>
  </si>
  <si>
    <t>=NF(H414,"17 Amount (LCY)")</t>
  </si>
  <si>
    <t>=NF(H414,"16 Remaining Amt. (LCY)")</t>
  </si>
  <si>
    <t>=IF(H415="","Hide","Show")</t>
  </si>
  <si>
    <t>=D414</t>
  </si>
  <si>
    <t>=E414</t>
  </si>
  <si>
    <t>=NF(H415,"Vendor Ledger Entry No.")</t>
  </si>
  <si>
    <t>=NL("Rows","Detailed Vendor Ledg. Entry",,"Vendor Ledger Entry No.","@@"&amp;G414,"Entry Type","&lt;&gt;"&amp;"Initial Entry")</t>
  </si>
  <si>
    <t>=NF($H415,"5 Document Type")</t>
  </si>
  <si>
    <t>=NF($H415,"6 Document No.")</t>
  </si>
  <si>
    <t>=NF($H415,"4 Posting Date")</t>
  </si>
  <si>
    <t>=NF(H415,"10 Currency Code")</t>
  </si>
  <si>
    <t>=IF(NF($H415,"7 Amount")=Q415,0,NF($H415,"7 Amount"))</t>
  </si>
  <si>
    <t>=IF(NF($H415,"16 Debit Amount")=R415,0,NF($H415,"16 Debit Amount"))</t>
  </si>
  <si>
    <t>=NF(H415,"8 Amount (LCY)")</t>
  </si>
  <si>
    <t>=H417</t>
  </si>
  <si>
    <t>=I412</t>
  </si>
  <si>
    <t>=IF(NF(H417,"Entry no.")&lt;&gt;"",NF(H417,"Entry no."),0)</t>
  </si>
  <si>
    <t>=NF(H417,"7 Description")</t>
  </si>
  <si>
    <t>=NF(H417,"6 Document No.")</t>
  </si>
  <si>
    <t>=NF(H417,"37 Due Date")</t>
  </si>
  <si>
    <t>=NF(H417,"4 Posting Date")</t>
  </si>
  <si>
    <t>=NF(H417,"11 Currency code")</t>
  </si>
  <si>
    <t>=IF(NF($H417,"13 Amount")=Q417,0,NF($H417,"13 Amount"))</t>
  </si>
  <si>
    <t>=IF(NF($H417,"14 Remaining Amount")=R417,0,NF($H417,"14 Remaining Amount"))</t>
  </si>
  <si>
    <t>=NF(H417,"17 Amount (LCY)")</t>
  </si>
  <si>
    <t>=NF(H417,"16 Remaining Amt. (LCY)")</t>
  </si>
  <si>
    <t>=IF(H418="","Hide","Show")</t>
  </si>
  <si>
    <t>=D417</t>
  </si>
  <si>
    <t>=E417</t>
  </si>
  <si>
    <t>=NF(H418,"Vendor Ledger Entry No.")</t>
  </si>
  <si>
    <t>=NL("Rows","Detailed Vendor Ledg. Entry",,"Vendor Ledger Entry No.","@@"&amp;G417,"Entry Type","&lt;&gt;"&amp;"Initial Entry")</t>
  </si>
  <si>
    <t>=NF($H418,"5 Document Type")</t>
  </si>
  <si>
    <t>=NF($H418,"6 Document No.")</t>
  </si>
  <si>
    <t>=NF($H418,"4 Posting Date")</t>
  </si>
  <si>
    <t>=NF(H418,"10 Currency Code")</t>
  </si>
  <si>
    <t>=IF(NF($H418,"7 Amount")=Q418,0,NF($H418,"7 Amount"))</t>
  </si>
  <si>
    <t>=IF(NF($H418,"16 Debit Amount")=R418,0,NF($H418,"16 Debit Amount"))</t>
  </si>
  <si>
    <t>=NF(H418,"8 Amount (LCY)")</t>
  </si>
  <si>
    <t>=H420</t>
  </si>
  <si>
    <t>=I415</t>
  </si>
  <si>
    <t>=IF(NF(H420,"Entry no.")&lt;&gt;"",NF(H420,"Entry no."),0)</t>
  </si>
  <si>
    <t>=NF(H420,"7 Description")</t>
  </si>
  <si>
    <t>=NF(H420,"6 Document No.")</t>
  </si>
  <si>
    <t>=NF(H420,"37 Due Date")</t>
  </si>
  <si>
    <t>=NF(H420,"4 Posting Date")</t>
  </si>
  <si>
    <t>=NF(H420,"11 Currency code")</t>
  </si>
  <si>
    <t>=IF(NF($H420,"13 Amount")=Q420,0,NF($H420,"13 Amount"))</t>
  </si>
  <si>
    <t>=IF(NF($H420,"14 Remaining Amount")=R420,0,NF($H420,"14 Remaining Amount"))</t>
  </si>
  <si>
    <t>=NF(H420,"17 Amount (LCY)")</t>
  </si>
  <si>
    <t>=NF(H420,"16 Remaining Amt. (LCY)")</t>
  </si>
  <si>
    <t>=IF(H421="","Hide","Show")</t>
  </si>
  <si>
    <t>=D420</t>
  </si>
  <si>
    <t>=E420</t>
  </si>
  <si>
    <t>=NF(H421,"Vendor Ledger Entry No.")</t>
  </si>
  <si>
    <t>=NL("Rows","Detailed Vendor Ledg. Entry",,"Vendor Ledger Entry No.","@@"&amp;G420,"Entry Type","&lt;&gt;"&amp;"Initial Entry")</t>
  </si>
  <si>
    <t>=NF($H421,"5 Document Type")</t>
  </si>
  <si>
    <t>=NF($H421,"6 Document No.")</t>
  </si>
  <si>
    <t>=NF($H421,"4 Posting Date")</t>
  </si>
  <si>
    <t>=NF(H421,"10 Currency Code")</t>
  </si>
  <si>
    <t>=IF(NF($H421,"7 Amount")=Q421,0,NF($H421,"7 Amount"))</t>
  </si>
  <si>
    <t>=IF(NF($H421,"16 Debit Amount")=R421,0,NF($H421,"16 Debit Amount"))</t>
  </si>
  <si>
    <t>=NF(H421,"8 Amount (LCY)")</t>
  </si>
  <si>
    <t>=H423</t>
  </si>
  <si>
    <t>=I418</t>
  </si>
  <si>
    <t>=IF(NF(H423,"Entry no.")&lt;&gt;"",NF(H423,"Entry no."),0)</t>
  </si>
  <si>
    <t>=NF(H423,"7 Description")</t>
  </si>
  <si>
    <t>=NF(H423,"6 Document No.")</t>
  </si>
  <si>
    <t>=NF(H423,"37 Due Date")</t>
  </si>
  <si>
    <t>=NF(H423,"4 Posting Date")</t>
  </si>
  <si>
    <t>=NF(H423,"11 Currency code")</t>
  </si>
  <si>
    <t>=IF(NF($H423,"13 Amount")=Q423,0,NF($H423,"13 Amount"))</t>
  </si>
  <si>
    <t>=IF(NF($H423,"14 Remaining Amount")=R423,0,NF($H423,"14 Remaining Amount"))</t>
  </si>
  <si>
    <t>=NF(H423,"17 Amount (LCY)")</t>
  </si>
  <si>
    <t>=NF(H423,"16 Remaining Amt. (LCY)")</t>
  </si>
  <si>
    <t>=IF(H424="","Hide","Show")</t>
  </si>
  <si>
    <t>=D423</t>
  </si>
  <si>
    <t>=E423</t>
  </si>
  <si>
    <t>=NF(H424,"Vendor Ledger Entry No.")</t>
  </si>
  <si>
    <t>=NL("Rows","Detailed Vendor Ledg. Entry",,"Vendor Ledger Entry No.","@@"&amp;G423,"Entry Type","&lt;&gt;"&amp;"Initial Entry")</t>
  </si>
  <si>
    <t>=NF($H424,"5 Document Type")</t>
  </si>
  <si>
    <t>=NF($H424,"6 Document No.")</t>
  </si>
  <si>
    <t>=NF($H424,"4 Posting Date")</t>
  </si>
  <si>
    <t>=NF(H424,"10 Currency Code")</t>
  </si>
  <si>
    <t>=IF(NF($H424,"7 Amount")=Q424,0,NF($H424,"7 Amount"))</t>
  </si>
  <si>
    <t>=IF(NF($H424,"16 Debit Amount")=R424,0,NF($H424,"16 Debit Amount"))</t>
  </si>
  <si>
    <t>=NF(H424,"8 Amount (LCY)")</t>
  </si>
  <si>
    <t>=CONCATENATE(I409," - ",I410,"      Remaining Amount  In Local Currency")</t>
  </si>
  <si>
    <t>=SUBTOTAL(9,R414:R426)</t>
  </si>
  <si>
    <t>=NF(H428,"No.")</t>
  </si>
  <si>
    <t>=H428</t>
  </si>
  <si>
    <t>=NF(H428,"Name")</t>
  </si>
  <si>
    <t>=H429</t>
  </si>
  <si>
    <t>=NF(H428,"8 Contact")</t>
  </si>
  <si>
    <t>=H433</t>
  </si>
  <si>
    <t>=I428</t>
  </si>
  <si>
    <t>=IF(NF(H433,"Entry no.")&lt;&gt;"",NF(H433,"Entry no."),0)</t>
  </si>
  <si>
    <t>=NL("Rows=3","Vendor Ledger Entry",,"Vendor No.","@@"&amp;E433,"5 Document Type","Invoice","Posting Date",$J$6,"36 Open",$J$9)</t>
  </si>
  <si>
    <t>=NF(H433,"7 Description")</t>
  </si>
  <si>
    <t>=NF(H433,"6 Document No.")</t>
  </si>
  <si>
    <t>=NF(H433,"37 Due Date")</t>
  </si>
  <si>
    <t>=NF(H433,"4 Posting Date")</t>
  </si>
  <si>
    <t>=NF(H433,"11 Currency code")</t>
  </si>
  <si>
    <t>=IF(NF($H433,"13 Amount")=Q433,0,NF($H433,"13 Amount"))</t>
  </si>
  <si>
    <t>=IF(NF($H433,"14 Remaining Amount")=R433,0,NF($H433,"14 Remaining Amount"))</t>
  </si>
  <si>
    <t>=NF(H433,"17 Amount (LCY)")</t>
  </si>
  <si>
    <t>=NF(H433,"16 Remaining Amt. (LCY)")</t>
  </si>
  <si>
    <t>=IF(H434="","Hide","Show")</t>
  </si>
  <si>
    <t>=D433</t>
  </si>
  <si>
    <t>=E433</t>
  </si>
  <si>
    <t>=NF(H434,"Vendor Ledger Entry No.")</t>
  </si>
  <si>
    <t>=NL("Rows","Detailed Vendor Ledg. Entry",,"Vendor Ledger Entry No.","@@"&amp;G433,"Entry Type","&lt;&gt;"&amp;"Initial Entry")</t>
  </si>
  <si>
    <t>=NF($H434,"5 Document Type")</t>
  </si>
  <si>
    <t>=NF($H434,"6 Document No.")</t>
  </si>
  <si>
    <t>=NF($H434,"4 Posting Date")</t>
  </si>
  <si>
    <t>=NF(H434,"10 Currency Code")</t>
  </si>
  <si>
    <t>=IF(NF($H434,"7 Amount")=Q434,0,NF($H434,"7 Amount"))</t>
  </si>
  <si>
    <t>=IF(NF($H434,"16 Debit Amount")=R434,0,NF($H434,"16 Debit Amount"))</t>
  </si>
  <si>
    <t>=NF(H434,"8 Amount (LCY)")</t>
  </si>
  <si>
    <t>=CONCATENATE(I428," - ",I429,"      Remaining Amount  In Local Currency")</t>
  </si>
  <si>
    <t>=SUBTOTAL(9,R433:R436)</t>
  </si>
  <si>
    <t>=NF(H438,"No.")</t>
  </si>
  <si>
    <t>=H438</t>
  </si>
  <si>
    <t>=NF(H438,"Name")</t>
  </si>
  <si>
    <t>=H439</t>
  </si>
  <si>
    <t>=NF(H438,"8 Contact")</t>
  </si>
  <si>
    <t>=H443</t>
  </si>
  <si>
    <t>=I438</t>
  </si>
  <si>
    <t>=IF(NF(H443,"Entry no.")&lt;&gt;"",NF(H443,"Entry no."),0)</t>
  </si>
  <si>
    <t>=NL("Rows=3","Vendor Ledger Entry",,"Vendor No.","@@"&amp;E443,"5 Document Type","Invoice","Posting Date",$J$6,"36 Open",$J$9)</t>
  </si>
  <si>
    <t>=NF(H443,"7 Description")</t>
  </si>
  <si>
    <t>=NF(H443,"6 Document No.")</t>
  </si>
  <si>
    <t>=NF(H443,"37 Due Date")</t>
  </si>
  <si>
    <t>=NF(H443,"4 Posting Date")</t>
  </si>
  <si>
    <t>=NF(H443,"11 Currency code")</t>
  </si>
  <si>
    <t>=IF(NF($H443,"13 Amount")=Q443,0,NF($H443,"13 Amount"))</t>
  </si>
  <si>
    <t>=IF(NF($H443,"14 Remaining Amount")=R443,0,NF($H443,"14 Remaining Amount"))</t>
  </si>
  <si>
    <t>=NF(H443,"17 Amount (LCY)")</t>
  </si>
  <si>
    <t>=NF(H443,"16 Remaining Amt. (LCY)")</t>
  </si>
  <si>
    <t>=IF(H444="","Hide","Show")</t>
  </si>
  <si>
    <t>=D443</t>
  </si>
  <si>
    <t>=E443</t>
  </si>
  <si>
    <t>=NF(H444,"Vendor Ledger Entry No.")</t>
  </si>
  <si>
    <t>=NL("Rows","Detailed Vendor Ledg. Entry",,"Vendor Ledger Entry No.","@@"&amp;G443,"Entry Type","&lt;&gt;"&amp;"Initial Entry")</t>
  </si>
  <si>
    <t>=NF($H444,"5 Document Type")</t>
  </si>
  <si>
    <t>=NF($H444,"6 Document No.")</t>
  </si>
  <si>
    <t>=NF($H444,"4 Posting Date")</t>
  </si>
  <si>
    <t>=NF(H444,"10 Currency Code")</t>
  </si>
  <si>
    <t>=IF(NF($H444,"7 Amount")=Q444,0,NF($H444,"7 Amount"))</t>
  </si>
  <si>
    <t>=IF(NF($H444,"16 Debit Amount")=R444,0,NF($H444,"16 Debit Amount"))</t>
  </si>
  <si>
    <t>=NF(H444,"8 Amount (LCY)")</t>
  </si>
  <si>
    <t>=H446</t>
  </si>
  <si>
    <t>=I441</t>
  </si>
  <si>
    <t>=IF(NF(H446,"Entry no.")&lt;&gt;"",NF(H446,"Entry no."),0)</t>
  </si>
  <si>
    <t>=NF(H446,"7 Description")</t>
  </si>
  <si>
    <t>=NF(H446,"6 Document No.")</t>
  </si>
  <si>
    <t>=NF(H446,"37 Due Date")</t>
  </si>
  <si>
    <t>=NF(H446,"4 Posting Date")</t>
  </si>
  <si>
    <t>=NF(H446,"11 Currency code")</t>
  </si>
  <si>
    <t>=IF(NF($H446,"13 Amount")=Q446,0,NF($H446,"13 Amount"))</t>
  </si>
  <si>
    <t>=IF(NF($H446,"14 Remaining Amount")=R446,0,NF($H446,"14 Remaining Amount"))</t>
  </si>
  <si>
    <t>=NF(H446,"17 Amount (LCY)")</t>
  </si>
  <si>
    <t>=NF(H446,"16 Remaining Amt. (LCY)")</t>
  </si>
  <si>
    <t>=IF(H447="","Hide","Show")</t>
  </si>
  <si>
    <t>=D446</t>
  </si>
  <si>
    <t>=E446</t>
  </si>
  <si>
    <t>=NF(H447,"Vendor Ledger Entry No.")</t>
  </si>
  <si>
    <t>=NL("Rows","Detailed Vendor Ledg. Entry",,"Vendor Ledger Entry No.","@@"&amp;G446,"Entry Type","&lt;&gt;"&amp;"Initial Entry")</t>
  </si>
  <si>
    <t>=NF($H447,"5 Document Type")</t>
  </si>
  <si>
    <t>=NF($H447,"6 Document No.")</t>
  </si>
  <si>
    <t>=NF($H447,"4 Posting Date")</t>
  </si>
  <si>
    <t>=NF(H447,"10 Currency Code")</t>
  </si>
  <si>
    <t>=IF(NF($H447,"7 Amount")=Q447,0,NF($H447,"7 Amount"))</t>
  </si>
  <si>
    <t>=IF(NF($H447,"16 Debit Amount")=R447,0,NF($H447,"16 Debit Amount"))</t>
  </si>
  <si>
    <t>=NF(H447,"8 Amount (LCY)")</t>
  </si>
  <si>
    <t>=CONCATENATE(I438," - ",I439,"      Remaining Amount  In Local Currency")</t>
  </si>
  <si>
    <t>=SUBTOTAL(9,R443:R449)</t>
  </si>
  <si>
    <t>=NF(H451,"No.")</t>
  </si>
  <si>
    <t>=H451</t>
  </si>
  <si>
    <t>=NF(H451,"Name")</t>
  </si>
  <si>
    <t>=H452</t>
  </si>
  <si>
    <t>=NF(H451,"8 Contact")</t>
  </si>
  <si>
    <t>=H456</t>
  </si>
  <si>
    <t>=I451</t>
  </si>
  <si>
    <t>=IF(NF(H456,"Entry no.")&lt;&gt;"",NF(H456,"Entry no."),0)</t>
  </si>
  <si>
    <t>=NL("Rows=3","Vendor Ledger Entry",,"Vendor No.","@@"&amp;E456,"5 Document Type","Invoice","Posting Date",$J$6,"36 Open",$J$9)</t>
  </si>
  <si>
    <t>=NF(H456,"7 Description")</t>
  </si>
  <si>
    <t>=NF(H456,"6 Document No.")</t>
  </si>
  <si>
    <t>=NF(H456,"37 Due Date")</t>
  </si>
  <si>
    <t>=NF(H456,"4 Posting Date")</t>
  </si>
  <si>
    <t>=NF(H456,"11 Currency code")</t>
  </si>
  <si>
    <t>=IF(NF($H456,"13 Amount")=Q456,0,NF($H456,"13 Amount"))</t>
  </si>
  <si>
    <t>=IF(NF($H456,"14 Remaining Amount")=R456,0,NF($H456,"14 Remaining Amount"))</t>
  </si>
  <si>
    <t>=NF(H456,"17 Amount (LCY)")</t>
  </si>
  <si>
    <t>=NF(H456,"16 Remaining Amt. (LCY)")</t>
  </si>
  <si>
    <t>=IF(H457="","Hide","Show")</t>
  </si>
  <si>
    <t>=D456</t>
  </si>
  <si>
    <t>=E456</t>
  </si>
  <si>
    <t>=NF(H457,"Vendor Ledger Entry No.")</t>
  </si>
  <si>
    <t>=NL("Rows","Detailed Vendor Ledg. Entry",,"Vendor Ledger Entry No.","@@"&amp;G456,"Entry Type","&lt;&gt;"&amp;"Initial Entry")</t>
  </si>
  <si>
    <t>=NF($H457,"5 Document Type")</t>
  </si>
  <si>
    <t>=NF($H457,"6 Document No.")</t>
  </si>
  <si>
    <t>=NF($H457,"4 Posting Date")</t>
  </si>
  <si>
    <t>=NF(H457,"10 Currency Code")</t>
  </si>
  <si>
    <t>=IF(NF($H457,"7 Amount")=Q457,0,NF($H457,"7 Amount"))</t>
  </si>
  <si>
    <t>=IF(NF($H457,"16 Debit Amount")=R457,0,NF($H457,"16 Debit Amount"))</t>
  </si>
  <si>
    <t>=NF(H457,"8 Amount (LCY)")</t>
  </si>
  <si>
    <t>=H459</t>
  </si>
  <si>
    <t>=I454</t>
  </si>
  <si>
    <t>=IF(NF(H459,"Entry no.")&lt;&gt;"",NF(H459,"Entry no."),0)</t>
  </si>
  <si>
    <t>=NF(H459,"7 Description")</t>
  </si>
  <si>
    <t>=NF(H459,"6 Document No.")</t>
  </si>
  <si>
    <t>=NF(H459,"37 Due Date")</t>
  </si>
  <si>
    <t>=NF(H459,"4 Posting Date")</t>
  </si>
  <si>
    <t>=NF(H459,"11 Currency code")</t>
  </si>
  <si>
    <t>=IF(NF($H459,"13 Amount")=Q459,0,NF($H459,"13 Amount"))</t>
  </si>
  <si>
    <t>=IF(NF($H459,"14 Remaining Amount")=R459,0,NF($H459,"14 Remaining Amount"))</t>
  </si>
  <si>
    <t>=NF(H459,"17 Amount (LCY)")</t>
  </si>
  <si>
    <t>=NF(H459,"16 Remaining Amt. (LCY)")</t>
  </si>
  <si>
    <t>=IF(H460="","Hide","Show")</t>
  </si>
  <si>
    <t>=D459</t>
  </si>
  <si>
    <t>=E459</t>
  </si>
  <si>
    <t>=NF(H460,"Vendor Ledger Entry No.")</t>
  </si>
  <si>
    <t>=NL("Rows","Detailed Vendor Ledg. Entry",,"Vendor Ledger Entry No.","@@"&amp;G459,"Entry Type","&lt;&gt;"&amp;"Initial Entry")</t>
  </si>
  <si>
    <t>=NF($H460,"5 Document Type")</t>
  </si>
  <si>
    <t>=NF($H460,"6 Document No.")</t>
  </si>
  <si>
    <t>=NF($H460,"4 Posting Date")</t>
  </si>
  <si>
    <t>=NF(H460,"10 Currency Code")</t>
  </si>
  <si>
    <t>=IF(NF($H460,"7 Amount")=Q460,0,NF($H460,"7 Amount"))</t>
  </si>
  <si>
    <t>=IF(NF($H460,"16 Debit Amount")=R460,0,NF($H460,"16 Debit Amount"))</t>
  </si>
  <si>
    <t>=NF(H460,"8 Amount (LCY)")</t>
  </si>
  <si>
    <t>=H462</t>
  </si>
  <si>
    <t>=I457</t>
  </si>
  <si>
    <t>=IF(NF(H462,"Entry no.")&lt;&gt;"",NF(H462,"Entry no."),0)</t>
  </si>
  <si>
    <t>=NF(H462,"7 Description")</t>
  </si>
  <si>
    <t>=NF(H462,"6 Document No.")</t>
  </si>
  <si>
    <t>=NF(H462,"37 Due Date")</t>
  </si>
  <si>
    <t>=NF(H462,"4 Posting Date")</t>
  </si>
  <si>
    <t>=NF(H462,"11 Currency code")</t>
  </si>
  <si>
    <t>=IF(NF($H462,"13 Amount")=Q462,0,NF($H462,"13 Amount"))</t>
  </si>
  <si>
    <t>=IF(NF($H462,"14 Remaining Amount")=R462,0,NF($H462,"14 Remaining Amount"))</t>
  </si>
  <si>
    <t>=NF(H462,"17 Amount (LCY)")</t>
  </si>
  <si>
    <t>=NF(H462,"16 Remaining Amt. (LCY)")</t>
  </si>
  <si>
    <t>=IF(H463="","Hide","Show")</t>
  </si>
  <si>
    <t>=D462</t>
  </si>
  <si>
    <t>=E462</t>
  </si>
  <si>
    <t>=NF(H463,"Vendor Ledger Entry No.")</t>
  </si>
  <si>
    <t>=NL("Rows","Detailed Vendor Ledg. Entry",,"Vendor Ledger Entry No.","@@"&amp;G462,"Entry Type","&lt;&gt;"&amp;"Initial Entry")</t>
  </si>
  <si>
    <t>=NF($H463,"5 Document Type")</t>
  </si>
  <si>
    <t>=NF($H463,"6 Document No.")</t>
  </si>
  <si>
    <t>=NF($H463,"4 Posting Date")</t>
  </si>
  <si>
    <t>=NF(H463,"10 Currency Code")</t>
  </si>
  <si>
    <t>=IF(NF($H463,"7 Amount")=Q463,0,NF($H463,"7 Amount"))</t>
  </si>
  <si>
    <t>=IF(NF($H463,"16 Debit Amount")=R463,0,NF($H463,"16 Debit Amount"))</t>
  </si>
  <si>
    <t>=NF(H463,"8 Amount (LCY)")</t>
  </si>
  <si>
    <t>=H465</t>
  </si>
  <si>
    <t>=I460</t>
  </si>
  <si>
    <t>=IF(NF(H465,"Entry no.")&lt;&gt;"",NF(H465,"Entry no."),0)</t>
  </si>
  <si>
    <t>=NF(H465,"7 Description")</t>
  </si>
  <si>
    <t>=NF(H465,"6 Document No.")</t>
  </si>
  <si>
    <t>=NF(H465,"37 Due Date")</t>
  </si>
  <si>
    <t>=NF(H465,"4 Posting Date")</t>
  </si>
  <si>
    <t>=NF(H465,"11 Currency code")</t>
  </si>
  <si>
    <t>=IF(NF($H465,"13 Amount")=Q465,0,NF($H465,"13 Amount"))</t>
  </si>
  <si>
    <t>=IF(NF($H465,"14 Remaining Amount")=R465,0,NF($H465,"14 Remaining Amount"))</t>
  </si>
  <si>
    <t>=NF(H465,"17 Amount (LCY)")</t>
  </si>
  <si>
    <t>=NF(H465,"16 Remaining Amt. (LCY)")</t>
  </si>
  <si>
    <t>=IF(H466="","Hide","Show")</t>
  </si>
  <si>
    <t>=D465</t>
  </si>
  <si>
    <t>=E465</t>
  </si>
  <si>
    <t>=NF(H466,"Vendor Ledger Entry No.")</t>
  </si>
  <si>
    <t>=NL("Rows","Detailed Vendor Ledg. Entry",,"Vendor Ledger Entry No.","@@"&amp;G465,"Entry Type","&lt;&gt;"&amp;"Initial Entry")</t>
  </si>
  <si>
    <t>=NF($H466,"5 Document Type")</t>
  </si>
  <si>
    <t>=NF($H466,"6 Document No.")</t>
  </si>
  <si>
    <t>=NF($H466,"4 Posting Date")</t>
  </si>
  <si>
    <t>=NF(H466,"10 Currency Code")</t>
  </si>
  <si>
    <t>=IF(NF($H466,"7 Amount")=Q466,0,NF($H466,"7 Amount"))</t>
  </si>
  <si>
    <t>=IF(NF($H466,"16 Debit Amount")=R466,0,NF($H466,"16 Debit Amount"))</t>
  </si>
  <si>
    <t>=NF(H466,"8 Amount (LCY)")</t>
  </si>
  <si>
    <t>=H468</t>
  </si>
  <si>
    <t>=I463</t>
  </si>
  <si>
    <t>=IF(NF(H468,"Entry no.")&lt;&gt;"",NF(H468,"Entry no."),0)</t>
  </si>
  <si>
    <t>=NF(H468,"7 Description")</t>
  </si>
  <si>
    <t>=NF(H468,"6 Document No.")</t>
  </si>
  <si>
    <t>=NF(H468,"37 Due Date")</t>
  </si>
  <si>
    <t>=NF(H468,"4 Posting Date")</t>
  </si>
  <si>
    <t>=NF(H468,"11 Currency code")</t>
  </si>
  <si>
    <t>=IF(NF($H468,"13 Amount")=Q468,0,NF($H468,"13 Amount"))</t>
  </si>
  <si>
    <t>=IF(NF($H468,"14 Remaining Amount")=R468,0,NF($H468,"14 Remaining Amount"))</t>
  </si>
  <si>
    <t>=NF(H468,"17 Amount (LCY)")</t>
  </si>
  <si>
    <t>=NF(H468,"16 Remaining Amt. (LCY)")</t>
  </si>
  <si>
    <t>=IF(H469="","Hide","Show")</t>
  </si>
  <si>
    <t>=D468</t>
  </si>
  <si>
    <t>=E468</t>
  </si>
  <si>
    <t>=NF(H469,"Vendor Ledger Entry No.")</t>
  </si>
  <si>
    <t>=NL("Rows","Detailed Vendor Ledg. Entry",,"Vendor Ledger Entry No.","@@"&amp;G468,"Entry Type","&lt;&gt;"&amp;"Initial Entry")</t>
  </si>
  <si>
    <t>=NF($H469,"5 Document Type")</t>
  </si>
  <si>
    <t>=NF($H469,"6 Document No.")</t>
  </si>
  <si>
    <t>=NF($H469,"4 Posting Date")</t>
  </si>
  <si>
    <t>=NF(H469,"10 Currency Code")</t>
  </si>
  <si>
    <t>=IF(NF($H469,"7 Amount")=Q469,0,NF($H469,"7 Amount"))</t>
  </si>
  <si>
    <t>=IF(NF($H469,"16 Debit Amount")=R469,0,NF($H469,"16 Debit Amount"))</t>
  </si>
  <si>
    <t>=NF(H469,"8 Amount (LCY)")</t>
  </si>
  <si>
    <t>=H471</t>
  </si>
  <si>
    <t>=I466</t>
  </si>
  <si>
    <t>=IF(NF(H471,"Entry no.")&lt;&gt;"",NF(H471,"Entry no."),0)</t>
  </si>
  <si>
    <t>=NF(H471,"7 Description")</t>
  </si>
  <si>
    <t>=NF(H471,"6 Document No.")</t>
  </si>
  <si>
    <t>=NF(H471,"37 Due Date")</t>
  </si>
  <si>
    <t>=NF(H471,"4 Posting Date")</t>
  </si>
  <si>
    <t>=NF(H471,"11 Currency code")</t>
  </si>
  <si>
    <t>=IF(NF($H471,"13 Amount")=Q471,0,NF($H471,"13 Amount"))</t>
  </si>
  <si>
    <t>=IF(NF($H471,"14 Remaining Amount")=R471,0,NF($H471,"14 Remaining Amount"))</t>
  </si>
  <si>
    <t>=NF(H471,"17 Amount (LCY)")</t>
  </si>
  <si>
    <t>=NF(H471,"16 Remaining Amt. (LCY)")</t>
  </si>
  <si>
    <t>=IF(H472="","Hide","Show")</t>
  </si>
  <si>
    <t>=D471</t>
  </si>
  <si>
    <t>=E471</t>
  </si>
  <si>
    <t>=NF(H472,"Vendor Ledger Entry No.")</t>
  </si>
  <si>
    <t>=NL("Rows","Detailed Vendor Ledg. Entry",,"Vendor Ledger Entry No.","@@"&amp;G471,"Entry Type","&lt;&gt;"&amp;"Initial Entry")</t>
  </si>
  <si>
    <t>=NF($H472,"5 Document Type")</t>
  </si>
  <si>
    <t>=NF($H472,"6 Document No.")</t>
  </si>
  <si>
    <t>=NF($H472,"4 Posting Date")</t>
  </si>
  <si>
    <t>=NF(H472,"10 Currency Code")</t>
  </si>
  <si>
    <t>=IF(NF($H472,"7 Amount")=Q472,0,NF($H472,"7 Amount"))</t>
  </si>
  <si>
    <t>=IF(NF($H472,"16 Debit Amount")=R472,0,NF($H472,"16 Debit Amount"))</t>
  </si>
  <si>
    <t>=NF(H472,"8 Amount (LCY)")</t>
  </si>
  <si>
    <t>=H474</t>
  </si>
  <si>
    <t>=I469</t>
  </si>
  <si>
    <t>=IF(NF(H474,"Entry no.")&lt;&gt;"",NF(H474,"Entry no."),0)</t>
  </si>
  <si>
    <t>=NF(H474,"7 Description")</t>
  </si>
  <si>
    <t>=NF(H474,"6 Document No.")</t>
  </si>
  <si>
    <t>=NF(H474,"37 Due Date")</t>
  </si>
  <si>
    <t>=NF(H474,"4 Posting Date")</t>
  </si>
  <si>
    <t>=NF(H474,"11 Currency code")</t>
  </si>
  <si>
    <t>=IF(NF($H474,"13 Amount")=Q474,0,NF($H474,"13 Amount"))</t>
  </si>
  <si>
    <t>=IF(NF($H474,"14 Remaining Amount")=R474,0,NF($H474,"14 Remaining Amount"))</t>
  </si>
  <si>
    <t>=NF(H474,"17 Amount (LCY)")</t>
  </si>
  <si>
    <t>=NF(H474,"16 Remaining Amt. (LCY)")</t>
  </si>
  <si>
    <t>=IF(H475="","Hide","Show")</t>
  </si>
  <si>
    <t>=D474</t>
  </si>
  <si>
    <t>=E474</t>
  </si>
  <si>
    <t>=NF(H475,"Vendor Ledger Entry No.")</t>
  </si>
  <si>
    <t>=NL("Rows","Detailed Vendor Ledg. Entry",,"Vendor Ledger Entry No.","@@"&amp;G474,"Entry Type","&lt;&gt;"&amp;"Initial Entry")</t>
  </si>
  <si>
    <t>=NF($H475,"5 Document Type")</t>
  </si>
  <si>
    <t>=NF($H475,"6 Document No.")</t>
  </si>
  <si>
    <t>=NF($H475,"4 Posting Date")</t>
  </si>
  <si>
    <t>=NF(H475,"10 Currency Code")</t>
  </si>
  <si>
    <t>=IF(NF($H475,"7 Amount")=Q475,0,NF($H475,"7 Amount"))</t>
  </si>
  <si>
    <t>=IF(NF($H475,"16 Debit Amount")=R475,0,NF($H475,"16 Debit Amount"))</t>
  </si>
  <si>
    <t>=NF(H475,"8 Amount (LCY)")</t>
  </si>
  <si>
    <t>=CONCATENATE(I451," - ",I452,"      Remaining Amount  In Local Currency")</t>
  </si>
  <si>
    <t>=SUBTOTAL(9,R456:R477)</t>
  </si>
  <si>
    <t>=NF(H479,"No.")</t>
  </si>
  <si>
    <t>=H479</t>
  </si>
  <si>
    <t>=NF(H479,"Name")</t>
  </si>
  <si>
    <t>=H480</t>
  </si>
  <si>
    <t>=NF(H479,"8 Contact")</t>
  </si>
  <si>
    <t>=H484</t>
  </si>
  <si>
    <t>=I479</t>
  </si>
  <si>
    <t>=IF(NF(H484,"Entry no.")&lt;&gt;"",NF(H484,"Entry no."),0)</t>
  </si>
  <si>
    <t>=NL("Rows=3","Vendor Ledger Entry",,"Vendor No.","@@"&amp;E484,"5 Document Type","Invoice","Posting Date",$J$6,"36 Open",$J$9)</t>
  </si>
  <si>
    <t>=NF(H484,"7 Description")</t>
  </si>
  <si>
    <t>=NF(H484,"6 Document No.")</t>
  </si>
  <si>
    <t>=NF(H484,"37 Due Date")</t>
  </si>
  <si>
    <t>=NF(H484,"4 Posting Date")</t>
  </si>
  <si>
    <t>=NF(H484,"11 Currency code")</t>
  </si>
  <si>
    <t>=IF(NF($H484,"13 Amount")=Q484,0,NF($H484,"13 Amount"))</t>
  </si>
  <si>
    <t>=IF(NF($H484,"14 Remaining Amount")=R484,0,NF($H484,"14 Remaining Amount"))</t>
  </si>
  <si>
    <t>=NF(H484,"17 Amount (LCY)")</t>
  </si>
  <si>
    <t>=NF(H484,"16 Remaining Amt. (LCY)")</t>
  </si>
  <si>
    <t>=IF(H485="","Hide","Show")</t>
  </si>
  <si>
    <t>=D484</t>
  </si>
  <si>
    <t>=E484</t>
  </si>
  <si>
    <t>=NF(H485,"Vendor Ledger Entry No.")</t>
  </si>
  <si>
    <t>=NL("Rows","Detailed Vendor Ledg. Entry",,"Vendor Ledger Entry No.","@@"&amp;G484,"Entry Type","&lt;&gt;"&amp;"Initial Entry")</t>
  </si>
  <si>
    <t>=NF($H485,"5 Document Type")</t>
  </si>
  <si>
    <t>=NF($H485,"6 Document No.")</t>
  </si>
  <si>
    <t>=NF($H485,"4 Posting Date")</t>
  </si>
  <si>
    <t>=NF(H485,"10 Currency Code")</t>
  </si>
  <si>
    <t>=IF(NF($H485,"7 Amount")=Q485,0,NF($H485,"7 Amount"))</t>
  </si>
  <si>
    <t>=IF(NF($H485,"16 Debit Amount")=R485,0,NF($H485,"16 Debit Amount"))</t>
  </si>
  <si>
    <t>=NF(H485,"8 Amount (LCY)")</t>
  </si>
  <si>
    <t>=H487</t>
  </si>
  <si>
    <t>=I482</t>
  </si>
  <si>
    <t>=IF(NF(H487,"Entry no.")&lt;&gt;"",NF(H487,"Entry no."),0)</t>
  </si>
  <si>
    <t>=NF(H487,"7 Description")</t>
  </si>
  <si>
    <t>=NF(H487,"6 Document No.")</t>
  </si>
  <si>
    <t>=NF(H487,"37 Due Date")</t>
  </si>
  <si>
    <t>=NF(H487,"4 Posting Date")</t>
  </si>
  <si>
    <t>=NF(H487,"11 Currency code")</t>
  </si>
  <si>
    <t>=IF(NF($H487,"13 Amount")=Q487,0,NF($H487,"13 Amount"))</t>
  </si>
  <si>
    <t>=IF(NF($H487,"14 Remaining Amount")=R487,0,NF($H487,"14 Remaining Amount"))</t>
  </si>
  <si>
    <t>=NF(H487,"17 Amount (LCY)")</t>
  </si>
  <si>
    <t>=NF(H487,"16 Remaining Amt. (LCY)")</t>
  </si>
  <si>
    <t>=IF(H488="","Hide","Show")</t>
  </si>
  <si>
    <t>=D487</t>
  </si>
  <si>
    <t>=E487</t>
  </si>
  <si>
    <t>=NF(H488,"Vendor Ledger Entry No.")</t>
  </si>
  <si>
    <t>=NL("Rows","Detailed Vendor Ledg. Entry",,"Vendor Ledger Entry No.","@@"&amp;G487,"Entry Type","&lt;&gt;"&amp;"Initial Entry")</t>
  </si>
  <si>
    <t>=NF($H488,"5 Document Type")</t>
  </si>
  <si>
    <t>=NF($H488,"6 Document No.")</t>
  </si>
  <si>
    <t>=NF($H488,"4 Posting Date")</t>
  </si>
  <si>
    <t>=NF(H488,"10 Currency Code")</t>
  </si>
  <si>
    <t>=IF(NF($H488,"7 Amount")=Q488,0,NF($H488,"7 Amount"))</t>
  </si>
  <si>
    <t>=IF(NF($H488,"16 Debit Amount")=R488,0,NF($H488,"16 Debit Amount"))</t>
  </si>
  <si>
    <t>=NF(H488,"8 Amount (LCY)")</t>
  </si>
  <si>
    <t>=H490</t>
  </si>
  <si>
    <t>=I485</t>
  </si>
  <si>
    <t>=IF(NF(H490,"Entry no.")&lt;&gt;"",NF(H490,"Entry no."),0)</t>
  </si>
  <si>
    <t>=NF(H490,"7 Description")</t>
  </si>
  <si>
    <t>=NF(H490,"6 Document No.")</t>
  </si>
  <si>
    <t>=NF(H490,"37 Due Date")</t>
  </si>
  <si>
    <t>=NF(H490,"4 Posting Date")</t>
  </si>
  <si>
    <t>=NF(H490,"11 Currency code")</t>
  </si>
  <si>
    <t>=IF(NF($H490,"13 Amount")=Q490,0,NF($H490,"13 Amount"))</t>
  </si>
  <si>
    <t>=IF(NF($H490,"14 Remaining Amount")=R490,0,NF($H490,"14 Remaining Amount"))</t>
  </si>
  <si>
    <t>=NF(H490,"17 Amount (LCY)")</t>
  </si>
  <si>
    <t>=NF(H490,"16 Remaining Amt. (LCY)")</t>
  </si>
  <si>
    <t>=IF(H491="","Hide","Show")</t>
  </si>
  <si>
    <t>=D490</t>
  </si>
  <si>
    <t>=E490</t>
  </si>
  <si>
    <t>=NF(H491,"Vendor Ledger Entry No.")</t>
  </si>
  <si>
    <t>=NL("Rows","Detailed Vendor Ledg. Entry",,"Vendor Ledger Entry No.","@@"&amp;G490,"Entry Type","&lt;&gt;"&amp;"Initial Entry")</t>
  </si>
  <si>
    <t>=NF($H491,"5 Document Type")</t>
  </si>
  <si>
    <t>=NF($H491,"6 Document No.")</t>
  </si>
  <si>
    <t>=NF($H491,"4 Posting Date")</t>
  </si>
  <si>
    <t>=NF(H491,"10 Currency Code")</t>
  </si>
  <si>
    <t>=IF(NF($H491,"7 Amount")=Q491,0,NF($H491,"7 Amount"))</t>
  </si>
  <si>
    <t>=IF(NF($H491,"16 Debit Amount")=R491,0,NF($H491,"16 Debit Amount"))</t>
  </si>
  <si>
    <t>=NF(H491,"8 Amount (LCY)")</t>
  </si>
  <si>
    <t>=H493</t>
  </si>
  <si>
    <t>=I488</t>
  </si>
  <si>
    <t>=IF(NF(H493,"Entry no.")&lt;&gt;"",NF(H493,"Entry no."),0)</t>
  </si>
  <si>
    <t>=NF(H493,"7 Description")</t>
  </si>
  <si>
    <t>=NF(H493,"6 Document No.")</t>
  </si>
  <si>
    <t>=NF(H493,"37 Due Date")</t>
  </si>
  <si>
    <t>=NF(H493,"4 Posting Date")</t>
  </si>
  <si>
    <t>=NF(H493,"11 Currency code")</t>
  </si>
  <si>
    <t>=IF(NF($H493,"13 Amount")=Q493,0,NF($H493,"13 Amount"))</t>
  </si>
  <si>
    <t>=IF(NF($H493,"14 Remaining Amount")=R493,0,NF($H493,"14 Remaining Amount"))</t>
  </si>
  <si>
    <t>=NF(H493,"17 Amount (LCY)")</t>
  </si>
  <si>
    <t>=NF(H493,"16 Remaining Amt. (LCY)")</t>
  </si>
  <si>
    <t>=IF(H494="","Hide","Show")</t>
  </si>
  <si>
    <t>=D493</t>
  </si>
  <si>
    <t>=E493</t>
  </si>
  <si>
    <t>=NF(H494,"Vendor Ledger Entry No.")</t>
  </si>
  <si>
    <t>=NL("Rows","Detailed Vendor Ledg. Entry",,"Vendor Ledger Entry No.","@@"&amp;G493,"Entry Type","&lt;&gt;"&amp;"Initial Entry")</t>
  </si>
  <si>
    <t>=NF($H494,"5 Document Type")</t>
  </si>
  <si>
    <t>=NF($H494,"6 Document No.")</t>
  </si>
  <si>
    <t>=NF($H494,"4 Posting Date")</t>
  </si>
  <si>
    <t>=NF(H494,"10 Currency Code")</t>
  </si>
  <si>
    <t>=IF(NF($H494,"7 Amount")=Q494,0,NF($H494,"7 Amount"))</t>
  </si>
  <si>
    <t>=IF(NF($H494,"16 Debit Amount")=R494,0,NF($H494,"16 Debit Amount"))</t>
  </si>
  <si>
    <t>=NF(H494,"8 Amount (LCY)")</t>
  </si>
  <si>
    <t>=H496</t>
  </si>
  <si>
    <t>=I491</t>
  </si>
  <si>
    <t>=IF(NF(H496,"Entry no.")&lt;&gt;"",NF(H496,"Entry no."),0)</t>
  </si>
  <si>
    <t>=NF(H496,"7 Description")</t>
  </si>
  <si>
    <t>=NF(H496,"6 Document No.")</t>
  </si>
  <si>
    <t>=NF(H496,"37 Due Date")</t>
  </si>
  <si>
    <t>=NF(H496,"4 Posting Date")</t>
  </si>
  <si>
    <t>=NF(H496,"11 Currency code")</t>
  </si>
  <si>
    <t>=IF(NF($H496,"13 Amount")=Q496,0,NF($H496,"13 Amount"))</t>
  </si>
  <si>
    <t>=IF(NF($H496,"14 Remaining Amount")=R496,0,NF($H496,"14 Remaining Amount"))</t>
  </si>
  <si>
    <t>=NF(H496,"17 Amount (LCY)")</t>
  </si>
  <si>
    <t>=NF(H496,"16 Remaining Amt. (LCY)")</t>
  </si>
  <si>
    <t>=IF(H497="","Hide","Show")</t>
  </si>
  <si>
    <t>=D496</t>
  </si>
  <si>
    <t>=E496</t>
  </si>
  <si>
    <t>=NF(H497,"Vendor Ledger Entry No.")</t>
  </si>
  <si>
    <t>=NL("Rows","Detailed Vendor Ledg. Entry",,"Vendor Ledger Entry No.","@@"&amp;G496,"Entry Type","&lt;&gt;"&amp;"Initial Entry")</t>
  </si>
  <si>
    <t>=NF($H497,"5 Document Type")</t>
  </si>
  <si>
    <t>=NF($H497,"6 Document No.")</t>
  </si>
  <si>
    <t>=NF($H497,"4 Posting Date")</t>
  </si>
  <si>
    <t>=NF(H497,"10 Currency Code")</t>
  </si>
  <si>
    <t>=IF(NF($H497,"7 Amount")=Q497,0,NF($H497,"7 Amount"))</t>
  </si>
  <si>
    <t>=IF(NF($H497,"16 Debit Amount")=R497,0,NF($H497,"16 Debit Amount"))</t>
  </si>
  <si>
    <t>=NF(H497,"8 Amount (LCY)")</t>
  </si>
  <si>
    <t>=H499</t>
  </si>
  <si>
    <t>=I494</t>
  </si>
  <si>
    <t>=IF(NF(H499,"Entry no.")&lt;&gt;"",NF(H499,"Entry no."),0)</t>
  </si>
  <si>
    <t>=NF(H499,"7 Description")</t>
  </si>
  <si>
    <t>=NF(H499,"6 Document No.")</t>
  </si>
  <si>
    <t>=NF(H499,"37 Due Date")</t>
  </si>
  <si>
    <t>=NF(H499,"4 Posting Date")</t>
  </si>
  <si>
    <t>=NF(H499,"11 Currency code")</t>
  </si>
  <si>
    <t>=IF(NF($H499,"13 Amount")=Q499,0,NF($H499,"13 Amount"))</t>
  </si>
  <si>
    <t>=IF(NF($H499,"14 Remaining Amount")=R499,0,NF($H499,"14 Remaining Amount"))</t>
  </si>
  <si>
    <t>=NF(H499,"17 Amount (LCY)")</t>
  </si>
  <si>
    <t>=NF(H499,"16 Remaining Amt. (LCY)")</t>
  </si>
  <si>
    <t>=IF(H500="","Hide","Show")</t>
  </si>
  <si>
    <t>=D499</t>
  </si>
  <si>
    <t>=E499</t>
  </si>
  <si>
    <t>=NF(H500,"Vendor Ledger Entry No.")</t>
  </si>
  <si>
    <t>=NL("Rows","Detailed Vendor Ledg. Entry",,"Vendor Ledger Entry No.","@@"&amp;G499,"Entry Type","&lt;&gt;"&amp;"Initial Entry")</t>
  </si>
  <si>
    <t>=NF($H500,"5 Document Type")</t>
  </si>
  <si>
    <t>=NF($H500,"6 Document No.")</t>
  </si>
  <si>
    <t>=NF($H500,"4 Posting Date")</t>
  </si>
  <si>
    <t>=NF(H500,"10 Currency Code")</t>
  </si>
  <si>
    <t>=IF(NF($H500,"7 Amount")=Q500,0,NF($H500,"7 Amount"))</t>
  </si>
  <si>
    <t>=IF(NF($H500,"16 Debit Amount")=R500,0,NF($H500,"16 Debit Amount"))</t>
  </si>
  <si>
    <t>=NF(H500,"8 Amount (LCY)")</t>
  </si>
  <si>
    <t>=H502</t>
  </si>
  <si>
    <t>=I497</t>
  </si>
  <si>
    <t>=IF(NF(H502,"Entry no.")&lt;&gt;"",NF(H502,"Entry no."),0)</t>
  </si>
  <si>
    <t>=NF(H502,"7 Description")</t>
  </si>
  <si>
    <t>=NF(H502,"6 Document No.")</t>
  </si>
  <si>
    <t>=NF(H502,"37 Due Date")</t>
  </si>
  <si>
    <t>=NF(H502,"4 Posting Date")</t>
  </si>
  <si>
    <t>=NF(H502,"11 Currency code")</t>
  </si>
  <si>
    <t>=IF(NF($H502,"13 Amount")=Q502,0,NF($H502,"13 Amount"))</t>
  </si>
  <si>
    <t>=IF(NF($H502,"14 Remaining Amount")=R502,0,NF($H502,"14 Remaining Amount"))</t>
  </si>
  <si>
    <t>=NF(H502,"17 Amount (LCY)")</t>
  </si>
  <si>
    <t>=NF(H502,"16 Remaining Amt. (LCY)")</t>
  </si>
  <si>
    <t>=IF(H503="","Hide","Show")</t>
  </si>
  <si>
    <t>=D502</t>
  </si>
  <si>
    <t>=E502</t>
  </si>
  <si>
    <t>=NF(H503,"Vendor Ledger Entry No.")</t>
  </si>
  <si>
    <t>=NL("Rows","Detailed Vendor Ledg. Entry",,"Vendor Ledger Entry No.","@@"&amp;G502,"Entry Type","&lt;&gt;"&amp;"Initial Entry")</t>
  </si>
  <si>
    <t>=NF($H503,"5 Document Type")</t>
  </si>
  <si>
    <t>=NF($H503,"6 Document No.")</t>
  </si>
  <si>
    <t>=NF($H503,"4 Posting Date")</t>
  </si>
  <si>
    <t>=NF(H503,"10 Currency Code")</t>
  </si>
  <si>
    <t>=IF(NF($H503,"7 Amount")=Q503,0,NF($H503,"7 Amount"))</t>
  </si>
  <si>
    <t>=IF(NF($H503,"16 Debit Amount")=R503,0,NF($H503,"16 Debit Amount"))</t>
  </si>
  <si>
    <t>=NF(H503,"8 Amount (LCY)")</t>
  </si>
  <si>
    <t>=CONCATENATE(I479," - ",I480,"      Remaining Amount  In Local Currency")</t>
  </si>
  <si>
    <t>=SUBTOTAL(9,R484:R505)</t>
  </si>
  <si>
    <t>="""Business Central"",""CRONUS JetCorp USA"",""23"",""1"",""V101002"""</t>
  </si>
  <si>
    <t>=NF(H507,"No.")</t>
  </si>
  <si>
    <t>=H507</t>
  </si>
  <si>
    <t>=NF(H507,"Name")</t>
  </si>
  <si>
    <t>=H508</t>
  </si>
  <si>
    <t>=NF(H507,"8 Contact")</t>
  </si>
  <si>
    <t>=H512</t>
  </si>
  <si>
    <t>=I507</t>
  </si>
  <si>
    <t>=IF(NF(H512,"Entry no.")&lt;&gt;"",NF(H512,"Entry no."),0)</t>
  </si>
  <si>
    <t>=NL("Rows=3","Vendor Ledger Entry",,"Vendor No.","@@"&amp;E512,"5 Document Type","Invoice","Posting Date",$J$6,"36 Open",$J$9)</t>
  </si>
  <si>
    <t>=NF(H512,"7 Description")</t>
  </si>
  <si>
    <t>=NF(H512,"6 Document No.")</t>
  </si>
  <si>
    <t>=NF(H512,"37 Due Date")</t>
  </si>
  <si>
    <t>=NF(H512,"4 Posting Date")</t>
  </si>
  <si>
    <t>=NF(H512,"11 Currency code")</t>
  </si>
  <si>
    <t>=IF(NF($H512,"13 Amount")=Q512,0,NF($H512,"13 Amount"))</t>
  </si>
  <si>
    <t>=IF(NF($H512,"14 Remaining Amount")=R512,0,NF($H512,"14 Remaining Amount"))</t>
  </si>
  <si>
    <t>=NF(H512,"17 Amount (LCY)")</t>
  </si>
  <si>
    <t>=NF(H512,"16 Remaining Amt. (LCY)")</t>
  </si>
  <si>
    <t>=IF(H513="","Hide","Show")</t>
  </si>
  <si>
    <t>=D512</t>
  </si>
  <si>
    <t>=E512</t>
  </si>
  <si>
    <t>=NF(H513,"Vendor Ledger Entry No.")</t>
  </si>
  <si>
    <t>=NL("Rows","Detailed Vendor Ledg. Entry",,"Vendor Ledger Entry No.","@@"&amp;G512,"Entry Type","&lt;&gt;"&amp;"Initial Entry")</t>
  </si>
  <si>
    <t>=NF($H513,"5 Document Type")</t>
  </si>
  <si>
    <t>=NF($H513,"6 Document No.")</t>
  </si>
  <si>
    <t>=NF($H513,"4 Posting Date")</t>
  </si>
  <si>
    <t>=NF(H513,"10 Currency Code")</t>
  </si>
  <si>
    <t>=IF(NF($H513,"7 Amount")=Q513,0,NF($H513,"7 Amount"))</t>
  </si>
  <si>
    <t>=IF(NF($H513,"16 Debit Amount")=R513,0,NF($H513,"16 Debit Amount"))</t>
  </si>
  <si>
    <t>=NF(H513,"8 Amount (LCY)")</t>
  </si>
  <si>
    <t>=H515</t>
  </si>
  <si>
    <t>=I510</t>
  </si>
  <si>
    <t>=IF(NF(H515,"Entry no.")&lt;&gt;"",NF(H515,"Entry no."),0)</t>
  </si>
  <si>
    <t>="""Business Central"",""CRONUS JetCorp USA"",""25"",""1"",""247052"""</t>
  </si>
  <si>
    <t>=NF(H515,"7 Description")</t>
  </si>
  <si>
    <t>=NF(H515,"6 Document No.")</t>
  </si>
  <si>
    <t>=NF(H515,"37 Due Date")</t>
  </si>
  <si>
    <t>=NF(H515,"4 Posting Date")</t>
  </si>
  <si>
    <t>=NF(H515,"11 Currency code")</t>
  </si>
  <si>
    <t>=IF(NF($H515,"13 Amount")=Q515,0,NF($H515,"13 Amount"))</t>
  </si>
  <si>
    <t>=IF(NF($H515,"14 Remaining Amount")=R515,0,NF($H515,"14 Remaining Amount"))</t>
  </si>
  <si>
    <t>=NF(H515,"17 Amount (LCY)")</t>
  </si>
  <si>
    <t>=NF(H515,"16 Remaining Amt. (LCY)")</t>
  </si>
  <si>
    <t>=IF(H516="","Hide","Show")</t>
  </si>
  <si>
    <t>=D515</t>
  </si>
  <si>
    <t>=E515</t>
  </si>
  <si>
    <t>=NF(H516,"Vendor Ledger Entry No.")</t>
  </si>
  <si>
    <t>=NL("Rows","Detailed Vendor Ledg. Entry",,"Vendor Ledger Entry No.","@@"&amp;G515,"Entry Type","&lt;&gt;"&amp;"Initial Entry")</t>
  </si>
  <si>
    <t>=NF($H516,"5 Document Type")</t>
  </si>
  <si>
    <t>=NF($H516,"6 Document No.")</t>
  </si>
  <si>
    <t>=NF($H516,"4 Posting Date")</t>
  </si>
  <si>
    <t>=NF(H516,"10 Currency Code")</t>
  </si>
  <si>
    <t>=IF(NF($H516,"7 Amount")=Q516,0,NF($H516,"7 Amount"))</t>
  </si>
  <si>
    <t>=IF(NF($H516,"16 Debit Amount")=R516,0,NF($H516,"16 Debit Amount"))</t>
  </si>
  <si>
    <t>=NF(H516,"8 Amount (LCY)")</t>
  </si>
  <si>
    <t>=H518</t>
  </si>
  <si>
    <t>=I513</t>
  </si>
  <si>
    <t>=IF(NF(H518,"Entry no.")&lt;&gt;"",NF(H518,"Entry no."),0)</t>
  </si>
  <si>
    <t>="""Business Central"",""CRONUS JetCorp USA"",""25"",""1"",""247083"""</t>
  </si>
  <si>
    <t>=NF(H518,"7 Description")</t>
  </si>
  <si>
    <t>=NF(H518,"6 Document No.")</t>
  </si>
  <si>
    <t>=NF(H518,"37 Due Date")</t>
  </si>
  <si>
    <t>=NF(H518,"4 Posting Date")</t>
  </si>
  <si>
    <t>=NF(H518,"11 Currency code")</t>
  </si>
  <si>
    <t>=IF(NF($H518,"13 Amount")=Q518,0,NF($H518,"13 Amount"))</t>
  </si>
  <si>
    <t>=IF(NF($H518,"14 Remaining Amount")=R518,0,NF($H518,"14 Remaining Amount"))</t>
  </si>
  <si>
    <t>=NF(H518,"17 Amount (LCY)")</t>
  </si>
  <si>
    <t>=NF(H518,"16 Remaining Amt. (LCY)")</t>
  </si>
  <si>
    <t>=IF(H519="","Hide","Show")</t>
  </si>
  <si>
    <t>=D518</t>
  </si>
  <si>
    <t>=E518</t>
  </si>
  <si>
    <t>=NF(H519,"Vendor Ledger Entry No.")</t>
  </si>
  <si>
    <t>=NL("Rows","Detailed Vendor Ledg. Entry",,"Vendor Ledger Entry No.","@@"&amp;G518,"Entry Type","&lt;&gt;"&amp;"Initial Entry")</t>
  </si>
  <si>
    <t>=NF($H519,"5 Document Type")</t>
  </si>
  <si>
    <t>=NF($H519,"6 Document No.")</t>
  </si>
  <si>
    <t>=NF($H519,"4 Posting Date")</t>
  </si>
  <si>
    <t>=NF(H519,"10 Currency Code")</t>
  </si>
  <si>
    <t>=IF(NF($H519,"7 Amount")=Q519,0,NF($H519,"7 Amount"))</t>
  </si>
  <si>
    <t>=IF(NF($H519,"16 Debit Amount")=R519,0,NF($H519,"16 Debit Amount"))</t>
  </si>
  <si>
    <t>=NF(H519,"8 Amount (LCY)")</t>
  </si>
  <si>
    <t>=H521</t>
  </si>
  <si>
    <t>=I516</t>
  </si>
  <si>
    <t>=IF(NF(H521,"Entry no.")&lt;&gt;"",NF(H521,"Entry no."),0)</t>
  </si>
  <si>
    <t>="""Business Central"",""CRONUS JetCorp USA"",""25"",""1"",""247124"""</t>
  </si>
  <si>
    <t>=NF(H521,"7 Description")</t>
  </si>
  <si>
    <t>=NF(H521,"6 Document No.")</t>
  </si>
  <si>
    <t>=NF(H521,"37 Due Date")</t>
  </si>
  <si>
    <t>=NF(H521,"4 Posting Date")</t>
  </si>
  <si>
    <t>=NF(H521,"11 Currency code")</t>
  </si>
  <si>
    <t>=IF(NF($H521,"13 Amount")=Q521,0,NF($H521,"13 Amount"))</t>
  </si>
  <si>
    <t>=IF(NF($H521,"14 Remaining Amount")=R521,0,NF($H521,"14 Remaining Amount"))</t>
  </si>
  <si>
    <t>=NF(H521,"17 Amount (LCY)")</t>
  </si>
  <si>
    <t>=NF(H521,"16 Remaining Amt. (LCY)")</t>
  </si>
  <si>
    <t>=IF(H522="","Hide","Show")</t>
  </si>
  <si>
    <t>=D521</t>
  </si>
  <si>
    <t>=E521</t>
  </si>
  <si>
    <t>=NF(H522,"Vendor Ledger Entry No.")</t>
  </si>
  <si>
    <t>=NL("Rows","Detailed Vendor Ledg. Entry",,"Vendor Ledger Entry No.","@@"&amp;G521,"Entry Type","&lt;&gt;"&amp;"Initial Entry")</t>
  </si>
  <si>
    <t>=NF($H522,"5 Document Type")</t>
  </si>
  <si>
    <t>=NF($H522,"6 Document No.")</t>
  </si>
  <si>
    <t>=NF($H522,"4 Posting Date")</t>
  </si>
  <si>
    <t>=NF(H522,"10 Currency Code")</t>
  </si>
  <si>
    <t>=IF(NF($H522,"7 Amount")=Q522,0,NF($H522,"7 Amount"))</t>
  </si>
  <si>
    <t>=IF(NF($H522,"16 Debit Amount")=R522,0,NF($H522,"16 Debit Amount"))</t>
  </si>
  <si>
    <t>=NF(H522,"8 Amount (LCY)")</t>
  </si>
  <si>
    <t>=H524</t>
  </si>
  <si>
    <t>=I519</t>
  </si>
  <si>
    <t>=IF(NF(H524,"Entry no.")&lt;&gt;"",NF(H524,"Entry no."),0)</t>
  </si>
  <si>
    <t>="""Business Central"",""CRONUS JetCorp USA"",""25"",""1"",""247149"""</t>
  </si>
  <si>
    <t>=NF(H524,"7 Description")</t>
  </si>
  <si>
    <t>=NF(H524,"6 Document No.")</t>
  </si>
  <si>
    <t>=NF(H524,"37 Due Date")</t>
  </si>
  <si>
    <t>=NF(H524,"4 Posting Date")</t>
  </si>
  <si>
    <t>=NF(H524,"11 Currency code")</t>
  </si>
  <si>
    <t>=IF(NF($H524,"13 Amount")=Q524,0,NF($H524,"13 Amount"))</t>
  </si>
  <si>
    <t>=IF(NF($H524,"14 Remaining Amount")=R524,0,NF($H524,"14 Remaining Amount"))</t>
  </si>
  <si>
    <t>=NF(H524,"17 Amount (LCY)")</t>
  </si>
  <si>
    <t>=NF(H524,"16 Remaining Amt. (LCY)")</t>
  </si>
  <si>
    <t>=IF(H525="","Hide","Show")</t>
  </si>
  <si>
    <t>=D524</t>
  </si>
  <si>
    <t>=E524</t>
  </si>
  <si>
    <t>=NF(H525,"Vendor Ledger Entry No.")</t>
  </si>
  <si>
    <t>=NL("Rows","Detailed Vendor Ledg. Entry",,"Vendor Ledger Entry No.","@@"&amp;G524,"Entry Type","&lt;&gt;"&amp;"Initial Entry")</t>
  </si>
  <si>
    <t>=NF($H525,"5 Document Type")</t>
  </si>
  <si>
    <t>=NF($H525,"6 Document No.")</t>
  </si>
  <si>
    <t>=NF($H525,"4 Posting Date")</t>
  </si>
  <si>
    <t>=NF(H525,"10 Currency Code")</t>
  </si>
  <si>
    <t>=IF(NF($H525,"7 Amount")=Q525,0,NF($H525,"7 Amount"))</t>
  </si>
  <si>
    <t>=IF(NF($H525,"16 Debit Amount")=R525,0,NF($H525,"16 Debit Amount"))</t>
  </si>
  <si>
    <t>=NF(H525,"8 Amount (LCY)")</t>
  </si>
  <si>
    <t>=H527</t>
  </si>
  <si>
    <t>=I522</t>
  </si>
  <si>
    <t>=IF(NF(H527,"Entry no.")&lt;&gt;"",NF(H527,"Entry no."),0)</t>
  </si>
  <si>
    <t>="""Business Central"",""CRONUS JetCorp USA"",""25"",""1"",""247186"""</t>
  </si>
  <si>
    <t>=NF(H527,"7 Description")</t>
  </si>
  <si>
    <t>=NF(H527,"6 Document No.")</t>
  </si>
  <si>
    <t>=NF(H527,"37 Due Date")</t>
  </si>
  <si>
    <t>=NF(H527,"4 Posting Date")</t>
  </si>
  <si>
    <t>=NF(H527,"11 Currency code")</t>
  </si>
  <si>
    <t>=IF(NF($H527,"13 Amount")=Q527,0,NF($H527,"13 Amount"))</t>
  </si>
  <si>
    <t>=IF(NF($H527,"14 Remaining Amount")=R527,0,NF($H527,"14 Remaining Amount"))</t>
  </si>
  <si>
    <t>=NF(H527,"17 Amount (LCY)")</t>
  </si>
  <si>
    <t>=NF(H527,"16 Remaining Amt. (LCY)")</t>
  </si>
  <si>
    <t>=IF(H528="","Hide","Show")</t>
  </si>
  <si>
    <t>=D527</t>
  </si>
  <si>
    <t>=E527</t>
  </si>
  <si>
    <t>=NF(H528,"Vendor Ledger Entry No.")</t>
  </si>
  <si>
    <t>=NL("Rows","Detailed Vendor Ledg. Entry",,"Vendor Ledger Entry No.","@@"&amp;G527,"Entry Type","&lt;&gt;"&amp;"Initial Entry")</t>
  </si>
  <si>
    <t>=NF($H528,"5 Document Type")</t>
  </si>
  <si>
    <t>=NF($H528,"6 Document No.")</t>
  </si>
  <si>
    <t>=NF($H528,"4 Posting Date")</t>
  </si>
  <si>
    <t>=NF(H528,"10 Currency Code")</t>
  </si>
  <si>
    <t>=IF(NF($H528,"7 Amount")=Q528,0,NF($H528,"7 Amount"))</t>
  </si>
  <si>
    <t>=IF(NF($H528,"16 Debit Amount")=R528,0,NF($H528,"16 Debit Amount"))</t>
  </si>
  <si>
    <t>=NF(H528,"8 Amount (LCY)")</t>
  </si>
  <si>
    <t>=H530</t>
  </si>
  <si>
    <t>=I525</t>
  </si>
  <si>
    <t>=IF(NF(H530,"Entry no.")&lt;&gt;"",NF(H530,"Entry no."),0)</t>
  </si>
  <si>
    <t>="""Business Central"",""CRONUS JetCorp USA"",""25"",""1"",""247223"""</t>
  </si>
  <si>
    <t>=NF(H530,"7 Description")</t>
  </si>
  <si>
    <t>=NF(H530,"6 Document No.")</t>
  </si>
  <si>
    <t>=NF(H530,"37 Due Date")</t>
  </si>
  <si>
    <t>=NF(H530,"4 Posting Date")</t>
  </si>
  <si>
    <t>=NF(H530,"11 Currency code")</t>
  </si>
  <si>
    <t>=IF(NF($H530,"13 Amount")=Q530,0,NF($H530,"13 Amount"))</t>
  </si>
  <si>
    <t>=IF(NF($H530,"14 Remaining Amount")=R530,0,NF($H530,"14 Remaining Amount"))</t>
  </si>
  <si>
    <t>=NF(H530,"17 Amount (LCY)")</t>
  </si>
  <si>
    <t>=NF(H530,"16 Remaining Amt. (LCY)")</t>
  </si>
  <si>
    <t>=IF(H531="","Hide","Show")</t>
  </si>
  <si>
    <t>=D530</t>
  </si>
  <si>
    <t>=E530</t>
  </si>
  <si>
    <t>=NF(H531,"Vendor Ledger Entry No.")</t>
  </si>
  <si>
    <t>=NL("Rows","Detailed Vendor Ledg. Entry",,"Vendor Ledger Entry No.","@@"&amp;G530,"Entry Type","&lt;&gt;"&amp;"Initial Entry")</t>
  </si>
  <si>
    <t>=NF($H531,"5 Document Type")</t>
  </si>
  <si>
    <t>=NF($H531,"6 Document No.")</t>
  </si>
  <si>
    <t>=NF($H531,"4 Posting Date")</t>
  </si>
  <si>
    <t>=NF(H531,"10 Currency Code")</t>
  </si>
  <si>
    <t>=IF(NF($H531,"7 Amount")=Q531,0,NF($H531,"7 Amount"))</t>
  </si>
  <si>
    <t>=IF(NF($H531,"16 Debit Amount")=R531,0,NF($H531,"16 Debit Amount"))</t>
  </si>
  <si>
    <t>=NF(H531,"8 Amount (LCY)")</t>
  </si>
  <si>
    <t>=H533</t>
  </si>
  <si>
    <t>=I528</t>
  </si>
  <si>
    <t>=IF(NF(H533,"Entry no.")&lt;&gt;"",NF(H533,"Entry no."),0)</t>
  </si>
  <si>
    <t>="""Business Central"",""CRONUS JetCorp USA"",""25"",""1"",""247256"""</t>
  </si>
  <si>
    <t>=NF(H533,"7 Description")</t>
  </si>
  <si>
    <t>=NF(H533,"6 Document No.")</t>
  </si>
  <si>
    <t>=NF(H533,"37 Due Date")</t>
  </si>
  <si>
    <t>=NF(H533,"4 Posting Date")</t>
  </si>
  <si>
    <t>=NF(H533,"11 Currency code")</t>
  </si>
  <si>
    <t>=IF(NF($H533,"13 Amount")=Q533,0,NF($H533,"13 Amount"))</t>
  </si>
  <si>
    <t>=IF(NF($H533,"14 Remaining Amount")=R533,0,NF($H533,"14 Remaining Amount"))</t>
  </si>
  <si>
    <t>=NF(H533,"17 Amount (LCY)")</t>
  </si>
  <si>
    <t>=NF(H533,"16 Remaining Amt. (LCY)")</t>
  </si>
  <si>
    <t>=IF(H534="","Hide","Show")</t>
  </si>
  <si>
    <t>=D533</t>
  </si>
  <si>
    <t>=E533</t>
  </si>
  <si>
    <t>=NF(H534,"Vendor Ledger Entry No.")</t>
  </si>
  <si>
    <t>=NL("Rows","Detailed Vendor Ledg. Entry",,"Vendor Ledger Entry No.","@@"&amp;G533,"Entry Type","&lt;&gt;"&amp;"Initial Entry")</t>
  </si>
  <si>
    <t>=NF($H534,"5 Document Type")</t>
  </si>
  <si>
    <t>=NF($H534,"6 Document No.")</t>
  </si>
  <si>
    <t>=NF($H534,"4 Posting Date")</t>
  </si>
  <si>
    <t>=NF(H534,"10 Currency Code")</t>
  </si>
  <si>
    <t>=IF(NF($H534,"7 Amount")=Q534,0,NF($H534,"7 Amount"))</t>
  </si>
  <si>
    <t>=IF(NF($H534,"16 Debit Amount")=R534,0,NF($H534,"16 Debit Amount"))</t>
  </si>
  <si>
    <t>=NF(H534,"8 Amount (LCY)")</t>
  </si>
  <si>
    <t>=H536</t>
  </si>
  <si>
    <t>=I531</t>
  </si>
  <si>
    <t>=IF(NF(H536,"Entry no.")&lt;&gt;"",NF(H536,"Entry no."),0)</t>
  </si>
  <si>
    <t>="""Business Central"",""CRONUS JetCorp USA"",""25"",""1"",""247297"""</t>
  </si>
  <si>
    <t>=NF(H536,"7 Description")</t>
  </si>
  <si>
    <t>=NF(H536,"6 Document No.")</t>
  </si>
  <si>
    <t>=NF(H536,"37 Due Date")</t>
  </si>
  <si>
    <t>=NF(H536,"4 Posting Date")</t>
  </si>
  <si>
    <t>=NF(H536,"11 Currency code")</t>
  </si>
  <si>
    <t>=IF(NF($H536,"13 Amount")=Q536,0,NF($H536,"13 Amount"))</t>
  </si>
  <si>
    <t>=IF(NF($H536,"14 Remaining Amount")=R536,0,NF($H536,"14 Remaining Amount"))</t>
  </si>
  <si>
    <t>=NF(H536,"17 Amount (LCY)")</t>
  </si>
  <si>
    <t>=NF(H536,"16 Remaining Amt. (LCY)")</t>
  </si>
  <si>
    <t>=IF(H537="","Hide","Show")</t>
  </si>
  <si>
    <t>=D536</t>
  </si>
  <si>
    <t>=E536</t>
  </si>
  <si>
    <t>=NF(H537,"Vendor Ledger Entry No.")</t>
  </si>
  <si>
    <t>=NL("Rows","Detailed Vendor Ledg. Entry",,"Vendor Ledger Entry No.","@@"&amp;G536,"Entry Type","&lt;&gt;"&amp;"Initial Entry")</t>
  </si>
  <si>
    <t>=NF($H537,"5 Document Type")</t>
  </si>
  <si>
    <t>=NF($H537,"6 Document No.")</t>
  </si>
  <si>
    <t>=NF($H537,"4 Posting Date")</t>
  </si>
  <si>
    <t>=NF(H537,"10 Currency Code")</t>
  </si>
  <si>
    <t>=IF(NF($H537,"7 Amount")=Q537,0,NF($H537,"7 Amount"))</t>
  </si>
  <si>
    <t>=IF(NF($H537,"16 Debit Amount")=R537,0,NF($H537,"16 Debit Amount"))</t>
  </si>
  <si>
    <t>=NF(H537,"8 Amount (LCY)")</t>
  </si>
  <si>
    <t>=H539</t>
  </si>
  <si>
    <t>=I534</t>
  </si>
  <si>
    <t>=IF(NF(H539,"Entry no.")&lt;&gt;"",NF(H539,"Entry no."),0)</t>
  </si>
  <si>
    <t>="""Business Central"",""CRONUS JetCorp USA"",""25"",""1"",""247326"""</t>
  </si>
  <si>
    <t>=NF(H539,"7 Description")</t>
  </si>
  <si>
    <t>=NF(H539,"6 Document No.")</t>
  </si>
  <si>
    <t>=NF(H539,"37 Due Date")</t>
  </si>
  <si>
    <t>=NF(H539,"4 Posting Date")</t>
  </si>
  <si>
    <t>=NF(H539,"11 Currency code")</t>
  </si>
  <si>
    <t>=IF(NF($H539,"13 Amount")=Q539,0,NF($H539,"13 Amount"))</t>
  </si>
  <si>
    <t>=IF(NF($H539,"14 Remaining Amount")=R539,0,NF($H539,"14 Remaining Amount"))</t>
  </si>
  <si>
    <t>=NF(H539,"17 Amount (LCY)")</t>
  </si>
  <si>
    <t>=NF(H539,"16 Remaining Amt. (LCY)")</t>
  </si>
  <si>
    <t>=IF(H540="","Hide","Show")</t>
  </si>
  <si>
    <t>=D539</t>
  </si>
  <si>
    <t>=E539</t>
  </si>
  <si>
    <t>=NF(H540,"Vendor Ledger Entry No.")</t>
  </si>
  <si>
    <t>=NL("Rows","Detailed Vendor Ledg. Entry",,"Vendor Ledger Entry No.","@@"&amp;G539,"Entry Type","&lt;&gt;"&amp;"Initial Entry")</t>
  </si>
  <si>
    <t>=NF($H540,"5 Document Type")</t>
  </si>
  <si>
    <t>=NF($H540,"6 Document No.")</t>
  </si>
  <si>
    <t>=NF($H540,"4 Posting Date")</t>
  </si>
  <si>
    <t>=NF(H540,"10 Currency Code")</t>
  </si>
  <si>
    <t>=IF(NF($H540,"7 Amount")=Q540,0,NF($H540,"7 Amount"))</t>
  </si>
  <si>
    <t>=IF(NF($H540,"16 Debit Amount")=R540,0,NF($H540,"16 Debit Amount"))</t>
  </si>
  <si>
    <t>=NF(H540,"8 Amount (LCY)")</t>
  </si>
  <si>
    <t>=H542</t>
  </si>
  <si>
    <t>=I537</t>
  </si>
  <si>
    <t>=IF(NF(H542,"Entry no.")&lt;&gt;"",NF(H542,"Entry no."),0)</t>
  </si>
  <si>
    <t>="""Business Central"",""CRONUS JetCorp USA"",""25"",""1"",""247365"""</t>
  </si>
  <si>
    <t>=NF(H542,"7 Description")</t>
  </si>
  <si>
    <t>=NF(H542,"6 Document No.")</t>
  </si>
  <si>
    <t>=NF(H542,"37 Due Date")</t>
  </si>
  <si>
    <t>=NF(H542,"4 Posting Date")</t>
  </si>
  <si>
    <t>=NF(H542,"11 Currency code")</t>
  </si>
  <si>
    <t>=IF(NF($H542,"13 Amount")=Q542,0,NF($H542,"13 Amount"))</t>
  </si>
  <si>
    <t>=IF(NF($H542,"14 Remaining Amount")=R542,0,NF($H542,"14 Remaining Amount"))</t>
  </si>
  <si>
    <t>=NF(H542,"17 Amount (LCY)")</t>
  </si>
  <si>
    <t>=NF(H542,"16 Remaining Amt. (LCY)")</t>
  </si>
  <si>
    <t>=IF(H543="","Hide","Show")</t>
  </si>
  <si>
    <t>=D542</t>
  </si>
  <si>
    <t>=E542</t>
  </si>
  <si>
    <t>=NF(H543,"Vendor Ledger Entry No.")</t>
  </si>
  <si>
    <t>=NL("Rows","Detailed Vendor Ledg. Entry",,"Vendor Ledger Entry No.","@@"&amp;G542,"Entry Type","&lt;&gt;"&amp;"Initial Entry")</t>
  </si>
  <si>
    <t>=NF($H543,"5 Document Type")</t>
  </si>
  <si>
    <t>=NF($H543,"6 Document No.")</t>
  </si>
  <si>
    <t>=NF($H543,"4 Posting Date")</t>
  </si>
  <si>
    <t>=NF(H543,"10 Currency Code")</t>
  </si>
  <si>
    <t>=IF(NF($H543,"7 Amount")=Q543,0,NF($H543,"7 Amount"))</t>
  </si>
  <si>
    <t>=IF(NF($H543,"16 Debit Amount")=R543,0,NF($H543,"16 Debit Amount"))</t>
  </si>
  <si>
    <t>=NF(H543,"8 Amount (LCY)")</t>
  </si>
  <si>
    <t>=H545</t>
  </si>
  <si>
    <t>=I540</t>
  </si>
  <si>
    <t>=IF(NF(H545,"Entry no.")&lt;&gt;"",NF(H545,"Entry no."),0)</t>
  </si>
  <si>
    <t>="""Business Central"",""CRONUS JetCorp USA"",""25"",""1"",""247400"""</t>
  </si>
  <si>
    <t>=NF(H545,"7 Description")</t>
  </si>
  <si>
    <t>=NF(H545,"6 Document No.")</t>
  </si>
  <si>
    <t>=NF(H545,"37 Due Date")</t>
  </si>
  <si>
    <t>=NF(H545,"4 Posting Date")</t>
  </si>
  <si>
    <t>=NF(H545,"11 Currency code")</t>
  </si>
  <si>
    <t>=IF(NF($H545,"13 Amount")=Q545,0,NF($H545,"13 Amount"))</t>
  </si>
  <si>
    <t>=IF(NF($H545,"14 Remaining Amount")=R545,0,NF($H545,"14 Remaining Amount"))</t>
  </si>
  <si>
    <t>=NF(H545,"17 Amount (LCY)")</t>
  </si>
  <si>
    <t>=NF(H545,"16 Remaining Amt. (LCY)")</t>
  </si>
  <si>
    <t>=IF(H546="","Hide","Show")</t>
  </si>
  <si>
    <t>=D545</t>
  </si>
  <si>
    <t>=E545</t>
  </si>
  <si>
    <t>=NF(H546,"Vendor Ledger Entry No.")</t>
  </si>
  <si>
    <t>=NL("Rows","Detailed Vendor Ledg. Entry",,"Vendor Ledger Entry No.","@@"&amp;G545,"Entry Type","&lt;&gt;"&amp;"Initial Entry")</t>
  </si>
  <si>
    <t>=NF($H546,"5 Document Type")</t>
  </si>
  <si>
    <t>=NF($H546,"6 Document No.")</t>
  </si>
  <si>
    <t>=NF($H546,"4 Posting Date")</t>
  </si>
  <si>
    <t>=NF(H546,"10 Currency Code")</t>
  </si>
  <si>
    <t>=IF(NF($H546,"7 Amount")=Q546,0,NF($H546,"7 Amount"))</t>
  </si>
  <si>
    <t>=IF(NF($H546,"16 Debit Amount")=R546,0,NF($H546,"16 Debit Amount"))</t>
  </si>
  <si>
    <t>=NF(H546,"8 Amount (LCY)")</t>
  </si>
  <si>
    <t>=H548</t>
  </si>
  <si>
    <t>=I543</t>
  </si>
  <si>
    <t>=IF(NF(H548,"Entry no.")&lt;&gt;"",NF(H548,"Entry no."),0)</t>
  </si>
  <si>
    <t>="""Business Central"",""CRONUS JetCorp USA"",""25"",""1"",""247441"""</t>
  </si>
  <si>
    <t>=NF(H548,"7 Description")</t>
  </si>
  <si>
    <t>=NF(H548,"6 Document No.")</t>
  </si>
  <si>
    <t>=NF(H548,"37 Due Date")</t>
  </si>
  <si>
    <t>=NF(H548,"4 Posting Date")</t>
  </si>
  <si>
    <t>=NF(H548,"11 Currency code")</t>
  </si>
  <si>
    <t>=IF(NF($H548,"13 Amount")=Q548,0,NF($H548,"13 Amount"))</t>
  </si>
  <si>
    <t>=IF(NF($H548,"14 Remaining Amount")=R548,0,NF($H548,"14 Remaining Amount"))</t>
  </si>
  <si>
    <t>=NF(H548,"17 Amount (LCY)")</t>
  </si>
  <si>
    <t>=NF(H548,"16 Remaining Amt. (LCY)")</t>
  </si>
  <si>
    <t>=IF(H549="","Hide","Show")</t>
  </si>
  <si>
    <t>=D548</t>
  </si>
  <si>
    <t>=E548</t>
  </si>
  <si>
    <t>=NF(H549,"Vendor Ledger Entry No.")</t>
  </si>
  <si>
    <t>=NL("Rows","Detailed Vendor Ledg. Entry",,"Vendor Ledger Entry No.","@@"&amp;G548,"Entry Type","&lt;&gt;"&amp;"Initial Entry")</t>
  </si>
  <si>
    <t>=NF($H549,"5 Document Type")</t>
  </si>
  <si>
    <t>=NF($H549,"6 Document No.")</t>
  </si>
  <si>
    <t>=NF($H549,"4 Posting Date")</t>
  </si>
  <si>
    <t>=NF(H549,"10 Currency Code")</t>
  </si>
  <si>
    <t>=IF(NF($H549,"7 Amount")=Q549,0,NF($H549,"7 Amount"))</t>
  </si>
  <si>
    <t>=IF(NF($H549,"16 Debit Amount")=R549,0,NF($H549,"16 Debit Amount"))</t>
  </si>
  <si>
    <t>=NF(H549,"8 Amount (LCY)")</t>
  </si>
  <si>
    <t>=H551</t>
  </si>
  <si>
    <t>=I546</t>
  </si>
  <si>
    <t>=IF(NF(H551,"Entry no.")&lt;&gt;"",NF(H551,"Entry no."),0)</t>
  </si>
  <si>
    <t>="""Business Central"",""CRONUS JetCorp USA"",""25"",""1"",""247482"""</t>
  </si>
  <si>
    <t>=NF(H551,"7 Description")</t>
  </si>
  <si>
    <t>=NF(H551,"6 Document No.")</t>
  </si>
  <si>
    <t>=NF(H551,"37 Due Date")</t>
  </si>
  <si>
    <t>=NF(H551,"4 Posting Date")</t>
  </si>
  <si>
    <t>=NF(H551,"11 Currency code")</t>
  </si>
  <si>
    <t>=IF(NF($H551,"13 Amount")=Q551,0,NF($H551,"13 Amount"))</t>
  </si>
  <si>
    <t>=IF(NF($H551,"14 Remaining Amount")=R551,0,NF($H551,"14 Remaining Amount"))</t>
  </si>
  <si>
    <t>=NF(H551,"17 Amount (LCY)")</t>
  </si>
  <si>
    <t>=NF(H551,"16 Remaining Amt. (LCY)")</t>
  </si>
  <si>
    <t>=IF(H552="","Hide","Show")</t>
  </si>
  <si>
    <t>=D551</t>
  </si>
  <si>
    <t>=E551</t>
  </si>
  <si>
    <t>=NF(H552,"Vendor Ledger Entry No.")</t>
  </si>
  <si>
    <t>=NL("Rows","Detailed Vendor Ledg. Entry",,"Vendor Ledger Entry No.","@@"&amp;G551,"Entry Type","&lt;&gt;"&amp;"Initial Entry")</t>
  </si>
  <si>
    <t>=NF($H552,"5 Document Type")</t>
  </si>
  <si>
    <t>=NF($H552,"6 Document No.")</t>
  </si>
  <si>
    <t>=NF($H552,"4 Posting Date")</t>
  </si>
  <si>
    <t>=NF(H552,"10 Currency Code")</t>
  </si>
  <si>
    <t>=IF(NF($H552,"7 Amount")=Q552,0,NF($H552,"7 Amount"))</t>
  </si>
  <si>
    <t>=IF(NF($H552,"16 Debit Amount")=R552,0,NF($H552,"16 Debit Amount"))</t>
  </si>
  <si>
    <t>=NF(H552,"8 Amount (LCY)")</t>
  </si>
  <si>
    <t>=H554</t>
  </si>
  <si>
    <t>=I549</t>
  </si>
  <si>
    <t>=IF(NF(H554,"Entry no.")&lt;&gt;"",NF(H554,"Entry no."),0)</t>
  </si>
  <si>
    <t>="""Business Central"",""CRONUS JetCorp USA"",""25"",""1"",""247523"""</t>
  </si>
  <si>
    <t>=NF(H554,"7 Description")</t>
  </si>
  <si>
    <t>=NF(H554,"6 Document No.")</t>
  </si>
  <si>
    <t>=NF(H554,"37 Due Date")</t>
  </si>
  <si>
    <t>=NF(H554,"4 Posting Date")</t>
  </si>
  <si>
    <t>=NF(H554,"11 Currency code")</t>
  </si>
  <si>
    <t>=IF(NF($H554,"13 Amount")=Q554,0,NF($H554,"13 Amount"))</t>
  </si>
  <si>
    <t>=IF(NF($H554,"14 Remaining Amount")=R554,0,NF($H554,"14 Remaining Amount"))</t>
  </si>
  <si>
    <t>=NF(H554,"17 Amount (LCY)")</t>
  </si>
  <si>
    <t>=NF(H554,"16 Remaining Amt. (LCY)")</t>
  </si>
  <si>
    <t>=IF(H555="","Hide","Show")</t>
  </si>
  <si>
    <t>=D554</t>
  </si>
  <si>
    <t>=E554</t>
  </si>
  <si>
    <t>=NF(H555,"Vendor Ledger Entry No.")</t>
  </si>
  <si>
    <t>=NL("Rows","Detailed Vendor Ledg. Entry",,"Vendor Ledger Entry No.","@@"&amp;G554,"Entry Type","&lt;&gt;"&amp;"Initial Entry")</t>
  </si>
  <si>
    <t>=NF($H555,"5 Document Type")</t>
  </si>
  <si>
    <t>=NF($H555,"6 Document No.")</t>
  </si>
  <si>
    <t>=NF($H555,"4 Posting Date")</t>
  </si>
  <si>
    <t>=NF(H555,"10 Currency Code")</t>
  </si>
  <si>
    <t>=IF(NF($H555,"7 Amount")=Q555,0,NF($H555,"7 Amount"))</t>
  </si>
  <si>
    <t>=IF(NF($H555,"16 Debit Amount")=R555,0,NF($H555,"16 Debit Amount"))</t>
  </si>
  <si>
    <t>=NF(H555,"8 Amount (LCY)")</t>
  </si>
  <si>
    <t>=H557</t>
  </si>
  <si>
    <t>=I552</t>
  </si>
  <si>
    <t>=IF(NF(H557,"Entry no.")&lt;&gt;"",NF(H557,"Entry no."),0)</t>
  </si>
  <si>
    <t>="""Business Central"",""CRONUS JetCorp USA"",""25"",""1"",""247562"""</t>
  </si>
  <si>
    <t>=NF(H557,"7 Description")</t>
  </si>
  <si>
    <t>=NF(H557,"6 Document No.")</t>
  </si>
  <si>
    <t>=NF(H557,"37 Due Date")</t>
  </si>
  <si>
    <t>=NF(H557,"4 Posting Date")</t>
  </si>
  <si>
    <t>=NF(H557,"11 Currency code")</t>
  </si>
  <si>
    <t>=IF(NF($H557,"13 Amount")=Q557,0,NF($H557,"13 Amount"))</t>
  </si>
  <si>
    <t>=IF(NF($H557,"14 Remaining Amount")=R557,0,NF($H557,"14 Remaining Amount"))</t>
  </si>
  <si>
    <t>=NF(H557,"17 Amount (LCY)")</t>
  </si>
  <si>
    <t>=NF(H557,"16 Remaining Amt. (LCY)")</t>
  </si>
  <si>
    <t>=IF(H558="","Hide","Show")</t>
  </si>
  <si>
    <t>=D557</t>
  </si>
  <si>
    <t>=E557</t>
  </si>
  <si>
    <t>=NF(H558,"Vendor Ledger Entry No.")</t>
  </si>
  <si>
    <t>=NL("Rows","Detailed Vendor Ledg. Entry",,"Vendor Ledger Entry No.","@@"&amp;G557,"Entry Type","&lt;&gt;"&amp;"Initial Entry")</t>
  </si>
  <si>
    <t>=NF($H558,"5 Document Type")</t>
  </si>
  <si>
    <t>=NF($H558,"6 Document No.")</t>
  </si>
  <si>
    <t>=NF($H558,"4 Posting Date")</t>
  </si>
  <si>
    <t>=NF(H558,"10 Currency Code")</t>
  </si>
  <si>
    <t>=IF(NF($H558,"7 Amount")=Q558,0,NF($H558,"7 Amount"))</t>
  </si>
  <si>
    <t>=IF(NF($H558,"16 Debit Amount")=R558,0,NF($H558,"16 Debit Amount"))</t>
  </si>
  <si>
    <t>=NF(H558,"8 Amount (LCY)")</t>
  </si>
  <si>
    <t>=H560</t>
  </si>
  <si>
    <t>=I555</t>
  </si>
  <si>
    <t>=IF(NF(H560,"Entry no.")&lt;&gt;"",NF(H560,"Entry no."),0)</t>
  </si>
  <si>
    <t>="""Business Central"",""CRONUS JetCorp USA"",""25"",""1"",""247593"""</t>
  </si>
  <si>
    <t>=NF(H560,"7 Description")</t>
  </si>
  <si>
    <t>=NF(H560,"6 Document No.")</t>
  </si>
  <si>
    <t>=NF(H560,"37 Due Date")</t>
  </si>
  <si>
    <t>=NF(H560,"4 Posting Date")</t>
  </si>
  <si>
    <t>=NF(H560,"11 Currency code")</t>
  </si>
  <si>
    <t>=IF(NF($H560,"13 Amount")=Q560,0,NF($H560,"13 Amount"))</t>
  </si>
  <si>
    <t>=IF(NF($H560,"14 Remaining Amount")=R560,0,NF($H560,"14 Remaining Amount"))</t>
  </si>
  <si>
    <t>=NF(H560,"17 Amount (LCY)")</t>
  </si>
  <si>
    <t>=NF(H560,"16 Remaining Amt. (LCY)")</t>
  </si>
  <si>
    <t>=IF(H561="","Hide","Show")</t>
  </si>
  <si>
    <t>=D560</t>
  </si>
  <si>
    <t>=E560</t>
  </si>
  <si>
    <t>=NF(H561,"Vendor Ledger Entry No.")</t>
  </si>
  <si>
    <t>=NL("Rows","Detailed Vendor Ledg. Entry",,"Vendor Ledger Entry No.","@@"&amp;G560,"Entry Type","&lt;&gt;"&amp;"Initial Entry")</t>
  </si>
  <si>
    <t>=NF($H561,"5 Document Type")</t>
  </si>
  <si>
    <t>=NF($H561,"6 Document No.")</t>
  </si>
  <si>
    <t>=NF($H561,"4 Posting Date")</t>
  </si>
  <si>
    <t>=NF(H561,"10 Currency Code")</t>
  </si>
  <si>
    <t>=IF(NF($H561,"7 Amount")=Q561,0,NF($H561,"7 Amount"))</t>
  </si>
  <si>
    <t>=IF(NF($H561,"16 Debit Amount")=R561,0,NF($H561,"16 Debit Amount"))</t>
  </si>
  <si>
    <t>=NF(H561,"8 Amount (LCY)")</t>
  </si>
  <si>
    <t>=H563</t>
  </si>
  <si>
    <t>=I558</t>
  </si>
  <si>
    <t>=IF(NF(H563,"Entry no.")&lt;&gt;"",NF(H563,"Entry no."),0)</t>
  </si>
  <si>
    <t>="""Business Central"",""CRONUS JetCorp USA"",""25"",""1"",""247626"""</t>
  </si>
  <si>
    <t>=NF(H563,"7 Description")</t>
  </si>
  <si>
    <t>=NF(H563,"6 Document No.")</t>
  </si>
  <si>
    <t>=NF(H563,"37 Due Date")</t>
  </si>
  <si>
    <t>=NF(H563,"4 Posting Date")</t>
  </si>
  <si>
    <t>=NF(H563,"11 Currency code")</t>
  </si>
  <si>
    <t>=IF(NF($H563,"13 Amount")=Q563,0,NF($H563,"13 Amount"))</t>
  </si>
  <si>
    <t>=IF(NF($H563,"14 Remaining Amount")=R563,0,NF($H563,"14 Remaining Amount"))</t>
  </si>
  <si>
    <t>=NF(H563,"17 Amount (LCY)")</t>
  </si>
  <si>
    <t>=NF(H563,"16 Remaining Amt. (LCY)")</t>
  </si>
  <si>
    <t>=IF(H564="","Hide","Show")</t>
  </si>
  <si>
    <t>=D563</t>
  </si>
  <si>
    <t>=E563</t>
  </si>
  <si>
    <t>=NF(H564,"Vendor Ledger Entry No.")</t>
  </si>
  <si>
    <t>=NL("Rows","Detailed Vendor Ledg. Entry",,"Vendor Ledger Entry No.","@@"&amp;G563,"Entry Type","&lt;&gt;"&amp;"Initial Entry")</t>
  </si>
  <si>
    <t>=NF($H564,"5 Document Type")</t>
  </si>
  <si>
    <t>=NF($H564,"6 Document No.")</t>
  </si>
  <si>
    <t>=NF($H564,"4 Posting Date")</t>
  </si>
  <si>
    <t>=NF(H564,"10 Currency Code")</t>
  </si>
  <si>
    <t>=IF(NF($H564,"7 Amount")=Q564,0,NF($H564,"7 Amount"))</t>
  </si>
  <si>
    <t>=IF(NF($H564,"16 Debit Amount")=R564,0,NF($H564,"16 Debit Amount"))</t>
  </si>
  <si>
    <t>=NF(H564,"8 Amount (LCY)")</t>
  </si>
  <si>
    <t>=H566</t>
  </si>
  <si>
    <t>=I561</t>
  </si>
  <si>
    <t>=IF(NF(H566,"Entry no.")&lt;&gt;"",NF(H566,"Entry no."),0)</t>
  </si>
  <si>
    <t>="""Business Central"",""CRONUS JetCorp USA"",""25"",""1"",""247667"""</t>
  </si>
  <si>
    <t>=NF(H566,"7 Description")</t>
  </si>
  <si>
    <t>=NF(H566,"6 Document No.")</t>
  </si>
  <si>
    <t>=NF(H566,"37 Due Date")</t>
  </si>
  <si>
    <t>=NF(H566,"4 Posting Date")</t>
  </si>
  <si>
    <t>=NF(H566,"11 Currency code")</t>
  </si>
  <si>
    <t>=IF(NF($H566,"13 Amount")=Q566,0,NF($H566,"13 Amount"))</t>
  </si>
  <si>
    <t>=IF(NF($H566,"14 Remaining Amount")=R566,0,NF($H566,"14 Remaining Amount"))</t>
  </si>
  <si>
    <t>=NF(H566,"17 Amount (LCY)")</t>
  </si>
  <si>
    <t>=NF(H566,"16 Remaining Amt. (LCY)")</t>
  </si>
  <si>
    <t>=IF(H567="","Hide","Show")</t>
  </si>
  <si>
    <t>=D566</t>
  </si>
  <si>
    <t>=E566</t>
  </si>
  <si>
    <t>=NF(H567,"Vendor Ledger Entry No.")</t>
  </si>
  <si>
    <t>=NL("Rows","Detailed Vendor Ledg. Entry",,"Vendor Ledger Entry No.","@@"&amp;G566,"Entry Type","&lt;&gt;"&amp;"Initial Entry")</t>
  </si>
  <si>
    <t>=NF($H567,"5 Document Type")</t>
  </si>
  <si>
    <t>=NF($H567,"6 Document No.")</t>
  </si>
  <si>
    <t>=NF($H567,"4 Posting Date")</t>
  </si>
  <si>
    <t>=NF(H567,"10 Currency Code")</t>
  </si>
  <si>
    <t>=IF(NF($H567,"7 Amount")=Q567,0,NF($H567,"7 Amount"))</t>
  </si>
  <si>
    <t>=IF(NF($H567,"16 Debit Amount")=R567,0,NF($H567,"16 Debit Amount"))</t>
  </si>
  <si>
    <t>=NF(H567,"8 Amount (LCY)")</t>
  </si>
  <si>
    <t>=H569</t>
  </si>
  <si>
    <t>=I564</t>
  </si>
  <si>
    <t>=IF(NF(H569,"Entry no.")&lt;&gt;"",NF(H569,"Entry no."),0)</t>
  </si>
  <si>
    <t>="""Business Central"",""CRONUS JetCorp USA"",""25"",""1"",""247698"""</t>
  </si>
  <si>
    <t>=NF(H569,"7 Description")</t>
  </si>
  <si>
    <t>=NF(H569,"6 Document No.")</t>
  </si>
  <si>
    <t>=NF(H569,"37 Due Date")</t>
  </si>
  <si>
    <t>=NF(H569,"4 Posting Date")</t>
  </si>
  <si>
    <t>=NF(H569,"11 Currency code")</t>
  </si>
  <si>
    <t>=IF(NF($H569,"13 Amount")=Q569,0,NF($H569,"13 Amount"))</t>
  </si>
  <si>
    <t>=IF(NF($H569,"14 Remaining Amount")=R569,0,NF($H569,"14 Remaining Amount"))</t>
  </si>
  <si>
    <t>=NF(H569,"17 Amount (LCY)")</t>
  </si>
  <si>
    <t>=NF(H569,"16 Remaining Amt. (LCY)")</t>
  </si>
  <si>
    <t>=IF(H570="","Hide","Show")</t>
  </si>
  <si>
    <t>=D569</t>
  </si>
  <si>
    <t>=E569</t>
  </si>
  <si>
    <t>=NF(H570,"Vendor Ledger Entry No.")</t>
  </si>
  <si>
    <t>=NL("Rows","Detailed Vendor Ledg. Entry",,"Vendor Ledger Entry No.","@@"&amp;G569,"Entry Type","&lt;&gt;"&amp;"Initial Entry")</t>
  </si>
  <si>
    <t>=NF($H570,"5 Document Type")</t>
  </si>
  <si>
    <t>=NF($H570,"6 Document No.")</t>
  </si>
  <si>
    <t>=NF($H570,"4 Posting Date")</t>
  </si>
  <si>
    <t>=NF(H570,"10 Currency Code")</t>
  </si>
  <si>
    <t>=IF(NF($H570,"7 Amount")=Q570,0,NF($H570,"7 Amount"))</t>
  </si>
  <si>
    <t>=IF(NF($H570,"16 Debit Amount")=R570,0,NF($H570,"16 Debit Amount"))</t>
  </si>
  <si>
    <t>=NF(H570,"8 Amount (LCY)")</t>
  </si>
  <si>
    <t>=H572</t>
  </si>
  <si>
    <t>=I567</t>
  </si>
  <si>
    <t>=IF(NF(H572,"Entry no.")&lt;&gt;"",NF(H572,"Entry no."),0)</t>
  </si>
  <si>
    <t>="""Business Central"",""CRONUS JetCorp USA"",""25"",""1"",""247737"""</t>
  </si>
  <si>
    <t>=NF(H572,"7 Description")</t>
  </si>
  <si>
    <t>=NF(H572,"6 Document No.")</t>
  </si>
  <si>
    <t>=NF(H572,"37 Due Date")</t>
  </si>
  <si>
    <t>=NF(H572,"4 Posting Date")</t>
  </si>
  <si>
    <t>=NF(H572,"11 Currency code")</t>
  </si>
  <si>
    <t>=IF(NF($H572,"13 Amount")=Q572,0,NF($H572,"13 Amount"))</t>
  </si>
  <si>
    <t>=IF(NF($H572,"14 Remaining Amount")=R572,0,NF($H572,"14 Remaining Amount"))</t>
  </si>
  <si>
    <t>=NF(H572,"17 Amount (LCY)")</t>
  </si>
  <si>
    <t>=NF(H572,"16 Remaining Amt. (LCY)")</t>
  </si>
  <si>
    <t>=IF(H573="","Hide","Show")</t>
  </si>
  <si>
    <t>=D572</t>
  </si>
  <si>
    <t>=E572</t>
  </si>
  <si>
    <t>=NF(H573,"Vendor Ledger Entry No.")</t>
  </si>
  <si>
    <t>=NL("Rows","Detailed Vendor Ledg. Entry",,"Vendor Ledger Entry No.","@@"&amp;G572,"Entry Type","&lt;&gt;"&amp;"Initial Entry")</t>
  </si>
  <si>
    <t>=NF($H573,"5 Document Type")</t>
  </si>
  <si>
    <t>=NF($H573,"6 Document No.")</t>
  </si>
  <si>
    <t>=NF($H573,"4 Posting Date")</t>
  </si>
  <si>
    <t>=NF(H573,"10 Currency Code")</t>
  </si>
  <si>
    <t>=IF(NF($H573,"7 Amount")=Q573,0,NF($H573,"7 Amount"))</t>
  </si>
  <si>
    <t>=IF(NF($H573,"16 Debit Amount")=R573,0,NF($H573,"16 Debit Amount"))</t>
  </si>
  <si>
    <t>=NF(H573,"8 Amount (LCY)")</t>
  </si>
  <si>
    <t>=H575</t>
  </si>
  <si>
    <t>=I570</t>
  </si>
  <si>
    <t>=IF(NF(H575,"Entry no.")&lt;&gt;"",NF(H575,"Entry no."),0)</t>
  </si>
  <si>
    <t>="""Business Central"",""CRONUS JetCorp USA"",""25"",""1"",""247778"""</t>
  </si>
  <si>
    <t>=NF(H575,"7 Description")</t>
  </si>
  <si>
    <t>=NF(H575,"6 Document No.")</t>
  </si>
  <si>
    <t>=NF(H575,"37 Due Date")</t>
  </si>
  <si>
    <t>=NF(H575,"4 Posting Date")</t>
  </si>
  <si>
    <t>=NF(H575,"11 Currency code")</t>
  </si>
  <si>
    <t>=IF(NF($H575,"13 Amount")=Q575,0,NF($H575,"13 Amount"))</t>
  </si>
  <si>
    <t>=IF(NF($H575,"14 Remaining Amount")=R575,0,NF($H575,"14 Remaining Amount"))</t>
  </si>
  <si>
    <t>=NF(H575,"17 Amount (LCY)")</t>
  </si>
  <si>
    <t>=NF(H575,"16 Remaining Amt. (LCY)")</t>
  </si>
  <si>
    <t>=IF(H576="","Hide","Show")</t>
  </si>
  <si>
    <t>=D575</t>
  </si>
  <si>
    <t>=E575</t>
  </si>
  <si>
    <t>=NF(H576,"Vendor Ledger Entry No.")</t>
  </si>
  <si>
    <t>=NL("Rows","Detailed Vendor Ledg. Entry",,"Vendor Ledger Entry No.","@@"&amp;G575,"Entry Type","&lt;&gt;"&amp;"Initial Entry")</t>
  </si>
  <si>
    <t>=NF($H576,"5 Document Type")</t>
  </si>
  <si>
    <t>=NF($H576,"6 Document No.")</t>
  </si>
  <si>
    <t>=NF($H576,"4 Posting Date")</t>
  </si>
  <si>
    <t>=NF(H576,"10 Currency Code")</t>
  </si>
  <si>
    <t>=IF(NF($H576,"7 Amount")=Q576,0,NF($H576,"7 Amount"))</t>
  </si>
  <si>
    <t>=IF(NF($H576,"16 Debit Amount")=R576,0,NF($H576,"16 Debit Amount"))</t>
  </si>
  <si>
    <t>=NF(H576,"8 Amount (LCY)")</t>
  </si>
  <si>
    <t>=H578</t>
  </si>
  <si>
    <t>=I573</t>
  </si>
  <si>
    <t>=IF(NF(H578,"Entry no.")&lt;&gt;"",NF(H578,"Entry no."),0)</t>
  </si>
  <si>
    <t>="""Business Central"",""CRONUS JetCorp USA"",""25"",""1"",""247815"""</t>
  </si>
  <si>
    <t>=NF(H578,"7 Description")</t>
  </si>
  <si>
    <t>=NF(H578,"6 Document No.")</t>
  </si>
  <si>
    <t>=NF(H578,"37 Due Date")</t>
  </si>
  <si>
    <t>=NF(H578,"4 Posting Date")</t>
  </si>
  <si>
    <t>=NF(H578,"11 Currency code")</t>
  </si>
  <si>
    <t>=IF(NF($H578,"13 Amount")=Q578,0,NF($H578,"13 Amount"))</t>
  </si>
  <si>
    <t>=IF(NF($H578,"14 Remaining Amount")=R578,0,NF($H578,"14 Remaining Amount"))</t>
  </si>
  <si>
    <t>=NF(H578,"17 Amount (LCY)")</t>
  </si>
  <si>
    <t>=NF(H578,"16 Remaining Amt. (LCY)")</t>
  </si>
  <si>
    <t>=IF(H579="","Hide","Show")</t>
  </si>
  <si>
    <t>=D578</t>
  </si>
  <si>
    <t>=E578</t>
  </si>
  <si>
    <t>=NF(H579,"Vendor Ledger Entry No.")</t>
  </si>
  <si>
    <t>=NL("Rows","Detailed Vendor Ledg. Entry",,"Vendor Ledger Entry No.","@@"&amp;G578,"Entry Type","&lt;&gt;"&amp;"Initial Entry")</t>
  </si>
  <si>
    <t>=NF($H579,"5 Document Type")</t>
  </si>
  <si>
    <t>=NF($H579,"6 Document No.")</t>
  </si>
  <si>
    <t>=NF($H579,"4 Posting Date")</t>
  </si>
  <si>
    <t>=NF(H579,"10 Currency Code")</t>
  </si>
  <si>
    <t>=IF(NF($H579,"7 Amount")=Q579,0,NF($H579,"7 Amount"))</t>
  </si>
  <si>
    <t>=IF(NF($H579,"16 Debit Amount")=R579,0,NF($H579,"16 Debit Amount"))</t>
  </si>
  <si>
    <t>=NF(H579,"8 Amount (LCY)")</t>
  </si>
  <si>
    <t>=H581</t>
  </si>
  <si>
    <t>=I576</t>
  </si>
  <si>
    <t>=IF(NF(H581,"Entry no.")&lt;&gt;"",NF(H581,"Entry no."),0)</t>
  </si>
  <si>
    <t>="""Business Central"",""CRONUS JetCorp USA"",""25"",""1"",""247850"""</t>
  </si>
  <si>
    <t>=NF(H581,"7 Description")</t>
  </si>
  <si>
    <t>=NF(H581,"6 Document No.")</t>
  </si>
  <si>
    <t>=NF(H581,"37 Due Date")</t>
  </si>
  <si>
    <t>=NF(H581,"4 Posting Date")</t>
  </si>
  <si>
    <t>=NF(H581,"11 Currency code")</t>
  </si>
  <si>
    <t>=IF(NF($H581,"13 Amount")=Q581,0,NF($H581,"13 Amount"))</t>
  </si>
  <si>
    <t>=IF(NF($H581,"14 Remaining Amount")=R581,0,NF($H581,"14 Remaining Amount"))</t>
  </si>
  <si>
    <t>=NF(H581,"17 Amount (LCY)")</t>
  </si>
  <si>
    <t>=NF(H581,"16 Remaining Amt. (LCY)")</t>
  </si>
  <si>
    <t>=IF(H582="","Hide","Show")</t>
  </si>
  <si>
    <t>=D581</t>
  </si>
  <si>
    <t>=E581</t>
  </si>
  <si>
    <t>=NF(H582,"Vendor Ledger Entry No.")</t>
  </si>
  <si>
    <t>=NL("Rows","Detailed Vendor Ledg. Entry",,"Vendor Ledger Entry No.","@@"&amp;G581,"Entry Type","&lt;&gt;"&amp;"Initial Entry")</t>
  </si>
  <si>
    <t>=NF($H582,"5 Document Type")</t>
  </si>
  <si>
    <t>=NF($H582,"6 Document No.")</t>
  </si>
  <si>
    <t>=NF($H582,"4 Posting Date")</t>
  </si>
  <si>
    <t>=NF(H582,"10 Currency Code")</t>
  </si>
  <si>
    <t>=IF(NF($H582,"7 Amount")=Q582,0,NF($H582,"7 Amount"))</t>
  </si>
  <si>
    <t>=IF(NF($H582,"16 Debit Amount")=R582,0,NF($H582,"16 Debit Amount"))</t>
  </si>
  <si>
    <t>=NF(H582,"8 Amount (LCY)")</t>
  </si>
  <si>
    <t>=H584</t>
  </si>
  <si>
    <t>=I579</t>
  </si>
  <si>
    <t>=IF(NF(H584,"Entry no.")&lt;&gt;"",NF(H584,"Entry no."),0)</t>
  </si>
  <si>
    <t>="""Business Central"",""CRONUS JetCorp USA"",""25"",""1"",""247891"""</t>
  </si>
  <si>
    <t>=NF(H584,"7 Description")</t>
  </si>
  <si>
    <t>=NF(H584,"6 Document No.")</t>
  </si>
  <si>
    <t>=NF(H584,"37 Due Date")</t>
  </si>
  <si>
    <t>=NF(H584,"4 Posting Date")</t>
  </si>
  <si>
    <t>=NF(H584,"11 Currency code")</t>
  </si>
  <si>
    <t>=IF(NF($H584,"13 Amount")=Q584,0,NF($H584,"13 Amount"))</t>
  </si>
  <si>
    <t>=IF(NF($H584,"14 Remaining Amount")=R584,0,NF($H584,"14 Remaining Amount"))</t>
  </si>
  <si>
    <t>=NF(H584,"17 Amount (LCY)")</t>
  </si>
  <si>
    <t>=NF(H584,"16 Remaining Amt. (LCY)")</t>
  </si>
  <si>
    <t>=IF(H585="","Hide","Show")</t>
  </si>
  <si>
    <t>=D584</t>
  </si>
  <si>
    <t>=E584</t>
  </si>
  <si>
    <t>=NF(H585,"Vendor Ledger Entry No.")</t>
  </si>
  <si>
    <t>=NL("Rows","Detailed Vendor Ledg. Entry",,"Vendor Ledger Entry No.","@@"&amp;G584,"Entry Type","&lt;&gt;"&amp;"Initial Entry")</t>
  </si>
  <si>
    <t>=NF($H585,"5 Document Type")</t>
  </si>
  <si>
    <t>=NF($H585,"6 Document No.")</t>
  </si>
  <si>
    <t>=NF($H585,"4 Posting Date")</t>
  </si>
  <si>
    <t>=NF(H585,"10 Currency Code")</t>
  </si>
  <si>
    <t>=IF(NF($H585,"7 Amount")=Q585,0,NF($H585,"7 Amount"))</t>
  </si>
  <si>
    <t>=IF(NF($H585,"16 Debit Amount")=R585,0,NF($H585,"16 Debit Amount"))</t>
  </si>
  <si>
    <t>=NF(H585,"8 Amount (LCY)")</t>
  </si>
  <si>
    <t>=H587</t>
  </si>
  <si>
    <t>=I582</t>
  </si>
  <si>
    <t>=IF(NF(H587,"Entry no.")&lt;&gt;"",NF(H587,"Entry no."),0)</t>
  </si>
  <si>
    <t>="""Business Central"",""CRONUS JetCorp USA"",""25"",""1"",""247930"""</t>
  </si>
  <si>
    <t>=NF(H587,"7 Description")</t>
  </si>
  <si>
    <t>=NF(H587,"6 Document No.")</t>
  </si>
  <si>
    <t>=NF(H587,"37 Due Date")</t>
  </si>
  <si>
    <t>=NF(H587,"4 Posting Date")</t>
  </si>
  <si>
    <t>=NF(H587,"11 Currency code")</t>
  </si>
  <si>
    <t>=IF(NF($H587,"13 Amount")=Q587,0,NF($H587,"13 Amount"))</t>
  </si>
  <si>
    <t>=IF(NF($H587,"14 Remaining Amount")=R587,0,NF($H587,"14 Remaining Amount"))</t>
  </si>
  <si>
    <t>=NF(H587,"17 Amount (LCY)")</t>
  </si>
  <si>
    <t>=NF(H587,"16 Remaining Amt. (LCY)")</t>
  </si>
  <si>
    <t>=IF(H588="","Hide","Show")</t>
  </si>
  <si>
    <t>=D587</t>
  </si>
  <si>
    <t>=E587</t>
  </si>
  <si>
    <t>=NF(H588,"Vendor Ledger Entry No.")</t>
  </si>
  <si>
    <t>=NL("Rows","Detailed Vendor Ledg. Entry",,"Vendor Ledger Entry No.","@@"&amp;G587,"Entry Type","&lt;&gt;"&amp;"Initial Entry")</t>
  </si>
  <si>
    <t>=NF($H588,"5 Document Type")</t>
  </si>
  <si>
    <t>=NF($H588,"6 Document No.")</t>
  </si>
  <si>
    <t>=NF($H588,"4 Posting Date")</t>
  </si>
  <si>
    <t>=NF(H588,"10 Currency Code")</t>
  </si>
  <si>
    <t>=IF(NF($H588,"7 Amount")=Q588,0,NF($H588,"7 Amount"))</t>
  </si>
  <si>
    <t>=IF(NF($H588,"16 Debit Amount")=R588,0,NF($H588,"16 Debit Amount"))</t>
  </si>
  <si>
    <t>=NF(H588,"8 Amount (LCY)")</t>
  </si>
  <si>
    <t>=H590</t>
  </si>
  <si>
    <t>=I585</t>
  </si>
  <si>
    <t>=IF(NF(H590,"Entry no.")&lt;&gt;"",NF(H590,"Entry no."),0)</t>
  </si>
  <si>
    <t>="""Business Central"",""CRONUS JetCorp USA"",""25"",""1"",""247969"""</t>
  </si>
  <si>
    <t>=NF(H590,"7 Description")</t>
  </si>
  <si>
    <t>=NF(H590,"6 Document No.")</t>
  </si>
  <si>
    <t>=NF(H590,"37 Due Date")</t>
  </si>
  <si>
    <t>=NF(H590,"4 Posting Date")</t>
  </si>
  <si>
    <t>=NF(H590,"11 Currency code")</t>
  </si>
  <si>
    <t>=IF(NF($H590,"13 Amount")=Q590,0,NF($H590,"13 Amount"))</t>
  </si>
  <si>
    <t>=IF(NF($H590,"14 Remaining Amount")=R590,0,NF($H590,"14 Remaining Amount"))</t>
  </si>
  <si>
    <t>=NF(H590,"17 Amount (LCY)")</t>
  </si>
  <si>
    <t>=NF(H590,"16 Remaining Amt. (LCY)")</t>
  </si>
  <si>
    <t>=IF(H591="","Hide","Show")</t>
  </si>
  <si>
    <t>=D590</t>
  </si>
  <si>
    <t>=E590</t>
  </si>
  <si>
    <t>=NF(H591,"Vendor Ledger Entry No.")</t>
  </si>
  <si>
    <t>=NL("Rows","Detailed Vendor Ledg. Entry",,"Vendor Ledger Entry No.","@@"&amp;G590,"Entry Type","&lt;&gt;"&amp;"Initial Entry")</t>
  </si>
  <si>
    <t>=NF($H591,"5 Document Type")</t>
  </si>
  <si>
    <t>=NF($H591,"6 Document No.")</t>
  </si>
  <si>
    <t>=NF($H591,"4 Posting Date")</t>
  </si>
  <si>
    <t>=NF(H591,"10 Currency Code")</t>
  </si>
  <si>
    <t>=IF(NF($H591,"7 Amount")=Q591,0,NF($H591,"7 Amount"))</t>
  </si>
  <si>
    <t>=IF(NF($H591,"16 Debit Amount")=R591,0,NF($H591,"16 Debit Amount"))</t>
  </si>
  <si>
    <t>=NF(H591,"8 Amount (LCY)")</t>
  </si>
  <si>
    <t>=H593</t>
  </si>
  <si>
    <t>=I588</t>
  </si>
  <si>
    <t>=IF(NF(H593,"Entry no.")&lt;&gt;"",NF(H593,"Entry no."),0)</t>
  </si>
  <si>
    <t>="""Business Central"",""CRONUS JetCorp USA"",""25"",""1"",""248010"""</t>
  </si>
  <si>
    <t>=NF(H593,"7 Description")</t>
  </si>
  <si>
    <t>=NF(H593,"6 Document No.")</t>
  </si>
  <si>
    <t>=NF(H593,"37 Due Date")</t>
  </si>
  <si>
    <t>=NF(H593,"4 Posting Date")</t>
  </si>
  <si>
    <t>=NF(H593,"11 Currency code")</t>
  </si>
  <si>
    <t>=IF(NF($H593,"13 Amount")=Q593,0,NF($H593,"13 Amount"))</t>
  </si>
  <si>
    <t>=IF(NF($H593,"14 Remaining Amount")=R593,0,NF($H593,"14 Remaining Amount"))</t>
  </si>
  <si>
    <t>=NF(H593,"17 Amount (LCY)")</t>
  </si>
  <si>
    <t>=NF(H593,"16 Remaining Amt. (LCY)")</t>
  </si>
  <si>
    <t>=IF(H594="","Hide","Show")</t>
  </si>
  <si>
    <t>=D593</t>
  </si>
  <si>
    <t>=E593</t>
  </si>
  <si>
    <t>=NF(H594,"Vendor Ledger Entry No.")</t>
  </si>
  <si>
    <t>=NL("Rows","Detailed Vendor Ledg. Entry",,"Vendor Ledger Entry No.","@@"&amp;G593,"Entry Type","&lt;&gt;"&amp;"Initial Entry")</t>
  </si>
  <si>
    <t>=NF($H594,"5 Document Type")</t>
  </si>
  <si>
    <t>=NF($H594,"6 Document No.")</t>
  </si>
  <si>
    <t>=NF($H594,"4 Posting Date")</t>
  </si>
  <si>
    <t>=NF(H594,"10 Currency Code")</t>
  </si>
  <si>
    <t>=IF(NF($H594,"7 Amount")=Q594,0,NF($H594,"7 Amount"))</t>
  </si>
  <si>
    <t>=IF(NF($H594,"16 Debit Amount")=R594,0,NF($H594,"16 Debit Amount"))</t>
  </si>
  <si>
    <t>=NF(H594,"8 Amount (LCY)")</t>
  </si>
  <si>
    <t>=H596</t>
  </si>
  <si>
    <t>=I591</t>
  </si>
  <si>
    <t>=IF(NF(H596,"Entry no.")&lt;&gt;"",NF(H596,"Entry no."),0)</t>
  </si>
  <si>
    <t>="""Business Central"",""CRONUS JetCorp USA"",""25"",""1"",""248051"""</t>
  </si>
  <si>
    <t>=NF(H596,"7 Description")</t>
  </si>
  <si>
    <t>=NF(H596,"6 Document No.")</t>
  </si>
  <si>
    <t>=NF(H596,"37 Due Date")</t>
  </si>
  <si>
    <t>=NF(H596,"4 Posting Date")</t>
  </si>
  <si>
    <t>=NF(H596,"11 Currency code")</t>
  </si>
  <si>
    <t>=IF(NF($H596,"13 Amount")=Q596,0,NF($H596,"13 Amount"))</t>
  </si>
  <si>
    <t>=IF(NF($H596,"14 Remaining Amount")=R596,0,NF($H596,"14 Remaining Amount"))</t>
  </si>
  <si>
    <t>=NF(H596,"17 Amount (LCY)")</t>
  </si>
  <si>
    <t>=NF(H596,"16 Remaining Amt. (LCY)")</t>
  </si>
  <si>
    <t>=IF(H597="","Hide","Show")</t>
  </si>
  <si>
    <t>=D596</t>
  </si>
  <si>
    <t>=E596</t>
  </si>
  <si>
    <t>=NF(H597,"Vendor Ledger Entry No.")</t>
  </si>
  <si>
    <t>=NL("Rows","Detailed Vendor Ledg. Entry",,"Vendor Ledger Entry No.","@@"&amp;G596,"Entry Type","&lt;&gt;"&amp;"Initial Entry")</t>
  </si>
  <si>
    <t>=NF($H597,"5 Document Type")</t>
  </si>
  <si>
    <t>=NF($H597,"6 Document No.")</t>
  </si>
  <si>
    <t>=NF($H597,"4 Posting Date")</t>
  </si>
  <si>
    <t>=NF(H597,"10 Currency Code")</t>
  </si>
  <si>
    <t>=IF(NF($H597,"7 Amount")=Q597,0,NF($H597,"7 Amount"))</t>
  </si>
  <si>
    <t>=IF(NF($H597,"16 Debit Amount")=R597,0,NF($H597,"16 Debit Amount"))</t>
  </si>
  <si>
    <t>=NF(H597,"8 Amount (LCY)")</t>
  </si>
  <si>
    <t>=H599</t>
  </si>
  <si>
    <t>=I594</t>
  </si>
  <si>
    <t>=IF(NF(H599,"Entry no.")&lt;&gt;"",NF(H599,"Entry no."),0)</t>
  </si>
  <si>
    <t>="""Business Central"",""CRONUS JetCorp USA"",""25"",""1"",""248088"""</t>
  </si>
  <si>
    <t>=NF(H599,"7 Description")</t>
  </si>
  <si>
    <t>=NF(H599,"6 Document No.")</t>
  </si>
  <si>
    <t>=NF(H599,"37 Due Date")</t>
  </si>
  <si>
    <t>=NF(H599,"4 Posting Date")</t>
  </si>
  <si>
    <t>=NF(H599,"11 Currency code")</t>
  </si>
  <si>
    <t>=IF(NF($H599,"13 Amount")=Q599,0,NF($H599,"13 Amount"))</t>
  </si>
  <si>
    <t>=IF(NF($H599,"14 Remaining Amount")=R599,0,NF($H599,"14 Remaining Amount"))</t>
  </si>
  <si>
    <t>=NF(H599,"17 Amount (LCY)")</t>
  </si>
  <si>
    <t>=NF(H599,"16 Remaining Amt. (LCY)")</t>
  </si>
  <si>
    <t>=IF(H600="","Hide","Show")</t>
  </si>
  <si>
    <t>=D599</t>
  </si>
  <si>
    <t>=E599</t>
  </si>
  <si>
    <t>=NF(H600,"Vendor Ledger Entry No.")</t>
  </si>
  <si>
    <t>=NL("Rows","Detailed Vendor Ledg. Entry",,"Vendor Ledger Entry No.","@@"&amp;G599,"Entry Type","&lt;&gt;"&amp;"Initial Entry")</t>
  </si>
  <si>
    <t>=NF($H600,"5 Document Type")</t>
  </si>
  <si>
    <t>=NF($H600,"6 Document No.")</t>
  </si>
  <si>
    <t>=NF($H600,"4 Posting Date")</t>
  </si>
  <si>
    <t>=NF(H600,"10 Currency Code")</t>
  </si>
  <si>
    <t>=IF(NF($H600,"7 Amount")=Q600,0,NF($H600,"7 Amount"))</t>
  </si>
  <si>
    <t>=IF(NF($H600,"16 Debit Amount")=R600,0,NF($H600,"16 Debit Amount"))</t>
  </si>
  <si>
    <t>=NF(H600,"8 Amount (LCY)")</t>
  </si>
  <si>
    <t>=H602</t>
  </si>
  <si>
    <t>=I597</t>
  </si>
  <si>
    <t>=IF(NF(H602,"Entry no.")&lt;&gt;"",NF(H602,"Entry no."),0)</t>
  </si>
  <si>
    <t>="""Business Central"",""CRONUS JetCorp USA"",""25"",""1"",""248129"""</t>
  </si>
  <si>
    <t>=NF(H602,"7 Description")</t>
  </si>
  <si>
    <t>=NF(H602,"6 Document No.")</t>
  </si>
  <si>
    <t>=NF(H602,"37 Due Date")</t>
  </si>
  <si>
    <t>=NF(H602,"4 Posting Date")</t>
  </si>
  <si>
    <t>=NF(H602,"11 Currency code")</t>
  </si>
  <si>
    <t>=IF(NF($H602,"13 Amount")=Q602,0,NF($H602,"13 Amount"))</t>
  </si>
  <si>
    <t>=IF(NF($H602,"14 Remaining Amount")=R602,0,NF($H602,"14 Remaining Amount"))</t>
  </si>
  <si>
    <t>=NF(H602,"17 Amount (LCY)")</t>
  </si>
  <si>
    <t>=NF(H602,"16 Remaining Amt. (LCY)")</t>
  </si>
  <si>
    <t>=IF(H603="","Hide","Show")</t>
  </si>
  <si>
    <t>=D602</t>
  </si>
  <si>
    <t>=E602</t>
  </si>
  <si>
    <t>=NF(H603,"Vendor Ledger Entry No.")</t>
  </si>
  <si>
    <t>=NL("Rows","Detailed Vendor Ledg. Entry",,"Vendor Ledger Entry No.","@@"&amp;G602,"Entry Type","&lt;&gt;"&amp;"Initial Entry")</t>
  </si>
  <si>
    <t>=NF($H603,"5 Document Type")</t>
  </si>
  <si>
    <t>=NF($H603,"6 Document No.")</t>
  </si>
  <si>
    <t>=NF($H603,"4 Posting Date")</t>
  </si>
  <si>
    <t>=NF(H603,"10 Currency Code")</t>
  </si>
  <si>
    <t>=IF(NF($H603,"7 Amount")=Q603,0,NF($H603,"7 Amount"))</t>
  </si>
  <si>
    <t>=IF(NF($H603,"16 Debit Amount")=R603,0,NF($H603,"16 Debit Amount"))</t>
  </si>
  <si>
    <t>=NF(H603,"8 Amount (LCY)")</t>
  </si>
  <si>
    <t>=H605</t>
  </si>
  <si>
    <t>=I600</t>
  </si>
  <si>
    <t>=IF(NF(H605,"Entry no.")&lt;&gt;"",NF(H605,"Entry no."),0)</t>
  </si>
  <si>
    <t>="""Business Central"",""CRONUS JetCorp USA"",""25"",""1"",""248170"""</t>
  </si>
  <si>
    <t>=NF(H605,"7 Description")</t>
  </si>
  <si>
    <t>=NF(H605,"6 Document No.")</t>
  </si>
  <si>
    <t>=NF(H605,"37 Due Date")</t>
  </si>
  <si>
    <t>=NF(H605,"4 Posting Date")</t>
  </si>
  <si>
    <t>=NF(H605,"11 Currency code")</t>
  </si>
  <si>
    <t>=IF(NF($H605,"13 Amount")=Q605,0,NF($H605,"13 Amount"))</t>
  </si>
  <si>
    <t>=IF(NF($H605,"14 Remaining Amount")=R605,0,NF($H605,"14 Remaining Amount"))</t>
  </si>
  <si>
    <t>=NF(H605,"17 Amount (LCY)")</t>
  </si>
  <si>
    <t>=NF(H605,"16 Remaining Amt. (LCY)")</t>
  </si>
  <si>
    <t>=IF(H606="","Hide","Show")</t>
  </si>
  <si>
    <t>=D605</t>
  </si>
  <si>
    <t>=E605</t>
  </si>
  <si>
    <t>=NF(H606,"Vendor Ledger Entry No.")</t>
  </si>
  <si>
    <t>=NL("Rows","Detailed Vendor Ledg. Entry",,"Vendor Ledger Entry No.","@@"&amp;G605,"Entry Type","&lt;&gt;"&amp;"Initial Entry")</t>
  </si>
  <si>
    <t>=NF($H606,"5 Document Type")</t>
  </si>
  <si>
    <t>=NF($H606,"6 Document No.")</t>
  </si>
  <si>
    <t>=NF($H606,"4 Posting Date")</t>
  </si>
  <si>
    <t>=NF(H606,"10 Currency Code")</t>
  </si>
  <si>
    <t>=IF(NF($H606,"7 Amount")=Q606,0,NF($H606,"7 Amount"))</t>
  </si>
  <si>
    <t>=IF(NF($H606,"16 Debit Amount")=R606,0,NF($H606,"16 Debit Amount"))</t>
  </si>
  <si>
    <t>=NF(H606,"8 Amount (LCY)")</t>
  </si>
  <si>
    <t>=H608</t>
  </si>
  <si>
    <t>=I603</t>
  </si>
  <si>
    <t>=IF(NF(H608,"Entry no.")&lt;&gt;"",NF(H608,"Entry no."),0)</t>
  </si>
  <si>
    <t>="""Business Central"",""CRONUS JetCorp USA"",""25"",""1"",""248207"""</t>
  </si>
  <si>
    <t>=NF(H608,"7 Description")</t>
  </si>
  <si>
    <t>=NF(H608,"6 Document No.")</t>
  </si>
  <si>
    <t>=NF(H608,"37 Due Date")</t>
  </si>
  <si>
    <t>=NF(H608,"4 Posting Date")</t>
  </si>
  <si>
    <t>=NF(H608,"11 Currency code")</t>
  </si>
  <si>
    <t>=IF(NF($H608,"13 Amount")=Q608,0,NF($H608,"13 Amount"))</t>
  </si>
  <si>
    <t>=IF(NF($H608,"14 Remaining Amount")=R608,0,NF($H608,"14 Remaining Amount"))</t>
  </si>
  <si>
    <t>=NF(H608,"17 Amount (LCY)")</t>
  </si>
  <si>
    <t>=NF(H608,"16 Remaining Amt. (LCY)")</t>
  </si>
  <si>
    <t>=IF(H609="","Hide","Show")</t>
  </si>
  <si>
    <t>=D608</t>
  </si>
  <si>
    <t>=E608</t>
  </si>
  <si>
    <t>=NF(H609,"Vendor Ledger Entry No.")</t>
  </si>
  <si>
    <t>=NL("Rows","Detailed Vendor Ledg. Entry",,"Vendor Ledger Entry No.","@@"&amp;G608,"Entry Type","&lt;&gt;"&amp;"Initial Entry")</t>
  </si>
  <si>
    <t>=NF($H609,"5 Document Type")</t>
  </si>
  <si>
    <t>=NF($H609,"6 Document No.")</t>
  </si>
  <si>
    <t>=NF($H609,"4 Posting Date")</t>
  </si>
  <si>
    <t>=NF(H609,"10 Currency Code")</t>
  </si>
  <si>
    <t>=IF(NF($H609,"7 Amount")=Q609,0,NF($H609,"7 Amount"))</t>
  </si>
  <si>
    <t>=IF(NF($H609,"16 Debit Amount")=R609,0,NF($H609,"16 Debit Amount"))</t>
  </si>
  <si>
    <t>=NF(H609,"8 Amount (LCY)")</t>
  </si>
  <si>
    <t>=H611</t>
  </si>
  <si>
    <t>=I606</t>
  </si>
  <si>
    <t>=IF(NF(H611,"Entry no.")&lt;&gt;"",NF(H611,"Entry no."),0)</t>
  </si>
  <si>
    <t>="""Business Central"",""CRONUS JetCorp USA"",""25"",""1"",""248248"""</t>
  </si>
  <si>
    <t>=NF(H611,"7 Description")</t>
  </si>
  <si>
    <t>=NF(H611,"6 Document No.")</t>
  </si>
  <si>
    <t>=NF(H611,"37 Due Date")</t>
  </si>
  <si>
    <t>=NF(H611,"4 Posting Date")</t>
  </si>
  <si>
    <t>=NF(H611,"11 Currency code")</t>
  </si>
  <si>
    <t>=IF(NF($H611,"13 Amount")=Q611,0,NF($H611,"13 Amount"))</t>
  </si>
  <si>
    <t>=IF(NF($H611,"14 Remaining Amount")=R611,0,NF($H611,"14 Remaining Amount"))</t>
  </si>
  <si>
    <t>=NF(H611,"17 Amount (LCY)")</t>
  </si>
  <si>
    <t>=NF(H611,"16 Remaining Amt. (LCY)")</t>
  </si>
  <si>
    <t>=IF(H612="","Hide","Show")</t>
  </si>
  <si>
    <t>=D611</t>
  </si>
  <si>
    <t>=E611</t>
  </si>
  <si>
    <t>=NF(H612,"Vendor Ledger Entry No.")</t>
  </si>
  <si>
    <t>=NL("Rows","Detailed Vendor Ledg. Entry",,"Vendor Ledger Entry No.","@@"&amp;G611,"Entry Type","&lt;&gt;"&amp;"Initial Entry")</t>
  </si>
  <si>
    <t>=NF($H612,"5 Document Type")</t>
  </si>
  <si>
    <t>=NF($H612,"6 Document No.")</t>
  </si>
  <si>
    <t>=NF($H612,"4 Posting Date")</t>
  </si>
  <si>
    <t>=NF(H612,"10 Currency Code")</t>
  </si>
  <si>
    <t>=IF(NF($H612,"7 Amount")=Q612,0,NF($H612,"7 Amount"))</t>
  </si>
  <si>
    <t>=IF(NF($H612,"16 Debit Amount")=R612,0,NF($H612,"16 Debit Amount"))</t>
  </si>
  <si>
    <t>=NF(H612,"8 Amount (LCY)")</t>
  </si>
  <si>
    <t>=H614</t>
  </si>
  <si>
    <t>=I609</t>
  </si>
  <si>
    <t>=IF(NF(H614,"Entry no.")&lt;&gt;"",NF(H614,"Entry no."),0)</t>
  </si>
  <si>
    <t>="""Business Central"",""CRONUS JetCorp USA"",""25"",""1"",""248289"""</t>
  </si>
  <si>
    <t>=NF(H614,"7 Description")</t>
  </si>
  <si>
    <t>=NF(H614,"6 Document No.")</t>
  </si>
  <si>
    <t>=NF(H614,"37 Due Date")</t>
  </si>
  <si>
    <t>=NF(H614,"4 Posting Date")</t>
  </si>
  <si>
    <t>=NF(H614,"11 Currency code")</t>
  </si>
  <si>
    <t>=IF(NF($H614,"13 Amount")=Q614,0,NF($H614,"13 Amount"))</t>
  </si>
  <si>
    <t>=IF(NF($H614,"14 Remaining Amount")=R614,0,NF($H614,"14 Remaining Amount"))</t>
  </si>
  <si>
    <t>=NF(H614,"17 Amount (LCY)")</t>
  </si>
  <si>
    <t>=NF(H614,"16 Remaining Amt. (LCY)")</t>
  </si>
  <si>
    <t>=IF(H615="","Hide","Show")</t>
  </si>
  <si>
    <t>=D614</t>
  </si>
  <si>
    <t>=E614</t>
  </si>
  <si>
    <t>=NF(H615,"Vendor Ledger Entry No.")</t>
  </si>
  <si>
    <t>=NL("Rows","Detailed Vendor Ledg. Entry",,"Vendor Ledger Entry No.","@@"&amp;G614,"Entry Type","&lt;&gt;"&amp;"Initial Entry")</t>
  </si>
  <si>
    <t>=NF($H615,"5 Document Type")</t>
  </si>
  <si>
    <t>=NF($H615,"6 Document No.")</t>
  </si>
  <si>
    <t>=NF($H615,"4 Posting Date")</t>
  </si>
  <si>
    <t>=NF(H615,"10 Currency Code")</t>
  </si>
  <si>
    <t>=IF(NF($H615,"7 Amount")=Q615,0,NF($H615,"7 Amount"))</t>
  </si>
  <si>
    <t>=IF(NF($H615,"16 Debit Amount")=R615,0,NF($H615,"16 Debit Amount"))</t>
  </si>
  <si>
    <t>=NF(H615,"8 Amount (LCY)")</t>
  </si>
  <si>
    <t>=H617</t>
  </si>
  <si>
    <t>=I612</t>
  </si>
  <si>
    <t>=IF(NF(H617,"Entry no.")&lt;&gt;"",NF(H617,"Entry no."),0)</t>
  </si>
  <si>
    <t>="""Business Central"",""CRONUS JetCorp USA"",""25"",""1"",""248328"""</t>
  </si>
  <si>
    <t>=NF(H617,"7 Description")</t>
  </si>
  <si>
    <t>=NF(H617,"6 Document No.")</t>
  </si>
  <si>
    <t>=NF(H617,"37 Due Date")</t>
  </si>
  <si>
    <t>=NF(H617,"4 Posting Date")</t>
  </si>
  <si>
    <t>=NF(H617,"11 Currency code")</t>
  </si>
  <si>
    <t>=IF(NF($H617,"13 Amount")=Q617,0,NF($H617,"13 Amount"))</t>
  </si>
  <si>
    <t>=IF(NF($H617,"14 Remaining Amount")=R617,0,NF($H617,"14 Remaining Amount"))</t>
  </si>
  <si>
    <t>=NF(H617,"17 Amount (LCY)")</t>
  </si>
  <si>
    <t>=NF(H617,"16 Remaining Amt. (LCY)")</t>
  </si>
  <si>
    <t>=IF(H618="","Hide","Show")</t>
  </si>
  <si>
    <t>=D617</t>
  </si>
  <si>
    <t>=E617</t>
  </si>
  <si>
    <t>=NF(H618,"Vendor Ledger Entry No.")</t>
  </si>
  <si>
    <t>=NL("Rows","Detailed Vendor Ledg. Entry",,"Vendor Ledger Entry No.","@@"&amp;G617,"Entry Type","&lt;&gt;"&amp;"Initial Entry")</t>
  </si>
  <si>
    <t>=NF($H618,"5 Document Type")</t>
  </si>
  <si>
    <t>=NF($H618,"6 Document No.")</t>
  </si>
  <si>
    <t>=NF($H618,"4 Posting Date")</t>
  </si>
  <si>
    <t>=NF(H618,"10 Currency Code")</t>
  </si>
  <si>
    <t>=IF(NF($H618,"7 Amount")=Q618,0,NF($H618,"7 Amount"))</t>
  </si>
  <si>
    <t>=IF(NF($H618,"16 Debit Amount")=R618,0,NF($H618,"16 Debit Amount"))</t>
  </si>
  <si>
    <t>=NF(H618,"8 Amount (LCY)")</t>
  </si>
  <si>
    <t>=H620</t>
  </si>
  <si>
    <t>=I615</t>
  </si>
  <si>
    <t>=IF(NF(H620,"Entry no.")&lt;&gt;"",NF(H620,"Entry no."),0)</t>
  </si>
  <si>
    <t>="""Business Central"",""CRONUS JetCorp USA"",""25"",""1"",""248369"""</t>
  </si>
  <si>
    <t>=NF(H620,"7 Description")</t>
  </si>
  <si>
    <t>=NF(H620,"6 Document No.")</t>
  </si>
  <si>
    <t>=NF(H620,"37 Due Date")</t>
  </si>
  <si>
    <t>=NF(H620,"4 Posting Date")</t>
  </si>
  <si>
    <t>=NF(H620,"11 Currency code")</t>
  </si>
  <si>
    <t>=IF(NF($H620,"13 Amount")=Q620,0,NF($H620,"13 Amount"))</t>
  </si>
  <si>
    <t>=IF(NF($H620,"14 Remaining Amount")=R620,0,NF($H620,"14 Remaining Amount"))</t>
  </si>
  <si>
    <t>=NF(H620,"17 Amount (LCY)")</t>
  </si>
  <si>
    <t>=NF(H620,"16 Remaining Amt. (LCY)")</t>
  </si>
  <si>
    <t>=IF(H621="","Hide","Show")</t>
  </si>
  <si>
    <t>=D620</t>
  </si>
  <si>
    <t>=E620</t>
  </si>
  <si>
    <t>=NF(H621,"Vendor Ledger Entry No.")</t>
  </si>
  <si>
    <t>=NL("Rows","Detailed Vendor Ledg. Entry",,"Vendor Ledger Entry No.","@@"&amp;G620,"Entry Type","&lt;&gt;"&amp;"Initial Entry")</t>
  </si>
  <si>
    <t>=NF($H621,"5 Document Type")</t>
  </si>
  <si>
    <t>=NF($H621,"6 Document No.")</t>
  </si>
  <si>
    <t>=NF($H621,"4 Posting Date")</t>
  </si>
  <si>
    <t>=NF(H621,"10 Currency Code")</t>
  </si>
  <si>
    <t>=IF(NF($H621,"7 Amount")=Q621,0,NF($H621,"7 Amount"))</t>
  </si>
  <si>
    <t>=IF(NF($H621,"16 Debit Amount")=R621,0,NF($H621,"16 Debit Amount"))</t>
  </si>
  <si>
    <t>=NF(H621,"8 Amount (LCY)")</t>
  </si>
  <si>
    <t>=H623</t>
  </si>
  <si>
    <t>=I618</t>
  </si>
  <si>
    <t>=IF(NF(H623,"Entry no.")&lt;&gt;"",NF(H623,"Entry no."),0)</t>
  </si>
  <si>
    <t>="""Business Central"",""CRONUS JetCorp USA"",""25"",""1"",""248410"""</t>
  </si>
  <si>
    <t>=NF(H623,"7 Description")</t>
  </si>
  <si>
    <t>=NF(H623,"6 Document No.")</t>
  </si>
  <si>
    <t>=NF(H623,"37 Due Date")</t>
  </si>
  <si>
    <t>=NF(H623,"4 Posting Date")</t>
  </si>
  <si>
    <t>=NF(H623,"11 Currency code")</t>
  </si>
  <si>
    <t>=IF(NF($H623,"13 Amount")=Q623,0,NF($H623,"13 Amount"))</t>
  </si>
  <si>
    <t>=IF(NF($H623,"14 Remaining Amount")=R623,0,NF($H623,"14 Remaining Amount"))</t>
  </si>
  <si>
    <t>=NF(H623,"17 Amount (LCY)")</t>
  </si>
  <si>
    <t>=NF(H623,"16 Remaining Amt. (LCY)")</t>
  </si>
  <si>
    <t>=IF(H624="","Hide","Show")</t>
  </si>
  <si>
    <t>=D623</t>
  </si>
  <si>
    <t>=E623</t>
  </si>
  <si>
    <t>=NF(H624,"Vendor Ledger Entry No.")</t>
  </si>
  <si>
    <t>=NL("Rows","Detailed Vendor Ledg. Entry",,"Vendor Ledger Entry No.","@@"&amp;G623,"Entry Type","&lt;&gt;"&amp;"Initial Entry")</t>
  </si>
  <si>
    <t>=NF($H624,"5 Document Type")</t>
  </si>
  <si>
    <t>=NF($H624,"6 Document No.")</t>
  </si>
  <si>
    <t>=NF($H624,"4 Posting Date")</t>
  </si>
  <si>
    <t>=NF(H624,"10 Currency Code")</t>
  </si>
  <si>
    <t>=IF(NF($H624,"7 Amount")=Q624,0,NF($H624,"7 Amount"))</t>
  </si>
  <si>
    <t>=IF(NF($H624,"16 Debit Amount")=R624,0,NF($H624,"16 Debit Amount"))</t>
  </si>
  <si>
    <t>=NF(H624,"8 Amount (LCY)")</t>
  </si>
  <si>
    <t>=H626</t>
  </si>
  <si>
    <t>=I621</t>
  </si>
  <si>
    <t>=IF(NF(H626,"Entry no.")&lt;&gt;"",NF(H626,"Entry no."),0)</t>
  </si>
  <si>
    <t>="""Business Central"",""CRONUS JetCorp USA"",""25"",""1"",""248451"""</t>
  </si>
  <si>
    <t>=NF(H626,"7 Description")</t>
  </si>
  <si>
    <t>=NF(H626,"6 Document No.")</t>
  </si>
  <si>
    <t>=NF(H626,"37 Due Date")</t>
  </si>
  <si>
    <t>=NF(H626,"4 Posting Date")</t>
  </si>
  <si>
    <t>=NF(H626,"11 Currency code")</t>
  </si>
  <si>
    <t>=IF(NF($H626,"13 Amount")=Q626,0,NF($H626,"13 Amount"))</t>
  </si>
  <si>
    <t>=IF(NF($H626,"14 Remaining Amount")=R626,0,NF($H626,"14 Remaining Amount"))</t>
  </si>
  <si>
    <t>=NF(H626,"17 Amount (LCY)")</t>
  </si>
  <si>
    <t>=NF(H626,"16 Remaining Amt. (LCY)")</t>
  </si>
  <si>
    <t>=IF(H627="","Hide","Show")</t>
  </si>
  <si>
    <t>=D626</t>
  </si>
  <si>
    <t>=E626</t>
  </si>
  <si>
    <t>=NF(H627,"Vendor Ledger Entry No.")</t>
  </si>
  <si>
    <t>=NL("Rows","Detailed Vendor Ledg. Entry",,"Vendor Ledger Entry No.","@@"&amp;G626,"Entry Type","&lt;&gt;"&amp;"Initial Entry")</t>
  </si>
  <si>
    <t>=NF($H627,"5 Document Type")</t>
  </si>
  <si>
    <t>=NF($H627,"6 Document No.")</t>
  </si>
  <si>
    <t>=NF($H627,"4 Posting Date")</t>
  </si>
  <si>
    <t>=NF(H627,"10 Currency Code")</t>
  </si>
  <si>
    <t>=IF(NF($H627,"7 Amount")=Q627,0,NF($H627,"7 Amount"))</t>
  </si>
  <si>
    <t>=IF(NF($H627,"16 Debit Amount")=R627,0,NF($H627,"16 Debit Amount"))</t>
  </si>
  <si>
    <t>=NF(H627,"8 Amount (LCY)")</t>
  </si>
  <si>
    <t>=H629</t>
  </si>
  <si>
    <t>=I624</t>
  </si>
  <si>
    <t>=IF(NF(H629,"Entry no.")&lt;&gt;"",NF(H629,"Entry no."),0)</t>
  </si>
  <si>
    <t>="""Business Central"",""CRONUS JetCorp USA"",""25"",""1"",""248492"""</t>
  </si>
  <si>
    <t>=NF(H629,"7 Description")</t>
  </si>
  <si>
    <t>=NF(H629,"6 Document No.")</t>
  </si>
  <si>
    <t>=NF(H629,"37 Due Date")</t>
  </si>
  <si>
    <t>=NF(H629,"4 Posting Date")</t>
  </si>
  <si>
    <t>=NF(H629,"11 Currency code")</t>
  </si>
  <si>
    <t>=IF(NF($H629,"13 Amount")=Q629,0,NF($H629,"13 Amount"))</t>
  </si>
  <si>
    <t>=IF(NF($H629,"14 Remaining Amount")=R629,0,NF($H629,"14 Remaining Amount"))</t>
  </si>
  <si>
    <t>=NF(H629,"17 Amount (LCY)")</t>
  </si>
  <si>
    <t>=NF(H629,"16 Remaining Amt. (LCY)")</t>
  </si>
  <si>
    <t>=IF(H630="","Hide","Show")</t>
  </si>
  <si>
    <t>=D629</t>
  </si>
  <si>
    <t>=E629</t>
  </si>
  <si>
    <t>=NF(H630,"Vendor Ledger Entry No.")</t>
  </si>
  <si>
    <t>=NL("Rows","Detailed Vendor Ledg. Entry",,"Vendor Ledger Entry No.","@@"&amp;G629,"Entry Type","&lt;&gt;"&amp;"Initial Entry")</t>
  </si>
  <si>
    <t>=NF($H630,"5 Document Type")</t>
  </si>
  <si>
    <t>=NF($H630,"6 Document No.")</t>
  </si>
  <si>
    <t>=NF($H630,"4 Posting Date")</t>
  </si>
  <si>
    <t>=NF(H630,"10 Currency Code")</t>
  </si>
  <si>
    <t>=IF(NF($H630,"7 Amount")=Q630,0,NF($H630,"7 Amount"))</t>
  </si>
  <si>
    <t>=IF(NF($H630,"16 Debit Amount")=R630,0,NF($H630,"16 Debit Amount"))</t>
  </si>
  <si>
    <t>=NF(H630,"8 Amount (LCY)")</t>
  </si>
  <si>
    <t>=H632</t>
  </si>
  <si>
    <t>=I627</t>
  </si>
  <si>
    <t>=IF(NF(H632,"Entry no.")&lt;&gt;"",NF(H632,"Entry no."),0)</t>
  </si>
  <si>
    <t>="""Business Central"",""CRONUS JetCorp USA"",""25"",""1"",""248531"""</t>
  </si>
  <si>
    <t>=NF(H632,"7 Description")</t>
  </si>
  <si>
    <t>=NF(H632,"6 Document No.")</t>
  </si>
  <si>
    <t>=NF(H632,"37 Due Date")</t>
  </si>
  <si>
    <t>=NF(H632,"4 Posting Date")</t>
  </si>
  <si>
    <t>=NF(H632,"11 Currency code")</t>
  </si>
  <si>
    <t>=IF(NF($H632,"13 Amount")=Q632,0,NF($H632,"13 Amount"))</t>
  </si>
  <si>
    <t>=IF(NF($H632,"14 Remaining Amount")=R632,0,NF($H632,"14 Remaining Amount"))</t>
  </si>
  <si>
    <t>=NF(H632,"17 Amount (LCY)")</t>
  </si>
  <si>
    <t>=NF(H632,"16 Remaining Amt. (LCY)")</t>
  </si>
  <si>
    <t>=IF(H633="","Hide","Show")</t>
  </si>
  <si>
    <t>=D632</t>
  </si>
  <si>
    <t>=E632</t>
  </si>
  <si>
    <t>=NF(H633,"Vendor Ledger Entry No.")</t>
  </si>
  <si>
    <t>=NL("Rows","Detailed Vendor Ledg. Entry",,"Vendor Ledger Entry No.","@@"&amp;G632,"Entry Type","&lt;&gt;"&amp;"Initial Entry")</t>
  </si>
  <si>
    <t>=NF($H633,"5 Document Type")</t>
  </si>
  <si>
    <t>=NF($H633,"6 Document No.")</t>
  </si>
  <si>
    <t>=NF($H633,"4 Posting Date")</t>
  </si>
  <si>
    <t>=NF(H633,"10 Currency Code")</t>
  </si>
  <si>
    <t>=IF(NF($H633,"7 Amount")=Q633,0,NF($H633,"7 Amount"))</t>
  </si>
  <si>
    <t>=IF(NF($H633,"16 Debit Amount")=R633,0,NF($H633,"16 Debit Amount"))</t>
  </si>
  <si>
    <t>=NF(H633,"8 Amount (LCY)")</t>
  </si>
  <si>
    <t>=H635</t>
  </si>
  <si>
    <t>=I630</t>
  </si>
  <si>
    <t>=IF(NF(H635,"Entry no.")&lt;&gt;"",NF(H635,"Entry no."),0)</t>
  </si>
  <si>
    <t>="""Business Central"",""CRONUS JetCorp USA"",""25"",""1"",""248572"""</t>
  </si>
  <si>
    <t>=NF(H635,"7 Description")</t>
  </si>
  <si>
    <t>=NF(H635,"6 Document No.")</t>
  </si>
  <si>
    <t>=NF(H635,"37 Due Date")</t>
  </si>
  <si>
    <t>=NF(H635,"4 Posting Date")</t>
  </si>
  <si>
    <t>=NF(H635,"11 Currency code")</t>
  </si>
  <si>
    <t>=IF(NF($H635,"13 Amount")=Q635,0,NF($H635,"13 Amount"))</t>
  </si>
  <si>
    <t>=IF(NF($H635,"14 Remaining Amount")=R635,0,NF($H635,"14 Remaining Amount"))</t>
  </si>
  <si>
    <t>=NF(H635,"17 Amount (LCY)")</t>
  </si>
  <si>
    <t>=NF(H635,"16 Remaining Amt. (LCY)")</t>
  </si>
  <si>
    <t>=IF(H636="","Hide","Show")</t>
  </si>
  <si>
    <t>=D635</t>
  </si>
  <si>
    <t>=E635</t>
  </si>
  <si>
    <t>=NF(H636,"Vendor Ledger Entry No.")</t>
  </si>
  <si>
    <t>=NL("Rows","Detailed Vendor Ledg. Entry",,"Vendor Ledger Entry No.","@@"&amp;G635,"Entry Type","&lt;&gt;"&amp;"Initial Entry")</t>
  </si>
  <si>
    <t>=NF($H636,"5 Document Type")</t>
  </si>
  <si>
    <t>=NF($H636,"6 Document No.")</t>
  </si>
  <si>
    <t>=NF($H636,"4 Posting Date")</t>
  </si>
  <si>
    <t>=NF(H636,"10 Currency Code")</t>
  </si>
  <si>
    <t>=IF(NF($H636,"7 Amount")=Q636,0,NF($H636,"7 Amount"))</t>
  </si>
  <si>
    <t>=IF(NF($H636,"16 Debit Amount")=R636,0,NF($H636,"16 Debit Amount"))</t>
  </si>
  <si>
    <t>=NF(H636,"8 Amount (LCY)")</t>
  </si>
  <si>
    <t>=H638</t>
  </si>
  <si>
    <t>=I633</t>
  </si>
  <si>
    <t>=IF(NF(H638,"Entry no.")&lt;&gt;"",NF(H638,"Entry no."),0)</t>
  </si>
  <si>
    <t>="""Business Central"",""CRONUS JetCorp USA"",""25"",""1"",""248613"""</t>
  </si>
  <si>
    <t>=NF(H638,"7 Description")</t>
  </si>
  <si>
    <t>=NF(H638,"6 Document No.")</t>
  </si>
  <si>
    <t>=NF(H638,"37 Due Date")</t>
  </si>
  <si>
    <t>=NF(H638,"4 Posting Date")</t>
  </si>
  <si>
    <t>=NF(H638,"11 Currency code")</t>
  </si>
  <si>
    <t>=IF(NF($H638,"13 Amount")=Q638,0,NF($H638,"13 Amount"))</t>
  </si>
  <si>
    <t>=IF(NF($H638,"14 Remaining Amount")=R638,0,NF($H638,"14 Remaining Amount"))</t>
  </si>
  <si>
    <t>=NF(H638,"17 Amount (LCY)")</t>
  </si>
  <si>
    <t>=NF(H638,"16 Remaining Amt. (LCY)")</t>
  </si>
  <si>
    <t>=IF(H639="","Hide","Show")</t>
  </si>
  <si>
    <t>=D638</t>
  </si>
  <si>
    <t>=E638</t>
  </si>
  <si>
    <t>=NF(H639,"Vendor Ledger Entry No.")</t>
  </si>
  <si>
    <t>=NL("Rows","Detailed Vendor Ledg. Entry",,"Vendor Ledger Entry No.","@@"&amp;G638,"Entry Type","&lt;&gt;"&amp;"Initial Entry")</t>
  </si>
  <si>
    <t>=NF($H639,"5 Document Type")</t>
  </si>
  <si>
    <t>=NF($H639,"6 Document No.")</t>
  </si>
  <si>
    <t>=NF($H639,"4 Posting Date")</t>
  </si>
  <si>
    <t>=NF(H639,"10 Currency Code")</t>
  </si>
  <si>
    <t>=IF(NF($H639,"7 Amount")=Q639,0,NF($H639,"7 Amount"))</t>
  </si>
  <si>
    <t>=IF(NF($H639,"16 Debit Amount")=R639,0,NF($H639,"16 Debit Amount"))</t>
  </si>
  <si>
    <t>=NF(H639,"8 Amount (LCY)")</t>
  </si>
  <si>
    <t>=H641</t>
  </si>
  <si>
    <t>=I636</t>
  </si>
  <si>
    <t>=IF(NF(H641,"Entry no.")&lt;&gt;"",NF(H641,"Entry no."),0)</t>
  </si>
  <si>
    <t>="""Business Central"",""CRONUS JetCorp USA"",""25"",""1"",""248654"""</t>
  </si>
  <si>
    <t>=NF(H641,"7 Description")</t>
  </si>
  <si>
    <t>=NF(H641,"6 Document No.")</t>
  </si>
  <si>
    <t>=NF(H641,"37 Due Date")</t>
  </si>
  <si>
    <t>=NF(H641,"4 Posting Date")</t>
  </si>
  <si>
    <t>=NF(H641,"11 Currency code")</t>
  </si>
  <si>
    <t>=IF(NF($H641,"13 Amount")=Q641,0,NF($H641,"13 Amount"))</t>
  </si>
  <si>
    <t>=IF(NF($H641,"14 Remaining Amount")=R641,0,NF($H641,"14 Remaining Amount"))</t>
  </si>
  <si>
    <t>=NF(H641,"17 Amount (LCY)")</t>
  </si>
  <si>
    <t>=NF(H641,"16 Remaining Amt. (LCY)")</t>
  </si>
  <si>
    <t>=IF(H642="","Hide","Show")</t>
  </si>
  <si>
    <t>=D641</t>
  </si>
  <si>
    <t>=E641</t>
  </si>
  <si>
    <t>=NF(H642,"Vendor Ledger Entry No.")</t>
  </si>
  <si>
    <t>=NL("Rows","Detailed Vendor Ledg. Entry",,"Vendor Ledger Entry No.","@@"&amp;G641,"Entry Type","&lt;&gt;"&amp;"Initial Entry")</t>
  </si>
  <si>
    <t>=NF($H642,"5 Document Type")</t>
  </si>
  <si>
    <t>=NF($H642,"6 Document No.")</t>
  </si>
  <si>
    <t>=NF($H642,"4 Posting Date")</t>
  </si>
  <si>
    <t>=NF(H642,"10 Currency Code")</t>
  </si>
  <si>
    <t>=IF(NF($H642,"7 Amount")=Q642,0,NF($H642,"7 Amount"))</t>
  </si>
  <si>
    <t>=IF(NF($H642,"16 Debit Amount")=R642,0,NF($H642,"16 Debit Amount"))</t>
  </si>
  <si>
    <t>=NF(H642,"8 Amount (LCY)")</t>
  </si>
  <si>
    <t>=H644</t>
  </si>
  <si>
    <t>=I639</t>
  </si>
  <si>
    <t>=IF(NF(H644,"Entry no.")&lt;&gt;"",NF(H644,"Entry no."),0)</t>
  </si>
  <si>
    <t>="""Business Central"",""CRONUS JetCorp USA"",""25"",""1"",""248695"""</t>
  </si>
  <si>
    <t>=NF(H644,"7 Description")</t>
  </si>
  <si>
    <t>=NF(H644,"6 Document No.")</t>
  </si>
  <si>
    <t>=NF(H644,"37 Due Date")</t>
  </si>
  <si>
    <t>=NF(H644,"4 Posting Date")</t>
  </si>
  <si>
    <t>=NF(H644,"11 Currency code")</t>
  </si>
  <si>
    <t>=IF(NF($H644,"13 Amount")=Q644,0,NF($H644,"13 Amount"))</t>
  </si>
  <si>
    <t>=IF(NF($H644,"14 Remaining Amount")=R644,0,NF($H644,"14 Remaining Amount"))</t>
  </si>
  <si>
    <t>=NF(H644,"17 Amount (LCY)")</t>
  </si>
  <si>
    <t>=NF(H644,"16 Remaining Amt. (LCY)")</t>
  </si>
  <si>
    <t>=IF(H645="","Hide","Show")</t>
  </si>
  <si>
    <t>=D644</t>
  </si>
  <si>
    <t>=E644</t>
  </si>
  <si>
    <t>=NF(H645,"Vendor Ledger Entry No.")</t>
  </si>
  <si>
    <t>=NL("Rows","Detailed Vendor Ledg. Entry",,"Vendor Ledger Entry No.","@@"&amp;G644,"Entry Type","&lt;&gt;"&amp;"Initial Entry")</t>
  </si>
  <si>
    <t>=NF($H645,"5 Document Type")</t>
  </si>
  <si>
    <t>=NF($H645,"6 Document No.")</t>
  </si>
  <si>
    <t>=NF($H645,"4 Posting Date")</t>
  </si>
  <si>
    <t>=NF(H645,"10 Currency Code")</t>
  </si>
  <si>
    <t>=IF(NF($H645,"7 Amount")=Q645,0,NF($H645,"7 Amount"))</t>
  </si>
  <si>
    <t>=IF(NF($H645,"16 Debit Amount")=R645,0,NF($H645,"16 Debit Amount"))</t>
  </si>
  <si>
    <t>=NF(H645,"8 Amount (LCY)")</t>
  </si>
  <si>
    <t>=H647</t>
  </si>
  <si>
    <t>=I642</t>
  </si>
  <si>
    <t>=IF(NF(H647,"Entry no.")&lt;&gt;"",NF(H647,"Entry no."),0)</t>
  </si>
  <si>
    <t>="""Business Central"",""CRONUS JetCorp USA"",""25"",""1"",""248736"""</t>
  </si>
  <si>
    <t>=NF(H647,"7 Description")</t>
  </si>
  <si>
    <t>=NF(H647,"6 Document No.")</t>
  </si>
  <si>
    <t>=NF(H647,"37 Due Date")</t>
  </si>
  <si>
    <t>=NF(H647,"4 Posting Date")</t>
  </si>
  <si>
    <t>=NF(H647,"11 Currency code")</t>
  </si>
  <si>
    <t>=IF(NF($H647,"13 Amount")=Q647,0,NF($H647,"13 Amount"))</t>
  </si>
  <si>
    <t>=IF(NF($H647,"14 Remaining Amount")=R647,0,NF($H647,"14 Remaining Amount"))</t>
  </si>
  <si>
    <t>=NF(H647,"17 Amount (LCY)")</t>
  </si>
  <si>
    <t>=NF(H647,"16 Remaining Amt. (LCY)")</t>
  </si>
  <si>
    <t>=IF(H648="","Hide","Show")</t>
  </si>
  <si>
    <t>=D647</t>
  </si>
  <si>
    <t>=E647</t>
  </si>
  <si>
    <t>=NF(H648,"Vendor Ledger Entry No.")</t>
  </si>
  <si>
    <t>=NL("Rows","Detailed Vendor Ledg. Entry",,"Vendor Ledger Entry No.","@@"&amp;G647,"Entry Type","&lt;&gt;"&amp;"Initial Entry")</t>
  </si>
  <si>
    <t>=NF($H648,"5 Document Type")</t>
  </si>
  <si>
    <t>=NF($H648,"6 Document No.")</t>
  </si>
  <si>
    <t>=NF($H648,"4 Posting Date")</t>
  </si>
  <si>
    <t>=NF(H648,"10 Currency Code")</t>
  </si>
  <si>
    <t>=IF(NF($H648,"7 Amount")=Q648,0,NF($H648,"7 Amount"))</t>
  </si>
  <si>
    <t>=IF(NF($H648,"16 Debit Amount")=R648,0,NF($H648,"16 Debit Amount"))</t>
  </si>
  <si>
    <t>=NF(H648,"8 Amount (LCY)")</t>
  </si>
  <si>
    <t>=H650</t>
  </si>
  <si>
    <t>=I645</t>
  </si>
  <si>
    <t>=IF(NF(H650,"Entry no.")&lt;&gt;"",NF(H650,"Entry no."),0)</t>
  </si>
  <si>
    <t>="""Business Central"",""CRONUS JetCorp USA"",""25"",""1"",""248777"""</t>
  </si>
  <si>
    <t>=NF(H650,"7 Description")</t>
  </si>
  <si>
    <t>=NF(H650,"6 Document No.")</t>
  </si>
  <si>
    <t>=NF(H650,"37 Due Date")</t>
  </si>
  <si>
    <t>=NF(H650,"4 Posting Date")</t>
  </si>
  <si>
    <t>=NF(H650,"11 Currency code")</t>
  </si>
  <si>
    <t>=IF(NF($H650,"13 Amount")=Q650,0,NF($H650,"13 Amount"))</t>
  </si>
  <si>
    <t>=IF(NF($H650,"14 Remaining Amount")=R650,0,NF($H650,"14 Remaining Amount"))</t>
  </si>
  <si>
    <t>=NF(H650,"17 Amount (LCY)")</t>
  </si>
  <si>
    <t>=NF(H650,"16 Remaining Amt. (LCY)")</t>
  </si>
  <si>
    <t>=IF(H651="","Hide","Show")</t>
  </si>
  <si>
    <t>=D650</t>
  </si>
  <si>
    <t>=E650</t>
  </si>
  <si>
    <t>=NF(H651,"Vendor Ledger Entry No.")</t>
  </si>
  <si>
    <t>=NL("Rows","Detailed Vendor Ledg. Entry",,"Vendor Ledger Entry No.","@@"&amp;G650,"Entry Type","&lt;&gt;"&amp;"Initial Entry")</t>
  </si>
  <si>
    <t>=NF($H651,"5 Document Type")</t>
  </si>
  <si>
    <t>=NF($H651,"6 Document No.")</t>
  </si>
  <si>
    <t>=NF($H651,"4 Posting Date")</t>
  </si>
  <si>
    <t>=NF(H651,"10 Currency Code")</t>
  </si>
  <si>
    <t>=IF(NF($H651,"7 Amount")=Q651,0,NF($H651,"7 Amount"))</t>
  </si>
  <si>
    <t>=IF(NF($H651,"16 Debit Amount")=R651,0,NF($H651,"16 Debit Amount"))</t>
  </si>
  <si>
    <t>=NF(H651,"8 Amount (LCY)")</t>
  </si>
  <si>
    <t>=H653</t>
  </si>
  <si>
    <t>=I648</t>
  </si>
  <si>
    <t>=IF(NF(H653,"Entry no.")&lt;&gt;"",NF(H653,"Entry no."),0)</t>
  </si>
  <si>
    <t>="""Business Central"",""CRONUS JetCorp USA"",""25"",""1"",""248818"""</t>
  </si>
  <si>
    <t>=NF(H653,"7 Description")</t>
  </si>
  <si>
    <t>=NF(H653,"6 Document No.")</t>
  </si>
  <si>
    <t>=NF(H653,"37 Due Date")</t>
  </si>
  <si>
    <t>=NF(H653,"4 Posting Date")</t>
  </si>
  <si>
    <t>=NF(H653,"11 Currency code")</t>
  </si>
  <si>
    <t>=IF(NF($H653,"13 Amount")=Q653,0,NF($H653,"13 Amount"))</t>
  </si>
  <si>
    <t>=IF(NF($H653,"14 Remaining Amount")=R653,0,NF($H653,"14 Remaining Amount"))</t>
  </si>
  <si>
    <t>=NF(H653,"17 Amount (LCY)")</t>
  </si>
  <si>
    <t>=NF(H653,"16 Remaining Amt. (LCY)")</t>
  </si>
  <si>
    <t>=IF(H654="","Hide","Show")</t>
  </si>
  <si>
    <t>=D653</t>
  </si>
  <si>
    <t>=E653</t>
  </si>
  <si>
    <t>=NF(H654,"Vendor Ledger Entry No.")</t>
  </si>
  <si>
    <t>=NL("Rows","Detailed Vendor Ledg. Entry",,"Vendor Ledger Entry No.","@@"&amp;G653,"Entry Type","&lt;&gt;"&amp;"Initial Entry")</t>
  </si>
  <si>
    <t>=NF($H654,"5 Document Type")</t>
  </si>
  <si>
    <t>=NF($H654,"6 Document No.")</t>
  </si>
  <si>
    <t>=NF($H654,"4 Posting Date")</t>
  </si>
  <si>
    <t>=NF(H654,"10 Currency Code")</t>
  </si>
  <si>
    <t>=IF(NF($H654,"7 Amount")=Q654,0,NF($H654,"7 Amount"))</t>
  </si>
  <si>
    <t>=IF(NF($H654,"16 Debit Amount")=R654,0,NF($H654,"16 Debit Amount"))</t>
  </si>
  <si>
    <t>=NF(H654,"8 Amount (LCY)")</t>
  </si>
  <si>
    <t>=H656</t>
  </si>
  <si>
    <t>=I651</t>
  </si>
  <si>
    <t>=IF(NF(H656,"Entry no.")&lt;&gt;"",NF(H656,"Entry no."),0)</t>
  </si>
  <si>
    <t>="""Business Central"",""CRONUS JetCorp USA"",""25"",""1"",""248853"""</t>
  </si>
  <si>
    <t>=NF(H656,"7 Description")</t>
  </si>
  <si>
    <t>=NF(H656,"6 Document No.")</t>
  </si>
  <si>
    <t>=NF(H656,"37 Due Date")</t>
  </si>
  <si>
    <t>=NF(H656,"4 Posting Date")</t>
  </si>
  <si>
    <t>=NF(H656,"11 Currency code")</t>
  </si>
  <si>
    <t>=IF(NF($H656,"13 Amount")=Q656,0,NF($H656,"13 Amount"))</t>
  </si>
  <si>
    <t>=IF(NF($H656,"14 Remaining Amount")=R656,0,NF($H656,"14 Remaining Amount"))</t>
  </si>
  <si>
    <t>=NF(H656,"17 Amount (LCY)")</t>
  </si>
  <si>
    <t>=NF(H656,"16 Remaining Amt. (LCY)")</t>
  </si>
  <si>
    <t>=IF(H657="","Hide","Show")</t>
  </si>
  <si>
    <t>=D656</t>
  </si>
  <si>
    <t>=E656</t>
  </si>
  <si>
    <t>=NF(H657,"Vendor Ledger Entry No.")</t>
  </si>
  <si>
    <t>=NL("Rows","Detailed Vendor Ledg. Entry",,"Vendor Ledger Entry No.","@@"&amp;G656,"Entry Type","&lt;&gt;"&amp;"Initial Entry")</t>
  </si>
  <si>
    <t>=NF($H657,"5 Document Type")</t>
  </si>
  <si>
    <t>=NF($H657,"6 Document No.")</t>
  </si>
  <si>
    <t>=NF($H657,"4 Posting Date")</t>
  </si>
  <si>
    <t>=NF(H657,"10 Currency Code")</t>
  </si>
  <si>
    <t>=IF(NF($H657,"7 Amount")=Q657,0,NF($H657,"7 Amount"))</t>
  </si>
  <si>
    <t>=IF(NF($H657,"16 Debit Amount")=R657,0,NF($H657,"16 Debit Amount"))</t>
  </si>
  <si>
    <t>=NF(H657,"8 Amount (LCY)")</t>
  </si>
  <si>
    <t>=H659</t>
  </si>
  <si>
    <t>=I654</t>
  </si>
  <si>
    <t>=IF(NF(H659,"Entry no.")&lt;&gt;"",NF(H659,"Entry no."),0)</t>
  </si>
  <si>
    <t>="""Business Central"",""CRONUS JetCorp USA"",""25"",""1"",""248878"""</t>
  </si>
  <si>
    <t>=NF(H659,"7 Description")</t>
  </si>
  <si>
    <t>=NF(H659,"6 Document No.")</t>
  </si>
  <si>
    <t>=NF(H659,"37 Due Date")</t>
  </si>
  <si>
    <t>=NF(H659,"4 Posting Date")</t>
  </si>
  <si>
    <t>=NF(H659,"11 Currency code")</t>
  </si>
  <si>
    <t>=IF(NF($H659,"13 Amount")=Q659,0,NF($H659,"13 Amount"))</t>
  </si>
  <si>
    <t>=IF(NF($H659,"14 Remaining Amount")=R659,0,NF($H659,"14 Remaining Amount"))</t>
  </si>
  <si>
    <t>=NF(H659,"17 Amount (LCY)")</t>
  </si>
  <si>
    <t>=NF(H659,"16 Remaining Amt. (LCY)")</t>
  </si>
  <si>
    <t>=IF(H660="","Hide","Show")</t>
  </si>
  <si>
    <t>=D659</t>
  </si>
  <si>
    <t>=E659</t>
  </si>
  <si>
    <t>=NF(H660,"Vendor Ledger Entry No.")</t>
  </si>
  <si>
    <t>=NL("Rows","Detailed Vendor Ledg. Entry",,"Vendor Ledger Entry No.","@@"&amp;G659,"Entry Type","&lt;&gt;"&amp;"Initial Entry")</t>
  </si>
  <si>
    <t>=NF($H660,"5 Document Type")</t>
  </si>
  <si>
    <t>=NF($H660,"6 Document No.")</t>
  </si>
  <si>
    <t>=NF($H660,"4 Posting Date")</t>
  </si>
  <si>
    <t>=NF(H660,"10 Currency Code")</t>
  </si>
  <si>
    <t>=IF(NF($H660,"7 Amount")=Q660,0,NF($H660,"7 Amount"))</t>
  </si>
  <si>
    <t>=IF(NF($H660,"16 Debit Amount")=R660,0,NF($H660,"16 Debit Amount"))</t>
  </si>
  <si>
    <t>=NF(H660,"8 Amount (LCY)")</t>
  </si>
  <si>
    <t>=H662</t>
  </si>
  <si>
    <t>=I657</t>
  </si>
  <si>
    <t>=IF(NF(H662,"Entry no.")&lt;&gt;"",NF(H662,"Entry no."),0)</t>
  </si>
  <si>
    <t>="""Business Central"",""CRONUS JetCorp USA"",""25"",""1"",""248903"""</t>
  </si>
  <si>
    <t>=NF(H662,"7 Description")</t>
  </si>
  <si>
    <t>=NF(H662,"6 Document No.")</t>
  </si>
  <si>
    <t>=NF(H662,"37 Due Date")</t>
  </si>
  <si>
    <t>=NF(H662,"4 Posting Date")</t>
  </si>
  <si>
    <t>=NF(H662,"11 Currency code")</t>
  </si>
  <si>
    <t>=IF(NF($H662,"13 Amount")=Q662,0,NF($H662,"13 Amount"))</t>
  </si>
  <si>
    <t>=IF(NF($H662,"14 Remaining Amount")=R662,0,NF($H662,"14 Remaining Amount"))</t>
  </si>
  <si>
    <t>=NF(H662,"17 Amount (LCY)")</t>
  </si>
  <si>
    <t>=NF(H662,"16 Remaining Amt. (LCY)")</t>
  </si>
  <si>
    <t>=IF(H663="","Hide","Show")</t>
  </si>
  <si>
    <t>=D662</t>
  </si>
  <si>
    <t>=E662</t>
  </si>
  <si>
    <t>=NF(H663,"Vendor Ledger Entry No.")</t>
  </si>
  <si>
    <t>=NL("Rows","Detailed Vendor Ledg. Entry",,"Vendor Ledger Entry No.","@@"&amp;G662,"Entry Type","&lt;&gt;"&amp;"Initial Entry")</t>
  </si>
  <si>
    <t>=NF($H663,"5 Document Type")</t>
  </si>
  <si>
    <t>=NF($H663,"6 Document No.")</t>
  </si>
  <si>
    <t>=NF($H663,"4 Posting Date")</t>
  </si>
  <si>
    <t>=NF(H663,"10 Currency Code")</t>
  </si>
  <si>
    <t>=IF(NF($H663,"7 Amount")=Q663,0,NF($H663,"7 Amount"))</t>
  </si>
  <si>
    <t>=IF(NF($H663,"16 Debit Amount")=R663,0,NF($H663,"16 Debit Amount"))</t>
  </si>
  <si>
    <t>=NF(H663,"8 Amount (LCY)")</t>
  </si>
  <si>
    <t>=H665</t>
  </si>
  <si>
    <t>=I660</t>
  </si>
  <si>
    <t>=IF(NF(H665,"Entry no.")&lt;&gt;"",NF(H665,"Entry no."),0)</t>
  </si>
  <si>
    <t>="""Business Central"",""CRONUS JetCorp USA"",""25"",""1"",""248926"""</t>
  </si>
  <si>
    <t>=NF(H665,"7 Description")</t>
  </si>
  <si>
    <t>=NF(H665,"6 Document No.")</t>
  </si>
  <si>
    <t>=NF(H665,"37 Due Date")</t>
  </si>
  <si>
    <t>=NF(H665,"4 Posting Date")</t>
  </si>
  <si>
    <t>=NF(H665,"11 Currency code")</t>
  </si>
  <si>
    <t>=IF(NF($H665,"13 Amount")=Q665,0,NF($H665,"13 Amount"))</t>
  </si>
  <si>
    <t>=IF(NF($H665,"14 Remaining Amount")=R665,0,NF($H665,"14 Remaining Amount"))</t>
  </si>
  <si>
    <t>=NF(H665,"17 Amount (LCY)")</t>
  </si>
  <si>
    <t>=NF(H665,"16 Remaining Amt. (LCY)")</t>
  </si>
  <si>
    <t>=IF(H666="","Hide","Show")</t>
  </si>
  <si>
    <t>=D665</t>
  </si>
  <si>
    <t>=E665</t>
  </si>
  <si>
    <t>=NF(H666,"Vendor Ledger Entry No.")</t>
  </si>
  <si>
    <t>=NL("Rows","Detailed Vendor Ledg. Entry",,"Vendor Ledger Entry No.","@@"&amp;G665,"Entry Type","&lt;&gt;"&amp;"Initial Entry")</t>
  </si>
  <si>
    <t>=NF($H666,"5 Document Type")</t>
  </si>
  <si>
    <t>=NF($H666,"6 Document No.")</t>
  </si>
  <si>
    <t>=NF($H666,"4 Posting Date")</t>
  </si>
  <si>
    <t>=NF(H666,"10 Currency Code")</t>
  </si>
  <si>
    <t>=IF(NF($H666,"7 Amount")=Q666,0,NF($H666,"7 Amount"))</t>
  </si>
  <si>
    <t>=IF(NF($H666,"16 Debit Amount")=R666,0,NF($H666,"16 Debit Amount"))</t>
  </si>
  <si>
    <t>=NF(H666,"8 Amount (LCY)")</t>
  </si>
  <si>
    <t>=H668</t>
  </si>
  <si>
    <t>=I663</t>
  </si>
  <si>
    <t>=IF(NF(H668,"Entry no.")&lt;&gt;"",NF(H668,"Entry no."),0)</t>
  </si>
  <si>
    <t>="""Business Central"",""CRONUS JetCorp USA"",""25"",""1"",""248959"""</t>
  </si>
  <si>
    <t>=NF(H668,"7 Description")</t>
  </si>
  <si>
    <t>=NF(H668,"6 Document No.")</t>
  </si>
  <si>
    <t>=NF(H668,"37 Due Date")</t>
  </si>
  <si>
    <t>=NF(H668,"4 Posting Date")</t>
  </si>
  <si>
    <t>=NF(H668,"11 Currency code")</t>
  </si>
  <si>
    <t>=IF(NF($H668,"13 Amount")=Q668,0,NF($H668,"13 Amount"))</t>
  </si>
  <si>
    <t>=IF(NF($H668,"14 Remaining Amount")=R668,0,NF($H668,"14 Remaining Amount"))</t>
  </si>
  <si>
    <t>=NF(H668,"17 Amount (LCY)")</t>
  </si>
  <si>
    <t>=NF(H668,"16 Remaining Amt. (LCY)")</t>
  </si>
  <si>
    <t>=IF(H669="","Hide","Show")</t>
  </si>
  <si>
    <t>=D668</t>
  </si>
  <si>
    <t>=E668</t>
  </si>
  <si>
    <t>=NF(H669,"Vendor Ledger Entry No.")</t>
  </si>
  <si>
    <t>=NL("Rows","Detailed Vendor Ledg. Entry",,"Vendor Ledger Entry No.","@@"&amp;G668,"Entry Type","&lt;&gt;"&amp;"Initial Entry")</t>
  </si>
  <si>
    <t>=NF($H669,"5 Document Type")</t>
  </si>
  <si>
    <t>=NF($H669,"6 Document No.")</t>
  </si>
  <si>
    <t>=NF($H669,"4 Posting Date")</t>
  </si>
  <si>
    <t>=NF(H669,"10 Currency Code")</t>
  </si>
  <si>
    <t>=IF(NF($H669,"7 Amount")=Q669,0,NF($H669,"7 Amount"))</t>
  </si>
  <si>
    <t>=IF(NF($H669,"16 Debit Amount")=R669,0,NF($H669,"16 Debit Amount"))</t>
  </si>
  <si>
    <t>=NF(H669,"8 Amount (LCY)")</t>
  </si>
  <si>
    <t>=H671</t>
  </si>
  <si>
    <t>=I666</t>
  </si>
  <si>
    <t>=IF(NF(H671,"Entry no.")&lt;&gt;"",NF(H671,"Entry no."),0)</t>
  </si>
  <si>
    <t>="""Business Central"",""CRONUS JetCorp USA"",""25"",""1"",""248992"""</t>
  </si>
  <si>
    <t>=NF(H671,"7 Description")</t>
  </si>
  <si>
    <t>=NF(H671,"6 Document No.")</t>
  </si>
  <si>
    <t>=NF(H671,"37 Due Date")</t>
  </si>
  <si>
    <t>=NF(H671,"4 Posting Date")</t>
  </si>
  <si>
    <t>=NF(H671,"11 Currency code")</t>
  </si>
  <si>
    <t>=IF(NF($H671,"13 Amount")=Q671,0,NF($H671,"13 Amount"))</t>
  </si>
  <si>
    <t>=IF(NF($H671,"14 Remaining Amount")=R671,0,NF($H671,"14 Remaining Amount"))</t>
  </si>
  <si>
    <t>=NF(H671,"17 Amount (LCY)")</t>
  </si>
  <si>
    <t>=NF(H671,"16 Remaining Amt. (LCY)")</t>
  </si>
  <si>
    <t>=IF(H672="","Hide","Show")</t>
  </si>
  <si>
    <t>=D671</t>
  </si>
  <si>
    <t>=E671</t>
  </si>
  <si>
    <t>=NF(H672,"Vendor Ledger Entry No.")</t>
  </si>
  <si>
    <t>=NL("Rows","Detailed Vendor Ledg. Entry",,"Vendor Ledger Entry No.","@@"&amp;G671,"Entry Type","&lt;&gt;"&amp;"Initial Entry")</t>
  </si>
  <si>
    <t>=NF($H672,"5 Document Type")</t>
  </si>
  <si>
    <t>=NF($H672,"6 Document No.")</t>
  </si>
  <si>
    <t>=NF($H672,"4 Posting Date")</t>
  </si>
  <si>
    <t>=NF(H672,"10 Currency Code")</t>
  </si>
  <si>
    <t>=IF(NF($H672,"7 Amount")=Q672,0,NF($H672,"7 Amount"))</t>
  </si>
  <si>
    <t>=IF(NF($H672,"16 Debit Amount")=R672,0,NF($H672,"16 Debit Amount"))</t>
  </si>
  <si>
    <t>=NF(H672,"8 Amount (LCY)")</t>
  </si>
  <si>
    <t>=H674</t>
  </si>
  <si>
    <t>=I669</t>
  </si>
  <si>
    <t>=IF(NF(H674,"Entry no.")&lt;&gt;"",NF(H674,"Entry no."),0)</t>
  </si>
  <si>
    <t>="""Business Central"",""CRONUS JetCorp USA"",""25"",""1"",""249029"""</t>
  </si>
  <si>
    <t>=NF(H674,"7 Description")</t>
  </si>
  <si>
    <t>=NF(H674,"6 Document No.")</t>
  </si>
  <si>
    <t>=NF(H674,"37 Due Date")</t>
  </si>
  <si>
    <t>=NF(H674,"4 Posting Date")</t>
  </si>
  <si>
    <t>=NF(H674,"11 Currency code")</t>
  </si>
  <si>
    <t>=IF(NF($H674,"13 Amount")=Q674,0,NF($H674,"13 Amount"))</t>
  </si>
  <si>
    <t>=IF(NF($H674,"14 Remaining Amount")=R674,0,NF($H674,"14 Remaining Amount"))</t>
  </si>
  <si>
    <t>=NF(H674,"17 Amount (LCY)")</t>
  </si>
  <si>
    <t>=NF(H674,"16 Remaining Amt. (LCY)")</t>
  </si>
  <si>
    <t>=IF(H675="","Hide","Show")</t>
  </si>
  <si>
    <t>=D674</t>
  </si>
  <si>
    <t>=E674</t>
  </si>
  <si>
    <t>=NF(H675,"Vendor Ledger Entry No.")</t>
  </si>
  <si>
    <t>=NL("Rows","Detailed Vendor Ledg. Entry",,"Vendor Ledger Entry No.","@@"&amp;G674,"Entry Type","&lt;&gt;"&amp;"Initial Entry")</t>
  </si>
  <si>
    <t>=NF($H675,"5 Document Type")</t>
  </si>
  <si>
    <t>=NF($H675,"6 Document No.")</t>
  </si>
  <si>
    <t>=NF($H675,"4 Posting Date")</t>
  </si>
  <si>
    <t>=NF(H675,"10 Currency Code")</t>
  </si>
  <si>
    <t>=IF(NF($H675,"7 Amount")=Q675,0,NF($H675,"7 Amount"))</t>
  </si>
  <si>
    <t>=IF(NF($H675,"16 Debit Amount")=R675,0,NF($H675,"16 Debit Amount"))</t>
  </si>
  <si>
    <t>=NF(H675,"8 Amount (LCY)")</t>
  </si>
  <si>
    <t>=H677</t>
  </si>
  <si>
    <t>=I672</t>
  </si>
  <si>
    <t>=IF(NF(H677,"Entry no.")&lt;&gt;"",NF(H677,"Entry no."),0)</t>
  </si>
  <si>
    <t>="""Business Central"",""CRONUS JetCorp USA"",""25"",""1"",""249064"""</t>
  </si>
  <si>
    <t>=NF(H677,"7 Description")</t>
  </si>
  <si>
    <t>=NF(H677,"6 Document No.")</t>
  </si>
  <si>
    <t>=NF(H677,"37 Due Date")</t>
  </si>
  <si>
    <t>=NF(H677,"4 Posting Date")</t>
  </si>
  <si>
    <t>=NF(H677,"11 Currency code")</t>
  </si>
  <si>
    <t>=IF(NF($H677,"13 Amount")=Q677,0,NF($H677,"13 Amount"))</t>
  </si>
  <si>
    <t>=IF(NF($H677,"14 Remaining Amount")=R677,0,NF($H677,"14 Remaining Amount"))</t>
  </si>
  <si>
    <t>=NF(H677,"17 Amount (LCY)")</t>
  </si>
  <si>
    <t>=NF(H677,"16 Remaining Amt. (LCY)")</t>
  </si>
  <si>
    <t>=IF(H678="","Hide","Show")</t>
  </si>
  <si>
    <t>=D677</t>
  </si>
  <si>
    <t>=E677</t>
  </si>
  <si>
    <t>=NF(H678,"Vendor Ledger Entry No.")</t>
  </si>
  <si>
    <t>=NL("Rows","Detailed Vendor Ledg. Entry",,"Vendor Ledger Entry No.","@@"&amp;G677,"Entry Type","&lt;&gt;"&amp;"Initial Entry")</t>
  </si>
  <si>
    <t>=NF($H678,"5 Document Type")</t>
  </si>
  <si>
    <t>=NF($H678,"6 Document No.")</t>
  </si>
  <si>
    <t>=NF($H678,"4 Posting Date")</t>
  </si>
  <si>
    <t>=NF(H678,"10 Currency Code")</t>
  </si>
  <si>
    <t>=IF(NF($H678,"7 Amount")=Q678,0,NF($H678,"7 Amount"))</t>
  </si>
  <si>
    <t>=IF(NF($H678,"16 Debit Amount")=R678,0,NF($H678,"16 Debit Amount"))</t>
  </si>
  <si>
    <t>=NF(H678,"8 Amount (LCY)")</t>
  </si>
  <si>
    <t>=H680</t>
  </si>
  <si>
    <t>=I675</t>
  </si>
  <si>
    <t>=IF(NF(H680,"Entry no.")&lt;&gt;"",NF(H680,"Entry no."),0)</t>
  </si>
  <si>
    <t>="""Business Central"",""CRONUS JetCorp USA"",""25"",""1"",""249093"""</t>
  </si>
  <si>
    <t>=NF(H680,"7 Description")</t>
  </si>
  <si>
    <t>=NF(H680,"6 Document No.")</t>
  </si>
  <si>
    <t>=NF(H680,"37 Due Date")</t>
  </si>
  <si>
    <t>=NF(H680,"4 Posting Date")</t>
  </si>
  <si>
    <t>=NF(H680,"11 Currency code")</t>
  </si>
  <si>
    <t>=IF(NF($H680,"13 Amount")=Q680,0,NF($H680,"13 Amount"))</t>
  </si>
  <si>
    <t>=IF(NF($H680,"14 Remaining Amount")=R680,0,NF($H680,"14 Remaining Amount"))</t>
  </si>
  <si>
    <t>=NF(H680,"17 Amount (LCY)")</t>
  </si>
  <si>
    <t>=NF(H680,"16 Remaining Amt. (LCY)")</t>
  </si>
  <si>
    <t>=IF(H681="","Hide","Show")</t>
  </si>
  <si>
    <t>=D680</t>
  </si>
  <si>
    <t>=E680</t>
  </si>
  <si>
    <t>=NF(H681,"Vendor Ledger Entry No.")</t>
  </si>
  <si>
    <t>=NL("Rows","Detailed Vendor Ledg. Entry",,"Vendor Ledger Entry No.","@@"&amp;G680,"Entry Type","&lt;&gt;"&amp;"Initial Entry")</t>
  </si>
  <si>
    <t>=NF($H681,"5 Document Type")</t>
  </si>
  <si>
    <t>=NF($H681,"6 Document No.")</t>
  </si>
  <si>
    <t>=NF($H681,"4 Posting Date")</t>
  </si>
  <si>
    <t>=NF(H681,"10 Currency Code")</t>
  </si>
  <si>
    <t>=IF(NF($H681,"7 Amount")=Q681,0,NF($H681,"7 Amount"))</t>
  </si>
  <si>
    <t>=IF(NF($H681,"16 Debit Amount")=R681,0,NF($H681,"16 Debit Amount"))</t>
  </si>
  <si>
    <t>=NF(H681,"8 Amount (LCY)")</t>
  </si>
  <si>
    <t>=H683</t>
  </si>
  <si>
    <t>=I678</t>
  </si>
  <si>
    <t>=IF(NF(H683,"Entry no.")&lt;&gt;"",NF(H683,"Entry no."),0)</t>
  </si>
  <si>
    <t>="""Business Central"",""CRONUS JetCorp USA"",""25"",""1"",""249124"""</t>
  </si>
  <si>
    <t>=NF(H683,"7 Description")</t>
  </si>
  <si>
    <t>=NF(H683,"6 Document No.")</t>
  </si>
  <si>
    <t>=NF(H683,"37 Due Date")</t>
  </si>
  <si>
    <t>=NF(H683,"4 Posting Date")</t>
  </si>
  <si>
    <t>=NF(H683,"11 Currency code")</t>
  </si>
  <si>
    <t>=IF(NF($H683,"13 Amount")=Q683,0,NF($H683,"13 Amount"))</t>
  </si>
  <si>
    <t>=IF(NF($H683,"14 Remaining Amount")=R683,0,NF($H683,"14 Remaining Amount"))</t>
  </si>
  <si>
    <t>=NF(H683,"17 Amount (LCY)")</t>
  </si>
  <si>
    <t>=NF(H683,"16 Remaining Amt. (LCY)")</t>
  </si>
  <si>
    <t>=IF(H684="","Hide","Show")</t>
  </si>
  <si>
    <t>=D683</t>
  </si>
  <si>
    <t>=E683</t>
  </si>
  <si>
    <t>=NF(H684,"Vendor Ledger Entry No.")</t>
  </si>
  <si>
    <t>=NL("Rows","Detailed Vendor Ledg. Entry",,"Vendor Ledger Entry No.","@@"&amp;G683,"Entry Type","&lt;&gt;"&amp;"Initial Entry")</t>
  </si>
  <si>
    <t>=NF($H684,"5 Document Type")</t>
  </si>
  <si>
    <t>=NF($H684,"6 Document No.")</t>
  </si>
  <si>
    <t>=NF($H684,"4 Posting Date")</t>
  </si>
  <si>
    <t>=NF(H684,"10 Currency Code")</t>
  </si>
  <si>
    <t>=IF(NF($H684,"7 Amount")=Q684,0,NF($H684,"7 Amount"))</t>
  </si>
  <si>
    <t>=IF(NF($H684,"16 Debit Amount")=R684,0,NF($H684,"16 Debit Amount"))</t>
  </si>
  <si>
    <t>=NF(H684,"8 Amount (LCY)")</t>
  </si>
  <si>
    <t>=H686</t>
  </si>
  <si>
    <t>=I681</t>
  </si>
  <si>
    <t>=IF(NF(H686,"Entry no.")&lt;&gt;"",NF(H686,"Entry no."),0)</t>
  </si>
  <si>
    <t>="""Business Central"",""CRONUS JetCorp USA"",""25"",""1"",""249149"""</t>
  </si>
  <si>
    <t>=NF(H686,"7 Description")</t>
  </si>
  <si>
    <t>=NF(H686,"6 Document No.")</t>
  </si>
  <si>
    <t>=NF(H686,"37 Due Date")</t>
  </si>
  <si>
    <t>=NF(H686,"4 Posting Date")</t>
  </si>
  <si>
    <t>=NF(H686,"11 Currency code")</t>
  </si>
  <si>
    <t>=IF(NF($H686,"13 Amount")=Q686,0,NF($H686,"13 Amount"))</t>
  </si>
  <si>
    <t>=IF(NF($H686,"14 Remaining Amount")=R686,0,NF($H686,"14 Remaining Amount"))</t>
  </si>
  <si>
    <t>=NF(H686,"17 Amount (LCY)")</t>
  </si>
  <si>
    <t>=NF(H686,"16 Remaining Amt. (LCY)")</t>
  </si>
  <si>
    <t>=IF(H687="","Hide","Show")</t>
  </si>
  <si>
    <t>=D686</t>
  </si>
  <si>
    <t>=E686</t>
  </si>
  <si>
    <t>=NF(H687,"Vendor Ledger Entry No.")</t>
  </si>
  <si>
    <t>=NL("Rows","Detailed Vendor Ledg. Entry",,"Vendor Ledger Entry No.","@@"&amp;G686,"Entry Type","&lt;&gt;"&amp;"Initial Entry")</t>
  </si>
  <si>
    <t>=NF($H687,"5 Document Type")</t>
  </si>
  <si>
    <t>=NF($H687,"6 Document No.")</t>
  </si>
  <si>
    <t>=NF($H687,"4 Posting Date")</t>
  </si>
  <si>
    <t>=NF(H687,"10 Currency Code")</t>
  </si>
  <si>
    <t>=IF(NF($H687,"7 Amount")=Q687,0,NF($H687,"7 Amount"))</t>
  </si>
  <si>
    <t>=IF(NF($H687,"16 Debit Amount")=R687,0,NF($H687,"16 Debit Amount"))</t>
  </si>
  <si>
    <t>=NF(H687,"8 Amount (LCY)")</t>
  </si>
  <si>
    <t>=H689</t>
  </si>
  <si>
    <t>=I684</t>
  </si>
  <si>
    <t>=IF(NF(H689,"Entry no.")&lt;&gt;"",NF(H689,"Entry no."),0)</t>
  </si>
  <si>
    <t>="""Business Central"",""CRONUS JetCorp USA"",""25"",""1"",""249160"""</t>
  </si>
  <si>
    <t>=NF(H689,"7 Description")</t>
  </si>
  <si>
    <t>=NF(H689,"6 Document No.")</t>
  </si>
  <si>
    <t>=NF(H689,"37 Due Date")</t>
  </si>
  <si>
    <t>=NF(H689,"4 Posting Date")</t>
  </si>
  <si>
    <t>=NF(H689,"11 Currency code")</t>
  </si>
  <si>
    <t>=IF(NF($H689,"13 Amount")=Q689,0,NF($H689,"13 Amount"))</t>
  </si>
  <si>
    <t>=IF(NF($H689,"14 Remaining Amount")=R689,0,NF($H689,"14 Remaining Amount"))</t>
  </si>
  <si>
    <t>=NF(H689,"17 Amount (LCY)")</t>
  </si>
  <si>
    <t>=NF(H689,"16 Remaining Amt. (LCY)")</t>
  </si>
  <si>
    <t>=IF(H690="","Hide","Show")</t>
  </si>
  <si>
    <t>=D689</t>
  </si>
  <si>
    <t>=E689</t>
  </si>
  <si>
    <t>=NF(H690,"Vendor Ledger Entry No.")</t>
  </si>
  <si>
    <t>=NL("Rows","Detailed Vendor Ledg. Entry",,"Vendor Ledger Entry No.","@@"&amp;G689,"Entry Type","&lt;&gt;"&amp;"Initial Entry")</t>
  </si>
  <si>
    <t>=NF($H690,"5 Document Type")</t>
  </si>
  <si>
    <t>=NF($H690,"6 Document No.")</t>
  </si>
  <si>
    <t>=NF($H690,"4 Posting Date")</t>
  </si>
  <si>
    <t>=NF(H690,"10 Currency Code")</t>
  </si>
  <si>
    <t>=IF(NF($H690,"7 Amount")=Q690,0,NF($H690,"7 Amount"))</t>
  </si>
  <si>
    <t>=IF(NF($H690,"16 Debit Amount")=R690,0,NF($H690,"16 Debit Amount"))</t>
  </si>
  <si>
    <t>=NF(H690,"8 Amount (LCY)")</t>
  </si>
  <si>
    <t>=H692</t>
  </si>
  <si>
    <t>=I687</t>
  </si>
  <si>
    <t>=IF(NF(H692,"Entry no.")&lt;&gt;"",NF(H692,"Entry no."),0)</t>
  </si>
  <si>
    <t>="""Business Central"",""CRONUS JetCorp USA"",""25"",""1"",""249354"""</t>
  </si>
  <si>
    <t>=NF(H692,"7 Description")</t>
  </si>
  <si>
    <t>=NF(H692,"6 Document No.")</t>
  </si>
  <si>
    <t>=NF(H692,"37 Due Date")</t>
  </si>
  <si>
    <t>=NF(H692,"4 Posting Date")</t>
  </si>
  <si>
    <t>=NF(H692,"11 Currency code")</t>
  </si>
  <si>
    <t>=IF(NF($H692,"13 Amount")=Q692,0,NF($H692,"13 Amount"))</t>
  </si>
  <si>
    <t>=IF(NF($H692,"14 Remaining Amount")=R692,0,NF($H692,"14 Remaining Amount"))</t>
  </si>
  <si>
    <t>=NF(H692,"17 Amount (LCY)")</t>
  </si>
  <si>
    <t>=NF(H692,"16 Remaining Amt. (LCY)")</t>
  </si>
  <si>
    <t>=IF(H693="","Hide","Show")</t>
  </si>
  <si>
    <t>=D692</t>
  </si>
  <si>
    <t>=E692</t>
  </si>
  <si>
    <t>=NF(H693,"Vendor Ledger Entry No.")</t>
  </si>
  <si>
    <t>=NL("Rows","Detailed Vendor Ledg. Entry",,"Vendor Ledger Entry No.","@@"&amp;G692,"Entry Type","&lt;&gt;"&amp;"Initial Entry")</t>
  </si>
  <si>
    <t>=NF($H693,"5 Document Type")</t>
  </si>
  <si>
    <t>=NF($H693,"6 Document No.")</t>
  </si>
  <si>
    <t>=NF($H693,"4 Posting Date")</t>
  </si>
  <si>
    <t>=NF(H693,"10 Currency Code")</t>
  </si>
  <si>
    <t>=IF(NF($H693,"7 Amount")=Q693,0,NF($H693,"7 Amount"))</t>
  </si>
  <si>
    <t>=IF(NF($H693,"16 Debit Amount")=R693,0,NF($H693,"16 Debit Amount"))</t>
  </si>
  <si>
    <t>=NF(H693,"8 Amount (LCY)")</t>
  </si>
  <si>
    <t>=CONCATENATE(I507," - ",I508,"      Remaining Amount  In Local Currency")</t>
  </si>
  <si>
    <t>=SUBTOTAL(9,R512:R695)</t>
  </si>
  <si>
    <t>="""Business Central"",""CRONUS JetCorp USA"",""23"",""1"",""V101008"""</t>
  </si>
  <si>
    <t>=NF(H697,"No.")</t>
  </si>
  <si>
    <t>=H697</t>
  </si>
  <si>
    <t>=NF(H697,"Name")</t>
  </si>
  <si>
    <t>=H698</t>
  </si>
  <si>
    <t>=NF(H697,"8 Contact")</t>
  </si>
  <si>
    <t>=H702</t>
  </si>
  <si>
    <t>=I697</t>
  </si>
  <si>
    <t>=IF(NF(H702,"Entry no.")&lt;&gt;"",NF(H702,"Entry no."),0)</t>
  </si>
  <si>
    <t>=NL("Rows=3","Vendor Ledger Entry",,"Vendor No.","@@"&amp;E702,"5 Document Type","Invoice","Posting Date",$J$6,"36 Open",$J$9)</t>
  </si>
  <si>
    <t>=NF(H702,"7 Description")</t>
  </si>
  <si>
    <t>=NF(H702,"6 Document No.")</t>
  </si>
  <si>
    <t>=NF(H702,"37 Due Date")</t>
  </si>
  <si>
    <t>=NF(H702,"4 Posting Date")</t>
  </si>
  <si>
    <t>=NF(H702,"11 Currency code")</t>
  </si>
  <si>
    <t>=IF(NF($H702,"13 Amount")=Q702,0,NF($H702,"13 Amount"))</t>
  </si>
  <si>
    <t>=IF(NF($H702,"14 Remaining Amount")=R702,0,NF($H702,"14 Remaining Amount"))</t>
  </si>
  <si>
    <t>=NF(H702,"17 Amount (LCY)")</t>
  </si>
  <si>
    <t>=NF(H702,"16 Remaining Amt. (LCY)")</t>
  </si>
  <si>
    <t>=IF(H703="","Hide","Show")</t>
  </si>
  <si>
    <t>=D702</t>
  </si>
  <si>
    <t>=E702</t>
  </si>
  <si>
    <t>=NF(H703,"Vendor Ledger Entry No.")</t>
  </si>
  <si>
    <t>=NL("Rows","Detailed Vendor Ledg. Entry",,"Vendor Ledger Entry No.","@@"&amp;G702,"Entry Type","&lt;&gt;"&amp;"Initial Entry")</t>
  </si>
  <si>
    <t>=NF($H703,"5 Document Type")</t>
  </si>
  <si>
    <t>=NF($H703,"6 Document No.")</t>
  </si>
  <si>
    <t>=NF($H703,"4 Posting Date")</t>
  </si>
  <si>
    <t>=NF(H703,"10 Currency Code")</t>
  </si>
  <si>
    <t>=IF(NF($H703,"7 Amount")=Q703,0,NF($H703,"7 Amount"))</t>
  </si>
  <si>
    <t>=IF(NF($H703,"16 Debit Amount")=R703,0,NF($H703,"16 Debit Amount"))</t>
  </si>
  <si>
    <t>=NF(H703,"8 Amount (LCY)")</t>
  </si>
  <si>
    <t>=H705</t>
  </si>
  <si>
    <t>=I700</t>
  </si>
  <si>
    <t>=IF(NF(H705,"Entry no.")&lt;&gt;"",NF(H705,"Entry no."),0)</t>
  </si>
  <si>
    <t>="""Business Central"",""CRONUS JetCorp USA"",""25"",""1"",""249166"""</t>
  </si>
  <si>
    <t>=NF(H705,"7 Description")</t>
  </si>
  <si>
    <t>=NF(H705,"6 Document No.")</t>
  </si>
  <si>
    <t>=NF(H705,"37 Due Date")</t>
  </si>
  <si>
    <t>=NF(H705,"4 Posting Date")</t>
  </si>
  <si>
    <t>=NF(H705,"11 Currency code")</t>
  </si>
  <si>
    <t>=IF(NF($H705,"13 Amount")=Q705,0,NF($H705,"13 Amount"))</t>
  </si>
  <si>
    <t>=IF(NF($H705,"14 Remaining Amount")=R705,0,NF($H705,"14 Remaining Amount"))</t>
  </si>
  <si>
    <t>=NF(H705,"17 Amount (LCY)")</t>
  </si>
  <si>
    <t>=NF(H705,"16 Remaining Amt. (LCY)")</t>
  </si>
  <si>
    <t>=IF(H706="","Hide","Show")</t>
  </si>
  <si>
    <t>=D705</t>
  </si>
  <si>
    <t>=E705</t>
  </si>
  <si>
    <t>=NF(H706,"Vendor Ledger Entry No.")</t>
  </si>
  <si>
    <t>=NL("Rows","Detailed Vendor Ledg. Entry",,"Vendor Ledger Entry No.","@@"&amp;G705,"Entry Type","&lt;&gt;"&amp;"Initial Entry")</t>
  </si>
  <si>
    <t>=NF($H706,"5 Document Type")</t>
  </si>
  <si>
    <t>=NF($H706,"6 Document No.")</t>
  </si>
  <si>
    <t>=NF($H706,"4 Posting Date")</t>
  </si>
  <si>
    <t>=NF(H706,"10 Currency Code")</t>
  </si>
  <si>
    <t>=IF(NF($H706,"7 Amount")=Q706,0,NF($H706,"7 Amount"))</t>
  </si>
  <si>
    <t>=IF(NF($H706,"16 Debit Amount")=R706,0,NF($H706,"16 Debit Amount"))</t>
  </si>
  <si>
    <t>=NF(H706,"8 Amount (LCY)")</t>
  </si>
  <si>
    <t>=H708</t>
  </si>
  <si>
    <t>=I703</t>
  </si>
  <si>
    <t>=IF(NF(H708,"Entry no.")&lt;&gt;"",NF(H708,"Entry no."),0)</t>
  </si>
  <si>
    <t>="""Business Central"",""CRONUS JetCorp USA"",""25"",""1"",""249169"""</t>
  </si>
  <si>
    <t>=NF(H708,"7 Description")</t>
  </si>
  <si>
    <t>=NF(H708,"6 Document No.")</t>
  </si>
  <si>
    <t>=NF(H708,"37 Due Date")</t>
  </si>
  <si>
    <t>=NF(H708,"4 Posting Date")</t>
  </si>
  <si>
    <t>=NF(H708,"11 Currency code")</t>
  </si>
  <si>
    <t>=IF(NF($H708,"13 Amount")=Q708,0,NF($H708,"13 Amount"))</t>
  </si>
  <si>
    <t>=IF(NF($H708,"14 Remaining Amount")=R708,0,NF($H708,"14 Remaining Amount"))</t>
  </si>
  <si>
    <t>=NF(H708,"17 Amount (LCY)")</t>
  </si>
  <si>
    <t>=NF(H708,"16 Remaining Amt. (LCY)")</t>
  </si>
  <si>
    <t>=IF(H709="","Hide","Show")</t>
  </si>
  <si>
    <t>=D708</t>
  </si>
  <si>
    <t>=E708</t>
  </si>
  <si>
    <t>=NF(H709,"Vendor Ledger Entry No.")</t>
  </si>
  <si>
    <t>=NL("Rows","Detailed Vendor Ledg. Entry",,"Vendor Ledger Entry No.","@@"&amp;G708,"Entry Type","&lt;&gt;"&amp;"Initial Entry")</t>
  </si>
  <si>
    <t>=NF($H709,"5 Document Type")</t>
  </si>
  <si>
    <t>=NF($H709,"6 Document No.")</t>
  </si>
  <si>
    <t>=NF($H709,"4 Posting Date")</t>
  </si>
  <si>
    <t>=NF(H709,"10 Currency Code")</t>
  </si>
  <si>
    <t>=IF(NF($H709,"7 Amount")=Q709,0,NF($H709,"7 Amount"))</t>
  </si>
  <si>
    <t>=IF(NF($H709,"16 Debit Amount")=R709,0,NF($H709,"16 Debit Amount"))</t>
  </si>
  <si>
    <t>=NF(H709,"8 Amount (LCY)")</t>
  </si>
  <si>
    <t>=H711</t>
  </si>
  <si>
    <t>=I706</t>
  </si>
  <si>
    <t>=IF(NF(H711,"Entry no.")&lt;&gt;"",NF(H711,"Entry no."),0)</t>
  </si>
  <si>
    <t>="""Business Central"",""CRONUS JetCorp USA"",""25"",""1"",""249172"""</t>
  </si>
  <si>
    <t>=NF(H711,"7 Description")</t>
  </si>
  <si>
    <t>=NF(H711,"6 Document No.")</t>
  </si>
  <si>
    <t>=NF(H711,"37 Due Date")</t>
  </si>
  <si>
    <t>=NF(H711,"4 Posting Date")</t>
  </si>
  <si>
    <t>=NF(H711,"11 Currency code")</t>
  </si>
  <si>
    <t>=IF(NF($H711,"13 Amount")=Q711,0,NF($H711,"13 Amount"))</t>
  </si>
  <si>
    <t>=IF(NF($H711,"14 Remaining Amount")=R711,0,NF($H711,"14 Remaining Amount"))</t>
  </si>
  <si>
    <t>=NF(H711,"17 Amount (LCY)")</t>
  </si>
  <si>
    <t>=NF(H711,"16 Remaining Amt. (LCY)")</t>
  </si>
  <si>
    <t>=IF(H712="","Hide","Show")</t>
  </si>
  <si>
    <t>=D711</t>
  </si>
  <si>
    <t>=E711</t>
  </si>
  <si>
    <t>=NF(H712,"Vendor Ledger Entry No.")</t>
  </si>
  <si>
    <t>=NL("Rows","Detailed Vendor Ledg. Entry",,"Vendor Ledger Entry No.","@@"&amp;G711,"Entry Type","&lt;&gt;"&amp;"Initial Entry")</t>
  </si>
  <si>
    <t>=NF($H712,"5 Document Type")</t>
  </si>
  <si>
    <t>=NF($H712,"6 Document No.")</t>
  </si>
  <si>
    <t>=NF($H712,"4 Posting Date")</t>
  </si>
  <si>
    <t>=NF(H712,"10 Currency Code")</t>
  </si>
  <si>
    <t>=IF(NF($H712,"7 Amount")=Q712,0,NF($H712,"7 Amount"))</t>
  </si>
  <si>
    <t>=IF(NF($H712,"16 Debit Amount")=R712,0,NF($H712,"16 Debit Amount"))</t>
  </si>
  <si>
    <t>=NF(H712,"8 Amount (LCY)")</t>
  </si>
  <si>
    <t>=H714</t>
  </si>
  <si>
    <t>=I709</t>
  </si>
  <si>
    <t>=IF(NF(H714,"Entry no.")&lt;&gt;"",NF(H714,"Entry no."),0)</t>
  </si>
  <si>
    <t>="""Business Central"",""CRONUS JetCorp USA"",""25"",""1"",""249175"""</t>
  </si>
  <si>
    <t>=NF(H714,"7 Description")</t>
  </si>
  <si>
    <t>=NF(H714,"6 Document No.")</t>
  </si>
  <si>
    <t>=NF(H714,"37 Due Date")</t>
  </si>
  <si>
    <t>=NF(H714,"4 Posting Date")</t>
  </si>
  <si>
    <t>=NF(H714,"11 Currency code")</t>
  </si>
  <si>
    <t>=IF(NF($H714,"13 Amount")=Q714,0,NF($H714,"13 Amount"))</t>
  </si>
  <si>
    <t>=IF(NF($H714,"14 Remaining Amount")=R714,0,NF($H714,"14 Remaining Amount"))</t>
  </si>
  <si>
    <t>=NF(H714,"17 Amount (LCY)")</t>
  </si>
  <si>
    <t>=NF(H714,"16 Remaining Amt. (LCY)")</t>
  </si>
  <si>
    <t>=IF(H715="","Hide","Show")</t>
  </si>
  <si>
    <t>=D714</t>
  </si>
  <si>
    <t>=E714</t>
  </si>
  <si>
    <t>=NF(H715,"Vendor Ledger Entry No.")</t>
  </si>
  <si>
    <t>=NL("Rows","Detailed Vendor Ledg. Entry",,"Vendor Ledger Entry No.","@@"&amp;G714,"Entry Type","&lt;&gt;"&amp;"Initial Entry")</t>
  </si>
  <si>
    <t>=NF($H715,"5 Document Type")</t>
  </si>
  <si>
    <t>=NF($H715,"6 Document No.")</t>
  </si>
  <si>
    <t>=NF($H715,"4 Posting Date")</t>
  </si>
  <si>
    <t>=NF(H715,"10 Currency Code")</t>
  </si>
  <si>
    <t>=IF(NF($H715,"7 Amount")=Q715,0,NF($H715,"7 Amount"))</t>
  </si>
  <si>
    <t>=IF(NF($H715,"16 Debit Amount")=R715,0,NF($H715,"16 Debit Amount"))</t>
  </si>
  <si>
    <t>=NF(H715,"8 Amount (LCY)")</t>
  </si>
  <si>
    <t>=H717</t>
  </si>
  <si>
    <t>=I712</t>
  </si>
  <si>
    <t>=IF(NF(H717,"Entry no.")&lt;&gt;"",NF(H717,"Entry no."),0)</t>
  </si>
  <si>
    <t>="""Business Central"",""CRONUS JetCorp USA"",""25"",""1"",""249178"""</t>
  </si>
  <si>
    <t>=NF(H717,"7 Description")</t>
  </si>
  <si>
    <t>=NF(H717,"6 Document No.")</t>
  </si>
  <si>
    <t>=NF(H717,"37 Due Date")</t>
  </si>
  <si>
    <t>=NF(H717,"4 Posting Date")</t>
  </si>
  <si>
    <t>=NF(H717,"11 Currency code")</t>
  </si>
  <si>
    <t>=IF(NF($H717,"13 Amount")=Q717,0,NF($H717,"13 Amount"))</t>
  </si>
  <si>
    <t>=IF(NF($H717,"14 Remaining Amount")=R717,0,NF($H717,"14 Remaining Amount"))</t>
  </si>
  <si>
    <t>=NF(H717,"17 Amount (LCY)")</t>
  </si>
  <si>
    <t>=NF(H717,"16 Remaining Amt. (LCY)")</t>
  </si>
  <si>
    <t>=IF(H718="","Hide","Show")</t>
  </si>
  <si>
    <t>=D717</t>
  </si>
  <si>
    <t>=E717</t>
  </si>
  <si>
    <t>=NF(H718,"Vendor Ledger Entry No.")</t>
  </si>
  <si>
    <t>=NL("Rows","Detailed Vendor Ledg. Entry",,"Vendor Ledger Entry No.","@@"&amp;G717,"Entry Type","&lt;&gt;"&amp;"Initial Entry")</t>
  </si>
  <si>
    <t>=NF($H718,"5 Document Type")</t>
  </si>
  <si>
    <t>=NF($H718,"6 Document No.")</t>
  </si>
  <si>
    <t>=NF($H718,"4 Posting Date")</t>
  </si>
  <si>
    <t>=NF(H718,"10 Currency Code")</t>
  </si>
  <si>
    <t>=IF(NF($H718,"7 Amount")=Q718,0,NF($H718,"7 Amount"))</t>
  </si>
  <si>
    <t>=IF(NF($H718,"16 Debit Amount")=R718,0,NF($H718,"16 Debit Amount"))</t>
  </si>
  <si>
    <t>=NF(H718,"8 Amount (LCY)")</t>
  </si>
  <si>
    <t>=H720</t>
  </si>
  <si>
    <t>=I715</t>
  </si>
  <si>
    <t>=IF(NF(H720,"Entry no.")&lt;&gt;"",NF(H720,"Entry no."),0)</t>
  </si>
  <si>
    <t>="""Business Central"",""CRONUS JetCorp USA"",""25"",""1"",""249181"""</t>
  </si>
  <si>
    <t>=NF(H720,"7 Description")</t>
  </si>
  <si>
    <t>=NF(H720,"6 Document No.")</t>
  </si>
  <si>
    <t>=NF(H720,"37 Due Date")</t>
  </si>
  <si>
    <t>=NF(H720,"4 Posting Date")</t>
  </si>
  <si>
    <t>=NF(H720,"11 Currency code")</t>
  </si>
  <si>
    <t>=IF(NF($H720,"13 Amount")=Q720,0,NF($H720,"13 Amount"))</t>
  </si>
  <si>
    <t>=IF(NF($H720,"14 Remaining Amount")=R720,0,NF($H720,"14 Remaining Amount"))</t>
  </si>
  <si>
    <t>=NF(H720,"17 Amount (LCY)")</t>
  </si>
  <si>
    <t>=NF(H720,"16 Remaining Amt. (LCY)")</t>
  </si>
  <si>
    <t>=IF(H721="","Hide","Show")</t>
  </si>
  <si>
    <t>=D720</t>
  </si>
  <si>
    <t>=E720</t>
  </si>
  <si>
    <t>=NF(H721,"Vendor Ledger Entry No.")</t>
  </si>
  <si>
    <t>=NL("Rows","Detailed Vendor Ledg. Entry",,"Vendor Ledger Entry No.","@@"&amp;G720,"Entry Type","&lt;&gt;"&amp;"Initial Entry")</t>
  </si>
  <si>
    <t>=NF($H721,"5 Document Type")</t>
  </si>
  <si>
    <t>=NF($H721,"6 Document No.")</t>
  </si>
  <si>
    <t>=NF($H721,"4 Posting Date")</t>
  </si>
  <si>
    <t>=NF(H721,"10 Currency Code")</t>
  </si>
  <si>
    <t>=IF(NF($H721,"7 Amount")=Q721,0,NF($H721,"7 Amount"))</t>
  </si>
  <si>
    <t>=IF(NF($H721,"16 Debit Amount")=R721,0,NF($H721,"16 Debit Amount"))</t>
  </si>
  <si>
    <t>=NF(H721,"8 Amount (LCY)")</t>
  </si>
  <si>
    <t>=H723</t>
  </si>
  <si>
    <t>=I718</t>
  </si>
  <si>
    <t>=IF(NF(H723,"Entry no.")&lt;&gt;"",NF(H723,"Entry no."),0)</t>
  </si>
  <si>
    <t>="""Business Central"",""CRONUS JetCorp USA"",""25"",""1"",""249184"""</t>
  </si>
  <si>
    <t>=NF(H723,"7 Description")</t>
  </si>
  <si>
    <t>=NF(H723,"6 Document No.")</t>
  </si>
  <si>
    <t>=NF(H723,"37 Due Date")</t>
  </si>
  <si>
    <t>=NF(H723,"4 Posting Date")</t>
  </si>
  <si>
    <t>=NF(H723,"11 Currency code")</t>
  </si>
  <si>
    <t>=IF(NF($H723,"13 Amount")=Q723,0,NF($H723,"13 Amount"))</t>
  </si>
  <si>
    <t>=IF(NF($H723,"14 Remaining Amount")=R723,0,NF($H723,"14 Remaining Amount"))</t>
  </si>
  <si>
    <t>=NF(H723,"17 Amount (LCY)")</t>
  </si>
  <si>
    <t>=NF(H723,"16 Remaining Amt. (LCY)")</t>
  </si>
  <si>
    <t>=IF(H724="","Hide","Show")</t>
  </si>
  <si>
    <t>=D723</t>
  </si>
  <si>
    <t>=E723</t>
  </si>
  <si>
    <t>=NF(H724,"Vendor Ledger Entry No.")</t>
  </si>
  <si>
    <t>=NL("Rows","Detailed Vendor Ledg. Entry",,"Vendor Ledger Entry No.","@@"&amp;G723,"Entry Type","&lt;&gt;"&amp;"Initial Entry")</t>
  </si>
  <si>
    <t>=NF($H724,"5 Document Type")</t>
  </si>
  <si>
    <t>=NF($H724,"6 Document No.")</t>
  </si>
  <si>
    <t>=NF($H724,"4 Posting Date")</t>
  </si>
  <si>
    <t>=NF(H724,"10 Currency Code")</t>
  </si>
  <si>
    <t>=IF(NF($H724,"7 Amount")=Q724,0,NF($H724,"7 Amount"))</t>
  </si>
  <si>
    <t>=IF(NF($H724,"16 Debit Amount")=R724,0,NF($H724,"16 Debit Amount"))</t>
  </si>
  <si>
    <t>=NF(H724,"8 Amount (LCY)")</t>
  </si>
  <si>
    <t>=H726</t>
  </si>
  <si>
    <t>=I721</t>
  </si>
  <si>
    <t>=IF(NF(H726,"Entry no.")&lt;&gt;"",NF(H726,"Entry no."),0)</t>
  </si>
  <si>
    <t>="""Business Central"",""CRONUS JetCorp USA"",""25"",""1"",""249187"""</t>
  </si>
  <si>
    <t>=NF(H726,"7 Description")</t>
  </si>
  <si>
    <t>=NF(H726,"6 Document No.")</t>
  </si>
  <si>
    <t>=NF(H726,"37 Due Date")</t>
  </si>
  <si>
    <t>=NF(H726,"4 Posting Date")</t>
  </si>
  <si>
    <t>=NF(H726,"11 Currency code")</t>
  </si>
  <si>
    <t>=IF(NF($H726,"13 Amount")=Q726,0,NF($H726,"13 Amount"))</t>
  </si>
  <si>
    <t>=IF(NF($H726,"14 Remaining Amount")=R726,0,NF($H726,"14 Remaining Amount"))</t>
  </si>
  <si>
    <t>=NF(H726,"17 Amount (LCY)")</t>
  </si>
  <si>
    <t>=NF(H726,"16 Remaining Amt. (LCY)")</t>
  </si>
  <si>
    <t>=IF(H727="","Hide","Show")</t>
  </si>
  <si>
    <t>=D726</t>
  </si>
  <si>
    <t>=E726</t>
  </si>
  <si>
    <t>=NF(H727,"Vendor Ledger Entry No.")</t>
  </si>
  <si>
    <t>=NL("Rows","Detailed Vendor Ledg. Entry",,"Vendor Ledger Entry No.","@@"&amp;G726,"Entry Type","&lt;&gt;"&amp;"Initial Entry")</t>
  </si>
  <si>
    <t>=NF($H727,"5 Document Type")</t>
  </si>
  <si>
    <t>=NF($H727,"6 Document No.")</t>
  </si>
  <si>
    <t>=NF($H727,"4 Posting Date")</t>
  </si>
  <si>
    <t>=NF(H727,"10 Currency Code")</t>
  </si>
  <si>
    <t>=IF(NF($H727,"7 Amount")=Q727,0,NF($H727,"7 Amount"))</t>
  </si>
  <si>
    <t>=IF(NF($H727,"16 Debit Amount")=R727,0,NF($H727,"16 Debit Amount"))</t>
  </si>
  <si>
    <t>=NF(H727,"8 Amount (LCY)")</t>
  </si>
  <si>
    <t>=H729</t>
  </si>
  <si>
    <t>=I724</t>
  </si>
  <si>
    <t>=IF(NF(H729,"Entry no.")&lt;&gt;"",NF(H729,"Entry no."),0)</t>
  </si>
  <si>
    <t>="""Business Central"",""CRONUS JetCorp USA"",""25"",""1"",""249190"""</t>
  </si>
  <si>
    <t>=NF(H729,"7 Description")</t>
  </si>
  <si>
    <t>=NF(H729,"6 Document No.")</t>
  </si>
  <si>
    <t>=NF(H729,"37 Due Date")</t>
  </si>
  <si>
    <t>=NF(H729,"4 Posting Date")</t>
  </si>
  <si>
    <t>=NF(H729,"11 Currency code")</t>
  </si>
  <si>
    <t>=IF(NF($H729,"13 Amount")=Q729,0,NF($H729,"13 Amount"))</t>
  </si>
  <si>
    <t>=IF(NF($H729,"14 Remaining Amount")=R729,0,NF($H729,"14 Remaining Amount"))</t>
  </si>
  <si>
    <t>=NF(H729,"17 Amount (LCY)")</t>
  </si>
  <si>
    <t>=NF(H729,"16 Remaining Amt. (LCY)")</t>
  </si>
  <si>
    <t>=IF(H730="","Hide","Show")</t>
  </si>
  <si>
    <t>=D729</t>
  </si>
  <si>
    <t>=E729</t>
  </si>
  <si>
    <t>=NF(H730,"Vendor Ledger Entry No.")</t>
  </si>
  <si>
    <t>=NL("Rows","Detailed Vendor Ledg. Entry",,"Vendor Ledger Entry No.","@@"&amp;G729,"Entry Type","&lt;&gt;"&amp;"Initial Entry")</t>
  </si>
  <si>
    <t>=NF($H730,"5 Document Type")</t>
  </si>
  <si>
    <t>=NF($H730,"6 Document No.")</t>
  </si>
  <si>
    <t>=NF($H730,"4 Posting Date")</t>
  </si>
  <si>
    <t>=NF(H730,"10 Currency Code")</t>
  </si>
  <si>
    <t>=IF(NF($H730,"7 Amount")=Q730,0,NF($H730,"7 Amount"))</t>
  </si>
  <si>
    <t>=IF(NF($H730,"16 Debit Amount")=R730,0,NF($H730,"16 Debit Amount"))</t>
  </si>
  <si>
    <t>=NF(H730,"8 Amount (LCY)")</t>
  </si>
  <si>
    <t>=H732</t>
  </si>
  <si>
    <t>=I727</t>
  </si>
  <si>
    <t>=IF(NF(H732,"Entry no.")&lt;&gt;"",NF(H732,"Entry no."),0)</t>
  </si>
  <si>
    <t>="""Business Central"",""CRONUS JetCorp USA"",""25"",""1"",""249193"""</t>
  </si>
  <si>
    <t>=NF(H732,"7 Description")</t>
  </si>
  <si>
    <t>=NF(H732,"6 Document No.")</t>
  </si>
  <si>
    <t>=NF(H732,"37 Due Date")</t>
  </si>
  <si>
    <t>=NF(H732,"4 Posting Date")</t>
  </si>
  <si>
    <t>=NF(H732,"11 Currency code")</t>
  </si>
  <si>
    <t>=IF(NF($H732,"13 Amount")=Q732,0,NF($H732,"13 Amount"))</t>
  </si>
  <si>
    <t>=IF(NF($H732,"14 Remaining Amount")=R732,0,NF($H732,"14 Remaining Amount"))</t>
  </si>
  <si>
    <t>=NF(H732,"17 Amount (LCY)")</t>
  </si>
  <si>
    <t>=NF(H732,"16 Remaining Amt. (LCY)")</t>
  </si>
  <si>
    <t>=IF(H733="","Hide","Show")</t>
  </si>
  <si>
    <t>=D732</t>
  </si>
  <si>
    <t>=E732</t>
  </si>
  <si>
    <t>=NF(H733,"Vendor Ledger Entry No.")</t>
  </si>
  <si>
    <t>=NL("Rows","Detailed Vendor Ledg. Entry",,"Vendor Ledger Entry No.","@@"&amp;G732,"Entry Type","&lt;&gt;"&amp;"Initial Entry")</t>
  </si>
  <si>
    <t>=NF($H733,"5 Document Type")</t>
  </si>
  <si>
    <t>=NF($H733,"6 Document No.")</t>
  </si>
  <si>
    <t>=NF($H733,"4 Posting Date")</t>
  </si>
  <si>
    <t>=NF(H733,"10 Currency Code")</t>
  </si>
  <si>
    <t>=IF(NF($H733,"7 Amount")=Q733,0,NF($H733,"7 Amount"))</t>
  </si>
  <si>
    <t>=IF(NF($H733,"16 Debit Amount")=R733,0,NF($H733,"16 Debit Amount"))</t>
  </si>
  <si>
    <t>=NF(H733,"8 Amount (LCY)")</t>
  </si>
  <si>
    <t>=H735</t>
  </si>
  <si>
    <t>=I730</t>
  </si>
  <si>
    <t>=IF(NF(H735,"Entry no.")&lt;&gt;"",NF(H735,"Entry no."),0)</t>
  </si>
  <si>
    <t>="""Business Central"",""CRONUS JetCorp USA"",""25"",""1"",""249196"""</t>
  </si>
  <si>
    <t>=NF(H735,"7 Description")</t>
  </si>
  <si>
    <t>=NF(H735,"6 Document No.")</t>
  </si>
  <si>
    <t>=NF(H735,"37 Due Date")</t>
  </si>
  <si>
    <t>=NF(H735,"4 Posting Date")</t>
  </si>
  <si>
    <t>=NF(H735,"11 Currency code")</t>
  </si>
  <si>
    <t>=IF(NF($H735,"13 Amount")=Q735,0,NF($H735,"13 Amount"))</t>
  </si>
  <si>
    <t>=IF(NF($H735,"14 Remaining Amount")=R735,0,NF($H735,"14 Remaining Amount"))</t>
  </si>
  <si>
    <t>=NF(H735,"17 Amount (LCY)")</t>
  </si>
  <si>
    <t>=NF(H735,"16 Remaining Amt. (LCY)")</t>
  </si>
  <si>
    <t>=IF(H736="","Hide","Show")</t>
  </si>
  <si>
    <t>=D735</t>
  </si>
  <si>
    <t>=E735</t>
  </si>
  <si>
    <t>=NF(H736,"Vendor Ledger Entry No.")</t>
  </si>
  <si>
    <t>=NL("Rows","Detailed Vendor Ledg. Entry",,"Vendor Ledger Entry No.","@@"&amp;G735,"Entry Type","&lt;&gt;"&amp;"Initial Entry")</t>
  </si>
  <si>
    <t>=NF($H736,"5 Document Type")</t>
  </si>
  <si>
    <t>=NF($H736,"6 Document No.")</t>
  </si>
  <si>
    <t>=NF($H736,"4 Posting Date")</t>
  </si>
  <si>
    <t>=NF(H736,"10 Currency Code")</t>
  </si>
  <si>
    <t>=IF(NF($H736,"7 Amount")=Q736,0,NF($H736,"7 Amount"))</t>
  </si>
  <si>
    <t>=IF(NF($H736,"16 Debit Amount")=R736,0,NF($H736,"16 Debit Amount"))</t>
  </si>
  <si>
    <t>=NF(H736,"8 Amount (LCY)")</t>
  </si>
  <si>
    <t>=H738</t>
  </si>
  <si>
    <t>=I733</t>
  </si>
  <si>
    <t>=IF(NF(H738,"Entry no.")&lt;&gt;"",NF(H738,"Entry no."),0)</t>
  </si>
  <si>
    <t>="""Business Central"",""CRONUS JetCorp USA"",""25"",""1"",""249199"""</t>
  </si>
  <si>
    <t>=NF(H738,"7 Description")</t>
  </si>
  <si>
    <t>=NF(H738,"6 Document No.")</t>
  </si>
  <si>
    <t>=NF(H738,"37 Due Date")</t>
  </si>
  <si>
    <t>=NF(H738,"4 Posting Date")</t>
  </si>
  <si>
    <t>=NF(H738,"11 Currency code")</t>
  </si>
  <si>
    <t>=IF(NF($H738,"13 Amount")=Q738,0,NF($H738,"13 Amount"))</t>
  </si>
  <si>
    <t>=IF(NF($H738,"14 Remaining Amount")=R738,0,NF($H738,"14 Remaining Amount"))</t>
  </si>
  <si>
    <t>=NF(H738,"17 Amount (LCY)")</t>
  </si>
  <si>
    <t>=NF(H738,"16 Remaining Amt. (LCY)")</t>
  </si>
  <si>
    <t>=IF(H739="","Hide","Show")</t>
  </si>
  <si>
    <t>=D738</t>
  </si>
  <si>
    <t>=E738</t>
  </si>
  <si>
    <t>=NF(H739,"Vendor Ledger Entry No.")</t>
  </si>
  <si>
    <t>=NL("Rows","Detailed Vendor Ledg. Entry",,"Vendor Ledger Entry No.","@@"&amp;G738,"Entry Type","&lt;&gt;"&amp;"Initial Entry")</t>
  </si>
  <si>
    <t>=NF($H739,"5 Document Type")</t>
  </si>
  <si>
    <t>=NF($H739,"6 Document No.")</t>
  </si>
  <si>
    <t>=NF($H739,"4 Posting Date")</t>
  </si>
  <si>
    <t>=NF(H739,"10 Currency Code")</t>
  </si>
  <si>
    <t>=IF(NF($H739,"7 Amount")=Q739,0,NF($H739,"7 Amount"))</t>
  </si>
  <si>
    <t>=IF(NF($H739,"16 Debit Amount")=R739,0,NF($H739,"16 Debit Amount"))</t>
  </si>
  <si>
    <t>=NF(H739,"8 Amount (LCY)")</t>
  </si>
  <si>
    <t>=H741</t>
  </si>
  <si>
    <t>=I736</t>
  </si>
  <si>
    <t>=IF(NF(H741,"Entry no.")&lt;&gt;"",NF(H741,"Entry no."),0)</t>
  </si>
  <si>
    <t>="""Business Central"",""CRONUS JetCorp USA"",""25"",""1"",""249202"""</t>
  </si>
  <si>
    <t>=NF(H741,"7 Description")</t>
  </si>
  <si>
    <t>=NF(H741,"6 Document No.")</t>
  </si>
  <si>
    <t>=NF(H741,"37 Due Date")</t>
  </si>
  <si>
    <t>=NF(H741,"4 Posting Date")</t>
  </si>
  <si>
    <t>=NF(H741,"11 Currency code")</t>
  </si>
  <si>
    <t>=IF(NF($H741,"13 Amount")=Q741,0,NF($H741,"13 Amount"))</t>
  </si>
  <si>
    <t>=IF(NF($H741,"14 Remaining Amount")=R741,0,NF($H741,"14 Remaining Amount"))</t>
  </si>
  <si>
    <t>=NF(H741,"17 Amount (LCY)")</t>
  </si>
  <si>
    <t>=NF(H741,"16 Remaining Amt. (LCY)")</t>
  </si>
  <si>
    <t>=IF(H742="","Hide","Show")</t>
  </si>
  <si>
    <t>=D741</t>
  </si>
  <si>
    <t>=E741</t>
  </si>
  <si>
    <t>=NF(H742,"Vendor Ledger Entry No.")</t>
  </si>
  <si>
    <t>=NL("Rows","Detailed Vendor Ledg. Entry",,"Vendor Ledger Entry No.","@@"&amp;G741,"Entry Type","&lt;&gt;"&amp;"Initial Entry")</t>
  </si>
  <si>
    <t>=NF($H742,"5 Document Type")</t>
  </si>
  <si>
    <t>=NF($H742,"6 Document No.")</t>
  </si>
  <si>
    <t>=NF($H742,"4 Posting Date")</t>
  </si>
  <si>
    <t>=NF(H742,"10 Currency Code")</t>
  </si>
  <si>
    <t>=IF(NF($H742,"7 Amount")=Q742,0,NF($H742,"7 Amount"))</t>
  </si>
  <si>
    <t>=IF(NF($H742,"16 Debit Amount")=R742,0,NF($H742,"16 Debit Amount"))</t>
  </si>
  <si>
    <t>=NF(H742,"8 Amount (LCY)")</t>
  </si>
  <si>
    <t>=H744</t>
  </si>
  <si>
    <t>=I739</t>
  </si>
  <si>
    <t>=IF(NF(H744,"Entry no.")&lt;&gt;"",NF(H744,"Entry no."),0)</t>
  </si>
  <si>
    <t>="""Business Central"",""CRONUS JetCorp USA"",""25"",""1"",""249205"""</t>
  </si>
  <si>
    <t>=NF(H744,"7 Description")</t>
  </si>
  <si>
    <t>=NF(H744,"6 Document No.")</t>
  </si>
  <si>
    <t>=NF(H744,"37 Due Date")</t>
  </si>
  <si>
    <t>=NF(H744,"4 Posting Date")</t>
  </si>
  <si>
    <t>=NF(H744,"11 Currency code")</t>
  </si>
  <si>
    <t>=IF(NF($H744,"13 Amount")=Q744,0,NF($H744,"13 Amount"))</t>
  </si>
  <si>
    <t>=IF(NF($H744,"14 Remaining Amount")=R744,0,NF($H744,"14 Remaining Amount"))</t>
  </si>
  <si>
    <t>=NF(H744,"17 Amount (LCY)")</t>
  </si>
  <si>
    <t>=NF(H744,"16 Remaining Amt. (LCY)")</t>
  </si>
  <si>
    <t>=IF(H745="","Hide","Show")</t>
  </si>
  <si>
    <t>=D744</t>
  </si>
  <si>
    <t>=E744</t>
  </si>
  <si>
    <t>=NF(H745,"Vendor Ledger Entry No.")</t>
  </si>
  <si>
    <t>=NL("Rows","Detailed Vendor Ledg. Entry",,"Vendor Ledger Entry No.","@@"&amp;G744,"Entry Type","&lt;&gt;"&amp;"Initial Entry")</t>
  </si>
  <si>
    <t>=NF($H745,"5 Document Type")</t>
  </si>
  <si>
    <t>=NF($H745,"6 Document No.")</t>
  </si>
  <si>
    <t>=NF($H745,"4 Posting Date")</t>
  </si>
  <si>
    <t>=NF(H745,"10 Currency Code")</t>
  </si>
  <si>
    <t>=IF(NF($H745,"7 Amount")=Q745,0,NF($H745,"7 Amount"))</t>
  </si>
  <si>
    <t>=IF(NF($H745,"16 Debit Amount")=R745,0,NF($H745,"16 Debit Amount"))</t>
  </si>
  <si>
    <t>=NF(H745,"8 Amount (LCY)")</t>
  </si>
  <si>
    <t>=H747</t>
  </si>
  <si>
    <t>=I742</t>
  </si>
  <si>
    <t>=IF(NF(H747,"Entry no.")&lt;&gt;"",NF(H747,"Entry no."),0)</t>
  </si>
  <si>
    <t>="""Business Central"",""CRONUS JetCorp USA"",""25"",""1"",""249208"""</t>
  </si>
  <si>
    <t>=NF(H747,"7 Description")</t>
  </si>
  <si>
    <t>=NF(H747,"6 Document No.")</t>
  </si>
  <si>
    <t>=NF(H747,"37 Due Date")</t>
  </si>
  <si>
    <t>=NF(H747,"4 Posting Date")</t>
  </si>
  <si>
    <t>=NF(H747,"11 Currency code")</t>
  </si>
  <si>
    <t>=IF(NF($H747,"13 Amount")=Q747,0,NF($H747,"13 Amount"))</t>
  </si>
  <si>
    <t>=IF(NF($H747,"14 Remaining Amount")=R747,0,NF($H747,"14 Remaining Amount"))</t>
  </si>
  <si>
    <t>=NF(H747,"17 Amount (LCY)")</t>
  </si>
  <si>
    <t>=NF(H747,"16 Remaining Amt. (LCY)")</t>
  </si>
  <si>
    <t>=IF(H748="","Hide","Show")</t>
  </si>
  <si>
    <t>=D747</t>
  </si>
  <si>
    <t>=E747</t>
  </si>
  <si>
    <t>=NF(H748,"Vendor Ledger Entry No.")</t>
  </si>
  <si>
    <t>=NL("Rows","Detailed Vendor Ledg. Entry",,"Vendor Ledger Entry No.","@@"&amp;G747,"Entry Type","&lt;&gt;"&amp;"Initial Entry")</t>
  </si>
  <si>
    <t>=NF($H748,"5 Document Type")</t>
  </si>
  <si>
    <t>=NF($H748,"6 Document No.")</t>
  </si>
  <si>
    <t>=NF($H748,"4 Posting Date")</t>
  </si>
  <si>
    <t>=NF(H748,"10 Currency Code")</t>
  </si>
  <si>
    <t>=IF(NF($H748,"7 Amount")=Q748,0,NF($H748,"7 Amount"))</t>
  </si>
  <si>
    <t>=IF(NF($H748,"16 Debit Amount")=R748,0,NF($H748,"16 Debit Amount"))</t>
  </si>
  <si>
    <t>=NF(H748,"8 Amount (LCY)")</t>
  </si>
  <si>
    <t>=H750</t>
  </si>
  <si>
    <t>=I745</t>
  </si>
  <si>
    <t>=IF(NF(H750,"Entry no.")&lt;&gt;"",NF(H750,"Entry no."),0)</t>
  </si>
  <si>
    <t>="""Business Central"",""CRONUS JetCorp USA"",""25"",""1"",""249211"""</t>
  </si>
  <si>
    <t>=NF(H750,"7 Description")</t>
  </si>
  <si>
    <t>=NF(H750,"6 Document No.")</t>
  </si>
  <si>
    <t>=NF(H750,"37 Due Date")</t>
  </si>
  <si>
    <t>=NF(H750,"4 Posting Date")</t>
  </si>
  <si>
    <t>=NF(H750,"11 Currency code")</t>
  </si>
  <si>
    <t>=IF(NF($H750,"13 Amount")=Q750,0,NF($H750,"13 Amount"))</t>
  </si>
  <si>
    <t>=IF(NF($H750,"14 Remaining Amount")=R750,0,NF($H750,"14 Remaining Amount"))</t>
  </si>
  <si>
    <t>=NF(H750,"17 Amount (LCY)")</t>
  </si>
  <si>
    <t>=NF(H750,"16 Remaining Amt. (LCY)")</t>
  </si>
  <si>
    <t>=IF(H751="","Hide","Show")</t>
  </si>
  <si>
    <t>=D750</t>
  </si>
  <si>
    <t>=E750</t>
  </si>
  <si>
    <t>=NF(H751,"Vendor Ledger Entry No.")</t>
  </si>
  <si>
    <t>=NL("Rows","Detailed Vendor Ledg. Entry",,"Vendor Ledger Entry No.","@@"&amp;G750,"Entry Type","&lt;&gt;"&amp;"Initial Entry")</t>
  </si>
  <si>
    <t>=NF($H751,"5 Document Type")</t>
  </si>
  <si>
    <t>=NF($H751,"6 Document No.")</t>
  </si>
  <si>
    <t>=NF($H751,"4 Posting Date")</t>
  </si>
  <si>
    <t>=NF(H751,"10 Currency Code")</t>
  </si>
  <si>
    <t>=IF(NF($H751,"7 Amount")=Q751,0,NF($H751,"7 Amount"))</t>
  </si>
  <si>
    <t>=IF(NF($H751,"16 Debit Amount")=R751,0,NF($H751,"16 Debit Amount"))</t>
  </si>
  <si>
    <t>=NF(H751,"8 Amount (LCY)")</t>
  </si>
  <si>
    <t>=H753</t>
  </si>
  <si>
    <t>=I748</t>
  </si>
  <si>
    <t>=IF(NF(H753,"Entry no.")&lt;&gt;"",NF(H753,"Entry no."),0)</t>
  </si>
  <si>
    <t>="""Business Central"",""CRONUS JetCorp USA"",""25"",""1"",""249214"""</t>
  </si>
  <si>
    <t>=NF(H753,"7 Description")</t>
  </si>
  <si>
    <t>=NF(H753,"6 Document No.")</t>
  </si>
  <si>
    <t>=NF(H753,"37 Due Date")</t>
  </si>
  <si>
    <t>=NF(H753,"4 Posting Date")</t>
  </si>
  <si>
    <t>=NF(H753,"11 Currency code")</t>
  </si>
  <si>
    <t>=IF(NF($H753,"13 Amount")=Q753,0,NF($H753,"13 Amount"))</t>
  </si>
  <si>
    <t>=IF(NF($H753,"14 Remaining Amount")=R753,0,NF($H753,"14 Remaining Amount"))</t>
  </si>
  <si>
    <t>=NF(H753,"17 Amount (LCY)")</t>
  </si>
  <si>
    <t>=NF(H753,"16 Remaining Amt. (LCY)")</t>
  </si>
  <si>
    <t>=IF(H754="","Hide","Show")</t>
  </si>
  <si>
    <t>=D753</t>
  </si>
  <si>
    <t>=E753</t>
  </si>
  <si>
    <t>=NF(H754,"Vendor Ledger Entry No.")</t>
  </si>
  <si>
    <t>=NL("Rows","Detailed Vendor Ledg. Entry",,"Vendor Ledger Entry No.","@@"&amp;G753,"Entry Type","&lt;&gt;"&amp;"Initial Entry")</t>
  </si>
  <si>
    <t>=NF($H754,"5 Document Type")</t>
  </si>
  <si>
    <t>=NF($H754,"6 Document No.")</t>
  </si>
  <si>
    <t>=NF($H754,"4 Posting Date")</t>
  </si>
  <si>
    <t>=NF(H754,"10 Currency Code")</t>
  </si>
  <si>
    <t>=IF(NF($H754,"7 Amount")=Q754,0,NF($H754,"7 Amount"))</t>
  </si>
  <si>
    <t>=IF(NF($H754,"16 Debit Amount")=R754,0,NF($H754,"16 Debit Amount"))</t>
  </si>
  <si>
    <t>=NF(H754,"8 Amount (LCY)")</t>
  </si>
  <si>
    <t>=H756</t>
  </si>
  <si>
    <t>=I751</t>
  </si>
  <si>
    <t>=IF(NF(H756,"Entry no.")&lt;&gt;"",NF(H756,"Entry no."),0)</t>
  </si>
  <si>
    <t>="""Business Central"",""CRONUS JetCorp USA"",""25"",""1"",""249217"""</t>
  </si>
  <si>
    <t>=NF(H756,"7 Description")</t>
  </si>
  <si>
    <t>=NF(H756,"6 Document No.")</t>
  </si>
  <si>
    <t>=NF(H756,"37 Due Date")</t>
  </si>
  <si>
    <t>=NF(H756,"4 Posting Date")</t>
  </si>
  <si>
    <t>=NF(H756,"11 Currency code")</t>
  </si>
  <si>
    <t>=IF(NF($H756,"13 Amount")=Q756,0,NF($H756,"13 Amount"))</t>
  </si>
  <si>
    <t>=IF(NF($H756,"14 Remaining Amount")=R756,0,NF($H756,"14 Remaining Amount"))</t>
  </si>
  <si>
    <t>=NF(H756,"17 Amount (LCY)")</t>
  </si>
  <si>
    <t>=NF(H756,"16 Remaining Amt. (LCY)")</t>
  </si>
  <si>
    <t>=IF(H757="","Hide","Show")</t>
  </si>
  <si>
    <t>=D756</t>
  </si>
  <si>
    <t>=E756</t>
  </si>
  <si>
    <t>=NF(H757,"Vendor Ledger Entry No.")</t>
  </si>
  <si>
    <t>=NL("Rows","Detailed Vendor Ledg. Entry",,"Vendor Ledger Entry No.","@@"&amp;G756,"Entry Type","&lt;&gt;"&amp;"Initial Entry")</t>
  </si>
  <si>
    <t>=NF($H757,"5 Document Type")</t>
  </si>
  <si>
    <t>=NF($H757,"6 Document No.")</t>
  </si>
  <si>
    <t>=NF($H757,"4 Posting Date")</t>
  </si>
  <si>
    <t>=NF(H757,"10 Currency Code")</t>
  </si>
  <si>
    <t>=IF(NF($H757,"7 Amount")=Q757,0,NF($H757,"7 Amount"))</t>
  </si>
  <si>
    <t>=IF(NF($H757,"16 Debit Amount")=R757,0,NF($H757,"16 Debit Amount"))</t>
  </si>
  <si>
    <t>=NF(H757,"8 Amount (LCY)")</t>
  </si>
  <si>
    <t>=H759</t>
  </si>
  <si>
    <t>=I754</t>
  </si>
  <si>
    <t>=IF(NF(H759,"Entry no.")&lt;&gt;"",NF(H759,"Entry no."),0)</t>
  </si>
  <si>
    <t>="""Business Central"",""CRONUS JetCorp USA"",""25"",""1"",""249220"""</t>
  </si>
  <si>
    <t>=NF(H759,"7 Description")</t>
  </si>
  <si>
    <t>=NF(H759,"6 Document No.")</t>
  </si>
  <si>
    <t>=NF(H759,"37 Due Date")</t>
  </si>
  <si>
    <t>=NF(H759,"4 Posting Date")</t>
  </si>
  <si>
    <t>=NF(H759,"11 Currency code")</t>
  </si>
  <si>
    <t>=IF(NF($H759,"13 Amount")=Q759,0,NF($H759,"13 Amount"))</t>
  </si>
  <si>
    <t>=IF(NF($H759,"14 Remaining Amount")=R759,0,NF($H759,"14 Remaining Amount"))</t>
  </si>
  <si>
    <t>=NF(H759,"17 Amount (LCY)")</t>
  </si>
  <si>
    <t>=NF(H759,"16 Remaining Amt. (LCY)")</t>
  </si>
  <si>
    <t>=IF(H760="","Hide","Show")</t>
  </si>
  <si>
    <t>=D759</t>
  </si>
  <si>
    <t>=E759</t>
  </si>
  <si>
    <t>=NF(H760,"Vendor Ledger Entry No.")</t>
  </si>
  <si>
    <t>=NL("Rows","Detailed Vendor Ledg. Entry",,"Vendor Ledger Entry No.","@@"&amp;G759,"Entry Type","&lt;&gt;"&amp;"Initial Entry")</t>
  </si>
  <si>
    <t>=NF($H760,"5 Document Type")</t>
  </si>
  <si>
    <t>=NF($H760,"6 Document No.")</t>
  </si>
  <si>
    <t>=NF($H760,"4 Posting Date")</t>
  </si>
  <si>
    <t>=NF(H760,"10 Currency Code")</t>
  </si>
  <si>
    <t>=IF(NF($H760,"7 Amount")=Q760,0,NF($H760,"7 Amount"))</t>
  </si>
  <si>
    <t>=IF(NF($H760,"16 Debit Amount")=R760,0,NF($H760,"16 Debit Amount"))</t>
  </si>
  <si>
    <t>=NF(H760,"8 Amount (LCY)")</t>
  </si>
  <si>
    <t>=H762</t>
  </si>
  <si>
    <t>=I757</t>
  </si>
  <si>
    <t>=IF(NF(H762,"Entry no.")&lt;&gt;"",NF(H762,"Entry no."),0)</t>
  </si>
  <si>
    <t>="""Business Central"",""CRONUS JetCorp USA"",""25"",""1"",""249223"""</t>
  </si>
  <si>
    <t>=NF(H762,"7 Description")</t>
  </si>
  <si>
    <t>=NF(H762,"6 Document No.")</t>
  </si>
  <si>
    <t>=NF(H762,"37 Due Date")</t>
  </si>
  <si>
    <t>=NF(H762,"4 Posting Date")</t>
  </si>
  <si>
    <t>=NF(H762,"11 Currency code")</t>
  </si>
  <si>
    <t>=IF(NF($H762,"13 Amount")=Q762,0,NF($H762,"13 Amount"))</t>
  </si>
  <si>
    <t>=IF(NF($H762,"14 Remaining Amount")=R762,0,NF($H762,"14 Remaining Amount"))</t>
  </si>
  <si>
    <t>=NF(H762,"17 Amount (LCY)")</t>
  </si>
  <si>
    <t>=NF(H762,"16 Remaining Amt. (LCY)")</t>
  </si>
  <si>
    <t>=IF(H763="","Hide","Show")</t>
  </si>
  <si>
    <t>=D762</t>
  </si>
  <si>
    <t>=E762</t>
  </si>
  <si>
    <t>=NF(H763,"Vendor Ledger Entry No.")</t>
  </si>
  <si>
    <t>=NL("Rows","Detailed Vendor Ledg. Entry",,"Vendor Ledger Entry No.","@@"&amp;G762,"Entry Type","&lt;&gt;"&amp;"Initial Entry")</t>
  </si>
  <si>
    <t>=NF($H763,"5 Document Type")</t>
  </si>
  <si>
    <t>=NF($H763,"6 Document No.")</t>
  </si>
  <si>
    <t>=NF($H763,"4 Posting Date")</t>
  </si>
  <si>
    <t>=NF(H763,"10 Currency Code")</t>
  </si>
  <si>
    <t>=IF(NF($H763,"7 Amount")=Q763,0,NF($H763,"7 Amount"))</t>
  </si>
  <si>
    <t>=IF(NF($H763,"16 Debit Amount")=R763,0,NF($H763,"16 Debit Amount"))</t>
  </si>
  <si>
    <t>=NF(H763,"8 Amount (LCY)")</t>
  </si>
  <si>
    <t>=H765</t>
  </si>
  <si>
    <t>=I760</t>
  </si>
  <si>
    <t>=IF(NF(H765,"Entry no.")&lt;&gt;"",NF(H765,"Entry no."),0)</t>
  </si>
  <si>
    <t>="""Business Central"",""CRONUS JetCorp USA"",""25"",""1"",""249226"""</t>
  </si>
  <si>
    <t>=NF(H765,"7 Description")</t>
  </si>
  <si>
    <t>=NF(H765,"6 Document No.")</t>
  </si>
  <si>
    <t>=NF(H765,"37 Due Date")</t>
  </si>
  <si>
    <t>=NF(H765,"4 Posting Date")</t>
  </si>
  <si>
    <t>=NF(H765,"11 Currency code")</t>
  </si>
  <si>
    <t>=IF(NF($H765,"13 Amount")=Q765,0,NF($H765,"13 Amount"))</t>
  </si>
  <si>
    <t>=IF(NF($H765,"14 Remaining Amount")=R765,0,NF($H765,"14 Remaining Amount"))</t>
  </si>
  <si>
    <t>=NF(H765,"17 Amount (LCY)")</t>
  </si>
  <si>
    <t>=NF(H765,"16 Remaining Amt. (LCY)")</t>
  </si>
  <si>
    <t>=IF(H766="","Hide","Show")</t>
  </si>
  <si>
    <t>=D765</t>
  </si>
  <si>
    <t>=E765</t>
  </si>
  <si>
    <t>=NF(H766,"Vendor Ledger Entry No.")</t>
  </si>
  <si>
    <t>=NL("Rows","Detailed Vendor Ledg. Entry",,"Vendor Ledger Entry No.","@@"&amp;G765,"Entry Type","&lt;&gt;"&amp;"Initial Entry")</t>
  </si>
  <si>
    <t>=NF($H766,"5 Document Type")</t>
  </si>
  <si>
    <t>=NF($H766,"6 Document No.")</t>
  </si>
  <si>
    <t>=NF($H766,"4 Posting Date")</t>
  </si>
  <si>
    <t>=NF(H766,"10 Currency Code")</t>
  </si>
  <si>
    <t>=IF(NF($H766,"7 Amount")=Q766,0,NF($H766,"7 Amount"))</t>
  </si>
  <si>
    <t>=IF(NF($H766,"16 Debit Amount")=R766,0,NF($H766,"16 Debit Amount"))</t>
  </si>
  <si>
    <t>=NF(H766,"8 Amount (LCY)")</t>
  </si>
  <si>
    <t>=H768</t>
  </si>
  <si>
    <t>=I763</t>
  </si>
  <si>
    <t>=IF(NF(H768,"Entry no.")&lt;&gt;"",NF(H768,"Entry no."),0)</t>
  </si>
  <si>
    <t>="""Business Central"",""CRONUS JetCorp USA"",""25"",""1"",""249229"""</t>
  </si>
  <si>
    <t>=NF(H768,"7 Description")</t>
  </si>
  <si>
    <t>=NF(H768,"6 Document No.")</t>
  </si>
  <si>
    <t>=NF(H768,"37 Due Date")</t>
  </si>
  <si>
    <t>=NF(H768,"4 Posting Date")</t>
  </si>
  <si>
    <t>=NF(H768,"11 Currency code")</t>
  </si>
  <si>
    <t>=IF(NF($H768,"13 Amount")=Q768,0,NF($H768,"13 Amount"))</t>
  </si>
  <si>
    <t>=IF(NF($H768,"14 Remaining Amount")=R768,0,NF($H768,"14 Remaining Amount"))</t>
  </si>
  <si>
    <t>=NF(H768,"17 Amount (LCY)")</t>
  </si>
  <si>
    <t>=NF(H768,"16 Remaining Amt. (LCY)")</t>
  </si>
  <si>
    <t>=IF(H769="","Hide","Show")</t>
  </si>
  <si>
    <t>=D768</t>
  </si>
  <si>
    <t>=E768</t>
  </si>
  <si>
    <t>=NF(H769,"Vendor Ledger Entry No.")</t>
  </si>
  <si>
    <t>=NL("Rows","Detailed Vendor Ledg. Entry",,"Vendor Ledger Entry No.","@@"&amp;G768,"Entry Type","&lt;&gt;"&amp;"Initial Entry")</t>
  </si>
  <si>
    <t>=NF($H769,"5 Document Type")</t>
  </si>
  <si>
    <t>=NF($H769,"6 Document No.")</t>
  </si>
  <si>
    <t>=NF($H769,"4 Posting Date")</t>
  </si>
  <si>
    <t>=NF(H769,"10 Currency Code")</t>
  </si>
  <si>
    <t>=IF(NF($H769,"7 Amount")=Q769,0,NF($H769,"7 Amount"))</t>
  </si>
  <si>
    <t>=IF(NF($H769,"16 Debit Amount")=R769,0,NF($H769,"16 Debit Amount"))</t>
  </si>
  <si>
    <t>=NF(H769,"8 Amount (LCY)")</t>
  </si>
  <si>
    <t>=H771</t>
  </si>
  <si>
    <t>=I766</t>
  </si>
  <si>
    <t>=IF(NF(H771,"Entry no.")&lt;&gt;"",NF(H771,"Entry no."),0)</t>
  </si>
  <si>
    <t>="""Business Central"",""CRONUS JetCorp USA"",""25"",""1"",""249232"""</t>
  </si>
  <si>
    <t>=NF(H771,"7 Description")</t>
  </si>
  <si>
    <t>=NF(H771,"6 Document No.")</t>
  </si>
  <si>
    <t>=NF(H771,"37 Due Date")</t>
  </si>
  <si>
    <t>=NF(H771,"4 Posting Date")</t>
  </si>
  <si>
    <t>=NF(H771,"11 Currency code")</t>
  </si>
  <si>
    <t>=IF(NF($H771,"13 Amount")=Q771,0,NF($H771,"13 Amount"))</t>
  </si>
  <si>
    <t>=IF(NF($H771,"14 Remaining Amount")=R771,0,NF($H771,"14 Remaining Amount"))</t>
  </si>
  <si>
    <t>=NF(H771,"17 Amount (LCY)")</t>
  </si>
  <si>
    <t>=NF(H771,"16 Remaining Amt. (LCY)")</t>
  </si>
  <si>
    <t>=IF(H772="","Hide","Show")</t>
  </si>
  <si>
    <t>=D771</t>
  </si>
  <si>
    <t>=E771</t>
  </si>
  <si>
    <t>=NF(H772,"Vendor Ledger Entry No.")</t>
  </si>
  <si>
    <t>=NL("Rows","Detailed Vendor Ledg. Entry",,"Vendor Ledger Entry No.","@@"&amp;G771,"Entry Type","&lt;&gt;"&amp;"Initial Entry")</t>
  </si>
  <si>
    <t>=NF($H772,"5 Document Type")</t>
  </si>
  <si>
    <t>=NF($H772,"6 Document No.")</t>
  </si>
  <si>
    <t>=NF($H772,"4 Posting Date")</t>
  </si>
  <si>
    <t>=NF(H772,"10 Currency Code")</t>
  </si>
  <si>
    <t>=IF(NF($H772,"7 Amount")=Q772,0,NF($H772,"7 Amount"))</t>
  </si>
  <si>
    <t>=IF(NF($H772,"16 Debit Amount")=R772,0,NF($H772,"16 Debit Amount"))</t>
  </si>
  <si>
    <t>=NF(H772,"8 Amount (LCY)")</t>
  </si>
  <si>
    <t>=H774</t>
  </si>
  <si>
    <t>=I769</t>
  </si>
  <si>
    <t>=IF(NF(H774,"Entry no.")&lt;&gt;"",NF(H774,"Entry no."),0)</t>
  </si>
  <si>
    <t>="""Business Central"",""CRONUS JetCorp USA"",""25"",""1"",""249235"""</t>
  </si>
  <si>
    <t>=NF(H774,"7 Description")</t>
  </si>
  <si>
    <t>=NF(H774,"6 Document No.")</t>
  </si>
  <si>
    <t>=NF(H774,"37 Due Date")</t>
  </si>
  <si>
    <t>=NF(H774,"4 Posting Date")</t>
  </si>
  <si>
    <t>=NF(H774,"11 Currency code")</t>
  </si>
  <si>
    <t>=IF(NF($H774,"13 Amount")=Q774,0,NF($H774,"13 Amount"))</t>
  </si>
  <si>
    <t>=IF(NF($H774,"14 Remaining Amount")=R774,0,NF($H774,"14 Remaining Amount"))</t>
  </si>
  <si>
    <t>=NF(H774,"17 Amount (LCY)")</t>
  </si>
  <si>
    <t>=NF(H774,"16 Remaining Amt. (LCY)")</t>
  </si>
  <si>
    <t>=IF(H775="","Hide","Show")</t>
  </si>
  <si>
    <t>=D774</t>
  </si>
  <si>
    <t>=E774</t>
  </si>
  <si>
    <t>=NF(H775,"Vendor Ledger Entry No.")</t>
  </si>
  <si>
    <t>=NL("Rows","Detailed Vendor Ledg. Entry",,"Vendor Ledger Entry No.","@@"&amp;G774,"Entry Type","&lt;&gt;"&amp;"Initial Entry")</t>
  </si>
  <si>
    <t>=NF($H775,"5 Document Type")</t>
  </si>
  <si>
    <t>=NF($H775,"6 Document No.")</t>
  </si>
  <si>
    <t>=NF($H775,"4 Posting Date")</t>
  </si>
  <si>
    <t>=NF(H775,"10 Currency Code")</t>
  </si>
  <si>
    <t>=IF(NF($H775,"7 Amount")=Q775,0,NF($H775,"7 Amount"))</t>
  </si>
  <si>
    <t>=IF(NF($H775,"16 Debit Amount")=R775,0,NF($H775,"16 Debit Amount"))</t>
  </si>
  <si>
    <t>=NF(H775,"8 Amount (LCY)")</t>
  </si>
  <si>
    <t>=H777</t>
  </si>
  <si>
    <t>=I772</t>
  </si>
  <si>
    <t>=IF(NF(H777,"Entry no.")&lt;&gt;"",NF(H777,"Entry no."),0)</t>
  </si>
  <si>
    <t>="""Business Central"",""CRONUS JetCorp USA"",""25"",""1"",""249238"""</t>
  </si>
  <si>
    <t>=NF(H777,"7 Description")</t>
  </si>
  <si>
    <t>=NF(H777,"6 Document No.")</t>
  </si>
  <si>
    <t>=NF(H777,"37 Due Date")</t>
  </si>
  <si>
    <t>=NF(H777,"4 Posting Date")</t>
  </si>
  <si>
    <t>=NF(H777,"11 Currency code")</t>
  </si>
  <si>
    <t>=IF(NF($H777,"13 Amount")=Q777,0,NF($H777,"13 Amount"))</t>
  </si>
  <si>
    <t>=IF(NF($H777,"14 Remaining Amount")=R777,0,NF($H777,"14 Remaining Amount"))</t>
  </si>
  <si>
    <t>=NF(H777,"17 Amount (LCY)")</t>
  </si>
  <si>
    <t>=NF(H777,"16 Remaining Amt. (LCY)")</t>
  </si>
  <si>
    <t>=IF(H778="","Hide","Show")</t>
  </si>
  <si>
    <t>=D777</t>
  </si>
  <si>
    <t>=E777</t>
  </si>
  <si>
    <t>=NF(H778,"Vendor Ledger Entry No.")</t>
  </si>
  <si>
    <t>=NL("Rows","Detailed Vendor Ledg. Entry",,"Vendor Ledger Entry No.","@@"&amp;G777,"Entry Type","&lt;&gt;"&amp;"Initial Entry")</t>
  </si>
  <si>
    <t>=NF($H778,"5 Document Type")</t>
  </si>
  <si>
    <t>=NF($H778,"6 Document No.")</t>
  </si>
  <si>
    <t>=NF($H778,"4 Posting Date")</t>
  </si>
  <si>
    <t>=NF(H778,"10 Currency Code")</t>
  </si>
  <si>
    <t>=IF(NF($H778,"7 Amount")=Q778,0,NF($H778,"7 Amount"))</t>
  </si>
  <si>
    <t>=IF(NF($H778,"16 Debit Amount")=R778,0,NF($H778,"16 Debit Amount"))</t>
  </si>
  <si>
    <t>=NF(H778,"8 Amount (LCY)")</t>
  </si>
  <si>
    <t>=H780</t>
  </si>
  <si>
    <t>=I775</t>
  </si>
  <si>
    <t>=IF(NF(H780,"Entry no.")&lt;&gt;"",NF(H780,"Entry no."),0)</t>
  </si>
  <si>
    <t>="""Business Central"",""CRONUS JetCorp USA"",""25"",""1"",""249241"""</t>
  </si>
  <si>
    <t>=NF(H780,"7 Description")</t>
  </si>
  <si>
    <t>=NF(H780,"6 Document No.")</t>
  </si>
  <si>
    <t>=NF(H780,"37 Due Date")</t>
  </si>
  <si>
    <t>=NF(H780,"4 Posting Date")</t>
  </si>
  <si>
    <t>=NF(H780,"11 Currency code")</t>
  </si>
  <si>
    <t>=IF(NF($H780,"13 Amount")=Q780,0,NF($H780,"13 Amount"))</t>
  </si>
  <si>
    <t>=IF(NF($H780,"14 Remaining Amount")=R780,0,NF($H780,"14 Remaining Amount"))</t>
  </si>
  <si>
    <t>=NF(H780,"17 Amount (LCY)")</t>
  </si>
  <si>
    <t>=NF(H780,"16 Remaining Amt. (LCY)")</t>
  </si>
  <si>
    <t>=IF(H781="","Hide","Show")</t>
  </si>
  <si>
    <t>=D780</t>
  </si>
  <si>
    <t>=E780</t>
  </si>
  <si>
    <t>=NF(H781,"Vendor Ledger Entry No.")</t>
  </si>
  <si>
    <t>=NL("Rows","Detailed Vendor Ledg. Entry",,"Vendor Ledger Entry No.","@@"&amp;G780,"Entry Type","&lt;&gt;"&amp;"Initial Entry")</t>
  </si>
  <si>
    <t>=NF($H781,"5 Document Type")</t>
  </si>
  <si>
    <t>=NF($H781,"6 Document No.")</t>
  </si>
  <si>
    <t>=NF($H781,"4 Posting Date")</t>
  </si>
  <si>
    <t>=NF(H781,"10 Currency Code")</t>
  </si>
  <si>
    <t>=IF(NF($H781,"7 Amount")=Q781,0,NF($H781,"7 Amount"))</t>
  </si>
  <si>
    <t>=IF(NF($H781,"16 Debit Amount")=R781,0,NF($H781,"16 Debit Amount"))</t>
  </si>
  <si>
    <t>=NF(H781,"8 Amount (LCY)")</t>
  </si>
  <si>
    <t>=H783</t>
  </si>
  <si>
    <t>=I778</t>
  </si>
  <si>
    <t>=IF(NF(H783,"Entry no.")&lt;&gt;"",NF(H783,"Entry no."),0)</t>
  </si>
  <si>
    <t>="""Business Central"",""CRONUS JetCorp USA"",""25"",""1"",""249244"""</t>
  </si>
  <si>
    <t>=NF(H783,"7 Description")</t>
  </si>
  <si>
    <t>=NF(H783,"6 Document No.")</t>
  </si>
  <si>
    <t>=NF(H783,"37 Due Date")</t>
  </si>
  <si>
    <t>=NF(H783,"4 Posting Date")</t>
  </si>
  <si>
    <t>=NF(H783,"11 Currency code")</t>
  </si>
  <si>
    <t>=IF(NF($H783,"13 Amount")=Q783,0,NF($H783,"13 Amount"))</t>
  </si>
  <si>
    <t>=IF(NF($H783,"14 Remaining Amount")=R783,0,NF($H783,"14 Remaining Amount"))</t>
  </si>
  <si>
    <t>=NF(H783,"17 Amount (LCY)")</t>
  </si>
  <si>
    <t>=NF(H783,"16 Remaining Amt. (LCY)")</t>
  </si>
  <si>
    <t>=IF(H784="","Hide","Show")</t>
  </si>
  <si>
    <t>=D783</t>
  </si>
  <si>
    <t>=E783</t>
  </si>
  <si>
    <t>=NF(H784,"Vendor Ledger Entry No.")</t>
  </si>
  <si>
    <t>=NL("Rows","Detailed Vendor Ledg. Entry",,"Vendor Ledger Entry No.","@@"&amp;G783,"Entry Type","&lt;&gt;"&amp;"Initial Entry")</t>
  </si>
  <si>
    <t>=NF($H784,"5 Document Type")</t>
  </si>
  <si>
    <t>=NF($H784,"6 Document No.")</t>
  </si>
  <si>
    <t>=NF($H784,"4 Posting Date")</t>
  </si>
  <si>
    <t>=NF(H784,"10 Currency Code")</t>
  </si>
  <si>
    <t>=IF(NF($H784,"7 Amount")=Q784,0,NF($H784,"7 Amount"))</t>
  </si>
  <si>
    <t>=IF(NF($H784,"16 Debit Amount")=R784,0,NF($H784,"16 Debit Amount"))</t>
  </si>
  <si>
    <t>=NF(H784,"8 Amount (LCY)")</t>
  </si>
  <si>
    <t>=H786</t>
  </si>
  <si>
    <t>=I781</t>
  </si>
  <si>
    <t>=IF(NF(H786,"Entry no.")&lt;&gt;"",NF(H786,"Entry no."),0)</t>
  </si>
  <si>
    <t>="""Business Central"",""CRONUS JetCorp USA"",""25"",""1"",""249247"""</t>
  </si>
  <si>
    <t>=NF(H786,"7 Description")</t>
  </si>
  <si>
    <t>=NF(H786,"6 Document No.")</t>
  </si>
  <si>
    <t>=NF(H786,"37 Due Date")</t>
  </si>
  <si>
    <t>=NF(H786,"4 Posting Date")</t>
  </si>
  <si>
    <t>=NF(H786,"11 Currency code")</t>
  </si>
  <si>
    <t>=IF(NF($H786,"13 Amount")=Q786,0,NF($H786,"13 Amount"))</t>
  </si>
  <si>
    <t>=IF(NF($H786,"14 Remaining Amount")=R786,0,NF($H786,"14 Remaining Amount"))</t>
  </si>
  <si>
    <t>=NF(H786,"17 Amount (LCY)")</t>
  </si>
  <si>
    <t>=NF(H786,"16 Remaining Amt. (LCY)")</t>
  </si>
  <si>
    <t>=IF(H787="","Hide","Show")</t>
  </si>
  <si>
    <t>=D786</t>
  </si>
  <si>
    <t>=E786</t>
  </si>
  <si>
    <t>=NF(H787,"Vendor Ledger Entry No.")</t>
  </si>
  <si>
    <t>=NL("Rows","Detailed Vendor Ledg. Entry",,"Vendor Ledger Entry No.","@@"&amp;G786,"Entry Type","&lt;&gt;"&amp;"Initial Entry")</t>
  </si>
  <si>
    <t>=NF($H787,"5 Document Type")</t>
  </si>
  <si>
    <t>=NF($H787,"6 Document No.")</t>
  </si>
  <si>
    <t>=NF($H787,"4 Posting Date")</t>
  </si>
  <si>
    <t>=NF(H787,"10 Currency Code")</t>
  </si>
  <si>
    <t>=IF(NF($H787,"7 Amount")=Q787,0,NF($H787,"7 Amount"))</t>
  </si>
  <si>
    <t>=IF(NF($H787,"16 Debit Amount")=R787,0,NF($H787,"16 Debit Amount"))</t>
  </si>
  <si>
    <t>=NF(H787,"8 Amount (LCY)")</t>
  </si>
  <si>
    <t>=H789</t>
  </si>
  <si>
    <t>=I784</t>
  </si>
  <si>
    <t>=IF(NF(H789,"Entry no.")&lt;&gt;"",NF(H789,"Entry no."),0)</t>
  </si>
  <si>
    <t>="""Business Central"",""CRONUS JetCorp USA"",""25"",""1"",""249250"""</t>
  </si>
  <si>
    <t>=NF(H789,"7 Description")</t>
  </si>
  <si>
    <t>=NF(H789,"6 Document No.")</t>
  </si>
  <si>
    <t>=NF(H789,"37 Due Date")</t>
  </si>
  <si>
    <t>=NF(H789,"4 Posting Date")</t>
  </si>
  <si>
    <t>=NF(H789,"11 Currency code")</t>
  </si>
  <si>
    <t>=IF(NF($H789,"13 Amount")=Q789,0,NF($H789,"13 Amount"))</t>
  </si>
  <si>
    <t>=IF(NF($H789,"14 Remaining Amount")=R789,0,NF($H789,"14 Remaining Amount"))</t>
  </si>
  <si>
    <t>=NF(H789,"17 Amount (LCY)")</t>
  </si>
  <si>
    <t>=NF(H789,"16 Remaining Amt. (LCY)")</t>
  </si>
  <si>
    <t>=IF(H790="","Hide","Show")</t>
  </si>
  <si>
    <t>=D789</t>
  </si>
  <si>
    <t>=E789</t>
  </si>
  <si>
    <t>=NF(H790,"Vendor Ledger Entry No.")</t>
  </si>
  <si>
    <t>=NL("Rows","Detailed Vendor Ledg. Entry",,"Vendor Ledger Entry No.","@@"&amp;G789,"Entry Type","&lt;&gt;"&amp;"Initial Entry")</t>
  </si>
  <si>
    <t>=NF($H790,"5 Document Type")</t>
  </si>
  <si>
    <t>=NF($H790,"6 Document No.")</t>
  </si>
  <si>
    <t>=NF($H790,"4 Posting Date")</t>
  </si>
  <si>
    <t>=NF(H790,"10 Currency Code")</t>
  </si>
  <si>
    <t>=IF(NF($H790,"7 Amount")=Q790,0,NF($H790,"7 Amount"))</t>
  </si>
  <si>
    <t>=IF(NF($H790,"16 Debit Amount")=R790,0,NF($H790,"16 Debit Amount"))</t>
  </si>
  <si>
    <t>=NF(H790,"8 Amount (LCY)")</t>
  </si>
  <si>
    <t>=H792</t>
  </si>
  <si>
    <t>=I787</t>
  </si>
  <si>
    <t>=IF(NF(H792,"Entry no.")&lt;&gt;"",NF(H792,"Entry no."),0)</t>
  </si>
  <si>
    <t>="""Business Central"",""CRONUS JetCorp USA"",""25"",""1"",""249253"""</t>
  </si>
  <si>
    <t>=NF(H792,"7 Description")</t>
  </si>
  <si>
    <t>=NF(H792,"6 Document No.")</t>
  </si>
  <si>
    <t>=NF(H792,"37 Due Date")</t>
  </si>
  <si>
    <t>=NF(H792,"4 Posting Date")</t>
  </si>
  <si>
    <t>=NF(H792,"11 Currency code")</t>
  </si>
  <si>
    <t>=IF(NF($H792,"13 Amount")=Q792,0,NF($H792,"13 Amount"))</t>
  </si>
  <si>
    <t>=IF(NF($H792,"14 Remaining Amount")=R792,0,NF($H792,"14 Remaining Amount"))</t>
  </si>
  <si>
    <t>=NF(H792,"17 Amount (LCY)")</t>
  </si>
  <si>
    <t>=NF(H792,"16 Remaining Amt. (LCY)")</t>
  </si>
  <si>
    <t>=IF(H793="","Hide","Show")</t>
  </si>
  <si>
    <t>=D792</t>
  </si>
  <si>
    <t>=E792</t>
  </si>
  <si>
    <t>=NF(H793,"Vendor Ledger Entry No.")</t>
  </si>
  <si>
    <t>=NL("Rows","Detailed Vendor Ledg. Entry",,"Vendor Ledger Entry No.","@@"&amp;G792,"Entry Type","&lt;&gt;"&amp;"Initial Entry")</t>
  </si>
  <si>
    <t>=NF($H793,"5 Document Type")</t>
  </si>
  <si>
    <t>=NF($H793,"6 Document No.")</t>
  </si>
  <si>
    <t>=NF($H793,"4 Posting Date")</t>
  </si>
  <si>
    <t>=NF(H793,"10 Currency Code")</t>
  </si>
  <si>
    <t>=IF(NF($H793,"7 Amount")=Q793,0,NF($H793,"7 Amount"))</t>
  </si>
  <si>
    <t>=IF(NF($H793,"16 Debit Amount")=R793,0,NF($H793,"16 Debit Amount"))</t>
  </si>
  <si>
    <t>=NF(H793,"8 Amount (LCY)")</t>
  </si>
  <si>
    <t>=H795</t>
  </si>
  <si>
    <t>=I790</t>
  </si>
  <si>
    <t>=IF(NF(H795,"Entry no.")&lt;&gt;"",NF(H795,"Entry no."),0)</t>
  </si>
  <si>
    <t>="""Business Central"",""CRONUS JetCorp USA"",""25"",""1"",""249256"""</t>
  </si>
  <si>
    <t>=NF(H795,"7 Description")</t>
  </si>
  <si>
    <t>=NF(H795,"6 Document No.")</t>
  </si>
  <si>
    <t>=NF(H795,"37 Due Date")</t>
  </si>
  <si>
    <t>=NF(H795,"4 Posting Date")</t>
  </si>
  <si>
    <t>=NF(H795,"11 Currency code")</t>
  </si>
  <si>
    <t>=IF(NF($H795,"13 Amount")=Q795,0,NF($H795,"13 Amount"))</t>
  </si>
  <si>
    <t>=IF(NF($H795,"14 Remaining Amount")=R795,0,NF($H795,"14 Remaining Amount"))</t>
  </si>
  <si>
    <t>=NF(H795,"17 Amount (LCY)")</t>
  </si>
  <si>
    <t>=NF(H795,"16 Remaining Amt. (LCY)")</t>
  </si>
  <si>
    <t>=IF(H796="","Hide","Show")</t>
  </si>
  <si>
    <t>=D795</t>
  </si>
  <si>
    <t>=E795</t>
  </si>
  <si>
    <t>=NF(H796,"Vendor Ledger Entry No.")</t>
  </si>
  <si>
    <t>=NL("Rows","Detailed Vendor Ledg. Entry",,"Vendor Ledger Entry No.","@@"&amp;G795,"Entry Type","&lt;&gt;"&amp;"Initial Entry")</t>
  </si>
  <si>
    <t>=NF($H796,"5 Document Type")</t>
  </si>
  <si>
    <t>=NF($H796,"6 Document No.")</t>
  </si>
  <si>
    <t>=NF($H796,"4 Posting Date")</t>
  </si>
  <si>
    <t>=NF(H796,"10 Currency Code")</t>
  </si>
  <si>
    <t>=IF(NF($H796,"7 Amount")=Q796,0,NF($H796,"7 Amount"))</t>
  </si>
  <si>
    <t>=IF(NF($H796,"16 Debit Amount")=R796,0,NF($H796,"16 Debit Amount"))</t>
  </si>
  <si>
    <t>=NF(H796,"8 Amount (LCY)")</t>
  </si>
  <si>
    <t>=H798</t>
  </si>
  <si>
    <t>=I793</t>
  </si>
  <si>
    <t>=IF(NF(H798,"Entry no.")&lt;&gt;"",NF(H798,"Entry no."),0)</t>
  </si>
  <si>
    <t>="""Business Central"",""CRONUS JetCorp USA"",""25"",""1"",""249259"""</t>
  </si>
  <si>
    <t>=NF(H798,"7 Description")</t>
  </si>
  <si>
    <t>=NF(H798,"6 Document No.")</t>
  </si>
  <si>
    <t>=NF(H798,"37 Due Date")</t>
  </si>
  <si>
    <t>=NF(H798,"4 Posting Date")</t>
  </si>
  <si>
    <t>=NF(H798,"11 Currency code")</t>
  </si>
  <si>
    <t>=IF(NF($H798,"13 Amount")=Q798,0,NF($H798,"13 Amount"))</t>
  </si>
  <si>
    <t>=IF(NF($H798,"14 Remaining Amount")=R798,0,NF($H798,"14 Remaining Amount"))</t>
  </si>
  <si>
    <t>=NF(H798,"17 Amount (LCY)")</t>
  </si>
  <si>
    <t>=NF(H798,"16 Remaining Amt. (LCY)")</t>
  </si>
  <si>
    <t>=IF(H799="","Hide","Show")</t>
  </si>
  <si>
    <t>=D798</t>
  </si>
  <si>
    <t>=E798</t>
  </si>
  <si>
    <t>=NF(H799,"Vendor Ledger Entry No.")</t>
  </si>
  <si>
    <t>=NL("Rows","Detailed Vendor Ledg. Entry",,"Vendor Ledger Entry No.","@@"&amp;G798,"Entry Type","&lt;&gt;"&amp;"Initial Entry")</t>
  </si>
  <si>
    <t>=NF($H799,"5 Document Type")</t>
  </si>
  <si>
    <t>=NF($H799,"6 Document No.")</t>
  </si>
  <si>
    <t>=NF($H799,"4 Posting Date")</t>
  </si>
  <si>
    <t>=NF(H799,"10 Currency Code")</t>
  </si>
  <si>
    <t>=IF(NF($H799,"7 Amount")=Q799,0,NF($H799,"7 Amount"))</t>
  </si>
  <si>
    <t>=IF(NF($H799,"16 Debit Amount")=R799,0,NF($H799,"16 Debit Amount"))</t>
  </si>
  <si>
    <t>=NF(H799,"8 Amount (LCY)")</t>
  </si>
  <si>
    <t>=H801</t>
  </si>
  <si>
    <t>=I796</t>
  </si>
  <si>
    <t>=IF(NF(H801,"Entry no.")&lt;&gt;"",NF(H801,"Entry no."),0)</t>
  </si>
  <si>
    <t>="""Business Central"",""CRONUS JetCorp USA"",""25"",""1"",""249262"""</t>
  </si>
  <si>
    <t>=NF(H801,"7 Description")</t>
  </si>
  <si>
    <t>=NF(H801,"6 Document No.")</t>
  </si>
  <si>
    <t>=NF(H801,"37 Due Date")</t>
  </si>
  <si>
    <t>=NF(H801,"4 Posting Date")</t>
  </si>
  <si>
    <t>=NF(H801,"11 Currency code")</t>
  </si>
  <si>
    <t>=IF(NF($H801,"13 Amount")=Q801,0,NF($H801,"13 Amount"))</t>
  </si>
  <si>
    <t>=IF(NF($H801,"14 Remaining Amount")=R801,0,NF($H801,"14 Remaining Amount"))</t>
  </si>
  <si>
    <t>=NF(H801,"17 Amount (LCY)")</t>
  </si>
  <si>
    <t>=NF(H801,"16 Remaining Amt. (LCY)")</t>
  </si>
  <si>
    <t>=IF(H802="","Hide","Show")</t>
  </si>
  <si>
    <t>=D801</t>
  </si>
  <si>
    <t>=E801</t>
  </si>
  <si>
    <t>=NF(H802,"Vendor Ledger Entry No.")</t>
  </si>
  <si>
    <t>=NL("Rows","Detailed Vendor Ledg. Entry",,"Vendor Ledger Entry No.","@@"&amp;G801,"Entry Type","&lt;&gt;"&amp;"Initial Entry")</t>
  </si>
  <si>
    <t>=NF($H802,"5 Document Type")</t>
  </si>
  <si>
    <t>=NF($H802,"6 Document No.")</t>
  </si>
  <si>
    <t>=NF($H802,"4 Posting Date")</t>
  </si>
  <si>
    <t>=NF(H802,"10 Currency Code")</t>
  </si>
  <si>
    <t>=IF(NF($H802,"7 Amount")=Q802,0,NF($H802,"7 Amount"))</t>
  </si>
  <si>
    <t>=IF(NF($H802,"16 Debit Amount")=R802,0,NF($H802,"16 Debit Amount"))</t>
  </si>
  <si>
    <t>=NF(H802,"8 Amount (LCY)")</t>
  </si>
  <si>
    <t>=H804</t>
  </si>
  <si>
    <t>=I799</t>
  </si>
  <si>
    <t>=IF(NF(H804,"Entry no.")&lt;&gt;"",NF(H804,"Entry no."),0)</t>
  </si>
  <si>
    <t>="""Business Central"",""CRONUS JetCorp USA"",""25"",""1"",""249265"""</t>
  </si>
  <si>
    <t>=NF(H804,"7 Description")</t>
  </si>
  <si>
    <t>=NF(H804,"6 Document No.")</t>
  </si>
  <si>
    <t>=NF(H804,"37 Due Date")</t>
  </si>
  <si>
    <t>=NF(H804,"4 Posting Date")</t>
  </si>
  <si>
    <t>=NF(H804,"11 Currency code")</t>
  </si>
  <si>
    <t>=IF(NF($H804,"13 Amount")=Q804,0,NF($H804,"13 Amount"))</t>
  </si>
  <si>
    <t>=IF(NF($H804,"14 Remaining Amount")=R804,0,NF($H804,"14 Remaining Amount"))</t>
  </si>
  <si>
    <t>=NF(H804,"17 Amount (LCY)")</t>
  </si>
  <si>
    <t>=NF(H804,"16 Remaining Amt. (LCY)")</t>
  </si>
  <si>
    <t>=IF(H805="","Hide","Show")</t>
  </si>
  <si>
    <t>=D804</t>
  </si>
  <si>
    <t>=E804</t>
  </si>
  <si>
    <t>=NF(H805,"Vendor Ledger Entry No.")</t>
  </si>
  <si>
    <t>=NL("Rows","Detailed Vendor Ledg. Entry",,"Vendor Ledger Entry No.","@@"&amp;G804,"Entry Type","&lt;&gt;"&amp;"Initial Entry")</t>
  </si>
  <si>
    <t>=NF($H805,"5 Document Type")</t>
  </si>
  <si>
    <t>=NF($H805,"6 Document No.")</t>
  </si>
  <si>
    <t>=NF($H805,"4 Posting Date")</t>
  </si>
  <si>
    <t>=NF(H805,"10 Currency Code")</t>
  </si>
  <si>
    <t>=IF(NF($H805,"7 Amount")=Q805,0,NF($H805,"7 Amount"))</t>
  </si>
  <si>
    <t>=IF(NF($H805,"16 Debit Amount")=R805,0,NF($H805,"16 Debit Amount"))</t>
  </si>
  <si>
    <t>=NF(H805,"8 Amount (LCY)")</t>
  </si>
  <si>
    <t>=H807</t>
  </si>
  <si>
    <t>=I802</t>
  </si>
  <si>
    <t>=IF(NF(H807,"Entry no.")&lt;&gt;"",NF(H807,"Entry no."),0)</t>
  </si>
  <si>
    <t>="""Business Central"",""CRONUS JetCorp USA"",""25"",""1"",""249268"""</t>
  </si>
  <si>
    <t>=NF(H807,"7 Description")</t>
  </si>
  <si>
    <t>=NF(H807,"6 Document No.")</t>
  </si>
  <si>
    <t>=NF(H807,"37 Due Date")</t>
  </si>
  <si>
    <t>=NF(H807,"4 Posting Date")</t>
  </si>
  <si>
    <t>=NF(H807,"11 Currency code")</t>
  </si>
  <si>
    <t>=IF(NF($H807,"13 Amount")=Q807,0,NF($H807,"13 Amount"))</t>
  </si>
  <si>
    <t>=IF(NF($H807,"14 Remaining Amount")=R807,0,NF($H807,"14 Remaining Amount"))</t>
  </si>
  <si>
    <t>=NF(H807,"17 Amount (LCY)")</t>
  </si>
  <si>
    <t>=NF(H807,"16 Remaining Amt. (LCY)")</t>
  </si>
  <si>
    <t>=IF(H808="","Hide","Show")</t>
  </si>
  <si>
    <t>=D807</t>
  </si>
  <si>
    <t>=E807</t>
  </si>
  <si>
    <t>=NF(H808,"Vendor Ledger Entry No.")</t>
  </si>
  <si>
    <t>=NL("Rows","Detailed Vendor Ledg. Entry",,"Vendor Ledger Entry No.","@@"&amp;G807,"Entry Type","&lt;&gt;"&amp;"Initial Entry")</t>
  </si>
  <si>
    <t>=NF($H808,"5 Document Type")</t>
  </si>
  <si>
    <t>=NF($H808,"6 Document No.")</t>
  </si>
  <si>
    <t>=NF($H808,"4 Posting Date")</t>
  </si>
  <si>
    <t>=NF(H808,"10 Currency Code")</t>
  </si>
  <si>
    <t>=IF(NF($H808,"7 Amount")=Q808,0,NF($H808,"7 Amount"))</t>
  </si>
  <si>
    <t>=IF(NF($H808,"16 Debit Amount")=R808,0,NF($H808,"16 Debit Amount"))</t>
  </si>
  <si>
    <t>=NF(H808,"8 Amount (LCY)")</t>
  </si>
  <si>
    <t>=H810</t>
  </si>
  <si>
    <t>=I805</t>
  </si>
  <si>
    <t>=IF(NF(H810,"Entry no.")&lt;&gt;"",NF(H810,"Entry no."),0)</t>
  </si>
  <si>
    <t>="""Business Central"",""CRONUS JetCorp USA"",""25"",""1"",""249271"""</t>
  </si>
  <si>
    <t>=NF(H810,"7 Description")</t>
  </si>
  <si>
    <t>=NF(H810,"6 Document No.")</t>
  </si>
  <si>
    <t>=NF(H810,"37 Due Date")</t>
  </si>
  <si>
    <t>=NF(H810,"4 Posting Date")</t>
  </si>
  <si>
    <t>=NF(H810,"11 Currency code")</t>
  </si>
  <si>
    <t>=IF(NF($H810,"13 Amount")=Q810,0,NF($H810,"13 Amount"))</t>
  </si>
  <si>
    <t>=IF(NF($H810,"14 Remaining Amount")=R810,0,NF($H810,"14 Remaining Amount"))</t>
  </si>
  <si>
    <t>=NF(H810,"17 Amount (LCY)")</t>
  </si>
  <si>
    <t>=NF(H810,"16 Remaining Amt. (LCY)")</t>
  </si>
  <si>
    <t>=IF(H811="","Hide","Show")</t>
  </si>
  <si>
    <t>=D810</t>
  </si>
  <si>
    <t>=E810</t>
  </si>
  <si>
    <t>=NF(H811,"Vendor Ledger Entry No.")</t>
  </si>
  <si>
    <t>=NL("Rows","Detailed Vendor Ledg. Entry",,"Vendor Ledger Entry No.","@@"&amp;G810,"Entry Type","&lt;&gt;"&amp;"Initial Entry")</t>
  </si>
  <si>
    <t>=NF($H811,"5 Document Type")</t>
  </si>
  <si>
    <t>=NF($H811,"6 Document No.")</t>
  </si>
  <si>
    <t>=NF($H811,"4 Posting Date")</t>
  </si>
  <si>
    <t>=NF(H811,"10 Currency Code")</t>
  </si>
  <si>
    <t>=IF(NF($H811,"7 Amount")=Q811,0,NF($H811,"7 Amount"))</t>
  </si>
  <si>
    <t>=IF(NF($H811,"16 Debit Amount")=R811,0,NF($H811,"16 Debit Amount"))</t>
  </si>
  <si>
    <t>=NF(H811,"8 Amount (LCY)")</t>
  </si>
  <si>
    <t>=H813</t>
  </si>
  <si>
    <t>=I808</t>
  </si>
  <si>
    <t>=IF(NF(H813,"Entry no.")&lt;&gt;"",NF(H813,"Entry no."),0)</t>
  </si>
  <si>
    <t>="""Business Central"",""CRONUS JetCorp USA"",""25"",""1"",""249274"""</t>
  </si>
  <si>
    <t>=NF(H813,"7 Description")</t>
  </si>
  <si>
    <t>=NF(H813,"6 Document No.")</t>
  </si>
  <si>
    <t>=NF(H813,"37 Due Date")</t>
  </si>
  <si>
    <t>=NF(H813,"4 Posting Date")</t>
  </si>
  <si>
    <t>=NF(H813,"11 Currency code")</t>
  </si>
  <si>
    <t>=IF(NF($H813,"13 Amount")=Q813,0,NF($H813,"13 Amount"))</t>
  </si>
  <si>
    <t>=IF(NF($H813,"14 Remaining Amount")=R813,0,NF($H813,"14 Remaining Amount"))</t>
  </si>
  <si>
    <t>=NF(H813,"17 Amount (LCY)")</t>
  </si>
  <si>
    <t>=NF(H813,"16 Remaining Amt. (LCY)")</t>
  </si>
  <si>
    <t>=IF(H814="","Hide","Show")</t>
  </si>
  <si>
    <t>=D813</t>
  </si>
  <si>
    <t>=E813</t>
  </si>
  <si>
    <t>=NF(H814,"Vendor Ledger Entry No.")</t>
  </si>
  <si>
    <t>=NL("Rows","Detailed Vendor Ledg. Entry",,"Vendor Ledger Entry No.","@@"&amp;G813,"Entry Type","&lt;&gt;"&amp;"Initial Entry")</t>
  </si>
  <si>
    <t>=NF($H814,"5 Document Type")</t>
  </si>
  <si>
    <t>=NF($H814,"6 Document No.")</t>
  </si>
  <si>
    <t>=NF($H814,"4 Posting Date")</t>
  </si>
  <si>
    <t>=NF(H814,"10 Currency Code")</t>
  </si>
  <si>
    <t>=IF(NF($H814,"7 Amount")=Q814,0,NF($H814,"7 Amount"))</t>
  </si>
  <si>
    <t>=IF(NF($H814,"16 Debit Amount")=R814,0,NF($H814,"16 Debit Amount"))</t>
  </si>
  <si>
    <t>=NF(H814,"8 Amount (LCY)")</t>
  </si>
  <si>
    <t>=H816</t>
  </si>
  <si>
    <t>=I811</t>
  </si>
  <si>
    <t>=IF(NF(H816,"Entry no.")&lt;&gt;"",NF(H816,"Entry no."),0)</t>
  </si>
  <si>
    <t>="""Business Central"",""CRONUS JetCorp USA"",""25"",""1"",""249277"""</t>
  </si>
  <si>
    <t>=NF(H816,"7 Description")</t>
  </si>
  <si>
    <t>=NF(H816,"6 Document No.")</t>
  </si>
  <si>
    <t>=NF(H816,"37 Due Date")</t>
  </si>
  <si>
    <t>=NF(H816,"4 Posting Date")</t>
  </si>
  <si>
    <t>=NF(H816,"11 Currency code")</t>
  </si>
  <si>
    <t>=IF(NF($H816,"13 Amount")=Q816,0,NF($H816,"13 Amount"))</t>
  </si>
  <si>
    <t>=IF(NF($H816,"14 Remaining Amount")=R816,0,NF($H816,"14 Remaining Amount"))</t>
  </si>
  <si>
    <t>=NF(H816,"17 Amount (LCY)")</t>
  </si>
  <si>
    <t>=NF(H816,"16 Remaining Amt. (LCY)")</t>
  </si>
  <si>
    <t>=IF(H817="","Hide","Show")</t>
  </si>
  <si>
    <t>=D816</t>
  </si>
  <si>
    <t>=E816</t>
  </si>
  <si>
    <t>=NF(H817,"Vendor Ledger Entry No.")</t>
  </si>
  <si>
    <t>=NL("Rows","Detailed Vendor Ledg. Entry",,"Vendor Ledger Entry No.","@@"&amp;G816,"Entry Type","&lt;&gt;"&amp;"Initial Entry")</t>
  </si>
  <si>
    <t>=NF($H817,"5 Document Type")</t>
  </si>
  <si>
    <t>=NF($H817,"6 Document No.")</t>
  </si>
  <si>
    <t>=NF($H817,"4 Posting Date")</t>
  </si>
  <si>
    <t>=NF(H817,"10 Currency Code")</t>
  </si>
  <si>
    <t>=IF(NF($H817,"7 Amount")=Q817,0,NF($H817,"7 Amount"))</t>
  </si>
  <si>
    <t>=IF(NF($H817,"16 Debit Amount")=R817,0,NF($H817,"16 Debit Amount"))</t>
  </si>
  <si>
    <t>=NF(H817,"8 Amount (LCY)")</t>
  </si>
  <si>
    <t>=H819</t>
  </si>
  <si>
    <t>=I814</t>
  </si>
  <si>
    <t>=IF(NF(H819,"Entry no.")&lt;&gt;"",NF(H819,"Entry no."),0)</t>
  </si>
  <si>
    <t>="""Business Central"",""CRONUS JetCorp USA"",""25"",""1"",""249280"""</t>
  </si>
  <si>
    <t>=NF(H819,"7 Description")</t>
  </si>
  <si>
    <t>=NF(H819,"6 Document No.")</t>
  </si>
  <si>
    <t>=NF(H819,"37 Due Date")</t>
  </si>
  <si>
    <t>=NF(H819,"4 Posting Date")</t>
  </si>
  <si>
    <t>=NF(H819,"11 Currency code")</t>
  </si>
  <si>
    <t>=IF(NF($H819,"13 Amount")=Q819,0,NF($H819,"13 Amount"))</t>
  </si>
  <si>
    <t>=IF(NF($H819,"14 Remaining Amount")=R819,0,NF($H819,"14 Remaining Amount"))</t>
  </si>
  <si>
    <t>=NF(H819,"17 Amount (LCY)")</t>
  </si>
  <si>
    <t>=NF(H819,"16 Remaining Amt. (LCY)")</t>
  </si>
  <si>
    <t>=IF(H820="","Hide","Show")</t>
  </si>
  <si>
    <t>=D819</t>
  </si>
  <si>
    <t>=E819</t>
  </si>
  <si>
    <t>=NF(H820,"Vendor Ledger Entry No.")</t>
  </si>
  <si>
    <t>=NL("Rows","Detailed Vendor Ledg. Entry",,"Vendor Ledger Entry No.","@@"&amp;G819,"Entry Type","&lt;&gt;"&amp;"Initial Entry")</t>
  </si>
  <si>
    <t>=NF($H820,"5 Document Type")</t>
  </si>
  <si>
    <t>=NF($H820,"6 Document No.")</t>
  </si>
  <si>
    <t>=NF($H820,"4 Posting Date")</t>
  </si>
  <si>
    <t>=NF(H820,"10 Currency Code")</t>
  </si>
  <si>
    <t>=IF(NF($H820,"7 Amount")=Q820,0,NF($H820,"7 Amount"))</t>
  </si>
  <si>
    <t>=IF(NF($H820,"16 Debit Amount")=R820,0,NF($H820,"16 Debit Amount"))</t>
  </si>
  <si>
    <t>=NF(H820,"8 Amount (LCY)")</t>
  </si>
  <si>
    <t>=H822</t>
  </si>
  <si>
    <t>=I817</t>
  </si>
  <si>
    <t>=IF(NF(H822,"Entry no.")&lt;&gt;"",NF(H822,"Entry no."),0)</t>
  </si>
  <si>
    <t>="""Business Central"",""CRONUS JetCorp USA"",""25"",""1"",""249283"""</t>
  </si>
  <si>
    <t>=NF(H822,"7 Description")</t>
  </si>
  <si>
    <t>=NF(H822,"6 Document No.")</t>
  </si>
  <si>
    <t>=NF(H822,"37 Due Date")</t>
  </si>
  <si>
    <t>=NF(H822,"4 Posting Date")</t>
  </si>
  <si>
    <t>=NF(H822,"11 Currency code")</t>
  </si>
  <si>
    <t>=IF(NF($H822,"13 Amount")=Q822,0,NF($H822,"13 Amount"))</t>
  </si>
  <si>
    <t>=IF(NF($H822,"14 Remaining Amount")=R822,0,NF($H822,"14 Remaining Amount"))</t>
  </si>
  <si>
    <t>=NF(H822,"17 Amount (LCY)")</t>
  </si>
  <si>
    <t>=NF(H822,"16 Remaining Amt. (LCY)")</t>
  </si>
  <si>
    <t>=IF(H823="","Hide","Show")</t>
  </si>
  <si>
    <t>=D822</t>
  </si>
  <si>
    <t>=E822</t>
  </si>
  <si>
    <t>=NF(H823,"Vendor Ledger Entry No.")</t>
  </si>
  <si>
    <t>=NL("Rows","Detailed Vendor Ledg. Entry",,"Vendor Ledger Entry No.","@@"&amp;G822,"Entry Type","&lt;&gt;"&amp;"Initial Entry")</t>
  </si>
  <si>
    <t>=NF($H823,"5 Document Type")</t>
  </si>
  <si>
    <t>=NF($H823,"6 Document No.")</t>
  </si>
  <si>
    <t>=NF($H823,"4 Posting Date")</t>
  </si>
  <si>
    <t>=NF(H823,"10 Currency Code")</t>
  </si>
  <si>
    <t>=IF(NF($H823,"7 Amount")=Q823,0,NF($H823,"7 Amount"))</t>
  </si>
  <si>
    <t>=IF(NF($H823,"16 Debit Amount")=R823,0,NF($H823,"16 Debit Amount"))</t>
  </si>
  <si>
    <t>=NF(H823,"8 Amount (LCY)")</t>
  </si>
  <si>
    <t>=H825</t>
  </si>
  <si>
    <t>=I820</t>
  </si>
  <si>
    <t>=IF(NF(H825,"Entry no.")&lt;&gt;"",NF(H825,"Entry no."),0)</t>
  </si>
  <si>
    <t>="""Business Central"",""CRONUS JetCorp USA"",""25"",""1"",""249286"""</t>
  </si>
  <si>
    <t>=NF(H825,"7 Description")</t>
  </si>
  <si>
    <t>=NF(H825,"6 Document No.")</t>
  </si>
  <si>
    <t>=NF(H825,"37 Due Date")</t>
  </si>
  <si>
    <t>=NF(H825,"4 Posting Date")</t>
  </si>
  <si>
    <t>=NF(H825,"11 Currency code")</t>
  </si>
  <si>
    <t>=IF(NF($H825,"13 Amount")=Q825,0,NF($H825,"13 Amount"))</t>
  </si>
  <si>
    <t>=IF(NF($H825,"14 Remaining Amount")=R825,0,NF($H825,"14 Remaining Amount"))</t>
  </si>
  <si>
    <t>=NF(H825,"17 Amount (LCY)")</t>
  </si>
  <si>
    <t>=NF(H825,"16 Remaining Amt. (LCY)")</t>
  </si>
  <si>
    <t>=IF(H826="","Hide","Show")</t>
  </si>
  <si>
    <t>=D825</t>
  </si>
  <si>
    <t>=E825</t>
  </si>
  <si>
    <t>=NF(H826,"Vendor Ledger Entry No.")</t>
  </si>
  <si>
    <t>=NL("Rows","Detailed Vendor Ledg. Entry",,"Vendor Ledger Entry No.","@@"&amp;G825,"Entry Type","&lt;&gt;"&amp;"Initial Entry")</t>
  </si>
  <si>
    <t>=NF($H826,"5 Document Type")</t>
  </si>
  <si>
    <t>=NF($H826,"6 Document No.")</t>
  </si>
  <si>
    <t>=NF($H826,"4 Posting Date")</t>
  </si>
  <si>
    <t>=NF(H826,"10 Currency Code")</t>
  </si>
  <si>
    <t>=IF(NF($H826,"7 Amount")=Q826,0,NF($H826,"7 Amount"))</t>
  </si>
  <si>
    <t>=IF(NF($H826,"16 Debit Amount")=R826,0,NF($H826,"16 Debit Amount"))</t>
  </si>
  <si>
    <t>=NF(H826,"8 Amount (LCY)")</t>
  </si>
  <si>
    <t>=H828</t>
  </si>
  <si>
    <t>=I823</t>
  </si>
  <si>
    <t>=IF(NF(H828,"Entry no.")&lt;&gt;"",NF(H828,"Entry no."),0)</t>
  </si>
  <si>
    <t>="""Business Central"",""CRONUS JetCorp USA"",""25"",""1"",""249289"""</t>
  </si>
  <si>
    <t>=NF(H828,"7 Description")</t>
  </si>
  <si>
    <t>=NF(H828,"6 Document No.")</t>
  </si>
  <si>
    <t>=NF(H828,"37 Due Date")</t>
  </si>
  <si>
    <t>=NF(H828,"4 Posting Date")</t>
  </si>
  <si>
    <t>=NF(H828,"11 Currency code")</t>
  </si>
  <si>
    <t>=IF(NF($H828,"13 Amount")=Q828,0,NF($H828,"13 Amount"))</t>
  </si>
  <si>
    <t>=IF(NF($H828,"14 Remaining Amount")=R828,0,NF($H828,"14 Remaining Amount"))</t>
  </si>
  <si>
    <t>=NF(H828,"17 Amount (LCY)")</t>
  </si>
  <si>
    <t>=NF(H828,"16 Remaining Amt. (LCY)")</t>
  </si>
  <si>
    <t>=IF(H829="","Hide","Show")</t>
  </si>
  <si>
    <t>=D828</t>
  </si>
  <si>
    <t>=E828</t>
  </si>
  <si>
    <t>=NF(H829,"Vendor Ledger Entry No.")</t>
  </si>
  <si>
    <t>=NL("Rows","Detailed Vendor Ledg. Entry",,"Vendor Ledger Entry No.","@@"&amp;G828,"Entry Type","&lt;&gt;"&amp;"Initial Entry")</t>
  </si>
  <si>
    <t>=NF($H829,"5 Document Type")</t>
  </si>
  <si>
    <t>=NF($H829,"6 Document No.")</t>
  </si>
  <si>
    <t>=NF($H829,"4 Posting Date")</t>
  </si>
  <si>
    <t>=NF(H829,"10 Currency Code")</t>
  </si>
  <si>
    <t>=IF(NF($H829,"7 Amount")=Q829,0,NF($H829,"7 Amount"))</t>
  </si>
  <si>
    <t>=IF(NF($H829,"16 Debit Amount")=R829,0,NF($H829,"16 Debit Amount"))</t>
  </si>
  <si>
    <t>=NF(H829,"8 Amount (LCY)")</t>
  </si>
  <si>
    <t>=H831</t>
  </si>
  <si>
    <t>=I826</t>
  </si>
  <si>
    <t>=IF(NF(H831,"Entry no.")&lt;&gt;"",NF(H831,"Entry no."),0)</t>
  </si>
  <si>
    <t>="""Business Central"",""CRONUS JetCorp USA"",""25"",""1"",""249292"""</t>
  </si>
  <si>
    <t>=NF(H831,"7 Description")</t>
  </si>
  <si>
    <t>=NF(H831,"6 Document No.")</t>
  </si>
  <si>
    <t>=NF(H831,"37 Due Date")</t>
  </si>
  <si>
    <t>=NF(H831,"4 Posting Date")</t>
  </si>
  <si>
    <t>=NF(H831,"11 Currency code")</t>
  </si>
  <si>
    <t>=IF(NF($H831,"13 Amount")=Q831,0,NF($H831,"13 Amount"))</t>
  </si>
  <si>
    <t>=IF(NF($H831,"14 Remaining Amount")=R831,0,NF($H831,"14 Remaining Amount"))</t>
  </si>
  <si>
    <t>=NF(H831,"17 Amount (LCY)")</t>
  </si>
  <si>
    <t>=NF(H831,"16 Remaining Amt. (LCY)")</t>
  </si>
  <si>
    <t>=IF(H832="","Hide","Show")</t>
  </si>
  <si>
    <t>=D831</t>
  </si>
  <si>
    <t>=E831</t>
  </si>
  <si>
    <t>=NF(H832,"Vendor Ledger Entry No.")</t>
  </si>
  <si>
    <t>=NL("Rows","Detailed Vendor Ledg. Entry",,"Vendor Ledger Entry No.","@@"&amp;G831,"Entry Type","&lt;&gt;"&amp;"Initial Entry")</t>
  </si>
  <si>
    <t>=NF($H832,"5 Document Type")</t>
  </si>
  <si>
    <t>=NF($H832,"6 Document No.")</t>
  </si>
  <si>
    <t>=NF($H832,"4 Posting Date")</t>
  </si>
  <si>
    <t>=NF(H832,"10 Currency Code")</t>
  </si>
  <si>
    <t>=IF(NF($H832,"7 Amount")=Q832,0,NF($H832,"7 Amount"))</t>
  </si>
  <si>
    <t>=IF(NF($H832,"16 Debit Amount")=R832,0,NF($H832,"16 Debit Amount"))</t>
  </si>
  <si>
    <t>=NF(H832,"8 Amount (LCY)")</t>
  </si>
  <si>
    <t>=H834</t>
  </si>
  <si>
    <t>=I829</t>
  </si>
  <si>
    <t>=IF(NF(H834,"Entry no.")&lt;&gt;"",NF(H834,"Entry no."),0)</t>
  </si>
  <si>
    <t>="""Business Central"",""CRONUS JetCorp USA"",""25"",""1"",""249295"""</t>
  </si>
  <si>
    <t>=NF(H834,"7 Description")</t>
  </si>
  <si>
    <t>=NF(H834,"6 Document No.")</t>
  </si>
  <si>
    <t>=NF(H834,"37 Due Date")</t>
  </si>
  <si>
    <t>=NF(H834,"4 Posting Date")</t>
  </si>
  <si>
    <t>=NF(H834,"11 Currency code")</t>
  </si>
  <si>
    <t>=IF(NF($H834,"13 Amount")=Q834,0,NF($H834,"13 Amount"))</t>
  </si>
  <si>
    <t>=IF(NF($H834,"14 Remaining Amount")=R834,0,NF($H834,"14 Remaining Amount"))</t>
  </si>
  <si>
    <t>=NF(H834,"17 Amount (LCY)")</t>
  </si>
  <si>
    <t>=NF(H834,"16 Remaining Amt. (LCY)")</t>
  </si>
  <si>
    <t>=IF(H835="","Hide","Show")</t>
  </si>
  <si>
    <t>=D834</t>
  </si>
  <si>
    <t>=E834</t>
  </si>
  <si>
    <t>=NF(H835,"Vendor Ledger Entry No.")</t>
  </si>
  <si>
    <t>=NL("Rows","Detailed Vendor Ledg. Entry",,"Vendor Ledger Entry No.","@@"&amp;G834,"Entry Type","&lt;&gt;"&amp;"Initial Entry")</t>
  </si>
  <si>
    <t>=NF($H835,"5 Document Type")</t>
  </si>
  <si>
    <t>=NF($H835,"6 Document No.")</t>
  </si>
  <si>
    <t>=NF($H835,"4 Posting Date")</t>
  </si>
  <si>
    <t>=NF(H835,"10 Currency Code")</t>
  </si>
  <si>
    <t>=IF(NF($H835,"7 Amount")=Q835,0,NF($H835,"7 Amount"))</t>
  </si>
  <si>
    <t>=IF(NF($H835,"16 Debit Amount")=R835,0,NF($H835,"16 Debit Amount"))</t>
  </si>
  <si>
    <t>=NF(H835,"8 Amount (LCY)")</t>
  </si>
  <si>
    <t>=H837</t>
  </si>
  <si>
    <t>=I832</t>
  </si>
  <si>
    <t>=IF(NF(H837,"Entry no.")&lt;&gt;"",NF(H837,"Entry no."),0)</t>
  </si>
  <si>
    <t>="""Business Central"",""CRONUS JetCorp USA"",""25"",""1"",""249298"""</t>
  </si>
  <si>
    <t>=NF(H837,"7 Description")</t>
  </si>
  <si>
    <t>=NF(H837,"6 Document No.")</t>
  </si>
  <si>
    <t>=NF(H837,"37 Due Date")</t>
  </si>
  <si>
    <t>=NF(H837,"4 Posting Date")</t>
  </si>
  <si>
    <t>=NF(H837,"11 Currency code")</t>
  </si>
  <si>
    <t>=IF(NF($H837,"13 Amount")=Q837,0,NF($H837,"13 Amount"))</t>
  </si>
  <si>
    <t>=IF(NF($H837,"14 Remaining Amount")=R837,0,NF($H837,"14 Remaining Amount"))</t>
  </si>
  <si>
    <t>=NF(H837,"17 Amount (LCY)")</t>
  </si>
  <si>
    <t>=NF(H837,"16 Remaining Amt. (LCY)")</t>
  </si>
  <si>
    <t>=IF(H838="","Hide","Show")</t>
  </si>
  <si>
    <t>=D837</t>
  </si>
  <si>
    <t>=E837</t>
  </si>
  <si>
    <t>=NF(H838,"Vendor Ledger Entry No.")</t>
  </si>
  <si>
    <t>=NL("Rows","Detailed Vendor Ledg. Entry",,"Vendor Ledger Entry No.","@@"&amp;G837,"Entry Type","&lt;&gt;"&amp;"Initial Entry")</t>
  </si>
  <si>
    <t>=NF($H838,"5 Document Type")</t>
  </si>
  <si>
    <t>=NF($H838,"6 Document No.")</t>
  </si>
  <si>
    <t>=NF($H838,"4 Posting Date")</t>
  </si>
  <si>
    <t>=NF(H838,"10 Currency Code")</t>
  </si>
  <si>
    <t>=IF(NF($H838,"7 Amount")=Q838,0,NF($H838,"7 Amount"))</t>
  </si>
  <si>
    <t>=IF(NF($H838,"16 Debit Amount")=R838,0,NF($H838,"16 Debit Amount"))</t>
  </si>
  <si>
    <t>=NF(H838,"8 Amount (LCY)")</t>
  </si>
  <si>
    <t>=H840</t>
  </si>
  <si>
    <t>=I835</t>
  </si>
  <si>
    <t>=IF(NF(H840,"Entry no.")&lt;&gt;"",NF(H840,"Entry no."),0)</t>
  </si>
  <si>
    <t>="""Business Central"",""CRONUS JetCorp USA"",""25"",""1"",""249301"""</t>
  </si>
  <si>
    <t>=NF(H840,"7 Description")</t>
  </si>
  <si>
    <t>=NF(H840,"6 Document No.")</t>
  </si>
  <si>
    <t>=NF(H840,"37 Due Date")</t>
  </si>
  <si>
    <t>=NF(H840,"4 Posting Date")</t>
  </si>
  <si>
    <t>=NF(H840,"11 Currency code")</t>
  </si>
  <si>
    <t>=IF(NF($H840,"13 Amount")=Q840,0,NF($H840,"13 Amount"))</t>
  </si>
  <si>
    <t>=IF(NF($H840,"14 Remaining Amount")=R840,0,NF($H840,"14 Remaining Amount"))</t>
  </si>
  <si>
    <t>=NF(H840,"17 Amount (LCY)")</t>
  </si>
  <si>
    <t>=NF(H840,"16 Remaining Amt. (LCY)")</t>
  </si>
  <si>
    <t>=IF(H841="","Hide","Show")</t>
  </si>
  <si>
    <t>=D840</t>
  </si>
  <si>
    <t>=E840</t>
  </si>
  <si>
    <t>=NF(H841,"Vendor Ledger Entry No.")</t>
  </si>
  <si>
    <t>=NL("Rows","Detailed Vendor Ledg. Entry",,"Vendor Ledger Entry No.","@@"&amp;G840,"Entry Type","&lt;&gt;"&amp;"Initial Entry")</t>
  </si>
  <si>
    <t>=NF($H841,"5 Document Type")</t>
  </si>
  <si>
    <t>=NF($H841,"6 Document No.")</t>
  </si>
  <si>
    <t>=NF($H841,"4 Posting Date")</t>
  </si>
  <si>
    <t>=NF(H841,"10 Currency Code")</t>
  </si>
  <si>
    <t>=IF(NF($H841,"7 Amount")=Q841,0,NF($H841,"7 Amount"))</t>
  </si>
  <si>
    <t>=IF(NF($H841,"16 Debit Amount")=R841,0,NF($H841,"16 Debit Amount"))</t>
  </si>
  <si>
    <t>=NF(H841,"8 Amount (LCY)")</t>
  </si>
  <si>
    <t>=H843</t>
  </si>
  <si>
    <t>=I838</t>
  </si>
  <si>
    <t>=IF(NF(H843,"Entry no.")&lt;&gt;"",NF(H843,"Entry no."),0)</t>
  </si>
  <si>
    <t>="""Business Central"",""CRONUS JetCorp USA"",""25"",""1"",""249304"""</t>
  </si>
  <si>
    <t>=NF(H843,"7 Description")</t>
  </si>
  <si>
    <t>=NF(H843,"6 Document No.")</t>
  </si>
  <si>
    <t>=NF(H843,"37 Due Date")</t>
  </si>
  <si>
    <t>=NF(H843,"4 Posting Date")</t>
  </si>
  <si>
    <t>=NF(H843,"11 Currency code")</t>
  </si>
  <si>
    <t>=IF(NF($H843,"13 Amount")=Q843,0,NF($H843,"13 Amount"))</t>
  </si>
  <si>
    <t>=IF(NF($H843,"14 Remaining Amount")=R843,0,NF($H843,"14 Remaining Amount"))</t>
  </si>
  <si>
    <t>=NF(H843,"17 Amount (LCY)")</t>
  </si>
  <si>
    <t>=NF(H843,"16 Remaining Amt. (LCY)")</t>
  </si>
  <si>
    <t>=IF(H844="","Hide","Show")</t>
  </si>
  <si>
    <t>=D843</t>
  </si>
  <si>
    <t>=E843</t>
  </si>
  <si>
    <t>=NF(H844,"Vendor Ledger Entry No.")</t>
  </si>
  <si>
    <t>=NL("Rows","Detailed Vendor Ledg. Entry",,"Vendor Ledger Entry No.","@@"&amp;G843,"Entry Type","&lt;&gt;"&amp;"Initial Entry")</t>
  </si>
  <si>
    <t>=NF($H844,"5 Document Type")</t>
  </si>
  <si>
    <t>=NF($H844,"6 Document No.")</t>
  </si>
  <si>
    <t>=NF($H844,"4 Posting Date")</t>
  </si>
  <si>
    <t>=NF(H844,"10 Currency Code")</t>
  </si>
  <si>
    <t>=IF(NF($H844,"7 Amount")=Q844,0,NF($H844,"7 Amount"))</t>
  </si>
  <si>
    <t>=IF(NF($H844,"16 Debit Amount")=R844,0,NF($H844,"16 Debit Amount"))</t>
  </si>
  <si>
    <t>=NF(H844,"8 Amount (LCY)")</t>
  </si>
  <si>
    <t>=H846</t>
  </si>
  <si>
    <t>=I841</t>
  </si>
  <si>
    <t>=IF(NF(H846,"Entry no.")&lt;&gt;"",NF(H846,"Entry no."),0)</t>
  </si>
  <si>
    <t>="""Business Central"",""CRONUS JetCorp USA"",""25"",""1"",""249307"""</t>
  </si>
  <si>
    <t>=NF(H846,"7 Description")</t>
  </si>
  <si>
    <t>=NF(H846,"6 Document No.")</t>
  </si>
  <si>
    <t>=NF(H846,"37 Due Date")</t>
  </si>
  <si>
    <t>=NF(H846,"4 Posting Date")</t>
  </si>
  <si>
    <t>=NF(H846,"11 Currency code")</t>
  </si>
  <si>
    <t>=IF(NF($H846,"13 Amount")=Q846,0,NF($H846,"13 Amount"))</t>
  </si>
  <si>
    <t>=IF(NF($H846,"14 Remaining Amount")=R846,0,NF($H846,"14 Remaining Amount"))</t>
  </si>
  <si>
    <t>=NF(H846,"17 Amount (LCY)")</t>
  </si>
  <si>
    <t>=NF(H846,"16 Remaining Amt. (LCY)")</t>
  </si>
  <si>
    <t>=IF(H847="","Hide","Show")</t>
  </si>
  <si>
    <t>=D846</t>
  </si>
  <si>
    <t>=E846</t>
  </si>
  <si>
    <t>=NF(H847,"Vendor Ledger Entry No.")</t>
  </si>
  <si>
    <t>=NL("Rows","Detailed Vendor Ledg. Entry",,"Vendor Ledger Entry No.","@@"&amp;G846,"Entry Type","&lt;&gt;"&amp;"Initial Entry")</t>
  </si>
  <si>
    <t>=NF($H847,"5 Document Type")</t>
  </si>
  <si>
    <t>=NF($H847,"6 Document No.")</t>
  </si>
  <si>
    <t>=NF($H847,"4 Posting Date")</t>
  </si>
  <si>
    <t>=NF(H847,"10 Currency Code")</t>
  </si>
  <si>
    <t>=IF(NF($H847,"7 Amount")=Q847,0,NF($H847,"7 Amount"))</t>
  </si>
  <si>
    <t>=IF(NF($H847,"16 Debit Amount")=R847,0,NF($H847,"16 Debit Amount"))</t>
  </si>
  <si>
    <t>=NF(H847,"8 Amount (LCY)")</t>
  </si>
  <si>
    <t>=H849</t>
  </si>
  <si>
    <t>=I844</t>
  </si>
  <si>
    <t>=IF(NF(H849,"Entry no.")&lt;&gt;"",NF(H849,"Entry no."),0)</t>
  </si>
  <si>
    <t>="""Business Central"",""CRONUS JetCorp USA"",""25"",""1"",""249310"""</t>
  </si>
  <si>
    <t>=NF(H849,"7 Description")</t>
  </si>
  <si>
    <t>=NF(H849,"6 Document No.")</t>
  </si>
  <si>
    <t>=NF(H849,"37 Due Date")</t>
  </si>
  <si>
    <t>=NF(H849,"4 Posting Date")</t>
  </si>
  <si>
    <t>=NF(H849,"11 Currency code")</t>
  </si>
  <si>
    <t>=IF(NF($H849,"13 Amount")=Q849,0,NF($H849,"13 Amount"))</t>
  </si>
  <si>
    <t>=IF(NF($H849,"14 Remaining Amount")=R849,0,NF($H849,"14 Remaining Amount"))</t>
  </si>
  <si>
    <t>=NF(H849,"17 Amount (LCY)")</t>
  </si>
  <si>
    <t>=NF(H849,"16 Remaining Amt. (LCY)")</t>
  </si>
  <si>
    <t>=IF(H850="","Hide","Show")</t>
  </si>
  <si>
    <t>=D849</t>
  </si>
  <si>
    <t>=E849</t>
  </si>
  <si>
    <t>=NF(H850,"Vendor Ledger Entry No.")</t>
  </si>
  <si>
    <t>=NL("Rows","Detailed Vendor Ledg. Entry",,"Vendor Ledger Entry No.","@@"&amp;G849,"Entry Type","&lt;&gt;"&amp;"Initial Entry")</t>
  </si>
  <si>
    <t>=NF($H850,"5 Document Type")</t>
  </si>
  <si>
    <t>=NF($H850,"6 Document No.")</t>
  </si>
  <si>
    <t>=NF($H850,"4 Posting Date")</t>
  </si>
  <si>
    <t>=NF(H850,"10 Currency Code")</t>
  </si>
  <si>
    <t>=IF(NF($H850,"7 Amount")=Q850,0,NF($H850,"7 Amount"))</t>
  </si>
  <si>
    <t>=IF(NF($H850,"16 Debit Amount")=R850,0,NF($H850,"16 Debit Amount"))</t>
  </si>
  <si>
    <t>=NF(H850,"8 Amount (LCY)")</t>
  </si>
  <si>
    <t>=H852</t>
  </si>
  <si>
    <t>=I847</t>
  </si>
  <si>
    <t>=IF(NF(H852,"Entry no.")&lt;&gt;"",NF(H852,"Entry no."),0)</t>
  </si>
  <si>
    <t>="""Business Central"",""CRONUS JetCorp USA"",""25"",""1"",""249313"""</t>
  </si>
  <si>
    <t>=NF(H852,"7 Description")</t>
  </si>
  <si>
    <t>=NF(H852,"6 Document No.")</t>
  </si>
  <si>
    <t>=NF(H852,"37 Due Date")</t>
  </si>
  <si>
    <t>=NF(H852,"4 Posting Date")</t>
  </si>
  <si>
    <t>=NF(H852,"11 Currency code")</t>
  </si>
  <si>
    <t>=IF(NF($H852,"13 Amount")=Q852,0,NF($H852,"13 Amount"))</t>
  </si>
  <si>
    <t>=IF(NF($H852,"14 Remaining Amount")=R852,0,NF($H852,"14 Remaining Amount"))</t>
  </si>
  <si>
    <t>=NF(H852,"17 Amount (LCY)")</t>
  </si>
  <si>
    <t>=NF(H852,"16 Remaining Amt. (LCY)")</t>
  </si>
  <si>
    <t>=IF(H853="","Hide","Show")</t>
  </si>
  <si>
    <t>=D852</t>
  </si>
  <si>
    <t>=E852</t>
  </si>
  <si>
    <t>=NF(H853,"Vendor Ledger Entry No.")</t>
  </si>
  <si>
    <t>=NL("Rows","Detailed Vendor Ledg. Entry",,"Vendor Ledger Entry No.","@@"&amp;G852,"Entry Type","&lt;&gt;"&amp;"Initial Entry")</t>
  </si>
  <si>
    <t>=NF($H853,"5 Document Type")</t>
  </si>
  <si>
    <t>=NF($H853,"6 Document No.")</t>
  </si>
  <si>
    <t>=NF($H853,"4 Posting Date")</t>
  </si>
  <si>
    <t>=NF(H853,"10 Currency Code")</t>
  </si>
  <si>
    <t>=IF(NF($H853,"7 Amount")=Q853,0,NF($H853,"7 Amount"))</t>
  </si>
  <si>
    <t>=IF(NF($H853,"16 Debit Amount")=R853,0,NF($H853,"16 Debit Amount"))</t>
  </si>
  <si>
    <t>=NF(H853,"8 Amount (LCY)")</t>
  </si>
  <si>
    <t>=H855</t>
  </si>
  <si>
    <t>=I850</t>
  </si>
  <si>
    <t>=IF(NF(H855,"Entry no.")&lt;&gt;"",NF(H855,"Entry no."),0)</t>
  </si>
  <si>
    <t>="""Business Central"",""CRONUS JetCorp USA"",""25"",""1"",""249316"""</t>
  </si>
  <si>
    <t>=NF(H855,"7 Description")</t>
  </si>
  <si>
    <t>=NF(H855,"6 Document No.")</t>
  </si>
  <si>
    <t>=NF(H855,"37 Due Date")</t>
  </si>
  <si>
    <t>=NF(H855,"4 Posting Date")</t>
  </si>
  <si>
    <t>=NF(H855,"11 Currency code")</t>
  </si>
  <si>
    <t>=IF(NF($H855,"13 Amount")=Q855,0,NF($H855,"13 Amount"))</t>
  </si>
  <si>
    <t>=IF(NF($H855,"14 Remaining Amount")=R855,0,NF($H855,"14 Remaining Amount"))</t>
  </si>
  <si>
    <t>=NF(H855,"17 Amount (LCY)")</t>
  </si>
  <si>
    <t>=NF(H855,"16 Remaining Amt. (LCY)")</t>
  </si>
  <si>
    <t>=IF(H856="","Hide","Show")</t>
  </si>
  <si>
    <t>=D855</t>
  </si>
  <si>
    <t>=E855</t>
  </si>
  <si>
    <t>=NF(H856,"Vendor Ledger Entry No.")</t>
  </si>
  <si>
    <t>=NL("Rows","Detailed Vendor Ledg. Entry",,"Vendor Ledger Entry No.","@@"&amp;G855,"Entry Type","&lt;&gt;"&amp;"Initial Entry")</t>
  </si>
  <si>
    <t>=NF($H856,"5 Document Type")</t>
  </si>
  <si>
    <t>=NF($H856,"6 Document No.")</t>
  </si>
  <si>
    <t>=NF($H856,"4 Posting Date")</t>
  </si>
  <si>
    <t>=NF(H856,"10 Currency Code")</t>
  </si>
  <si>
    <t>=IF(NF($H856,"7 Amount")=Q856,0,NF($H856,"7 Amount"))</t>
  </si>
  <si>
    <t>=IF(NF($H856,"16 Debit Amount")=R856,0,NF($H856,"16 Debit Amount"))</t>
  </si>
  <si>
    <t>=NF(H856,"8 Amount (LCY)")</t>
  </si>
  <si>
    <t>=H858</t>
  </si>
  <si>
    <t>=I853</t>
  </si>
  <si>
    <t>=IF(NF(H858,"Entry no.")&lt;&gt;"",NF(H858,"Entry no."),0)</t>
  </si>
  <si>
    <t>="""Business Central"",""CRONUS JetCorp USA"",""25"",""1"",""249319"""</t>
  </si>
  <si>
    <t>=NF(H858,"7 Description")</t>
  </si>
  <si>
    <t>=NF(H858,"6 Document No.")</t>
  </si>
  <si>
    <t>=NF(H858,"37 Due Date")</t>
  </si>
  <si>
    <t>=NF(H858,"4 Posting Date")</t>
  </si>
  <si>
    <t>=NF(H858,"11 Currency code")</t>
  </si>
  <si>
    <t>=IF(NF($H858,"13 Amount")=Q858,0,NF($H858,"13 Amount"))</t>
  </si>
  <si>
    <t>=IF(NF($H858,"14 Remaining Amount")=R858,0,NF($H858,"14 Remaining Amount"))</t>
  </si>
  <si>
    <t>=NF(H858,"17 Amount (LCY)")</t>
  </si>
  <si>
    <t>=NF(H858,"16 Remaining Amt. (LCY)")</t>
  </si>
  <si>
    <t>=IF(H859="","Hide","Show")</t>
  </si>
  <si>
    <t>=D858</t>
  </si>
  <si>
    <t>=E858</t>
  </si>
  <si>
    <t>=NF(H859,"Vendor Ledger Entry No.")</t>
  </si>
  <si>
    <t>=NL("Rows","Detailed Vendor Ledg. Entry",,"Vendor Ledger Entry No.","@@"&amp;G858,"Entry Type","&lt;&gt;"&amp;"Initial Entry")</t>
  </si>
  <si>
    <t>=NF($H859,"5 Document Type")</t>
  </si>
  <si>
    <t>=NF($H859,"6 Document No.")</t>
  </si>
  <si>
    <t>=NF($H859,"4 Posting Date")</t>
  </si>
  <si>
    <t>=NF(H859,"10 Currency Code")</t>
  </si>
  <si>
    <t>=IF(NF($H859,"7 Amount")=Q859,0,NF($H859,"7 Amount"))</t>
  </si>
  <si>
    <t>=IF(NF($H859,"16 Debit Amount")=R859,0,NF($H859,"16 Debit Amount"))</t>
  </si>
  <si>
    <t>=NF(H859,"8 Amount (LCY)")</t>
  </si>
  <si>
    <t>=H861</t>
  </si>
  <si>
    <t>=I856</t>
  </si>
  <si>
    <t>=IF(NF(H861,"Entry no.")&lt;&gt;"",NF(H861,"Entry no."),0)</t>
  </si>
  <si>
    <t>="""Business Central"",""CRONUS JetCorp USA"",""25"",""1"",""249322"""</t>
  </si>
  <si>
    <t>=NF(H861,"7 Description")</t>
  </si>
  <si>
    <t>=NF(H861,"6 Document No.")</t>
  </si>
  <si>
    <t>=NF(H861,"37 Due Date")</t>
  </si>
  <si>
    <t>=NF(H861,"4 Posting Date")</t>
  </si>
  <si>
    <t>=NF(H861,"11 Currency code")</t>
  </si>
  <si>
    <t>=IF(NF($H861,"13 Amount")=Q861,0,NF($H861,"13 Amount"))</t>
  </si>
  <si>
    <t>=IF(NF($H861,"14 Remaining Amount")=R861,0,NF($H861,"14 Remaining Amount"))</t>
  </si>
  <si>
    <t>=NF(H861,"17 Amount (LCY)")</t>
  </si>
  <si>
    <t>=NF(H861,"16 Remaining Amt. (LCY)")</t>
  </si>
  <si>
    <t>=IF(H862="","Hide","Show")</t>
  </si>
  <si>
    <t>=D861</t>
  </si>
  <si>
    <t>=E861</t>
  </si>
  <si>
    <t>=NF(H862,"Vendor Ledger Entry No.")</t>
  </si>
  <si>
    <t>=NL("Rows","Detailed Vendor Ledg. Entry",,"Vendor Ledger Entry No.","@@"&amp;G861,"Entry Type","&lt;&gt;"&amp;"Initial Entry")</t>
  </si>
  <si>
    <t>=NF($H862,"5 Document Type")</t>
  </si>
  <si>
    <t>=NF($H862,"6 Document No.")</t>
  </si>
  <si>
    <t>=NF($H862,"4 Posting Date")</t>
  </si>
  <si>
    <t>=NF(H862,"10 Currency Code")</t>
  </si>
  <si>
    <t>=IF(NF($H862,"7 Amount")=Q862,0,NF($H862,"7 Amount"))</t>
  </si>
  <si>
    <t>=IF(NF($H862,"16 Debit Amount")=R862,0,NF($H862,"16 Debit Amount"))</t>
  </si>
  <si>
    <t>=NF(H862,"8 Amount (LCY)")</t>
  </si>
  <si>
    <t>=H864</t>
  </si>
  <si>
    <t>=I859</t>
  </si>
  <si>
    <t>=IF(NF(H864,"Entry no.")&lt;&gt;"",NF(H864,"Entry no."),0)</t>
  </si>
  <si>
    <t>="""Business Central"",""CRONUS JetCorp USA"",""25"",""1"",""249325"""</t>
  </si>
  <si>
    <t>=NF(H864,"7 Description")</t>
  </si>
  <si>
    <t>=NF(H864,"6 Document No.")</t>
  </si>
  <si>
    <t>=NF(H864,"37 Due Date")</t>
  </si>
  <si>
    <t>=NF(H864,"4 Posting Date")</t>
  </si>
  <si>
    <t>=NF(H864,"11 Currency code")</t>
  </si>
  <si>
    <t>=IF(NF($H864,"13 Amount")=Q864,0,NF($H864,"13 Amount"))</t>
  </si>
  <si>
    <t>=IF(NF($H864,"14 Remaining Amount")=R864,0,NF($H864,"14 Remaining Amount"))</t>
  </si>
  <si>
    <t>=NF(H864,"17 Amount (LCY)")</t>
  </si>
  <si>
    <t>=NF(H864,"16 Remaining Amt. (LCY)")</t>
  </si>
  <si>
    <t>=IF(H865="","Hide","Show")</t>
  </si>
  <si>
    <t>=D864</t>
  </si>
  <si>
    <t>=E864</t>
  </si>
  <si>
    <t>=NF(H865,"Vendor Ledger Entry No.")</t>
  </si>
  <si>
    <t>=NL("Rows","Detailed Vendor Ledg. Entry",,"Vendor Ledger Entry No.","@@"&amp;G864,"Entry Type","&lt;&gt;"&amp;"Initial Entry")</t>
  </si>
  <si>
    <t>=NF($H865,"5 Document Type")</t>
  </si>
  <si>
    <t>=NF($H865,"6 Document No.")</t>
  </si>
  <si>
    <t>=NF($H865,"4 Posting Date")</t>
  </si>
  <si>
    <t>=NF(H865,"10 Currency Code")</t>
  </si>
  <si>
    <t>=IF(NF($H865,"7 Amount")=Q865,0,NF($H865,"7 Amount"))</t>
  </si>
  <si>
    <t>=IF(NF($H865,"16 Debit Amount")=R865,0,NF($H865,"16 Debit Amount"))</t>
  </si>
  <si>
    <t>=NF(H865,"8 Amount (LCY)")</t>
  </si>
  <si>
    <t>=H867</t>
  </si>
  <si>
    <t>=I862</t>
  </si>
  <si>
    <t>=IF(NF(H867,"Entry no.")&lt;&gt;"",NF(H867,"Entry no."),0)</t>
  </si>
  <si>
    <t>="""Business Central"",""CRONUS JetCorp USA"",""25"",""1"",""249328"""</t>
  </si>
  <si>
    <t>=NF(H867,"7 Description")</t>
  </si>
  <si>
    <t>=NF(H867,"6 Document No.")</t>
  </si>
  <si>
    <t>=NF(H867,"37 Due Date")</t>
  </si>
  <si>
    <t>=NF(H867,"4 Posting Date")</t>
  </si>
  <si>
    <t>=NF(H867,"11 Currency code")</t>
  </si>
  <si>
    <t>=IF(NF($H867,"13 Amount")=Q867,0,NF($H867,"13 Amount"))</t>
  </si>
  <si>
    <t>=IF(NF($H867,"14 Remaining Amount")=R867,0,NF($H867,"14 Remaining Amount"))</t>
  </si>
  <si>
    <t>=NF(H867,"17 Amount (LCY)")</t>
  </si>
  <si>
    <t>=NF(H867,"16 Remaining Amt. (LCY)")</t>
  </si>
  <si>
    <t>=IF(H868="","Hide","Show")</t>
  </si>
  <si>
    <t>=D867</t>
  </si>
  <si>
    <t>=E867</t>
  </si>
  <si>
    <t>=NF(H868,"Vendor Ledger Entry No.")</t>
  </si>
  <si>
    <t>=NL("Rows","Detailed Vendor Ledg. Entry",,"Vendor Ledger Entry No.","@@"&amp;G867,"Entry Type","&lt;&gt;"&amp;"Initial Entry")</t>
  </si>
  <si>
    <t>=NF($H868,"5 Document Type")</t>
  </si>
  <si>
    <t>=NF($H868,"6 Document No.")</t>
  </si>
  <si>
    <t>=NF($H868,"4 Posting Date")</t>
  </si>
  <si>
    <t>=NF(H868,"10 Currency Code")</t>
  </si>
  <si>
    <t>=IF(NF($H868,"7 Amount")=Q868,0,NF($H868,"7 Amount"))</t>
  </si>
  <si>
    <t>=IF(NF($H868,"16 Debit Amount")=R868,0,NF($H868,"16 Debit Amount"))</t>
  </si>
  <si>
    <t>=NF(H868,"8 Amount (LCY)")</t>
  </si>
  <si>
    <t>=H870</t>
  </si>
  <si>
    <t>=I865</t>
  </si>
  <si>
    <t>=IF(NF(H870,"Entry no.")&lt;&gt;"",NF(H870,"Entry no."),0)</t>
  </si>
  <si>
    <t>="""Business Central"",""CRONUS JetCorp USA"",""25"",""1"",""249331"""</t>
  </si>
  <si>
    <t>=NF(H870,"7 Description")</t>
  </si>
  <si>
    <t>=NF(H870,"6 Document No.")</t>
  </si>
  <si>
    <t>=NF(H870,"37 Due Date")</t>
  </si>
  <si>
    <t>=NF(H870,"4 Posting Date")</t>
  </si>
  <si>
    <t>=NF(H870,"11 Currency code")</t>
  </si>
  <si>
    <t>=IF(NF($H870,"13 Amount")=Q870,0,NF($H870,"13 Amount"))</t>
  </si>
  <si>
    <t>=IF(NF($H870,"14 Remaining Amount")=R870,0,NF($H870,"14 Remaining Amount"))</t>
  </si>
  <si>
    <t>=NF(H870,"17 Amount (LCY)")</t>
  </si>
  <si>
    <t>=NF(H870,"16 Remaining Amt. (LCY)")</t>
  </si>
  <si>
    <t>=IF(H871="","Hide","Show")</t>
  </si>
  <si>
    <t>=D870</t>
  </si>
  <si>
    <t>=E870</t>
  </si>
  <si>
    <t>=NF(H871,"Vendor Ledger Entry No.")</t>
  </si>
  <si>
    <t>=NL("Rows","Detailed Vendor Ledg. Entry",,"Vendor Ledger Entry No.","@@"&amp;G870,"Entry Type","&lt;&gt;"&amp;"Initial Entry")</t>
  </si>
  <si>
    <t>=NF($H871,"5 Document Type")</t>
  </si>
  <si>
    <t>=NF($H871,"6 Document No.")</t>
  </si>
  <si>
    <t>=NF($H871,"4 Posting Date")</t>
  </si>
  <si>
    <t>=NF(H871,"10 Currency Code")</t>
  </si>
  <si>
    <t>=IF(NF($H871,"7 Amount")=Q871,0,NF($H871,"7 Amount"))</t>
  </si>
  <si>
    <t>=IF(NF($H871,"16 Debit Amount")=R871,0,NF($H871,"16 Debit Amount"))</t>
  </si>
  <si>
    <t>=NF(H871,"8 Amount (LCY)")</t>
  </si>
  <si>
    <t>=H873</t>
  </si>
  <si>
    <t>=I868</t>
  </si>
  <si>
    <t>=IF(NF(H873,"Entry no.")&lt;&gt;"",NF(H873,"Entry no."),0)</t>
  </si>
  <si>
    <t>="""Business Central"",""CRONUS JetCorp USA"",""25"",""1"",""249334"""</t>
  </si>
  <si>
    <t>=NF(H873,"7 Description")</t>
  </si>
  <si>
    <t>=NF(H873,"6 Document No.")</t>
  </si>
  <si>
    <t>=NF(H873,"37 Due Date")</t>
  </si>
  <si>
    <t>=NF(H873,"4 Posting Date")</t>
  </si>
  <si>
    <t>=NF(H873,"11 Currency code")</t>
  </si>
  <si>
    <t>=IF(NF($H873,"13 Amount")=Q873,0,NF($H873,"13 Amount"))</t>
  </si>
  <si>
    <t>=IF(NF($H873,"14 Remaining Amount")=R873,0,NF($H873,"14 Remaining Amount"))</t>
  </si>
  <si>
    <t>=NF(H873,"17 Amount (LCY)")</t>
  </si>
  <si>
    <t>=NF(H873,"16 Remaining Amt. (LCY)")</t>
  </si>
  <si>
    <t>=IF(H874="","Hide","Show")</t>
  </si>
  <si>
    <t>=D873</t>
  </si>
  <si>
    <t>=E873</t>
  </si>
  <si>
    <t>=NF(H874,"Vendor Ledger Entry No.")</t>
  </si>
  <si>
    <t>=NL("Rows","Detailed Vendor Ledg. Entry",,"Vendor Ledger Entry No.","@@"&amp;G873,"Entry Type","&lt;&gt;"&amp;"Initial Entry")</t>
  </si>
  <si>
    <t>=NF($H874,"5 Document Type")</t>
  </si>
  <si>
    <t>=NF($H874,"6 Document No.")</t>
  </si>
  <si>
    <t>=NF($H874,"4 Posting Date")</t>
  </si>
  <si>
    <t>=NF(H874,"10 Currency Code")</t>
  </si>
  <si>
    <t>=IF(NF($H874,"7 Amount")=Q874,0,NF($H874,"7 Amount"))</t>
  </si>
  <si>
    <t>=IF(NF($H874,"16 Debit Amount")=R874,0,NF($H874,"16 Debit Amount"))</t>
  </si>
  <si>
    <t>=NF(H874,"8 Amount (LCY)")</t>
  </si>
  <si>
    <t>=H876</t>
  </si>
  <si>
    <t>=I871</t>
  </si>
  <si>
    <t>=IF(NF(H876,"Entry no.")&lt;&gt;"",NF(H876,"Entry no."),0)</t>
  </si>
  <si>
    <t>="""Business Central"",""CRONUS JetCorp USA"",""25"",""1"",""249337"""</t>
  </si>
  <si>
    <t>=NF(H876,"7 Description")</t>
  </si>
  <si>
    <t>=NF(H876,"6 Document No.")</t>
  </si>
  <si>
    <t>=NF(H876,"37 Due Date")</t>
  </si>
  <si>
    <t>=NF(H876,"4 Posting Date")</t>
  </si>
  <si>
    <t>=NF(H876,"11 Currency code")</t>
  </si>
  <si>
    <t>=IF(NF($H876,"13 Amount")=Q876,0,NF($H876,"13 Amount"))</t>
  </si>
  <si>
    <t>=IF(NF($H876,"14 Remaining Amount")=R876,0,NF($H876,"14 Remaining Amount"))</t>
  </si>
  <si>
    <t>=NF(H876,"17 Amount (LCY)")</t>
  </si>
  <si>
    <t>=NF(H876,"16 Remaining Amt. (LCY)")</t>
  </si>
  <si>
    <t>=IF(H877="","Hide","Show")</t>
  </si>
  <si>
    <t>=D876</t>
  </si>
  <si>
    <t>=E876</t>
  </si>
  <si>
    <t>=NF(H877,"Vendor Ledger Entry No.")</t>
  </si>
  <si>
    <t>=NL("Rows","Detailed Vendor Ledg. Entry",,"Vendor Ledger Entry No.","@@"&amp;G876,"Entry Type","&lt;&gt;"&amp;"Initial Entry")</t>
  </si>
  <si>
    <t>=NF($H877,"5 Document Type")</t>
  </si>
  <si>
    <t>=NF($H877,"6 Document No.")</t>
  </si>
  <si>
    <t>=NF($H877,"4 Posting Date")</t>
  </si>
  <si>
    <t>=NF(H877,"10 Currency Code")</t>
  </si>
  <si>
    <t>=IF(NF($H877,"7 Amount")=Q877,0,NF($H877,"7 Amount"))</t>
  </si>
  <si>
    <t>=IF(NF($H877,"16 Debit Amount")=R877,0,NF($H877,"16 Debit Amount"))</t>
  </si>
  <si>
    <t>=NF(H877,"8 Amount (LCY)")</t>
  </si>
  <si>
    <t>=H879</t>
  </si>
  <si>
    <t>=I874</t>
  </si>
  <si>
    <t>=IF(NF(H879,"Entry no.")&lt;&gt;"",NF(H879,"Entry no."),0)</t>
  </si>
  <si>
    <t>="""Business Central"",""CRONUS JetCorp USA"",""25"",""1"",""249340"""</t>
  </si>
  <si>
    <t>=NF(H879,"7 Description")</t>
  </si>
  <si>
    <t>=NF(H879,"6 Document No.")</t>
  </si>
  <si>
    <t>=NF(H879,"37 Due Date")</t>
  </si>
  <si>
    <t>=NF(H879,"4 Posting Date")</t>
  </si>
  <si>
    <t>=NF(H879,"11 Currency code")</t>
  </si>
  <si>
    <t>=IF(NF($H879,"13 Amount")=Q879,0,NF($H879,"13 Amount"))</t>
  </si>
  <si>
    <t>=IF(NF($H879,"14 Remaining Amount")=R879,0,NF($H879,"14 Remaining Amount"))</t>
  </si>
  <si>
    <t>=NF(H879,"17 Amount (LCY)")</t>
  </si>
  <si>
    <t>=NF(H879,"16 Remaining Amt. (LCY)")</t>
  </si>
  <si>
    <t>=IF(H880="","Hide","Show")</t>
  </si>
  <si>
    <t>=D879</t>
  </si>
  <si>
    <t>=E879</t>
  </si>
  <si>
    <t>=NF(H880,"Vendor Ledger Entry No.")</t>
  </si>
  <si>
    <t>=NL("Rows","Detailed Vendor Ledg. Entry",,"Vendor Ledger Entry No.","@@"&amp;G879,"Entry Type","&lt;&gt;"&amp;"Initial Entry")</t>
  </si>
  <si>
    <t>=NF($H880,"5 Document Type")</t>
  </si>
  <si>
    <t>=NF($H880,"6 Document No.")</t>
  </si>
  <si>
    <t>=NF($H880,"4 Posting Date")</t>
  </si>
  <si>
    <t>=NF(H880,"10 Currency Code")</t>
  </si>
  <si>
    <t>=IF(NF($H880,"7 Amount")=Q880,0,NF($H880,"7 Amount"))</t>
  </si>
  <si>
    <t>=IF(NF($H880,"16 Debit Amount")=R880,0,NF($H880,"16 Debit Amount"))</t>
  </si>
  <si>
    <t>=NF(H880,"8 Amount (LCY)")</t>
  </si>
  <si>
    <t>=H882</t>
  </si>
  <si>
    <t>=I877</t>
  </si>
  <si>
    <t>=IF(NF(H882,"Entry no.")&lt;&gt;"",NF(H882,"Entry no."),0)</t>
  </si>
  <si>
    <t>="""Business Central"",""CRONUS JetCorp USA"",""25"",""1"",""249343"""</t>
  </si>
  <si>
    <t>=NF(H882,"7 Description")</t>
  </si>
  <si>
    <t>=NF(H882,"6 Document No.")</t>
  </si>
  <si>
    <t>=NF(H882,"37 Due Date")</t>
  </si>
  <si>
    <t>=NF(H882,"4 Posting Date")</t>
  </si>
  <si>
    <t>=NF(H882,"11 Currency code")</t>
  </si>
  <si>
    <t>=IF(NF($H882,"13 Amount")=Q882,0,NF($H882,"13 Amount"))</t>
  </si>
  <si>
    <t>=IF(NF($H882,"14 Remaining Amount")=R882,0,NF($H882,"14 Remaining Amount"))</t>
  </si>
  <si>
    <t>=NF(H882,"17 Amount (LCY)")</t>
  </si>
  <si>
    <t>=NF(H882,"16 Remaining Amt. (LCY)")</t>
  </si>
  <si>
    <t>=IF(H883="","Hide","Show")</t>
  </si>
  <si>
    <t>=D882</t>
  </si>
  <si>
    <t>=E882</t>
  </si>
  <si>
    <t>=NF(H883,"Vendor Ledger Entry No.")</t>
  </si>
  <si>
    <t>=NL("Rows","Detailed Vendor Ledg. Entry",,"Vendor Ledger Entry No.","@@"&amp;G882,"Entry Type","&lt;&gt;"&amp;"Initial Entry")</t>
  </si>
  <si>
    <t>=NF($H883,"5 Document Type")</t>
  </si>
  <si>
    <t>=NF($H883,"6 Document No.")</t>
  </si>
  <si>
    <t>=NF($H883,"4 Posting Date")</t>
  </si>
  <si>
    <t>=NF(H883,"10 Currency Code")</t>
  </si>
  <si>
    <t>=IF(NF($H883,"7 Amount")=Q883,0,NF($H883,"7 Amount"))</t>
  </si>
  <si>
    <t>=IF(NF($H883,"16 Debit Amount")=R883,0,NF($H883,"16 Debit Amount"))</t>
  </si>
  <si>
    <t>=NF(H883,"8 Amount (LCY)")</t>
  </si>
  <si>
    <t>=CONCATENATE(I697," - ",I698,"      Remaining Amount  In Local Currency")</t>
  </si>
  <si>
    <t>=SUBTOTAL(9,R702:R885)</t>
  </si>
  <si>
    <t>Auto+Hide+Values+Formulas=Sheet8,Sheet3,Sheet4+FormulasOnly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</si>
</sst>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#,##0.00_);[Red]\(#,##0.00\);"/>
    <numFmt numFmtId="169" formatCode="#,##0.00_);[Red]\(#,##0.00\);&quot;-&quot;"/>
  </numFmts>
  <fonts count="22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b/>
      <sz val="11"/>
      <color rgb="FFFFFFFF"/>
      <name val="Segoe UI"/>
      <family val="2"/>
    </font>
    <font>
      <sz val="10"/>
      <color theme="1"/>
      <name val="Segoe UI"/>
      <family val="2"/>
    </font>
    <font>
      <b/>
      <sz val="11"/>
      <name val="Segoe UI"/>
      <family val="2"/>
    </font>
    <font>
      <b/>
      <sz val="12"/>
      <color theme="1"/>
      <name val="Segoe UI"/>
      <family val="2"/>
    </font>
    <font>
      <b/>
      <sz val="12"/>
      <color theme="4" tint="-0.499984740745262"/>
      <name val="Segoe U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sz val="11"/>
      <color theme="0" tint="-0.34998626667073579"/>
      <name val="Segoe UI"/>
      <family val="2"/>
    </font>
    <font>
      <sz val="11"/>
      <color rgb="FFFF0000"/>
      <name val="Segoe UI"/>
      <family val="2"/>
    </font>
    <font>
      <sz val="11"/>
      <color theme="1" tint="0.34998626667073579"/>
      <name val="Segoe UI"/>
      <family val="2"/>
    </font>
    <font>
      <sz val="10"/>
      <color theme="1"/>
      <name val="Calibri"/>
      <family val="2"/>
      <scheme val="minor"/>
    </font>
    <font>
      <sz val="11"/>
      <name val="Segoe UI"/>
      <family val="2"/>
    </font>
    <font>
      <sz val="11"/>
      <color theme="1" tint="0.499984740745262"/>
      <name val="Segoe UI"/>
      <family val="2"/>
    </font>
    <font>
      <b/>
      <sz val="11"/>
      <color theme="1" tint="0.499984740745262"/>
      <name val="Segoe UI"/>
      <family val="2"/>
    </font>
    <font>
      <b/>
      <sz val="11"/>
      <color theme="4" tint="-0.499984740745262"/>
      <name val="Segoe UI"/>
      <family val="2"/>
    </font>
    <font>
      <b/>
      <u/>
      <sz val="18"/>
      <color theme="9" tint="-0.499984740745262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8F7F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0" fontId="10" fillId="0" borderId="0"/>
    <xf numFmtId="166" fontId="12" fillId="0" borderId="0" applyFon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80">
    <xf numFmtId="0" fontId="0" fillId="0" borderId="0" xfId="0"/>
    <xf numFmtId="0" fontId="3" fillId="0" borderId="0" xfId="0" applyFont="1"/>
    <xf numFmtId="0" fontId="5" fillId="3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7" fillId="0" borderId="0" xfId="0" applyFont="1"/>
    <xf numFmtId="0" fontId="6" fillId="0" borderId="0" xfId="0" applyFont="1"/>
    <xf numFmtId="0" fontId="8" fillId="0" borderId="0" xfId="0" applyFont="1" applyAlignment="1">
      <alignment horizontal="left"/>
    </xf>
    <xf numFmtId="14" fontId="8" fillId="0" borderId="0" xfId="0" applyNumberFormat="1" applyFont="1" applyAlignment="1">
      <alignment horizontal="left"/>
    </xf>
    <xf numFmtId="0" fontId="4" fillId="0" borderId="0" xfId="0" applyFont="1"/>
    <xf numFmtId="0" fontId="3" fillId="4" borderId="0" xfId="0" applyFont="1" applyFill="1"/>
    <xf numFmtId="0" fontId="4" fillId="0" borderId="0" xfId="0" applyFont="1" applyAlignment="1">
      <alignment horizontal="right"/>
    </xf>
    <xf numFmtId="0" fontId="4" fillId="5" borderId="0" xfId="0" applyFont="1" applyFill="1" applyAlignment="1">
      <alignment horizontal="left"/>
    </xf>
    <xf numFmtId="14" fontId="8" fillId="0" borderId="0" xfId="0" applyNumberFormat="1" applyFont="1" applyAlignment="1">
      <alignment horizontal="right"/>
    </xf>
    <xf numFmtId="167" fontId="3" fillId="0" borderId="0" xfId="0" applyNumberFormat="1" applyFont="1"/>
    <xf numFmtId="164" fontId="8" fillId="0" borderId="0" xfId="0" applyNumberFormat="1" applyFont="1" applyAlignment="1">
      <alignment horizontal="right"/>
    </xf>
    <xf numFmtId="14" fontId="6" fillId="0" borderId="0" xfId="0" applyNumberFormat="1" applyFont="1"/>
    <xf numFmtId="0" fontId="16" fillId="0" borderId="0" xfId="0" applyFont="1"/>
    <xf numFmtId="14" fontId="3" fillId="0" borderId="0" xfId="0" applyNumberFormat="1" applyFont="1"/>
    <xf numFmtId="14" fontId="14" fillId="0" borderId="0" xfId="0" applyNumberFormat="1" applyFont="1"/>
    <xf numFmtId="14" fontId="7" fillId="0" borderId="0" xfId="0" applyNumberFormat="1" applyFont="1"/>
    <xf numFmtId="164" fontId="3" fillId="5" borderId="2" xfId="0" applyNumberFormat="1" applyFont="1" applyFill="1" applyBorder="1"/>
    <xf numFmtId="0" fontId="9" fillId="5" borderId="3" xfId="2" applyFont="1" applyFill="1" applyBorder="1"/>
    <xf numFmtId="0" fontId="9" fillId="5" borderId="5" xfId="2" applyFont="1" applyFill="1" applyBorder="1"/>
    <xf numFmtId="0" fontId="4" fillId="5" borderId="6" xfId="0" applyFont="1" applyFill="1" applyBorder="1" applyAlignment="1">
      <alignment horizontal="left"/>
    </xf>
    <xf numFmtId="0" fontId="3" fillId="5" borderId="7" xfId="0" applyFont="1" applyFill="1" applyBorder="1"/>
    <xf numFmtId="0" fontId="3" fillId="5" borderId="8" xfId="0" applyFont="1" applyFill="1" applyBorder="1" applyAlignment="1">
      <alignment horizontal="left"/>
    </xf>
    <xf numFmtId="0" fontId="3" fillId="5" borderId="8" xfId="0" applyFont="1" applyFill="1" applyBorder="1"/>
    <xf numFmtId="14" fontId="7" fillId="5" borderId="8" xfId="0" applyNumberFormat="1" applyFont="1" applyFill="1" applyBorder="1"/>
    <xf numFmtId="0" fontId="4" fillId="5" borderId="2" xfId="0" applyFont="1" applyFill="1" applyBorder="1" applyAlignment="1">
      <alignment horizontal="left"/>
    </xf>
    <xf numFmtId="0" fontId="4" fillId="5" borderId="2" xfId="0" applyFont="1" applyFill="1" applyBorder="1"/>
    <xf numFmtId="14" fontId="4" fillId="5" borderId="2" xfId="0" applyNumberFormat="1" applyFont="1" applyFill="1" applyBorder="1"/>
    <xf numFmtId="164" fontId="4" fillId="5" borderId="2" xfId="0" applyNumberFormat="1" applyFont="1" applyFill="1" applyBorder="1"/>
    <xf numFmtId="165" fontId="3" fillId="0" borderId="0" xfId="0" applyNumberFormat="1" applyFont="1"/>
    <xf numFmtId="165" fontId="3" fillId="0" borderId="0" xfId="0" applyNumberFormat="1" applyFont="1" applyAlignment="1">
      <alignment horizontal="left"/>
    </xf>
    <xf numFmtId="165" fontId="4" fillId="5" borderId="2" xfId="0" applyNumberFormat="1" applyFont="1" applyFill="1" applyBorder="1"/>
    <xf numFmtId="165" fontId="4" fillId="5" borderId="0" xfId="0" applyNumberFormat="1" applyFont="1" applyFill="1" applyAlignment="1">
      <alignment horizontal="left"/>
    </xf>
    <xf numFmtId="165" fontId="7" fillId="0" borderId="0" xfId="0" applyNumberFormat="1" applyFont="1"/>
    <xf numFmtId="168" fontId="9" fillId="5" borderId="8" xfId="0" applyNumberFormat="1" applyFont="1" applyFill="1" applyBorder="1" applyAlignment="1">
      <alignment horizontal="right"/>
    </xf>
    <xf numFmtId="165" fontId="4" fillId="5" borderId="4" xfId="0" applyNumberFormat="1" applyFont="1" applyFill="1" applyBorder="1"/>
    <xf numFmtId="168" fontId="9" fillId="5" borderId="9" xfId="0" applyNumberFormat="1" applyFont="1" applyFill="1" applyBorder="1" applyAlignment="1">
      <alignment horizontal="left" indent="1"/>
    </xf>
    <xf numFmtId="0" fontId="20" fillId="7" borderId="0" xfId="0" applyFont="1" applyFill="1"/>
    <xf numFmtId="0" fontId="15" fillId="7" borderId="0" xfId="0" applyFont="1" applyFill="1"/>
    <xf numFmtId="165" fontId="4" fillId="5" borderId="0" xfId="0" applyNumberFormat="1" applyFont="1" applyFill="1" applyAlignment="1">
      <alignment horizontal="centerContinuous"/>
    </xf>
    <xf numFmtId="0" fontId="4" fillId="5" borderId="6" xfId="0" applyFont="1" applyFill="1" applyBorder="1" applyAlignment="1">
      <alignment horizontal="centerContinuous"/>
    </xf>
    <xf numFmtId="0" fontId="4" fillId="5" borderId="0" xfId="0" applyFont="1" applyFill="1" applyAlignment="1">
      <alignment horizontal="centerContinuous"/>
    </xf>
    <xf numFmtId="0" fontId="4" fillId="7" borderId="5" xfId="0" applyFont="1" applyFill="1" applyBorder="1"/>
    <xf numFmtId="0" fontId="20" fillId="7" borderId="0" xfId="0" applyFont="1" applyFill="1" applyAlignment="1">
      <alignment horizontal="left"/>
    </xf>
    <xf numFmtId="14" fontId="20" fillId="7" borderId="0" xfId="0" applyNumberFormat="1" applyFont="1" applyFill="1"/>
    <xf numFmtId="0" fontId="3" fillId="7" borderId="5" xfId="0" applyFont="1" applyFill="1" applyBorder="1"/>
    <xf numFmtId="0" fontId="20" fillId="7" borderId="11" xfId="0" applyFont="1" applyFill="1" applyBorder="1" applyAlignment="1">
      <alignment horizontal="left"/>
    </xf>
    <xf numFmtId="14" fontId="20" fillId="7" borderId="11" xfId="0" applyNumberFormat="1" applyFont="1" applyFill="1" applyBorder="1" applyAlignment="1">
      <alignment horizontal="left"/>
    </xf>
    <xf numFmtId="0" fontId="13" fillId="7" borderId="5" xfId="0" applyFont="1" applyFill="1" applyBorder="1"/>
    <xf numFmtId="0" fontId="17" fillId="7" borderId="0" xfId="0" applyFont="1" applyFill="1"/>
    <xf numFmtId="14" fontId="17" fillId="7" borderId="0" xfId="0" applyNumberFormat="1" applyFont="1" applyFill="1"/>
    <xf numFmtId="14" fontId="15" fillId="7" borderId="0" xfId="0" applyNumberFormat="1" applyFont="1" applyFill="1"/>
    <xf numFmtId="0" fontId="21" fillId="0" borderId="0" xfId="1" applyFont="1" applyBorder="1"/>
    <xf numFmtId="168" fontId="17" fillId="7" borderId="6" xfId="4" applyNumberFormat="1" applyFont="1" applyFill="1" applyBorder="1" applyAlignment="1">
      <alignment horizontal="right" indent="1"/>
    </xf>
    <xf numFmtId="0" fontId="17" fillId="6" borderId="0" xfId="0" applyFont="1" applyFill="1" applyAlignment="1">
      <alignment horizontal="right" indent="1"/>
    </xf>
    <xf numFmtId="168" fontId="17" fillId="6" borderId="0" xfId="0" applyNumberFormat="1" applyFont="1" applyFill="1" applyAlignment="1">
      <alignment horizontal="right" indent="1"/>
    </xf>
    <xf numFmtId="168" fontId="17" fillId="7" borderId="0" xfId="4" applyNumberFormat="1" applyFont="1" applyFill="1" applyBorder="1" applyAlignment="1">
      <alignment horizontal="right" indent="1"/>
    </xf>
    <xf numFmtId="168" fontId="17" fillId="6" borderId="0" xfId="4" applyNumberFormat="1" applyFont="1" applyFill="1" applyBorder="1" applyAlignment="1">
      <alignment horizontal="right" indent="1"/>
    </xf>
    <xf numFmtId="0" fontId="15" fillId="6" borderId="0" xfId="0" applyFont="1" applyFill="1" applyAlignment="1">
      <alignment horizontal="right" indent="1"/>
    </xf>
    <xf numFmtId="168" fontId="18" fillId="6" borderId="0" xfId="4" applyNumberFormat="1" applyFont="1" applyFill="1" applyBorder="1" applyAlignment="1">
      <alignment horizontal="right" indent="1"/>
    </xf>
    <xf numFmtId="168" fontId="19" fillId="6" borderId="0" xfId="0" applyNumberFormat="1" applyFont="1" applyFill="1" applyAlignment="1">
      <alignment horizontal="right" indent="1"/>
    </xf>
    <xf numFmtId="168" fontId="18" fillId="7" borderId="0" xfId="4" applyNumberFormat="1" applyFont="1" applyFill="1" applyBorder="1" applyAlignment="1">
      <alignment horizontal="right" indent="1"/>
    </xf>
    <xf numFmtId="168" fontId="18" fillId="7" borderId="6" xfId="0" applyNumberFormat="1" applyFont="1" applyFill="1" applyBorder="1" applyAlignment="1">
      <alignment horizontal="right" indent="1"/>
    </xf>
    <xf numFmtId="0" fontId="20" fillId="6" borderId="0" xfId="0" applyFont="1" applyFill="1" applyAlignment="1">
      <alignment horizontal="right" indent="2"/>
    </xf>
    <xf numFmtId="164" fontId="20" fillId="6" borderId="0" xfId="0" applyNumberFormat="1" applyFont="1" applyFill="1" applyAlignment="1">
      <alignment horizontal="right" indent="2"/>
    </xf>
    <xf numFmtId="165" fontId="20" fillId="7" borderId="0" xfId="0" applyNumberFormat="1" applyFont="1" applyFill="1" applyAlignment="1">
      <alignment horizontal="right" indent="2"/>
    </xf>
    <xf numFmtId="165" fontId="20" fillId="7" borderId="6" xfId="0" applyNumberFormat="1" applyFont="1" applyFill="1" applyBorder="1" applyAlignment="1">
      <alignment horizontal="right" indent="2"/>
    </xf>
    <xf numFmtId="0" fontId="20" fillId="6" borderId="11" xfId="0" applyFont="1" applyFill="1" applyBorder="1" applyAlignment="1">
      <alignment horizontal="right" indent="2"/>
    </xf>
    <xf numFmtId="164" fontId="20" fillId="6" borderId="11" xfId="4" applyNumberFormat="1" applyFont="1" applyFill="1" applyBorder="1" applyAlignment="1">
      <alignment horizontal="right" indent="2"/>
    </xf>
    <xf numFmtId="164" fontId="20" fillId="6" borderId="11" xfId="0" applyNumberFormat="1" applyFont="1" applyFill="1" applyBorder="1" applyAlignment="1">
      <alignment horizontal="right" indent="2"/>
    </xf>
    <xf numFmtId="165" fontId="20" fillId="7" borderId="11" xfId="4" applyNumberFormat="1" applyFont="1" applyFill="1" applyBorder="1" applyAlignment="1">
      <alignment horizontal="right" indent="2"/>
    </xf>
    <xf numFmtId="165" fontId="20" fillId="7" borderId="10" xfId="4" applyNumberFormat="1" applyFont="1" applyFill="1" applyBorder="1" applyAlignment="1">
      <alignment horizontal="right" indent="2"/>
    </xf>
    <xf numFmtId="168" fontId="17" fillId="6" borderId="0" xfId="4" applyNumberFormat="1" applyFont="1" applyFill="1" applyBorder="1" applyAlignment="1">
      <alignment horizontal="right" indent="2"/>
    </xf>
    <xf numFmtId="168" fontId="17" fillId="6" borderId="0" xfId="0" applyNumberFormat="1" applyFont="1" applyFill="1" applyAlignment="1">
      <alignment horizontal="right" indent="2"/>
    </xf>
    <xf numFmtId="168" fontId="17" fillId="7" borderId="0" xfId="4" applyNumberFormat="1" applyFont="1" applyFill="1" applyBorder="1" applyAlignment="1">
      <alignment horizontal="right" indent="2"/>
    </xf>
    <xf numFmtId="169" fontId="17" fillId="7" borderId="6" xfId="4" applyNumberFormat="1" applyFont="1" applyFill="1" applyBorder="1" applyAlignment="1">
      <alignment horizontal="right" indent="2"/>
    </xf>
    <xf numFmtId="0" fontId="0" fillId="0" borderId="0" xfId="0" quotePrefix="1"/>
  </cellXfs>
  <cellStyles count="7">
    <cellStyle name="Accent1" xfId="2" builtinId="29"/>
    <cellStyle name="Currency" xfId="4" builtinId="4"/>
    <cellStyle name="Heading 1" xfId="1" builtinId="16"/>
    <cellStyle name="Hyperlink 3" xfId="6" xr:uid="{00000000-0005-0000-0000-000003000000}"/>
    <cellStyle name="Normal" xfId="0" builtinId="0"/>
    <cellStyle name="Normal 2" xfId="3" xr:uid="{00000000-0005-0000-0000-000005000000}"/>
    <cellStyle name="Normal 2 4" xfId="5" xr:uid="{00000000-0005-0000-0000-000006000000}"/>
  </cellStyles>
  <dxfs count="0"/>
  <tableStyles count="0" defaultTableStyle="TableStyleMedium2" defaultPivotStyle="PivotStyleLight16"/>
  <colors>
    <mruColors>
      <color rgb="FFF8F7F2"/>
      <color rgb="FFF47E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"/>
  <sheetViews>
    <sheetView showGridLines="0" workbookViewId="0">
      <selection activeCell="K26" sqref="K26"/>
    </sheetView>
  </sheetViews>
  <sheetFormatPr defaultRowHeight="15" x14ac:dyDescent="0.25"/>
  <cols>
    <col min="1" max="1" width="19.28515625" hidden="1" customWidth="1"/>
    <col min="2" max="2" width="7" customWidth="1"/>
    <col min="3" max="3" width="16.7109375" bestFit="1" customWidth="1"/>
    <col min="4" max="4" width="22.85546875" bestFit="1" customWidth="1"/>
    <col min="5" max="5" width="9.140625" customWidth="1"/>
  </cols>
  <sheetData>
    <row r="1" spans="1:6" hidden="1" x14ac:dyDescent="0.25">
      <c r="A1" s="5" t="s">
        <v>1843</v>
      </c>
      <c r="B1" s="5"/>
      <c r="C1" s="5" t="s">
        <v>5</v>
      </c>
      <c r="D1" s="5" t="s">
        <v>6</v>
      </c>
      <c r="E1" s="5" t="s">
        <v>8</v>
      </c>
      <c r="F1" s="5" t="s">
        <v>26</v>
      </c>
    </row>
    <row r="2" spans="1:6" ht="16.5" x14ac:dyDescent="0.3">
      <c r="A2" s="5"/>
      <c r="B2" s="5"/>
      <c r="C2" s="1"/>
      <c r="D2" s="1"/>
    </row>
    <row r="3" spans="1:6" ht="16.5" x14ac:dyDescent="0.3">
      <c r="A3" s="5"/>
      <c r="B3" s="5"/>
      <c r="C3" s="1"/>
      <c r="D3" s="1"/>
    </row>
    <row r="4" spans="1:6" ht="16.5" x14ac:dyDescent="0.3">
      <c r="A4" s="5"/>
      <c r="B4" s="5"/>
      <c r="C4" s="2" t="s">
        <v>4</v>
      </c>
      <c r="D4" s="2"/>
    </row>
    <row r="5" spans="1:6" x14ac:dyDescent="0.25">
      <c r="A5" s="5" t="s">
        <v>10</v>
      </c>
      <c r="B5" s="5"/>
      <c r="C5" s="5" t="s">
        <v>3</v>
      </c>
      <c r="D5" s="15" t="str">
        <f>"*"</f>
        <v>*</v>
      </c>
      <c r="E5" s="16"/>
      <c r="F5" t="s">
        <v>27</v>
      </c>
    </row>
    <row r="6" spans="1:6" x14ac:dyDescent="0.25">
      <c r="A6" s="5" t="s">
        <v>10</v>
      </c>
      <c r="B6" s="5"/>
      <c r="C6" s="5" t="s">
        <v>24</v>
      </c>
      <c r="D6" s="15" t="str">
        <f>"*"</f>
        <v>*</v>
      </c>
      <c r="E6" s="16" t="str">
        <f>"Lookup"</f>
        <v>Lookup</v>
      </c>
    </row>
    <row r="7" spans="1:6" x14ac:dyDescent="0.25">
      <c r="A7" s="5" t="s">
        <v>10</v>
      </c>
      <c r="B7" s="5"/>
      <c r="C7" s="5" t="s">
        <v>31</v>
      </c>
      <c r="D7" s="15" t="str">
        <f>"*"</f>
        <v>*</v>
      </c>
      <c r="E7" s="16" t="str">
        <f>"Lookup"</f>
        <v>Lookup</v>
      </c>
    </row>
    <row r="8" spans="1:6" x14ac:dyDescent="0.25">
      <c r="A8" t="s">
        <v>10</v>
      </c>
      <c r="B8" s="16"/>
      <c r="C8" t="s">
        <v>18</v>
      </c>
      <c r="D8" s="16" t="b">
        <v>0</v>
      </c>
      <c r="E8" s="16" t="str">
        <f>"Lookup"</f>
        <v>Lookup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887"/>
  <sheetViews>
    <sheetView showGridLines="0" tabSelected="1" topLeftCell="D1" zoomScaleNormal="100" workbookViewId="0">
      <pane ySplit="10" topLeftCell="A11" activePane="bottomLeft" state="frozen"/>
      <selection pane="bottomLeft" activeCell="X14" sqref="X14"/>
    </sheetView>
  </sheetViews>
  <sheetFormatPr defaultColWidth="9.140625" defaultRowHeight="16.5" x14ac:dyDescent="0.3"/>
  <cols>
    <col min="1" max="1" width="9.85546875" style="1" hidden="1" customWidth="1"/>
    <col min="2" max="2" width="4.28515625" style="1" hidden="1" customWidth="1"/>
    <col min="3" max="3" width="5.28515625" style="1" customWidth="1"/>
    <col min="4" max="4" width="13.85546875" style="1" hidden="1" customWidth="1"/>
    <col min="5" max="5" width="14.140625" style="1" hidden="1" customWidth="1"/>
    <col min="6" max="6" width="10" style="1" hidden="1" customWidth="1"/>
    <col min="7" max="7" width="9.140625" style="1" hidden="1" customWidth="1"/>
    <col min="8" max="8" width="18.7109375" style="1" hidden="1" customWidth="1"/>
    <col min="9" max="9" width="40.7109375" style="1" customWidth="1"/>
    <col min="10" max="10" width="16.7109375" style="3" bestFit="1" customWidth="1"/>
    <col min="11" max="11" width="12.7109375" style="1" bestFit="1" customWidth="1"/>
    <col min="12" max="12" width="12.7109375" style="17" bestFit="1" customWidth="1"/>
    <col min="13" max="13" width="14.28515625" style="1" bestFit="1" customWidth="1"/>
    <col min="14" max="14" width="18.5703125" style="3" bestFit="1" customWidth="1"/>
    <col min="15" max="15" width="15.140625" style="3" bestFit="1" customWidth="1"/>
    <col min="16" max="16" width="16.42578125" style="3" bestFit="1" customWidth="1"/>
    <col min="17" max="17" width="25.28515625" style="33" customWidth="1"/>
    <col min="18" max="18" width="17.7109375" style="32" bestFit="1" customWidth="1"/>
    <col min="19" max="16384" width="9.140625" style="1"/>
  </cols>
  <sheetData>
    <row r="1" spans="1:18" hidden="1" x14ac:dyDescent="0.3">
      <c r="A1" s="1" t="s">
        <v>1845</v>
      </c>
      <c r="B1" s="1" t="s">
        <v>28</v>
      </c>
      <c r="D1" s="1" t="s">
        <v>0</v>
      </c>
      <c r="E1" s="1" t="s">
        <v>0</v>
      </c>
      <c r="F1" s="1" t="s">
        <v>0</v>
      </c>
      <c r="G1" s="1" t="s">
        <v>13</v>
      </c>
      <c r="H1" s="1" t="s">
        <v>0</v>
      </c>
      <c r="J1" s="1" t="s">
        <v>1</v>
      </c>
      <c r="K1" s="1" t="s">
        <v>1</v>
      </c>
      <c r="L1" s="17" t="s">
        <v>1</v>
      </c>
      <c r="M1" s="1" t="s">
        <v>1</v>
      </c>
      <c r="N1" s="1" t="s">
        <v>1</v>
      </c>
      <c r="O1" s="1" t="s">
        <v>1</v>
      </c>
      <c r="P1" s="1" t="s">
        <v>1</v>
      </c>
      <c r="Q1" s="32"/>
    </row>
    <row r="2" spans="1:18" hidden="1" x14ac:dyDescent="0.3">
      <c r="A2" s="1" t="s">
        <v>0</v>
      </c>
      <c r="K2" s="1" t="s">
        <v>15</v>
      </c>
      <c r="L2" s="17" t="s">
        <v>15</v>
      </c>
      <c r="M2" s="1" t="s">
        <v>15</v>
      </c>
    </row>
    <row r="4" spans="1:18" ht="26.25" x14ac:dyDescent="0.45">
      <c r="I4" s="55" t="s">
        <v>29</v>
      </c>
    </row>
    <row r="5" spans="1:18" x14ac:dyDescent="0.3">
      <c r="E5" s="3"/>
      <c r="F5" s="3"/>
      <c r="G5" s="3"/>
      <c r="H5" s="3"/>
      <c r="I5" s="3"/>
      <c r="K5" s="3"/>
    </row>
    <row r="6" spans="1:18" ht="17.25" x14ac:dyDescent="0.3">
      <c r="E6" s="3"/>
      <c r="F6" s="3"/>
      <c r="G6" s="3"/>
      <c r="H6" s="3"/>
      <c r="I6" s="6" t="s">
        <v>17</v>
      </c>
      <c r="J6" s="7" t="str">
        <f>"*"</f>
        <v>*</v>
      </c>
      <c r="K6" s="3"/>
      <c r="Q6" s="14" t="s">
        <v>9</v>
      </c>
      <c r="R6" s="12">
        <f ca="1">TODAY()</f>
        <v>45475</v>
      </c>
    </row>
    <row r="7" spans="1:18" ht="17.25" x14ac:dyDescent="0.3">
      <c r="E7" s="3"/>
      <c r="F7" s="3"/>
      <c r="G7" s="3"/>
      <c r="H7" s="3"/>
      <c r="I7" s="6" t="s">
        <v>25</v>
      </c>
      <c r="J7" s="7" t="str">
        <f>"*"</f>
        <v>*</v>
      </c>
      <c r="K7" s="3"/>
      <c r="Q7" s="14"/>
      <c r="R7" s="12"/>
    </row>
    <row r="8" spans="1:18" ht="17.25" x14ac:dyDescent="0.3">
      <c r="E8" s="3"/>
      <c r="F8" s="3"/>
      <c r="G8" s="3"/>
      <c r="H8" s="3"/>
      <c r="I8" s="6" t="s">
        <v>30</v>
      </c>
      <c r="J8" s="7" t="str">
        <f>"*"</f>
        <v>*</v>
      </c>
      <c r="K8" s="3"/>
    </row>
    <row r="9" spans="1:18" ht="17.25" x14ac:dyDescent="0.3">
      <c r="E9" s="3"/>
      <c r="F9" s="3"/>
      <c r="G9" s="3"/>
      <c r="H9" s="3"/>
      <c r="I9" s="6" t="s">
        <v>18</v>
      </c>
      <c r="J9" s="6" t="b">
        <v>0</v>
      </c>
      <c r="K9" s="3"/>
    </row>
    <row r="10" spans="1:18" x14ac:dyDescent="0.3">
      <c r="I10" s="8"/>
      <c r="J10" s="1"/>
      <c r="K10" s="8"/>
      <c r="L10" s="18"/>
      <c r="N10" s="1"/>
      <c r="O10" s="1"/>
      <c r="P10" s="1"/>
      <c r="Q10" s="32"/>
    </row>
    <row r="11" spans="1:18" ht="17.25" x14ac:dyDescent="0.3">
      <c r="H11" s="9" t="str">
        <f>"""Business Central"",""CRONUS JetCorp USA"",""23"",""1"",""V100001"""</f>
        <v>"Business Central","CRONUS JetCorp USA","23","1","V100001"</v>
      </c>
      <c r="I11" s="21" t="str">
        <f>"V100001"</f>
        <v>V100001</v>
      </c>
      <c r="J11" s="28"/>
      <c r="K11" s="29"/>
      <c r="L11" s="30"/>
      <c r="M11" s="29"/>
      <c r="N11" s="29"/>
      <c r="O11" s="20"/>
      <c r="P11" s="31"/>
      <c r="Q11" s="34"/>
      <c r="R11" s="38"/>
    </row>
    <row r="12" spans="1:18" ht="17.25" x14ac:dyDescent="0.3">
      <c r="H12" s="1" t="str">
        <f>H11</f>
        <v>"Business Central","CRONUS JetCorp USA","23","1","V100001"</v>
      </c>
      <c r="I12" s="22" t="str">
        <f>"Greigner, Inc."</f>
        <v>Greigner, Inc.</v>
      </c>
      <c r="J12" s="11"/>
      <c r="K12" s="11"/>
      <c r="L12" s="11"/>
      <c r="M12" s="11"/>
      <c r="N12" s="11"/>
      <c r="O12" s="11"/>
      <c r="P12" s="11"/>
      <c r="Q12" s="35"/>
      <c r="R12" s="23"/>
    </row>
    <row r="13" spans="1:18" ht="17.25" x14ac:dyDescent="0.3">
      <c r="H13" s="1" t="str">
        <f>H12</f>
        <v>"Business Central","CRONUS JetCorp USA","23","1","V100001"</v>
      </c>
      <c r="I13" s="22" t="str">
        <f>"Mr. Michael Sean Ray"</f>
        <v>Mr. Michael Sean Ray</v>
      </c>
      <c r="J13" s="11"/>
      <c r="K13" s="11"/>
      <c r="L13" s="11"/>
      <c r="M13" s="11"/>
      <c r="N13" s="44" t="s">
        <v>22</v>
      </c>
      <c r="O13" s="44"/>
      <c r="P13" s="44"/>
      <c r="Q13" s="42" t="s">
        <v>23</v>
      </c>
      <c r="R13" s="43"/>
    </row>
    <row r="14" spans="1:18" x14ac:dyDescent="0.3">
      <c r="I14" s="45"/>
      <c r="J14" s="46"/>
      <c r="K14" s="40"/>
      <c r="L14" s="47"/>
      <c r="M14" s="40"/>
      <c r="N14" s="66"/>
      <c r="O14" s="67"/>
      <c r="P14" s="67" t="s">
        <v>20</v>
      </c>
      <c r="Q14" s="68"/>
      <c r="R14" s="69" t="s">
        <v>20</v>
      </c>
    </row>
    <row r="15" spans="1:18" x14ac:dyDescent="0.3">
      <c r="D15" s="1" t="s">
        <v>16</v>
      </c>
      <c r="E15" s="1" t="s">
        <v>32</v>
      </c>
      <c r="F15" s="1" t="s">
        <v>14</v>
      </c>
      <c r="G15" s="13" t="s">
        <v>14</v>
      </c>
      <c r="I15" s="48"/>
      <c r="J15" s="49" t="s">
        <v>7</v>
      </c>
      <c r="K15" s="49" t="s">
        <v>11</v>
      </c>
      <c r="L15" s="50" t="s">
        <v>2</v>
      </c>
      <c r="M15" s="50" t="s">
        <v>3</v>
      </c>
      <c r="N15" s="70" t="s">
        <v>21</v>
      </c>
      <c r="O15" s="71" t="s">
        <v>19</v>
      </c>
      <c r="P15" s="72" t="s">
        <v>16</v>
      </c>
      <c r="Q15" s="73" t="s">
        <v>12</v>
      </c>
      <c r="R15" s="74" t="s">
        <v>12</v>
      </c>
    </row>
    <row r="16" spans="1:18" x14ac:dyDescent="0.3">
      <c r="D16" s="1" t="str">
        <f>H16</f>
        <v>"Business Central","CRONUS JetCorp USA","25","1","235"</v>
      </c>
      <c r="E16" s="1" t="str">
        <f>I11</f>
        <v>V100001</v>
      </c>
      <c r="G16" s="1">
        <v>235</v>
      </c>
      <c r="H16" s="9" t="str">
        <f>"""Business Central"",""CRONUS JetCorp USA"",""25"",""1"",""235"""</f>
        <v>"Business Central","CRONUS JetCorp USA","25","1","235"</v>
      </c>
      <c r="I16" s="51"/>
      <c r="J16" s="52" t="str">
        <f>"Order PO102468"</f>
        <v>Order PO102468</v>
      </c>
      <c r="K16" s="52" t="str">
        <f>"PI_102467"</f>
        <v>PI_102467</v>
      </c>
      <c r="L16" s="53">
        <v>42735</v>
      </c>
      <c r="M16" s="53">
        <v>42705</v>
      </c>
      <c r="N16" s="57" t="str">
        <f>""</f>
        <v/>
      </c>
      <c r="O16" s="75">
        <v>0</v>
      </c>
      <c r="P16" s="76">
        <v>0</v>
      </c>
      <c r="Q16" s="77">
        <v>-68246.22</v>
      </c>
      <c r="R16" s="78">
        <v>0</v>
      </c>
    </row>
    <row r="17" spans="1:18" x14ac:dyDescent="0.3">
      <c r="B17" s="1" t="str">
        <f>IF(H17="","Hide","Show")</f>
        <v>Show</v>
      </c>
      <c r="D17" s="1" t="str">
        <f>D16</f>
        <v>"Business Central","CRONUS JetCorp USA","25","1","235"</v>
      </c>
      <c r="E17" s="1" t="str">
        <f>E16</f>
        <v>V100001</v>
      </c>
      <c r="F17" s="1">
        <v>235</v>
      </c>
      <c r="H17" s="9" t="str">
        <f>"""Business Central"",""CRONUS JetCorp USA"",""380"",""1"",""88"""</f>
        <v>"Business Central","CRONUS JetCorp USA","380","1","88"</v>
      </c>
      <c r="I17" s="48"/>
      <c r="J17" s="41" t="str">
        <f>"Payment"</f>
        <v>Payment</v>
      </c>
      <c r="K17" s="41" t="str">
        <f>"GP100306"</f>
        <v>GP100306</v>
      </c>
      <c r="L17" s="54"/>
      <c r="M17" s="54">
        <v>42400</v>
      </c>
      <c r="N17" s="57" t="str">
        <f>""</f>
        <v/>
      </c>
      <c r="O17" s="75">
        <v>0</v>
      </c>
      <c r="P17" s="76">
        <v>68246.22</v>
      </c>
      <c r="Q17" s="77">
        <v>68246.22</v>
      </c>
      <c r="R17" s="78">
        <v>0</v>
      </c>
    </row>
    <row r="18" spans="1:18" ht="9" customHeight="1" x14ac:dyDescent="0.3">
      <c r="I18" s="48"/>
      <c r="J18" s="41"/>
      <c r="K18" s="41"/>
      <c r="L18" s="54"/>
      <c r="M18" s="54"/>
      <c r="N18" s="61"/>
      <c r="O18" s="60"/>
      <c r="P18" s="58"/>
      <c r="Q18" s="59"/>
      <c r="R18" s="56"/>
    </row>
    <row r="19" spans="1:18" x14ac:dyDescent="0.3">
      <c r="A19" s="1" t="s">
        <v>78</v>
      </c>
      <c r="D19" s="1" t="str">
        <f t="shared" ref="D19:D82" si="0">H19</f>
        <v>"Business Central","CRONUS JetCorp USA","25","1","361"</v>
      </c>
      <c r="E19" s="1">
        <f t="shared" ref="E19" si="1">I14</f>
        <v>0</v>
      </c>
      <c r="G19" s="1">
        <v>361</v>
      </c>
      <c r="H19" s="9" t="str">
        <f>"""Business Central"",""CRONUS JetCorp USA"",""25"",""1"",""361"""</f>
        <v>"Business Central","CRONUS JetCorp USA","25","1","361"</v>
      </c>
      <c r="I19" s="51"/>
      <c r="J19" s="52" t="str">
        <f>"Order PO102471"</f>
        <v>Order PO102471</v>
      </c>
      <c r="K19" s="52" t="str">
        <f>"PI_102470"</f>
        <v>PI_102470</v>
      </c>
      <c r="L19" s="53">
        <v>42735</v>
      </c>
      <c r="M19" s="53">
        <v>42705</v>
      </c>
      <c r="N19" s="57" t="str">
        <f>""</f>
        <v/>
      </c>
      <c r="O19" s="75">
        <v>0</v>
      </c>
      <c r="P19" s="76">
        <v>0</v>
      </c>
      <c r="Q19" s="77">
        <v>-68246.22</v>
      </c>
      <c r="R19" s="78">
        <v>0</v>
      </c>
    </row>
    <row r="20" spans="1:18" x14ac:dyDescent="0.3">
      <c r="A20" s="1" t="s">
        <v>78</v>
      </c>
      <c r="B20" s="1" t="str">
        <f t="shared" ref="B20" si="2">IF(H20="","Hide","Show")</f>
        <v>Show</v>
      </c>
      <c r="D20" s="1" t="str">
        <f t="shared" ref="D20:D83" si="3">D19</f>
        <v>"Business Central","CRONUS JetCorp USA","25","1","361"</v>
      </c>
      <c r="E20" s="1">
        <f t="shared" ref="E20:E83" si="4">E19</f>
        <v>0</v>
      </c>
      <c r="F20" s="1">
        <v>361</v>
      </c>
      <c r="H20" s="9" t="str">
        <f>"""Business Central"",""CRONUS JetCorp USA"",""380"",""1"",""90"""</f>
        <v>"Business Central","CRONUS JetCorp USA","380","1","90"</v>
      </c>
      <c r="I20" s="48"/>
      <c r="J20" s="41" t="str">
        <f>"Payment"</f>
        <v>Payment</v>
      </c>
      <c r="K20" s="41" t="str">
        <f>"GP100306"</f>
        <v>GP100306</v>
      </c>
      <c r="L20" s="54"/>
      <c r="M20" s="54">
        <v>42400</v>
      </c>
      <c r="N20" s="57" t="str">
        <f>""</f>
        <v/>
      </c>
      <c r="O20" s="75">
        <v>0</v>
      </c>
      <c r="P20" s="76">
        <v>68246.22</v>
      </c>
      <c r="Q20" s="77">
        <v>68246.22</v>
      </c>
      <c r="R20" s="78">
        <v>0</v>
      </c>
    </row>
    <row r="21" spans="1:18" ht="9" customHeight="1" x14ac:dyDescent="0.3">
      <c r="A21" s="1" t="s">
        <v>78</v>
      </c>
      <c r="I21" s="48"/>
      <c r="J21" s="41"/>
      <c r="K21" s="41"/>
      <c r="L21" s="54"/>
      <c r="M21" s="54"/>
      <c r="N21" s="61"/>
      <c r="O21" s="60"/>
      <c r="P21" s="58"/>
      <c r="Q21" s="59"/>
      <c r="R21" s="56"/>
    </row>
    <row r="22" spans="1:18" x14ac:dyDescent="0.3">
      <c r="A22" s="1" t="s">
        <v>78</v>
      </c>
      <c r="D22" s="1" t="str">
        <f t="shared" ref="D22:D85" si="5">H22</f>
        <v>"Business Central","CRONUS JetCorp USA","25","1","445"</v>
      </c>
      <c r="E22" s="1">
        <f t="shared" ref="E22" si="6">I17</f>
        <v>0</v>
      </c>
      <c r="G22" s="1">
        <v>445</v>
      </c>
      <c r="H22" s="9" t="str">
        <f>"""Business Central"",""CRONUS JetCorp USA"",""25"",""1"",""445"""</f>
        <v>"Business Central","CRONUS JetCorp USA","25","1","445"</v>
      </c>
      <c r="I22" s="51"/>
      <c r="J22" s="52" t="str">
        <f>"Order PO102473"</f>
        <v>Order PO102473</v>
      </c>
      <c r="K22" s="52" t="str">
        <f>"PI_102472"</f>
        <v>PI_102472</v>
      </c>
      <c r="L22" s="53">
        <v>42735</v>
      </c>
      <c r="M22" s="53">
        <v>42705</v>
      </c>
      <c r="N22" s="57" t="str">
        <f>""</f>
        <v/>
      </c>
      <c r="O22" s="75">
        <v>0</v>
      </c>
      <c r="P22" s="76">
        <v>0</v>
      </c>
      <c r="Q22" s="77">
        <v>-68246.22</v>
      </c>
      <c r="R22" s="78">
        <v>0</v>
      </c>
    </row>
    <row r="23" spans="1:18" x14ac:dyDescent="0.3">
      <c r="A23" s="1" t="s">
        <v>78</v>
      </c>
      <c r="B23" s="1" t="str">
        <f t="shared" ref="B23" si="7">IF(H23="","Hide","Show")</f>
        <v>Show</v>
      </c>
      <c r="D23" s="1" t="str">
        <f t="shared" ref="D23:D86" si="8">D22</f>
        <v>"Business Central","CRONUS JetCorp USA","25","1","445"</v>
      </c>
      <c r="E23" s="1">
        <f t="shared" ref="E23:E86" si="9">E22</f>
        <v>0</v>
      </c>
      <c r="F23" s="1">
        <v>445</v>
      </c>
      <c r="H23" s="9" t="str">
        <f>"""Business Central"",""CRONUS JetCorp USA"",""380"",""1"",""91"""</f>
        <v>"Business Central","CRONUS JetCorp USA","380","1","91"</v>
      </c>
      <c r="I23" s="48"/>
      <c r="J23" s="41" t="str">
        <f>"Payment"</f>
        <v>Payment</v>
      </c>
      <c r="K23" s="41" t="str">
        <f>"GP100306"</f>
        <v>GP100306</v>
      </c>
      <c r="L23" s="54"/>
      <c r="M23" s="54">
        <v>42400</v>
      </c>
      <c r="N23" s="57" t="str">
        <f>""</f>
        <v/>
      </c>
      <c r="O23" s="75">
        <v>0</v>
      </c>
      <c r="P23" s="76">
        <v>68246.22</v>
      </c>
      <c r="Q23" s="77">
        <v>68246.22</v>
      </c>
      <c r="R23" s="78">
        <v>0</v>
      </c>
    </row>
    <row r="24" spans="1:18" ht="9" customHeight="1" x14ac:dyDescent="0.3">
      <c r="A24" s="1" t="s">
        <v>78</v>
      </c>
      <c r="I24" s="48"/>
      <c r="J24" s="41"/>
      <c r="K24" s="41"/>
      <c r="L24" s="54"/>
      <c r="M24" s="54"/>
      <c r="N24" s="61"/>
      <c r="O24" s="60"/>
      <c r="P24" s="58"/>
      <c r="Q24" s="59"/>
      <c r="R24" s="56"/>
    </row>
    <row r="25" spans="1:18" x14ac:dyDescent="0.3">
      <c r="A25" s="1" t="s">
        <v>78</v>
      </c>
      <c r="D25" s="1" t="str">
        <f t="shared" ref="D25:D88" si="10">H25</f>
        <v>"Business Central","CRONUS JetCorp USA","25","1","487"</v>
      </c>
      <c r="E25" s="1">
        <f t="shared" ref="E25" si="11">I20</f>
        <v>0</v>
      </c>
      <c r="G25" s="1">
        <v>487</v>
      </c>
      <c r="H25" s="9" t="str">
        <f>"""Business Central"",""CRONUS JetCorp USA"",""25"",""1"",""487"""</f>
        <v>"Business Central","CRONUS JetCorp USA","25","1","487"</v>
      </c>
      <c r="I25" s="51"/>
      <c r="J25" s="52" t="str">
        <f>"Order PO102474"</f>
        <v>Order PO102474</v>
      </c>
      <c r="K25" s="52" t="str">
        <f>"PI_102473"</f>
        <v>PI_102473</v>
      </c>
      <c r="L25" s="53">
        <v>42735</v>
      </c>
      <c r="M25" s="53">
        <v>42705</v>
      </c>
      <c r="N25" s="57" t="str">
        <f>""</f>
        <v/>
      </c>
      <c r="O25" s="75">
        <v>0</v>
      </c>
      <c r="P25" s="76">
        <v>0</v>
      </c>
      <c r="Q25" s="77">
        <v>-68246.22</v>
      </c>
      <c r="R25" s="78">
        <v>0</v>
      </c>
    </row>
    <row r="26" spans="1:18" x14ac:dyDescent="0.3">
      <c r="A26" s="1" t="s">
        <v>78</v>
      </c>
      <c r="B26" s="1" t="str">
        <f t="shared" ref="B26" si="12">IF(H26="","Hide","Show")</f>
        <v>Show</v>
      </c>
      <c r="D26" s="1" t="str">
        <f t="shared" ref="D26:D57" si="13">D25</f>
        <v>"Business Central","CRONUS JetCorp USA","25","1","487"</v>
      </c>
      <c r="E26" s="1">
        <f t="shared" ref="E26:E57" si="14">E25</f>
        <v>0</v>
      </c>
      <c r="F26" s="1">
        <v>487</v>
      </c>
      <c r="H26" s="9" t="str">
        <f>"""Business Central"",""CRONUS JetCorp USA"",""380"",""1"",""92"""</f>
        <v>"Business Central","CRONUS JetCorp USA","380","1","92"</v>
      </c>
      <c r="I26" s="48"/>
      <c r="J26" s="41" t="str">
        <f>"Payment"</f>
        <v>Payment</v>
      </c>
      <c r="K26" s="41" t="str">
        <f>"GP100306"</f>
        <v>GP100306</v>
      </c>
      <c r="L26" s="54"/>
      <c r="M26" s="54">
        <v>42400</v>
      </c>
      <c r="N26" s="57" t="str">
        <f>""</f>
        <v/>
      </c>
      <c r="O26" s="75">
        <v>0</v>
      </c>
      <c r="P26" s="76">
        <v>68246.22</v>
      </c>
      <c r="Q26" s="77">
        <v>68246.22</v>
      </c>
      <c r="R26" s="78">
        <v>0</v>
      </c>
    </row>
    <row r="27" spans="1:18" ht="9" customHeight="1" x14ac:dyDescent="0.3">
      <c r="A27" s="1" t="s">
        <v>78</v>
      </c>
      <c r="I27" s="48"/>
      <c r="J27" s="41"/>
      <c r="K27" s="41"/>
      <c r="L27" s="54"/>
      <c r="M27" s="54"/>
      <c r="N27" s="61"/>
      <c r="O27" s="60"/>
      <c r="P27" s="58"/>
      <c r="Q27" s="59"/>
      <c r="R27" s="56"/>
    </row>
    <row r="28" spans="1:18" x14ac:dyDescent="0.3">
      <c r="A28" s="1" t="s">
        <v>78</v>
      </c>
      <c r="D28" s="1" t="str">
        <f t="shared" ref="D28:D59" si="15">H28</f>
        <v>"Business Central","CRONUS JetCorp USA","25","1","613"</v>
      </c>
      <c r="E28" s="1">
        <f t="shared" ref="E28" si="16">I23</f>
        <v>0</v>
      </c>
      <c r="G28" s="1">
        <v>613</v>
      </c>
      <c r="H28" s="9" t="str">
        <f>"""Business Central"",""CRONUS JetCorp USA"",""25"",""1"",""613"""</f>
        <v>"Business Central","CRONUS JetCorp USA","25","1","613"</v>
      </c>
      <c r="I28" s="51"/>
      <c r="J28" s="52" t="str">
        <f>"Order PO102477"</f>
        <v>Order PO102477</v>
      </c>
      <c r="K28" s="52" t="str">
        <f>"PI_102476"</f>
        <v>PI_102476</v>
      </c>
      <c r="L28" s="53">
        <v>42735</v>
      </c>
      <c r="M28" s="53">
        <v>42705</v>
      </c>
      <c r="N28" s="57" t="str">
        <f>""</f>
        <v/>
      </c>
      <c r="O28" s="75">
        <v>0</v>
      </c>
      <c r="P28" s="76">
        <v>0</v>
      </c>
      <c r="Q28" s="77">
        <v>-124655.99999999999</v>
      </c>
      <c r="R28" s="78">
        <v>0</v>
      </c>
    </row>
    <row r="29" spans="1:18" x14ac:dyDescent="0.3">
      <c r="A29" s="1" t="s">
        <v>78</v>
      </c>
      <c r="B29" s="1" t="str">
        <f t="shared" ref="B29" si="17">IF(H29="","Hide","Show")</f>
        <v>Show</v>
      </c>
      <c r="D29" s="1" t="str">
        <f t="shared" ref="D29:D60" si="18">D28</f>
        <v>"Business Central","CRONUS JetCorp USA","25","1","613"</v>
      </c>
      <c r="E29" s="1">
        <f t="shared" ref="E29:E60" si="19">E28</f>
        <v>0</v>
      </c>
      <c r="F29" s="1">
        <v>613</v>
      </c>
      <c r="H29" s="9" t="str">
        <f>"""Business Central"",""CRONUS JetCorp USA"",""380"",""1"",""93"""</f>
        <v>"Business Central","CRONUS JetCorp USA","380","1","93"</v>
      </c>
      <c r="I29" s="48"/>
      <c r="J29" s="41" t="str">
        <f>"Payment"</f>
        <v>Payment</v>
      </c>
      <c r="K29" s="41" t="str">
        <f>"GP100306"</f>
        <v>GP100306</v>
      </c>
      <c r="L29" s="54"/>
      <c r="M29" s="54">
        <v>42400</v>
      </c>
      <c r="N29" s="57" t="str">
        <f>""</f>
        <v/>
      </c>
      <c r="O29" s="75">
        <v>0</v>
      </c>
      <c r="P29" s="76">
        <v>124655.99999999999</v>
      </c>
      <c r="Q29" s="77">
        <v>124655.99999999999</v>
      </c>
      <c r="R29" s="78">
        <v>0</v>
      </c>
    </row>
    <row r="30" spans="1:18" ht="9" customHeight="1" x14ac:dyDescent="0.3">
      <c r="A30" s="1" t="s">
        <v>78</v>
      </c>
      <c r="I30" s="48"/>
      <c r="J30" s="41"/>
      <c r="K30" s="41"/>
      <c r="L30" s="54"/>
      <c r="M30" s="54"/>
      <c r="N30" s="61"/>
      <c r="O30" s="60"/>
      <c r="P30" s="58"/>
      <c r="Q30" s="59"/>
      <c r="R30" s="56"/>
    </row>
    <row r="31" spans="1:18" x14ac:dyDescent="0.3">
      <c r="A31" s="1" t="s">
        <v>78</v>
      </c>
      <c r="D31" s="1" t="str">
        <f t="shared" ref="D31:D62" si="20">H31</f>
        <v>"Business Central","CRONUS JetCorp USA","25","1","697"</v>
      </c>
      <c r="E31" s="1">
        <f t="shared" ref="E31" si="21">I26</f>
        <v>0</v>
      </c>
      <c r="G31" s="1">
        <v>697</v>
      </c>
      <c r="H31" s="9" t="str">
        <f>"""Business Central"",""CRONUS JetCorp USA"",""25"",""1"",""697"""</f>
        <v>"Business Central","CRONUS JetCorp USA","25","1","697"</v>
      </c>
      <c r="I31" s="51"/>
      <c r="J31" s="52" t="str">
        <f>"Order PO102479"</f>
        <v>Order PO102479</v>
      </c>
      <c r="K31" s="52" t="str">
        <f>"PI_102478"</f>
        <v>PI_102478</v>
      </c>
      <c r="L31" s="53">
        <v>42735</v>
      </c>
      <c r="M31" s="53">
        <v>42705</v>
      </c>
      <c r="N31" s="57" t="str">
        <f>""</f>
        <v/>
      </c>
      <c r="O31" s="75">
        <v>0</v>
      </c>
      <c r="P31" s="76">
        <v>0</v>
      </c>
      <c r="Q31" s="77">
        <v>-124655.99999999999</v>
      </c>
      <c r="R31" s="78">
        <v>0</v>
      </c>
    </row>
    <row r="32" spans="1:18" x14ac:dyDescent="0.3">
      <c r="A32" s="1" t="s">
        <v>78</v>
      </c>
      <c r="B32" s="1" t="str">
        <f t="shared" ref="B32" si="22">IF(H32="","Hide","Show")</f>
        <v>Show</v>
      </c>
      <c r="D32" s="1" t="str">
        <f t="shared" ref="D32:D63" si="23">D31</f>
        <v>"Business Central","CRONUS JetCorp USA","25","1","697"</v>
      </c>
      <c r="E32" s="1">
        <f t="shared" ref="E32:E63" si="24">E31</f>
        <v>0</v>
      </c>
      <c r="F32" s="1">
        <v>697</v>
      </c>
      <c r="H32" s="9" t="str">
        <f>"""Business Central"",""CRONUS JetCorp USA"",""380"",""1"",""94"""</f>
        <v>"Business Central","CRONUS JetCorp USA","380","1","94"</v>
      </c>
      <c r="I32" s="48"/>
      <c r="J32" s="41" t="str">
        <f>"Payment"</f>
        <v>Payment</v>
      </c>
      <c r="K32" s="41" t="str">
        <f>"GP100306"</f>
        <v>GP100306</v>
      </c>
      <c r="L32" s="54"/>
      <c r="M32" s="54">
        <v>42400</v>
      </c>
      <c r="N32" s="57" t="str">
        <f>""</f>
        <v/>
      </c>
      <c r="O32" s="75">
        <v>0</v>
      </c>
      <c r="P32" s="76">
        <v>124655.99999999999</v>
      </c>
      <c r="Q32" s="77">
        <v>124655.99999999999</v>
      </c>
      <c r="R32" s="78">
        <v>0</v>
      </c>
    </row>
    <row r="33" spans="1:18" ht="9" customHeight="1" x14ac:dyDescent="0.3">
      <c r="A33" s="1" t="s">
        <v>78</v>
      </c>
      <c r="I33" s="48"/>
      <c r="J33" s="41"/>
      <c r="K33" s="41"/>
      <c r="L33" s="54"/>
      <c r="M33" s="54"/>
      <c r="N33" s="61"/>
      <c r="O33" s="60"/>
      <c r="P33" s="58"/>
      <c r="Q33" s="59"/>
      <c r="R33" s="56"/>
    </row>
    <row r="34" spans="1:18" x14ac:dyDescent="0.3">
      <c r="A34" s="1" t="s">
        <v>78</v>
      </c>
      <c r="D34" s="1" t="str">
        <f t="shared" ref="D34:D65" si="25">H34</f>
        <v>"Business Central","CRONUS JetCorp USA","25","1","781"</v>
      </c>
      <c r="E34" s="1">
        <f t="shared" ref="E34" si="26">I29</f>
        <v>0</v>
      </c>
      <c r="G34" s="1">
        <v>781</v>
      </c>
      <c r="H34" s="9" t="str">
        <f>"""Business Central"",""CRONUS JetCorp USA"",""25"",""1"",""781"""</f>
        <v>"Business Central","CRONUS JetCorp USA","25","1","781"</v>
      </c>
      <c r="I34" s="51"/>
      <c r="J34" s="52" t="str">
        <f>"Order PO102481"</f>
        <v>Order PO102481</v>
      </c>
      <c r="K34" s="52" t="str">
        <f>"PI_102480"</f>
        <v>PI_102480</v>
      </c>
      <c r="L34" s="53">
        <v>42735</v>
      </c>
      <c r="M34" s="53">
        <v>42705</v>
      </c>
      <c r="N34" s="57" t="str">
        <f>""</f>
        <v/>
      </c>
      <c r="O34" s="75">
        <v>0</v>
      </c>
      <c r="P34" s="76">
        <v>0</v>
      </c>
      <c r="Q34" s="77">
        <v>-124655.99999999999</v>
      </c>
      <c r="R34" s="78">
        <v>0</v>
      </c>
    </row>
    <row r="35" spans="1:18" x14ac:dyDescent="0.3">
      <c r="A35" s="1" t="s">
        <v>78</v>
      </c>
      <c r="B35" s="1" t="str">
        <f t="shared" ref="B35" si="27">IF(H35="","Hide","Show")</f>
        <v>Show</v>
      </c>
      <c r="D35" s="1" t="str">
        <f t="shared" ref="D35:D66" si="28">D34</f>
        <v>"Business Central","CRONUS JetCorp USA","25","1","781"</v>
      </c>
      <c r="E35" s="1">
        <f t="shared" ref="E35:E66" si="29">E34</f>
        <v>0</v>
      </c>
      <c r="F35" s="1">
        <v>781</v>
      </c>
      <c r="H35" s="9" t="str">
        <f>"""Business Central"",""CRONUS JetCorp USA"",""380"",""1"",""95"""</f>
        <v>"Business Central","CRONUS JetCorp USA","380","1","95"</v>
      </c>
      <c r="I35" s="48"/>
      <c r="J35" s="41" t="str">
        <f>"Payment"</f>
        <v>Payment</v>
      </c>
      <c r="K35" s="41" t="str">
        <f>"GP100306"</f>
        <v>GP100306</v>
      </c>
      <c r="L35" s="54"/>
      <c r="M35" s="54">
        <v>42400</v>
      </c>
      <c r="N35" s="57" t="str">
        <f>""</f>
        <v/>
      </c>
      <c r="O35" s="75">
        <v>0</v>
      </c>
      <c r="P35" s="76">
        <v>124655.99999999999</v>
      </c>
      <c r="Q35" s="77">
        <v>124655.99999999999</v>
      </c>
      <c r="R35" s="78">
        <v>0</v>
      </c>
    </row>
    <row r="36" spans="1:18" ht="9" customHeight="1" x14ac:dyDescent="0.3">
      <c r="A36" s="1" t="s">
        <v>78</v>
      </c>
      <c r="I36" s="48"/>
      <c r="J36" s="41"/>
      <c r="K36" s="41"/>
      <c r="L36" s="54"/>
      <c r="M36" s="54"/>
      <c r="N36" s="61"/>
      <c r="O36" s="60"/>
      <c r="P36" s="58"/>
      <c r="Q36" s="59"/>
      <c r="R36" s="56"/>
    </row>
    <row r="37" spans="1:18" x14ac:dyDescent="0.3">
      <c r="A37" s="1" t="s">
        <v>78</v>
      </c>
      <c r="D37" s="1" t="str">
        <f t="shared" ref="D37:D68" si="30">H37</f>
        <v>"Business Central","CRONUS JetCorp USA","25","1","865"</v>
      </c>
      <c r="E37" s="1">
        <f t="shared" ref="E37" si="31">I32</f>
        <v>0</v>
      </c>
      <c r="G37" s="1">
        <v>865</v>
      </c>
      <c r="H37" s="9" t="str">
        <f>"""Business Central"",""CRONUS JetCorp USA"",""25"",""1"",""865"""</f>
        <v>"Business Central","CRONUS JetCorp USA","25","1","865"</v>
      </c>
      <c r="I37" s="51"/>
      <c r="J37" s="52" t="str">
        <f>"Order PO102483"</f>
        <v>Order PO102483</v>
      </c>
      <c r="K37" s="52" t="str">
        <f>"PI_102482"</f>
        <v>PI_102482</v>
      </c>
      <c r="L37" s="53">
        <v>42735</v>
      </c>
      <c r="M37" s="53">
        <v>42705</v>
      </c>
      <c r="N37" s="57" t="str">
        <f>""</f>
        <v/>
      </c>
      <c r="O37" s="75">
        <v>0</v>
      </c>
      <c r="P37" s="76">
        <v>0</v>
      </c>
      <c r="Q37" s="77">
        <v>-124655.99999999999</v>
      </c>
      <c r="R37" s="78">
        <v>0</v>
      </c>
    </row>
    <row r="38" spans="1:18" x14ac:dyDescent="0.3">
      <c r="A38" s="1" t="s">
        <v>78</v>
      </c>
      <c r="B38" s="1" t="str">
        <f t="shared" ref="B38" si="32">IF(H38="","Hide","Show")</f>
        <v>Show</v>
      </c>
      <c r="D38" s="1" t="str">
        <f t="shared" ref="D38:D69" si="33">D37</f>
        <v>"Business Central","CRONUS JetCorp USA","25","1","865"</v>
      </c>
      <c r="E38" s="1">
        <f t="shared" ref="E38:E69" si="34">E37</f>
        <v>0</v>
      </c>
      <c r="F38" s="1">
        <v>865</v>
      </c>
      <c r="H38" s="9" t="str">
        <f>"""Business Central"",""CRONUS JetCorp USA"",""380"",""1"",""96"""</f>
        <v>"Business Central","CRONUS JetCorp USA","380","1","96"</v>
      </c>
      <c r="I38" s="48"/>
      <c r="J38" s="41" t="str">
        <f>"Payment"</f>
        <v>Payment</v>
      </c>
      <c r="K38" s="41" t="str">
        <f>"GP100306"</f>
        <v>GP100306</v>
      </c>
      <c r="L38" s="54"/>
      <c r="M38" s="54">
        <v>42400</v>
      </c>
      <c r="N38" s="57" t="str">
        <f>""</f>
        <v/>
      </c>
      <c r="O38" s="75">
        <v>0</v>
      </c>
      <c r="P38" s="76">
        <v>124655.99999999999</v>
      </c>
      <c r="Q38" s="77">
        <v>124655.99999999999</v>
      </c>
      <c r="R38" s="78">
        <v>0</v>
      </c>
    </row>
    <row r="39" spans="1:18" ht="9" customHeight="1" x14ac:dyDescent="0.3">
      <c r="A39" s="1" t="s">
        <v>78</v>
      </c>
      <c r="I39" s="48"/>
      <c r="J39" s="41"/>
      <c r="K39" s="41"/>
      <c r="L39" s="54"/>
      <c r="M39" s="54"/>
      <c r="N39" s="61"/>
      <c r="O39" s="60"/>
      <c r="P39" s="58"/>
      <c r="Q39" s="59"/>
      <c r="R39" s="56"/>
    </row>
    <row r="40" spans="1:18" x14ac:dyDescent="0.3">
      <c r="A40" s="1" t="s">
        <v>78</v>
      </c>
      <c r="D40" s="1" t="str">
        <f t="shared" ref="D40:D71" si="35">H40</f>
        <v>"Business Central","CRONUS JetCorp USA","25","1","907"</v>
      </c>
      <c r="E40" s="1">
        <f t="shared" ref="E40" si="36">I35</f>
        <v>0</v>
      </c>
      <c r="G40" s="1">
        <v>907</v>
      </c>
      <c r="H40" s="9" t="str">
        <f>"""Business Central"",""CRONUS JetCorp USA"",""25"",""1"",""907"""</f>
        <v>"Business Central","CRONUS JetCorp USA","25","1","907"</v>
      </c>
      <c r="I40" s="51"/>
      <c r="J40" s="52" t="str">
        <f>"Order PO102484"</f>
        <v>Order PO102484</v>
      </c>
      <c r="K40" s="52" t="str">
        <f>"PI_102483"</f>
        <v>PI_102483</v>
      </c>
      <c r="L40" s="53">
        <v>42735</v>
      </c>
      <c r="M40" s="53">
        <v>42705</v>
      </c>
      <c r="N40" s="57" t="str">
        <f>""</f>
        <v/>
      </c>
      <c r="O40" s="75">
        <v>0</v>
      </c>
      <c r="P40" s="76">
        <v>0</v>
      </c>
      <c r="Q40" s="77">
        <v>-124655.99999999999</v>
      </c>
      <c r="R40" s="78">
        <v>0</v>
      </c>
    </row>
    <row r="41" spans="1:18" x14ac:dyDescent="0.3">
      <c r="A41" s="1" t="s">
        <v>78</v>
      </c>
      <c r="B41" s="1" t="str">
        <f t="shared" ref="B41" si="37">IF(H41="","Hide","Show")</f>
        <v>Show</v>
      </c>
      <c r="D41" s="1" t="str">
        <f t="shared" ref="D41:D72" si="38">D40</f>
        <v>"Business Central","CRONUS JetCorp USA","25","1","907"</v>
      </c>
      <c r="E41" s="1">
        <f t="shared" ref="E41:E72" si="39">E40</f>
        <v>0</v>
      </c>
      <c r="F41" s="1">
        <v>907</v>
      </c>
      <c r="H41" s="9" t="str">
        <f>"""Business Central"",""CRONUS JetCorp USA"",""380"",""1"",""97"""</f>
        <v>"Business Central","CRONUS JetCorp USA","380","1","97"</v>
      </c>
      <c r="I41" s="48"/>
      <c r="J41" s="41" t="str">
        <f>"Payment"</f>
        <v>Payment</v>
      </c>
      <c r="K41" s="41" t="str">
        <f>"GP100306"</f>
        <v>GP100306</v>
      </c>
      <c r="L41" s="54"/>
      <c r="M41" s="54">
        <v>42400</v>
      </c>
      <c r="N41" s="57" t="str">
        <f>""</f>
        <v/>
      </c>
      <c r="O41" s="75">
        <v>0</v>
      </c>
      <c r="P41" s="76">
        <v>124655.99999999999</v>
      </c>
      <c r="Q41" s="77">
        <v>124655.99999999999</v>
      </c>
      <c r="R41" s="78">
        <v>0</v>
      </c>
    </row>
    <row r="42" spans="1:18" ht="9" customHeight="1" x14ac:dyDescent="0.3">
      <c r="A42" s="1" t="s">
        <v>78</v>
      </c>
      <c r="I42" s="48"/>
      <c r="J42" s="41"/>
      <c r="K42" s="41"/>
      <c r="L42" s="54"/>
      <c r="M42" s="54"/>
      <c r="N42" s="61"/>
      <c r="O42" s="60"/>
      <c r="P42" s="58"/>
      <c r="Q42" s="59"/>
      <c r="R42" s="56"/>
    </row>
    <row r="43" spans="1:18" x14ac:dyDescent="0.3">
      <c r="A43" s="1" t="s">
        <v>78</v>
      </c>
      <c r="D43" s="1" t="str">
        <f t="shared" ref="D43:D74" si="40">H43</f>
        <v>"Business Central","CRONUS JetCorp USA","25","1","1033"</v>
      </c>
      <c r="E43" s="1">
        <f t="shared" ref="E43" si="41">I38</f>
        <v>0</v>
      </c>
      <c r="G43" s="1">
        <v>1033</v>
      </c>
      <c r="H43" s="9" t="str">
        <f>"""Business Central"",""CRONUS JetCorp USA"",""25"",""1"",""1033"""</f>
        <v>"Business Central","CRONUS JetCorp USA","25","1","1033"</v>
      </c>
      <c r="I43" s="51"/>
      <c r="J43" s="52" t="str">
        <f>"Order PO102487"</f>
        <v>Order PO102487</v>
      </c>
      <c r="K43" s="52" t="str">
        <f>"PI_102486"</f>
        <v>PI_102486</v>
      </c>
      <c r="L43" s="53">
        <v>42735</v>
      </c>
      <c r="M43" s="53">
        <v>42705</v>
      </c>
      <c r="N43" s="57" t="str">
        <f>""</f>
        <v/>
      </c>
      <c r="O43" s="75">
        <v>0</v>
      </c>
      <c r="P43" s="76">
        <v>0</v>
      </c>
      <c r="Q43" s="77">
        <v>-28375.899999999998</v>
      </c>
      <c r="R43" s="78">
        <v>0</v>
      </c>
    </row>
    <row r="44" spans="1:18" x14ac:dyDescent="0.3">
      <c r="A44" s="1" t="s">
        <v>78</v>
      </c>
      <c r="B44" s="1" t="str">
        <f t="shared" ref="B44" si="42">IF(H44="","Hide","Show")</f>
        <v>Show</v>
      </c>
      <c r="D44" s="1" t="str">
        <f t="shared" ref="D44:D75" si="43">D43</f>
        <v>"Business Central","CRONUS JetCorp USA","25","1","1033"</v>
      </c>
      <c r="E44" s="1">
        <f t="shared" ref="E44:E75" si="44">E43</f>
        <v>0</v>
      </c>
      <c r="F44" s="1">
        <v>1033</v>
      </c>
      <c r="H44" s="9" t="str">
        <f>"""Business Central"",""CRONUS JetCorp USA"",""380"",""1"",""98"""</f>
        <v>"Business Central","CRONUS JetCorp USA","380","1","98"</v>
      </c>
      <c r="I44" s="48"/>
      <c r="J44" s="41" t="str">
        <f>"Payment"</f>
        <v>Payment</v>
      </c>
      <c r="K44" s="41" t="str">
        <f>"GP100306"</f>
        <v>GP100306</v>
      </c>
      <c r="L44" s="54"/>
      <c r="M44" s="54">
        <v>42400</v>
      </c>
      <c r="N44" s="57" t="str">
        <f>""</f>
        <v/>
      </c>
      <c r="O44" s="75">
        <v>0</v>
      </c>
      <c r="P44" s="76">
        <v>28375.899999999998</v>
      </c>
      <c r="Q44" s="77">
        <v>28375.899999999998</v>
      </c>
      <c r="R44" s="78">
        <v>0</v>
      </c>
    </row>
    <row r="45" spans="1:18" ht="9" customHeight="1" x14ac:dyDescent="0.3">
      <c r="A45" s="1" t="s">
        <v>78</v>
      </c>
      <c r="I45" s="48"/>
      <c r="J45" s="41"/>
      <c r="K45" s="41"/>
      <c r="L45" s="54"/>
      <c r="M45" s="54"/>
      <c r="N45" s="61"/>
      <c r="O45" s="60"/>
      <c r="P45" s="58"/>
      <c r="Q45" s="59"/>
      <c r="R45" s="56"/>
    </row>
    <row r="46" spans="1:18" x14ac:dyDescent="0.3">
      <c r="A46" s="1" t="s">
        <v>78</v>
      </c>
      <c r="D46" s="1" t="str">
        <f t="shared" ref="D46:D77" si="45">H46</f>
        <v>"Business Central","CRONUS JetCorp USA","25","1","1117"</v>
      </c>
      <c r="E46" s="1">
        <f t="shared" ref="E46" si="46">I41</f>
        <v>0</v>
      </c>
      <c r="G46" s="1">
        <v>1117</v>
      </c>
      <c r="H46" s="9" t="str">
        <f>"""Business Central"",""CRONUS JetCorp USA"",""25"",""1"",""1117"""</f>
        <v>"Business Central","CRONUS JetCorp USA","25","1","1117"</v>
      </c>
      <c r="I46" s="51"/>
      <c r="J46" s="52" t="str">
        <f>"Order PO102489"</f>
        <v>Order PO102489</v>
      </c>
      <c r="K46" s="52" t="str">
        <f>"PI_102488"</f>
        <v>PI_102488</v>
      </c>
      <c r="L46" s="53">
        <v>42735</v>
      </c>
      <c r="M46" s="53">
        <v>42705</v>
      </c>
      <c r="N46" s="57" t="str">
        <f>""</f>
        <v/>
      </c>
      <c r="O46" s="75">
        <v>0</v>
      </c>
      <c r="P46" s="76">
        <v>0</v>
      </c>
      <c r="Q46" s="77">
        <v>-28375.899999999998</v>
      </c>
      <c r="R46" s="78">
        <v>0</v>
      </c>
    </row>
    <row r="47" spans="1:18" x14ac:dyDescent="0.3">
      <c r="A47" s="1" t="s">
        <v>78</v>
      </c>
      <c r="B47" s="1" t="str">
        <f t="shared" ref="B47" si="47">IF(H47="","Hide","Show")</f>
        <v>Show</v>
      </c>
      <c r="D47" s="1" t="str">
        <f t="shared" ref="D47:D78" si="48">D46</f>
        <v>"Business Central","CRONUS JetCorp USA","25","1","1117"</v>
      </c>
      <c r="E47" s="1">
        <f t="shared" ref="E47:E78" si="49">E46</f>
        <v>0</v>
      </c>
      <c r="F47" s="1">
        <v>1117</v>
      </c>
      <c r="H47" s="9" t="str">
        <f>"""Business Central"",""CRONUS JetCorp USA"",""380"",""1"",""99"""</f>
        <v>"Business Central","CRONUS JetCorp USA","380","1","99"</v>
      </c>
      <c r="I47" s="48"/>
      <c r="J47" s="41" t="str">
        <f>"Payment"</f>
        <v>Payment</v>
      </c>
      <c r="K47" s="41" t="str">
        <f>"GP100306"</f>
        <v>GP100306</v>
      </c>
      <c r="L47" s="54"/>
      <c r="M47" s="54">
        <v>42400</v>
      </c>
      <c r="N47" s="57" t="str">
        <f>""</f>
        <v/>
      </c>
      <c r="O47" s="75">
        <v>0</v>
      </c>
      <c r="P47" s="76">
        <v>28375.899999999998</v>
      </c>
      <c r="Q47" s="77">
        <v>28375.899999999998</v>
      </c>
      <c r="R47" s="78">
        <v>0</v>
      </c>
    </row>
    <row r="48" spans="1:18" ht="9" customHeight="1" x14ac:dyDescent="0.3">
      <c r="A48" s="1" t="s">
        <v>78</v>
      </c>
      <c r="I48" s="48"/>
      <c r="J48" s="41"/>
      <c r="K48" s="41"/>
      <c r="L48" s="54"/>
      <c r="M48" s="54"/>
      <c r="N48" s="61"/>
      <c r="O48" s="60"/>
      <c r="P48" s="58"/>
      <c r="Q48" s="59"/>
      <c r="R48" s="56"/>
    </row>
    <row r="49" spans="1:18" x14ac:dyDescent="0.3">
      <c r="A49" s="1" t="s">
        <v>78</v>
      </c>
      <c r="D49" s="1" t="str">
        <f t="shared" ref="D49:D80" si="50">H49</f>
        <v>"Business Central","CRONUS JetCorp USA","25","1","1243"</v>
      </c>
      <c r="E49" s="1">
        <f t="shared" ref="E49" si="51">I44</f>
        <v>0</v>
      </c>
      <c r="G49" s="1">
        <v>1243</v>
      </c>
      <c r="H49" s="9" t="str">
        <f>"""Business Central"",""CRONUS JetCorp USA"",""25"",""1"",""1243"""</f>
        <v>"Business Central","CRONUS JetCorp USA","25","1","1243"</v>
      </c>
      <c r="I49" s="51"/>
      <c r="J49" s="52" t="str">
        <f>"Order PO102492"</f>
        <v>Order PO102492</v>
      </c>
      <c r="K49" s="52" t="str">
        <f>"PI_102491"</f>
        <v>PI_102491</v>
      </c>
      <c r="L49" s="53">
        <v>42735</v>
      </c>
      <c r="M49" s="53">
        <v>42705</v>
      </c>
      <c r="N49" s="57" t="str">
        <f>""</f>
        <v/>
      </c>
      <c r="O49" s="75">
        <v>0</v>
      </c>
      <c r="P49" s="76">
        <v>0</v>
      </c>
      <c r="Q49" s="77">
        <v>-28375.899999999998</v>
      </c>
      <c r="R49" s="78">
        <v>0</v>
      </c>
    </row>
    <row r="50" spans="1:18" x14ac:dyDescent="0.3">
      <c r="A50" s="1" t="s">
        <v>78</v>
      </c>
      <c r="B50" s="1" t="str">
        <f t="shared" ref="B50" si="52">IF(H50="","Hide","Show")</f>
        <v>Show</v>
      </c>
      <c r="D50" s="1" t="str">
        <f t="shared" ref="D50:D81" si="53">D49</f>
        <v>"Business Central","CRONUS JetCorp USA","25","1","1243"</v>
      </c>
      <c r="E50" s="1">
        <f t="shared" ref="E50:E81" si="54">E49</f>
        <v>0</v>
      </c>
      <c r="F50" s="1">
        <v>1243</v>
      </c>
      <c r="H50" s="9" t="str">
        <f>"""Business Central"",""CRONUS JetCorp USA"",""380"",""1"",""100"""</f>
        <v>"Business Central","CRONUS JetCorp USA","380","1","100"</v>
      </c>
      <c r="I50" s="48"/>
      <c r="J50" s="41" t="str">
        <f>"Payment"</f>
        <v>Payment</v>
      </c>
      <c r="K50" s="41" t="str">
        <f>"GP100306"</f>
        <v>GP100306</v>
      </c>
      <c r="L50" s="54"/>
      <c r="M50" s="54">
        <v>42400</v>
      </c>
      <c r="N50" s="57" t="str">
        <f>""</f>
        <v/>
      </c>
      <c r="O50" s="75">
        <v>0</v>
      </c>
      <c r="P50" s="76">
        <v>28375.899999999998</v>
      </c>
      <c r="Q50" s="77">
        <v>28375.899999999998</v>
      </c>
      <c r="R50" s="78">
        <v>0</v>
      </c>
    </row>
    <row r="51" spans="1:18" ht="9" customHeight="1" x14ac:dyDescent="0.3">
      <c r="A51" s="1" t="s">
        <v>78</v>
      </c>
      <c r="I51" s="48"/>
      <c r="J51" s="41"/>
      <c r="K51" s="41"/>
      <c r="L51" s="54"/>
      <c r="M51" s="54"/>
      <c r="N51" s="61"/>
      <c r="O51" s="60"/>
      <c r="P51" s="58"/>
      <c r="Q51" s="59"/>
      <c r="R51" s="56"/>
    </row>
    <row r="52" spans="1:18" x14ac:dyDescent="0.3">
      <c r="A52" s="1" t="s">
        <v>78</v>
      </c>
      <c r="D52" s="1" t="str">
        <f t="shared" ref="D52:D83" si="55">H52</f>
        <v>"Business Central","CRONUS JetCorp USA","25","1","1327"</v>
      </c>
      <c r="E52" s="1">
        <f t="shared" ref="E52" si="56">I47</f>
        <v>0</v>
      </c>
      <c r="G52" s="1">
        <v>1327</v>
      </c>
      <c r="H52" s="9" t="str">
        <f>"""Business Central"",""CRONUS JetCorp USA"",""25"",""1"",""1327"""</f>
        <v>"Business Central","CRONUS JetCorp USA","25","1","1327"</v>
      </c>
      <c r="I52" s="51"/>
      <c r="J52" s="52" t="str">
        <f>"Order PO102494"</f>
        <v>Order PO102494</v>
      </c>
      <c r="K52" s="52" t="str">
        <f>"PI_102493"</f>
        <v>PI_102493</v>
      </c>
      <c r="L52" s="53">
        <v>42735</v>
      </c>
      <c r="M52" s="53">
        <v>42705</v>
      </c>
      <c r="N52" s="57" t="str">
        <f>""</f>
        <v/>
      </c>
      <c r="O52" s="75">
        <v>0</v>
      </c>
      <c r="P52" s="76">
        <v>0</v>
      </c>
      <c r="Q52" s="77">
        <v>-28375.899999999998</v>
      </c>
      <c r="R52" s="78">
        <v>0</v>
      </c>
    </row>
    <row r="53" spans="1:18" x14ac:dyDescent="0.3">
      <c r="A53" s="1" t="s">
        <v>78</v>
      </c>
      <c r="B53" s="1" t="str">
        <f t="shared" ref="B53" si="57">IF(H53="","Hide","Show")</f>
        <v>Show</v>
      </c>
      <c r="D53" s="1" t="str">
        <f t="shared" ref="D53:D84" si="58">D52</f>
        <v>"Business Central","CRONUS JetCorp USA","25","1","1327"</v>
      </c>
      <c r="E53" s="1">
        <f t="shared" ref="E53:E84" si="59">E52</f>
        <v>0</v>
      </c>
      <c r="F53" s="1">
        <v>1327</v>
      </c>
      <c r="H53" s="9" t="str">
        <f>"""Business Central"",""CRONUS JetCorp USA"",""380"",""1"",""101"""</f>
        <v>"Business Central","CRONUS JetCorp USA","380","1","101"</v>
      </c>
      <c r="I53" s="48"/>
      <c r="J53" s="41" t="str">
        <f>"Payment"</f>
        <v>Payment</v>
      </c>
      <c r="K53" s="41" t="str">
        <f>"GP100306"</f>
        <v>GP100306</v>
      </c>
      <c r="L53" s="54"/>
      <c r="M53" s="54">
        <v>42400</v>
      </c>
      <c r="N53" s="57" t="str">
        <f>""</f>
        <v/>
      </c>
      <c r="O53" s="75">
        <v>0</v>
      </c>
      <c r="P53" s="76">
        <v>28375.899999999998</v>
      </c>
      <c r="Q53" s="77">
        <v>28375.899999999998</v>
      </c>
      <c r="R53" s="78">
        <v>0</v>
      </c>
    </row>
    <row r="54" spans="1:18" ht="9" customHeight="1" x14ac:dyDescent="0.3">
      <c r="A54" s="1" t="s">
        <v>78</v>
      </c>
      <c r="I54" s="48"/>
      <c r="J54" s="41"/>
      <c r="K54" s="41"/>
      <c r="L54" s="54"/>
      <c r="M54" s="54"/>
      <c r="N54" s="61"/>
      <c r="O54" s="60"/>
      <c r="P54" s="58"/>
      <c r="Q54" s="59"/>
      <c r="R54" s="56"/>
    </row>
    <row r="55" spans="1:18" x14ac:dyDescent="0.3">
      <c r="A55" s="1" t="s">
        <v>78</v>
      </c>
      <c r="D55" s="1" t="str">
        <f t="shared" ref="D55:D86" si="60">H55</f>
        <v>"Business Central","CRONUS JetCorp USA","25","1","1369"</v>
      </c>
      <c r="E55" s="1">
        <f t="shared" ref="E55" si="61">I50</f>
        <v>0</v>
      </c>
      <c r="G55" s="1">
        <v>1369</v>
      </c>
      <c r="H55" s="9" t="str">
        <f>"""Business Central"",""CRONUS JetCorp USA"",""25"",""1"",""1369"""</f>
        <v>"Business Central","CRONUS JetCorp USA","25","1","1369"</v>
      </c>
      <c r="I55" s="51"/>
      <c r="J55" s="52" t="str">
        <f>"Order PO102495"</f>
        <v>Order PO102495</v>
      </c>
      <c r="K55" s="52" t="str">
        <f>"PI_102494"</f>
        <v>PI_102494</v>
      </c>
      <c r="L55" s="53">
        <v>42735</v>
      </c>
      <c r="M55" s="53">
        <v>42705</v>
      </c>
      <c r="N55" s="57" t="str">
        <f>""</f>
        <v/>
      </c>
      <c r="O55" s="75">
        <v>0</v>
      </c>
      <c r="P55" s="76">
        <v>0</v>
      </c>
      <c r="Q55" s="77">
        <v>-28375.899999999998</v>
      </c>
      <c r="R55" s="78">
        <v>0</v>
      </c>
    </row>
    <row r="56" spans="1:18" x14ac:dyDescent="0.3">
      <c r="A56" s="1" t="s">
        <v>78</v>
      </c>
      <c r="B56" s="1" t="str">
        <f t="shared" ref="B56" si="62">IF(H56="","Hide","Show")</f>
        <v>Show</v>
      </c>
      <c r="D56" s="1" t="str">
        <f t="shared" ref="D56:D87" si="63">D55</f>
        <v>"Business Central","CRONUS JetCorp USA","25","1","1369"</v>
      </c>
      <c r="E56" s="1">
        <f t="shared" ref="E56:E87" si="64">E55</f>
        <v>0</v>
      </c>
      <c r="F56" s="1">
        <v>1369</v>
      </c>
      <c r="H56" s="9" t="str">
        <f>"""Business Central"",""CRONUS JetCorp USA"",""380"",""1"",""102"""</f>
        <v>"Business Central","CRONUS JetCorp USA","380","1","102"</v>
      </c>
      <c r="I56" s="48"/>
      <c r="J56" s="41" t="str">
        <f>"Payment"</f>
        <v>Payment</v>
      </c>
      <c r="K56" s="41" t="str">
        <f>"GP100306"</f>
        <v>GP100306</v>
      </c>
      <c r="L56" s="54"/>
      <c r="M56" s="54">
        <v>42400</v>
      </c>
      <c r="N56" s="57" t="str">
        <f>""</f>
        <v/>
      </c>
      <c r="O56" s="75">
        <v>0</v>
      </c>
      <c r="P56" s="76">
        <v>28375.899999999998</v>
      </c>
      <c r="Q56" s="77">
        <v>28375.899999999998</v>
      </c>
      <c r="R56" s="78">
        <v>0</v>
      </c>
    </row>
    <row r="57" spans="1:18" ht="9" customHeight="1" x14ac:dyDescent="0.3">
      <c r="A57" s="1" t="s">
        <v>78</v>
      </c>
      <c r="I57" s="48"/>
      <c r="J57" s="41"/>
      <c r="K57" s="41"/>
      <c r="L57" s="54"/>
      <c r="M57" s="54"/>
      <c r="N57" s="61"/>
      <c r="O57" s="60"/>
      <c r="P57" s="58"/>
      <c r="Q57" s="59"/>
      <c r="R57" s="56"/>
    </row>
    <row r="58" spans="1:18" x14ac:dyDescent="0.3">
      <c r="A58" s="1" t="s">
        <v>78</v>
      </c>
      <c r="D58" s="1" t="str">
        <f t="shared" ref="D58:D89" si="65">H58</f>
        <v>"Business Central","CRONUS JetCorp USA","25","1","1495"</v>
      </c>
      <c r="E58" s="1">
        <f t="shared" ref="E58" si="66">I53</f>
        <v>0</v>
      </c>
      <c r="G58" s="1">
        <v>1495</v>
      </c>
      <c r="H58" s="9" t="str">
        <f>"""Business Central"",""CRONUS JetCorp USA"",""25"",""1"",""1495"""</f>
        <v>"Business Central","CRONUS JetCorp USA","25","1","1495"</v>
      </c>
      <c r="I58" s="51"/>
      <c r="J58" s="52" t="str">
        <f>"Order PO102498"</f>
        <v>Order PO102498</v>
      </c>
      <c r="K58" s="52" t="str">
        <f>"PI_102497"</f>
        <v>PI_102497</v>
      </c>
      <c r="L58" s="53">
        <v>42735</v>
      </c>
      <c r="M58" s="53">
        <v>42705</v>
      </c>
      <c r="N58" s="57" t="str">
        <f>""</f>
        <v/>
      </c>
      <c r="O58" s="75">
        <v>0</v>
      </c>
      <c r="P58" s="76">
        <v>0</v>
      </c>
      <c r="Q58" s="77">
        <v>-20007.189999999999</v>
      </c>
      <c r="R58" s="78">
        <v>0</v>
      </c>
    </row>
    <row r="59" spans="1:18" x14ac:dyDescent="0.3">
      <c r="A59" s="1" t="s">
        <v>78</v>
      </c>
      <c r="B59" s="1" t="str">
        <f t="shared" ref="B59" si="67">IF(H59="","Hide","Show")</f>
        <v>Show</v>
      </c>
      <c r="D59" s="1" t="str">
        <f t="shared" ref="D59:D90" si="68">D58</f>
        <v>"Business Central","CRONUS JetCorp USA","25","1","1495"</v>
      </c>
      <c r="E59" s="1">
        <f t="shared" ref="E59:E90" si="69">E58</f>
        <v>0</v>
      </c>
      <c r="F59" s="1">
        <v>1495</v>
      </c>
      <c r="H59" s="9" t="str">
        <f>"""Business Central"",""CRONUS JetCorp USA"",""380"",""1"",""103"""</f>
        <v>"Business Central","CRONUS JetCorp USA","380","1","103"</v>
      </c>
      <c r="I59" s="48"/>
      <c r="J59" s="41" t="str">
        <f>"Payment"</f>
        <v>Payment</v>
      </c>
      <c r="K59" s="41" t="str">
        <f>"GP100306"</f>
        <v>GP100306</v>
      </c>
      <c r="L59" s="54"/>
      <c r="M59" s="54">
        <v>42400</v>
      </c>
      <c r="N59" s="57" t="str">
        <f>""</f>
        <v/>
      </c>
      <c r="O59" s="75">
        <v>0</v>
      </c>
      <c r="P59" s="76">
        <v>20007.189999999999</v>
      </c>
      <c r="Q59" s="77">
        <v>20007.189999999999</v>
      </c>
      <c r="R59" s="78">
        <v>0</v>
      </c>
    </row>
    <row r="60" spans="1:18" ht="9" customHeight="1" x14ac:dyDescent="0.3">
      <c r="A60" s="1" t="s">
        <v>78</v>
      </c>
      <c r="I60" s="48"/>
      <c r="J60" s="41"/>
      <c r="K60" s="41"/>
      <c r="L60" s="54"/>
      <c r="M60" s="54"/>
      <c r="N60" s="61"/>
      <c r="O60" s="60"/>
      <c r="P60" s="58"/>
      <c r="Q60" s="59"/>
      <c r="R60" s="56"/>
    </row>
    <row r="61" spans="1:18" x14ac:dyDescent="0.3">
      <c r="A61" s="1" t="s">
        <v>78</v>
      </c>
      <c r="D61" s="1" t="str">
        <f t="shared" ref="D61:D92" si="70">H61</f>
        <v>"Business Central","CRONUS JetCorp USA","25","1","1579"</v>
      </c>
      <c r="E61" s="1">
        <f t="shared" ref="E61" si="71">I56</f>
        <v>0</v>
      </c>
      <c r="G61" s="1">
        <v>1579</v>
      </c>
      <c r="H61" s="9" t="str">
        <f>"""Business Central"",""CRONUS JetCorp USA"",""25"",""1"",""1579"""</f>
        <v>"Business Central","CRONUS JetCorp USA","25","1","1579"</v>
      </c>
      <c r="I61" s="51"/>
      <c r="J61" s="52" t="str">
        <f>"Order PO102500"</f>
        <v>Order PO102500</v>
      </c>
      <c r="K61" s="52" t="str">
        <f>"PI_102499"</f>
        <v>PI_102499</v>
      </c>
      <c r="L61" s="53">
        <v>42735</v>
      </c>
      <c r="M61" s="53">
        <v>42705</v>
      </c>
      <c r="N61" s="57" t="str">
        <f>""</f>
        <v/>
      </c>
      <c r="O61" s="75">
        <v>0</v>
      </c>
      <c r="P61" s="76">
        <v>0</v>
      </c>
      <c r="Q61" s="77">
        <v>-20007.189999999999</v>
      </c>
      <c r="R61" s="78">
        <v>0</v>
      </c>
    </row>
    <row r="62" spans="1:18" x14ac:dyDescent="0.3">
      <c r="A62" s="1" t="s">
        <v>78</v>
      </c>
      <c r="B62" s="1" t="str">
        <f t="shared" ref="B62" si="72">IF(H62="","Hide","Show")</f>
        <v>Show</v>
      </c>
      <c r="D62" s="1" t="str">
        <f t="shared" ref="D62:D93" si="73">D61</f>
        <v>"Business Central","CRONUS JetCorp USA","25","1","1579"</v>
      </c>
      <c r="E62" s="1">
        <f t="shared" ref="E62:E93" si="74">E61</f>
        <v>0</v>
      </c>
      <c r="F62" s="1">
        <v>1579</v>
      </c>
      <c r="H62" s="9" t="str">
        <f>"""Business Central"",""CRONUS JetCorp USA"",""380"",""1"",""104"""</f>
        <v>"Business Central","CRONUS JetCorp USA","380","1","104"</v>
      </c>
      <c r="I62" s="48"/>
      <c r="J62" s="41" t="str">
        <f>"Payment"</f>
        <v>Payment</v>
      </c>
      <c r="K62" s="41" t="str">
        <f>"GP100306"</f>
        <v>GP100306</v>
      </c>
      <c r="L62" s="54"/>
      <c r="M62" s="54">
        <v>42400</v>
      </c>
      <c r="N62" s="57" t="str">
        <f>""</f>
        <v/>
      </c>
      <c r="O62" s="75">
        <v>0</v>
      </c>
      <c r="P62" s="76">
        <v>20007.189999999999</v>
      </c>
      <c r="Q62" s="77">
        <v>20007.189999999999</v>
      </c>
      <c r="R62" s="78">
        <v>0</v>
      </c>
    </row>
    <row r="63" spans="1:18" ht="9" customHeight="1" x14ac:dyDescent="0.3">
      <c r="A63" s="1" t="s">
        <v>78</v>
      </c>
      <c r="I63" s="48"/>
      <c r="J63" s="41"/>
      <c r="K63" s="41"/>
      <c r="L63" s="54"/>
      <c r="M63" s="54"/>
      <c r="N63" s="61"/>
      <c r="O63" s="60"/>
      <c r="P63" s="58"/>
      <c r="Q63" s="59"/>
      <c r="R63" s="56"/>
    </row>
    <row r="64" spans="1:18" x14ac:dyDescent="0.3">
      <c r="A64" s="1" t="s">
        <v>78</v>
      </c>
      <c r="D64" s="1" t="str">
        <f t="shared" ref="D64:D95" si="75">H64</f>
        <v>"Business Central","CRONUS JetCorp USA","25","1","1747"</v>
      </c>
      <c r="E64" s="1">
        <f t="shared" ref="E64" si="76">I59</f>
        <v>0</v>
      </c>
      <c r="G64" s="1">
        <v>1747</v>
      </c>
      <c r="H64" s="9" t="str">
        <f>"""Business Central"",""CRONUS JetCorp USA"",""25"",""1"",""1747"""</f>
        <v>"Business Central","CRONUS JetCorp USA","25","1","1747"</v>
      </c>
      <c r="I64" s="51"/>
      <c r="J64" s="52" t="str">
        <f>"Order PO102504"</f>
        <v>Order PO102504</v>
      </c>
      <c r="K64" s="52" t="str">
        <f>"PI_102503"</f>
        <v>PI_102503</v>
      </c>
      <c r="L64" s="53">
        <v>42735</v>
      </c>
      <c r="M64" s="53">
        <v>42705</v>
      </c>
      <c r="N64" s="57" t="str">
        <f>""</f>
        <v/>
      </c>
      <c r="O64" s="75">
        <v>0</v>
      </c>
      <c r="P64" s="76">
        <v>0</v>
      </c>
      <c r="Q64" s="77">
        <v>-20007.189999999999</v>
      </c>
      <c r="R64" s="78">
        <v>0</v>
      </c>
    </row>
    <row r="65" spans="1:18" x14ac:dyDescent="0.3">
      <c r="A65" s="1" t="s">
        <v>78</v>
      </c>
      <c r="B65" s="1" t="str">
        <f t="shared" ref="B65" si="77">IF(H65="","Hide","Show")</f>
        <v>Show</v>
      </c>
      <c r="D65" s="1" t="str">
        <f t="shared" ref="D65:D96" si="78">D64</f>
        <v>"Business Central","CRONUS JetCorp USA","25","1","1747"</v>
      </c>
      <c r="E65" s="1">
        <f t="shared" ref="E65:E96" si="79">E64</f>
        <v>0</v>
      </c>
      <c r="F65" s="1">
        <v>1747</v>
      </c>
      <c r="H65" s="9" t="str">
        <f>"""Business Central"",""CRONUS JetCorp USA"",""380"",""1"",""105"""</f>
        <v>"Business Central","CRONUS JetCorp USA","380","1","105"</v>
      </c>
      <c r="I65" s="48"/>
      <c r="J65" s="41" t="str">
        <f>"Payment"</f>
        <v>Payment</v>
      </c>
      <c r="K65" s="41" t="str">
        <f>"GP100306"</f>
        <v>GP100306</v>
      </c>
      <c r="L65" s="54"/>
      <c r="M65" s="54">
        <v>42400</v>
      </c>
      <c r="N65" s="57" t="str">
        <f>""</f>
        <v/>
      </c>
      <c r="O65" s="75">
        <v>0</v>
      </c>
      <c r="P65" s="76">
        <v>20007.189999999999</v>
      </c>
      <c r="Q65" s="77">
        <v>20007.189999999999</v>
      </c>
      <c r="R65" s="78">
        <v>0</v>
      </c>
    </row>
    <row r="66" spans="1:18" ht="9" customHeight="1" x14ac:dyDescent="0.3">
      <c r="A66" s="1" t="s">
        <v>78</v>
      </c>
      <c r="I66" s="48"/>
      <c r="J66" s="41"/>
      <c r="K66" s="41"/>
      <c r="L66" s="54"/>
      <c r="M66" s="54"/>
      <c r="N66" s="61"/>
      <c r="O66" s="60"/>
      <c r="P66" s="58"/>
      <c r="Q66" s="59"/>
      <c r="R66" s="56"/>
    </row>
    <row r="67" spans="1:18" x14ac:dyDescent="0.3">
      <c r="A67" s="1" t="s">
        <v>78</v>
      </c>
      <c r="D67" s="1" t="str">
        <f t="shared" ref="D67:D98" si="80">H67</f>
        <v>"Business Central","CRONUS JetCorp USA","25","1","1789"</v>
      </c>
      <c r="E67" s="1">
        <f t="shared" ref="E67" si="81">I62</f>
        <v>0</v>
      </c>
      <c r="G67" s="1">
        <v>1789</v>
      </c>
      <c r="H67" s="9" t="str">
        <f>"""Business Central"",""CRONUS JetCorp USA"",""25"",""1"",""1789"""</f>
        <v>"Business Central","CRONUS JetCorp USA","25","1","1789"</v>
      </c>
      <c r="I67" s="51"/>
      <c r="J67" s="52" t="str">
        <f>"Order PO102505"</f>
        <v>Order PO102505</v>
      </c>
      <c r="K67" s="52" t="str">
        <f>"PI_102504"</f>
        <v>PI_102504</v>
      </c>
      <c r="L67" s="53">
        <v>42735</v>
      </c>
      <c r="M67" s="53">
        <v>42705</v>
      </c>
      <c r="N67" s="57" t="str">
        <f>""</f>
        <v/>
      </c>
      <c r="O67" s="75">
        <v>0</v>
      </c>
      <c r="P67" s="76">
        <v>0</v>
      </c>
      <c r="Q67" s="77">
        <v>-20007.189999999999</v>
      </c>
      <c r="R67" s="78">
        <v>0</v>
      </c>
    </row>
    <row r="68" spans="1:18" x14ac:dyDescent="0.3">
      <c r="A68" s="1" t="s">
        <v>78</v>
      </c>
      <c r="B68" s="1" t="str">
        <f t="shared" ref="B68" si="82">IF(H68="","Hide","Show")</f>
        <v>Show</v>
      </c>
      <c r="D68" s="1" t="str">
        <f t="shared" ref="D68:D99" si="83">D67</f>
        <v>"Business Central","CRONUS JetCorp USA","25","1","1789"</v>
      </c>
      <c r="E68" s="1">
        <f t="shared" ref="E68:E99" si="84">E67</f>
        <v>0</v>
      </c>
      <c r="F68" s="1">
        <v>1789</v>
      </c>
      <c r="H68" s="9" t="str">
        <f>"""Business Central"",""CRONUS JetCorp USA"",""380"",""1"",""106"""</f>
        <v>"Business Central","CRONUS JetCorp USA","380","1","106"</v>
      </c>
      <c r="I68" s="48"/>
      <c r="J68" s="41" t="str">
        <f>"Payment"</f>
        <v>Payment</v>
      </c>
      <c r="K68" s="41" t="str">
        <f>"GP100306"</f>
        <v>GP100306</v>
      </c>
      <c r="L68" s="54"/>
      <c r="M68" s="54">
        <v>42400</v>
      </c>
      <c r="N68" s="57" t="str">
        <f>""</f>
        <v/>
      </c>
      <c r="O68" s="75">
        <v>0</v>
      </c>
      <c r="P68" s="76">
        <v>20007.189999999999</v>
      </c>
      <c r="Q68" s="77">
        <v>20007.189999999999</v>
      </c>
      <c r="R68" s="78">
        <v>0</v>
      </c>
    </row>
    <row r="69" spans="1:18" ht="9" customHeight="1" x14ac:dyDescent="0.3">
      <c r="A69" s="1" t="s">
        <v>78</v>
      </c>
      <c r="I69" s="48"/>
      <c r="J69" s="41"/>
      <c r="K69" s="41"/>
      <c r="L69" s="54"/>
      <c r="M69" s="54"/>
      <c r="N69" s="61"/>
      <c r="O69" s="60"/>
      <c r="P69" s="58"/>
      <c r="Q69" s="59"/>
      <c r="R69" s="56"/>
    </row>
    <row r="70" spans="1:18" x14ac:dyDescent="0.3">
      <c r="A70" s="1" t="s">
        <v>78</v>
      </c>
      <c r="D70" s="1" t="str">
        <f t="shared" ref="D70:D101" si="85">H70</f>
        <v>"Business Central","CRONUS JetCorp USA","25","1","1915"</v>
      </c>
      <c r="E70" s="1">
        <f t="shared" ref="E70" si="86">I65</f>
        <v>0</v>
      </c>
      <c r="G70" s="1">
        <v>1915</v>
      </c>
      <c r="H70" s="9" t="str">
        <f>"""Business Central"",""CRONUS JetCorp USA"",""25"",""1"",""1915"""</f>
        <v>"Business Central","CRONUS JetCorp USA","25","1","1915"</v>
      </c>
      <c r="I70" s="51"/>
      <c r="J70" s="52" t="str">
        <f>"Order PO102508"</f>
        <v>Order PO102508</v>
      </c>
      <c r="K70" s="52" t="str">
        <f>"PI_102507"</f>
        <v>PI_102507</v>
      </c>
      <c r="L70" s="53">
        <v>42735</v>
      </c>
      <c r="M70" s="53">
        <v>42705</v>
      </c>
      <c r="N70" s="57" t="str">
        <f>""</f>
        <v/>
      </c>
      <c r="O70" s="75">
        <v>0</v>
      </c>
      <c r="P70" s="76">
        <v>0</v>
      </c>
      <c r="Q70" s="77">
        <v>-45032.959999999999</v>
      </c>
      <c r="R70" s="78">
        <v>0</v>
      </c>
    </row>
    <row r="71" spans="1:18" x14ac:dyDescent="0.3">
      <c r="A71" s="1" t="s">
        <v>78</v>
      </c>
      <c r="B71" s="1" t="str">
        <f t="shared" ref="B71" si="87">IF(H71="","Hide","Show")</f>
        <v>Show</v>
      </c>
      <c r="D71" s="1" t="str">
        <f t="shared" ref="D71:D102" si="88">D70</f>
        <v>"Business Central","CRONUS JetCorp USA","25","1","1915"</v>
      </c>
      <c r="E71" s="1">
        <f t="shared" ref="E71:E102" si="89">E70</f>
        <v>0</v>
      </c>
      <c r="F71" s="1">
        <v>1915</v>
      </c>
      <c r="H71" s="9" t="str">
        <f>"""Business Central"",""CRONUS JetCorp USA"",""380"",""1"",""107"""</f>
        <v>"Business Central","CRONUS JetCorp USA","380","1","107"</v>
      </c>
      <c r="I71" s="48"/>
      <c r="J71" s="41" t="str">
        <f>"Payment"</f>
        <v>Payment</v>
      </c>
      <c r="K71" s="41" t="str">
        <f>"GP100306"</f>
        <v>GP100306</v>
      </c>
      <c r="L71" s="54"/>
      <c r="M71" s="54">
        <v>42400</v>
      </c>
      <c r="N71" s="57" t="str">
        <f>""</f>
        <v/>
      </c>
      <c r="O71" s="75">
        <v>0</v>
      </c>
      <c r="P71" s="76">
        <v>45032.959999999999</v>
      </c>
      <c r="Q71" s="77">
        <v>45032.959999999999</v>
      </c>
      <c r="R71" s="78">
        <v>0</v>
      </c>
    </row>
    <row r="72" spans="1:18" ht="9" customHeight="1" x14ac:dyDescent="0.3">
      <c r="A72" s="1" t="s">
        <v>78</v>
      </c>
      <c r="I72" s="48"/>
      <c r="J72" s="41"/>
      <c r="K72" s="41"/>
      <c r="L72" s="54"/>
      <c r="M72" s="54"/>
      <c r="N72" s="61"/>
      <c r="O72" s="60"/>
      <c r="P72" s="58"/>
      <c r="Q72" s="59"/>
      <c r="R72" s="56"/>
    </row>
    <row r="73" spans="1:18" x14ac:dyDescent="0.3">
      <c r="A73" s="1" t="s">
        <v>78</v>
      </c>
      <c r="D73" s="1" t="str">
        <f t="shared" ref="D73:D104" si="90">H73</f>
        <v>"Business Central","CRONUS JetCorp USA","25","1","1999"</v>
      </c>
      <c r="E73" s="1">
        <f t="shared" ref="E73" si="91">I68</f>
        <v>0</v>
      </c>
      <c r="G73" s="1">
        <v>1999</v>
      </c>
      <c r="H73" s="9" t="str">
        <f>"""Business Central"",""CRONUS JetCorp USA"",""25"",""1"",""1999"""</f>
        <v>"Business Central","CRONUS JetCorp USA","25","1","1999"</v>
      </c>
      <c r="I73" s="51"/>
      <c r="J73" s="52" t="str">
        <f>"Order PO102510"</f>
        <v>Order PO102510</v>
      </c>
      <c r="K73" s="52" t="str">
        <f>"PI_102509"</f>
        <v>PI_102509</v>
      </c>
      <c r="L73" s="53">
        <v>42735</v>
      </c>
      <c r="M73" s="53">
        <v>42705</v>
      </c>
      <c r="N73" s="57" t="str">
        <f>""</f>
        <v/>
      </c>
      <c r="O73" s="75">
        <v>0</v>
      </c>
      <c r="P73" s="76">
        <v>0</v>
      </c>
      <c r="Q73" s="77">
        <v>-45032.959999999999</v>
      </c>
      <c r="R73" s="78">
        <v>0</v>
      </c>
    </row>
    <row r="74" spans="1:18" x14ac:dyDescent="0.3">
      <c r="A74" s="1" t="s">
        <v>78</v>
      </c>
      <c r="B74" s="1" t="str">
        <f t="shared" ref="B74" si="92">IF(H74="","Hide","Show")</f>
        <v>Show</v>
      </c>
      <c r="D74" s="1" t="str">
        <f t="shared" ref="D74:D105" si="93">D73</f>
        <v>"Business Central","CRONUS JetCorp USA","25","1","1999"</v>
      </c>
      <c r="E74" s="1">
        <f t="shared" ref="E74:E105" si="94">E73</f>
        <v>0</v>
      </c>
      <c r="F74" s="1">
        <v>1999</v>
      </c>
      <c r="H74" s="9" t="str">
        <f>"""Business Central"",""CRONUS JetCorp USA"",""380"",""1"",""108"""</f>
        <v>"Business Central","CRONUS JetCorp USA","380","1","108"</v>
      </c>
      <c r="I74" s="48"/>
      <c r="J74" s="41" t="str">
        <f>"Payment"</f>
        <v>Payment</v>
      </c>
      <c r="K74" s="41" t="str">
        <f>"GP100306"</f>
        <v>GP100306</v>
      </c>
      <c r="L74" s="54"/>
      <c r="M74" s="54">
        <v>42400</v>
      </c>
      <c r="N74" s="57" t="str">
        <f>""</f>
        <v/>
      </c>
      <c r="O74" s="75">
        <v>0</v>
      </c>
      <c r="P74" s="76">
        <v>45032.959999999999</v>
      </c>
      <c r="Q74" s="77">
        <v>45032.959999999999</v>
      </c>
      <c r="R74" s="78">
        <v>0</v>
      </c>
    </row>
    <row r="75" spans="1:18" ht="9" customHeight="1" x14ac:dyDescent="0.3">
      <c r="A75" s="1" t="s">
        <v>78</v>
      </c>
      <c r="I75" s="48"/>
      <c r="J75" s="41"/>
      <c r="K75" s="41"/>
      <c r="L75" s="54"/>
      <c r="M75" s="54"/>
      <c r="N75" s="61"/>
      <c r="O75" s="60"/>
      <c r="P75" s="58"/>
      <c r="Q75" s="59"/>
      <c r="R75" s="56"/>
    </row>
    <row r="76" spans="1:18" x14ac:dyDescent="0.3">
      <c r="A76" s="1" t="s">
        <v>78</v>
      </c>
      <c r="D76" s="1" t="str">
        <f t="shared" ref="D76:D107" si="95">H76</f>
        <v>"Business Central","CRONUS JetCorp USA","25","1","2125"</v>
      </c>
      <c r="E76" s="1">
        <f t="shared" ref="E76" si="96">I71</f>
        <v>0</v>
      </c>
      <c r="G76" s="1">
        <v>2125</v>
      </c>
      <c r="H76" s="9" t="str">
        <f>"""Business Central"",""CRONUS JetCorp USA"",""25"",""1"",""2125"""</f>
        <v>"Business Central","CRONUS JetCorp USA","25","1","2125"</v>
      </c>
      <c r="I76" s="51"/>
      <c r="J76" s="52" t="str">
        <f>"Order PO102513"</f>
        <v>Order PO102513</v>
      </c>
      <c r="K76" s="52" t="str">
        <f>"PI_102512"</f>
        <v>PI_102512</v>
      </c>
      <c r="L76" s="53">
        <v>42735</v>
      </c>
      <c r="M76" s="53">
        <v>42705</v>
      </c>
      <c r="N76" s="57" t="str">
        <f>""</f>
        <v/>
      </c>
      <c r="O76" s="75">
        <v>0</v>
      </c>
      <c r="P76" s="76">
        <v>0</v>
      </c>
      <c r="Q76" s="77">
        <v>-45032.959999999999</v>
      </c>
      <c r="R76" s="78">
        <v>0</v>
      </c>
    </row>
    <row r="77" spans="1:18" x14ac:dyDescent="0.3">
      <c r="A77" s="1" t="s">
        <v>78</v>
      </c>
      <c r="B77" s="1" t="str">
        <f t="shared" ref="B77" si="97">IF(H77="","Hide","Show")</f>
        <v>Show</v>
      </c>
      <c r="D77" s="1" t="str">
        <f t="shared" ref="D77:D108" si="98">D76</f>
        <v>"Business Central","CRONUS JetCorp USA","25","1","2125"</v>
      </c>
      <c r="E77" s="1">
        <f t="shared" ref="E77:E108" si="99">E76</f>
        <v>0</v>
      </c>
      <c r="F77" s="1">
        <v>2125</v>
      </c>
      <c r="H77" s="9" t="str">
        <f>"""Business Central"",""CRONUS JetCorp USA"",""380"",""1"",""109"""</f>
        <v>"Business Central","CRONUS JetCorp USA","380","1","109"</v>
      </c>
      <c r="I77" s="48"/>
      <c r="J77" s="41" t="str">
        <f>"Payment"</f>
        <v>Payment</v>
      </c>
      <c r="K77" s="41" t="str">
        <f>"GP100306"</f>
        <v>GP100306</v>
      </c>
      <c r="L77" s="54"/>
      <c r="M77" s="54">
        <v>42400</v>
      </c>
      <c r="N77" s="57" t="str">
        <f>""</f>
        <v/>
      </c>
      <c r="O77" s="75">
        <v>0</v>
      </c>
      <c r="P77" s="76">
        <v>45032.959999999999</v>
      </c>
      <c r="Q77" s="77">
        <v>45032.959999999999</v>
      </c>
      <c r="R77" s="78">
        <v>0</v>
      </c>
    </row>
    <row r="78" spans="1:18" ht="9" customHeight="1" x14ac:dyDescent="0.3">
      <c r="A78" s="1" t="s">
        <v>78</v>
      </c>
      <c r="I78" s="48"/>
      <c r="J78" s="41"/>
      <c r="K78" s="41"/>
      <c r="L78" s="54"/>
      <c r="M78" s="54"/>
      <c r="N78" s="61"/>
      <c r="O78" s="60"/>
      <c r="P78" s="58"/>
      <c r="Q78" s="59"/>
      <c r="R78" s="56"/>
    </row>
    <row r="79" spans="1:18" x14ac:dyDescent="0.3">
      <c r="A79" s="1" t="s">
        <v>78</v>
      </c>
      <c r="D79" s="1" t="str">
        <f t="shared" ref="D79:D110" si="100">H79</f>
        <v>"Business Central","CRONUS JetCorp USA","25","1","2251"</v>
      </c>
      <c r="E79" s="1">
        <f t="shared" ref="E79" si="101">I74</f>
        <v>0</v>
      </c>
      <c r="G79" s="1">
        <v>2251</v>
      </c>
      <c r="H79" s="9" t="str">
        <f>"""Business Central"",""CRONUS JetCorp USA"",""25"",""1"",""2251"""</f>
        <v>"Business Central","CRONUS JetCorp USA","25","1","2251"</v>
      </c>
      <c r="I79" s="51"/>
      <c r="J79" s="52" t="str">
        <f>"Order PO102516"</f>
        <v>Order PO102516</v>
      </c>
      <c r="K79" s="52" t="str">
        <f>"PI_102515"</f>
        <v>PI_102515</v>
      </c>
      <c r="L79" s="53">
        <v>42735</v>
      </c>
      <c r="M79" s="53">
        <v>42705</v>
      </c>
      <c r="N79" s="57" t="str">
        <f>""</f>
        <v/>
      </c>
      <c r="O79" s="75">
        <v>0</v>
      </c>
      <c r="P79" s="76">
        <v>0</v>
      </c>
      <c r="Q79" s="77">
        <v>-32202.799999999999</v>
      </c>
      <c r="R79" s="78">
        <v>0</v>
      </c>
    </row>
    <row r="80" spans="1:18" x14ac:dyDescent="0.3">
      <c r="A80" s="1" t="s">
        <v>78</v>
      </c>
      <c r="B80" s="1" t="str">
        <f t="shared" ref="B80" si="102">IF(H80="","Hide","Show")</f>
        <v>Show</v>
      </c>
      <c r="D80" s="1" t="str">
        <f t="shared" ref="D80:D111" si="103">D79</f>
        <v>"Business Central","CRONUS JetCorp USA","25","1","2251"</v>
      </c>
      <c r="E80" s="1">
        <f t="shared" ref="E80:E111" si="104">E79</f>
        <v>0</v>
      </c>
      <c r="F80" s="1">
        <v>2251</v>
      </c>
      <c r="H80" s="9" t="str">
        <f>"""Business Central"",""CRONUS JetCorp USA"",""380"",""1"",""110"""</f>
        <v>"Business Central","CRONUS JetCorp USA","380","1","110"</v>
      </c>
      <c r="I80" s="48"/>
      <c r="J80" s="41" t="str">
        <f>"Payment"</f>
        <v>Payment</v>
      </c>
      <c r="K80" s="41" t="str">
        <f>"GP100306"</f>
        <v>GP100306</v>
      </c>
      <c r="L80" s="54"/>
      <c r="M80" s="54">
        <v>42400</v>
      </c>
      <c r="N80" s="57" t="str">
        <f>""</f>
        <v/>
      </c>
      <c r="O80" s="75">
        <v>0</v>
      </c>
      <c r="P80" s="76">
        <v>32202.799999999999</v>
      </c>
      <c r="Q80" s="77">
        <v>32202.799999999999</v>
      </c>
      <c r="R80" s="78">
        <v>0</v>
      </c>
    </row>
    <row r="81" spans="1:18" ht="9" customHeight="1" x14ac:dyDescent="0.3">
      <c r="A81" s="1" t="s">
        <v>78</v>
      </c>
      <c r="I81" s="48"/>
      <c r="J81" s="41"/>
      <c r="K81" s="41"/>
      <c r="L81" s="54"/>
      <c r="M81" s="54"/>
      <c r="N81" s="61"/>
      <c r="O81" s="60"/>
      <c r="P81" s="58"/>
      <c r="Q81" s="59"/>
      <c r="R81" s="56"/>
    </row>
    <row r="82" spans="1:18" x14ac:dyDescent="0.3">
      <c r="A82" s="1" t="s">
        <v>78</v>
      </c>
      <c r="D82" s="1" t="str">
        <f t="shared" ref="D82:D113" si="105">H82</f>
        <v>"Business Central","CRONUS JetCorp USA","25","1","2335"</v>
      </c>
      <c r="E82" s="1">
        <f t="shared" ref="E82" si="106">I77</f>
        <v>0</v>
      </c>
      <c r="G82" s="1">
        <v>2335</v>
      </c>
      <c r="H82" s="9" t="str">
        <f>"""Business Central"",""CRONUS JetCorp USA"",""25"",""1"",""2335"""</f>
        <v>"Business Central","CRONUS JetCorp USA","25","1","2335"</v>
      </c>
      <c r="I82" s="51"/>
      <c r="J82" s="52" t="str">
        <f>"Order PO102518"</f>
        <v>Order PO102518</v>
      </c>
      <c r="K82" s="52" t="str">
        <f>"PI_102517"</f>
        <v>PI_102517</v>
      </c>
      <c r="L82" s="53">
        <v>42735</v>
      </c>
      <c r="M82" s="53">
        <v>42705</v>
      </c>
      <c r="N82" s="57" t="str">
        <f>""</f>
        <v/>
      </c>
      <c r="O82" s="75">
        <v>0</v>
      </c>
      <c r="P82" s="76">
        <v>0</v>
      </c>
      <c r="Q82" s="77">
        <v>-32202.799999999999</v>
      </c>
      <c r="R82" s="78">
        <v>0</v>
      </c>
    </row>
    <row r="83" spans="1:18" x14ac:dyDescent="0.3">
      <c r="A83" s="1" t="s">
        <v>78</v>
      </c>
      <c r="B83" s="1" t="str">
        <f t="shared" ref="B83" si="107">IF(H83="","Hide","Show")</f>
        <v>Show</v>
      </c>
      <c r="D83" s="1" t="str">
        <f t="shared" ref="D83:D114" si="108">D82</f>
        <v>"Business Central","CRONUS JetCorp USA","25","1","2335"</v>
      </c>
      <c r="E83" s="1">
        <f t="shared" ref="E83:E114" si="109">E82</f>
        <v>0</v>
      </c>
      <c r="F83" s="1">
        <v>2335</v>
      </c>
      <c r="H83" s="9" t="str">
        <f>"""Business Central"",""CRONUS JetCorp USA"",""380"",""1"",""111"""</f>
        <v>"Business Central","CRONUS JetCorp USA","380","1","111"</v>
      </c>
      <c r="I83" s="48"/>
      <c r="J83" s="41" t="str">
        <f>"Payment"</f>
        <v>Payment</v>
      </c>
      <c r="K83" s="41" t="str">
        <f>"GP100306"</f>
        <v>GP100306</v>
      </c>
      <c r="L83" s="54"/>
      <c r="M83" s="54">
        <v>42400</v>
      </c>
      <c r="N83" s="57" t="str">
        <f>""</f>
        <v/>
      </c>
      <c r="O83" s="75">
        <v>0</v>
      </c>
      <c r="P83" s="76">
        <v>32202.799999999999</v>
      </c>
      <c r="Q83" s="77">
        <v>32202.799999999999</v>
      </c>
      <c r="R83" s="78">
        <v>0</v>
      </c>
    </row>
    <row r="84" spans="1:18" ht="9" customHeight="1" x14ac:dyDescent="0.3">
      <c r="A84" s="1" t="s">
        <v>78</v>
      </c>
      <c r="I84" s="48"/>
      <c r="J84" s="41"/>
      <c r="K84" s="41"/>
      <c r="L84" s="54"/>
      <c r="M84" s="54"/>
      <c r="N84" s="61"/>
      <c r="O84" s="60"/>
      <c r="P84" s="58"/>
      <c r="Q84" s="59"/>
      <c r="R84" s="56"/>
    </row>
    <row r="85" spans="1:18" x14ac:dyDescent="0.3">
      <c r="A85" s="1" t="s">
        <v>78</v>
      </c>
      <c r="D85" s="1" t="str">
        <f t="shared" ref="D85:D116" si="110">H85</f>
        <v>"Business Central","CRONUS JetCorp USA","25","1","2461"</v>
      </c>
      <c r="E85" s="1">
        <f t="shared" ref="E85" si="111">I80</f>
        <v>0</v>
      </c>
      <c r="G85" s="1">
        <v>2461</v>
      </c>
      <c r="H85" s="9" t="str">
        <f>"""Business Central"",""CRONUS JetCorp USA"",""25"",""1"",""2461"""</f>
        <v>"Business Central","CRONUS JetCorp USA","25","1","2461"</v>
      </c>
      <c r="I85" s="51"/>
      <c r="J85" s="52" t="str">
        <f>"Order PO102521"</f>
        <v>Order PO102521</v>
      </c>
      <c r="K85" s="52" t="str">
        <f>"PI_102520"</f>
        <v>PI_102520</v>
      </c>
      <c r="L85" s="53">
        <v>42735</v>
      </c>
      <c r="M85" s="53">
        <v>42705</v>
      </c>
      <c r="N85" s="57" t="str">
        <f>""</f>
        <v/>
      </c>
      <c r="O85" s="75">
        <v>0</v>
      </c>
      <c r="P85" s="76">
        <v>0</v>
      </c>
      <c r="Q85" s="77">
        <v>-32202.799999999999</v>
      </c>
      <c r="R85" s="78">
        <v>0</v>
      </c>
    </row>
    <row r="86" spans="1:18" x14ac:dyDescent="0.3">
      <c r="A86" s="1" t="s">
        <v>78</v>
      </c>
      <c r="B86" s="1" t="str">
        <f t="shared" ref="B86" si="112">IF(H86="","Hide","Show")</f>
        <v>Show</v>
      </c>
      <c r="D86" s="1" t="str">
        <f t="shared" ref="D86:D117" si="113">D85</f>
        <v>"Business Central","CRONUS JetCorp USA","25","1","2461"</v>
      </c>
      <c r="E86" s="1">
        <f t="shared" ref="E86:E117" si="114">E85</f>
        <v>0</v>
      </c>
      <c r="F86" s="1">
        <v>2461</v>
      </c>
      <c r="H86" s="9" t="str">
        <f>"""Business Central"",""CRONUS JetCorp USA"",""380"",""1"",""112"""</f>
        <v>"Business Central","CRONUS JetCorp USA","380","1","112"</v>
      </c>
      <c r="I86" s="48"/>
      <c r="J86" s="41" t="str">
        <f>"Payment"</f>
        <v>Payment</v>
      </c>
      <c r="K86" s="41" t="str">
        <f>"GP100306"</f>
        <v>GP100306</v>
      </c>
      <c r="L86" s="54"/>
      <c r="M86" s="54">
        <v>42400</v>
      </c>
      <c r="N86" s="57" t="str">
        <f>""</f>
        <v/>
      </c>
      <c r="O86" s="75">
        <v>0</v>
      </c>
      <c r="P86" s="76">
        <v>32202.799999999999</v>
      </c>
      <c r="Q86" s="77">
        <v>32202.799999999999</v>
      </c>
      <c r="R86" s="78">
        <v>0</v>
      </c>
    </row>
    <row r="87" spans="1:18" ht="9" customHeight="1" x14ac:dyDescent="0.3">
      <c r="A87" s="1" t="s">
        <v>78</v>
      </c>
      <c r="I87" s="48"/>
      <c r="J87" s="41"/>
      <c r="K87" s="41"/>
      <c r="L87" s="54"/>
      <c r="M87" s="54"/>
      <c r="N87" s="61"/>
      <c r="O87" s="60"/>
      <c r="P87" s="58"/>
      <c r="Q87" s="59"/>
      <c r="R87" s="56"/>
    </row>
    <row r="88" spans="1:18" x14ac:dyDescent="0.3">
      <c r="A88" s="1" t="s">
        <v>78</v>
      </c>
      <c r="D88" s="1" t="str">
        <f t="shared" ref="D88:D119" si="115">H88</f>
        <v>"Business Central","CRONUS JetCorp USA","25","1","2545"</v>
      </c>
      <c r="E88" s="1">
        <f t="shared" ref="E88" si="116">I83</f>
        <v>0</v>
      </c>
      <c r="G88" s="1">
        <v>2545</v>
      </c>
      <c r="H88" s="9" t="str">
        <f>"""Business Central"",""CRONUS JetCorp USA"",""25"",""1"",""2545"""</f>
        <v>"Business Central","CRONUS JetCorp USA","25","1","2545"</v>
      </c>
      <c r="I88" s="51"/>
      <c r="J88" s="52" t="str">
        <f>"Order PO102523"</f>
        <v>Order PO102523</v>
      </c>
      <c r="K88" s="52" t="str">
        <f>"PI_102522"</f>
        <v>PI_102522</v>
      </c>
      <c r="L88" s="53">
        <v>42735</v>
      </c>
      <c r="M88" s="53">
        <v>42705</v>
      </c>
      <c r="N88" s="57" t="str">
        <f>""</f>
        <v/>
      </c>
      <c r="O88" s="75">
        <v>0</v>
      </c>
      <c r="P88" s="76">
        <v>0</v>
      </c>
      <c r="Q88" s="77">
        <v>-32202.799999999999</v>
      </c>
      <c r="R88" s="78">
        <v>0</v>
      </c>
    </row>
    <row r="89" spans="1:18" x14ac:dyDescent="0.3">
      <c r="A89" s="1" t="s">
        <v>78</v>
      </c>
      <c r="B89" s="1" t="str">
        <f t="shared" ref="B89" si="117">IF(H89="","Hide","Show")</f>
        <v>Show</v>
      </c>
      <c r="D89" s="1" t="str">
        <f t="shared" ref="D89:D120" si="118">D88</f>
        <v>"Business Central","CRONUS JetCorp USA","25","1","2545"</v>
      </c>
      <c r="E89" s="1">
        <f t="shared" ref="E89:E120" si="119">E88</f>
        <v>0</v>
      </c>
      <c r="F89" s="1">
        <v>2545</v>
      </c>
      <c r="H89" s="9" t="str">
        <f>"""Business Central"",""CRONUS JetCorp USA"",""380"",""1"",""113"""</f>
        <v>"Business Central","CRONUS JetCorp USA","380","1","113"</v>
      </c>
      <c r="I89" s="48"/>
      <c r="J89" s="41" t="str">
        <f>"Payment"</f>
        <v>Payment</v>
      </c>
      <c r="K89" s="41" t="str">
        <f>"GP100306"</f>
        <v>GP100306</v>
      </c>
      <c r="L89" s="54"/>
      <c r="M89" s="54">
        <v>42400</v>
      </c>
      <c r="N89" s="57" t="str">
        <f>""</f>
        <v/>
      </c>
      <c r="O89" s="75">
        <v>0</v>
      </c>
      <c r="P89" s="76">
        <v>32202.799999999999</v>
      </c>
      <c r="Q89" s="77">
        <v>32202.799999999999</v>
      </c>
      <c r="R89" s="78">
        <v>0</v>
      </c>
    </row>
    <row r="90" spans="1:18" ht="9" customHeight="1" x14ac:dyDescent="0.3">
      <c r="A90" s="1" t="s">
        <v>78</v>
      </c>
      <c r="I90" s="48"/>
      <c r="J90" s="41"/>
      <c r="K90" s="41"/>
      <c r="L90" s="54"/>
      <c r="M90" s="54"/>
      <c r="N90" s="61"/>
      <c r="O90" s="60"/>
      <c r="P90" s="58"/>
      <c r="Q90" s="59"/>
      <c r="R90" s="56"/>
    </row>
    <row r="91" spans="1:18" x14ac:dyDescent="0.3">
      <c r="A91" s="1" t="s">
        <v>78</v>
      </c>
      <c r="D91" s="1" t="str">
        <f t="shared" ref="D91:D122" si="120">H91</f>
        <v>"Business Central","CRONUS JetCorp USA","25","1","2671"</v>
      </c>
      <c r="E91" s="1">
        <f t="shared" ref="E91" si="121">I86</f>
        <v>0</v>
      </c>
      <c r="G91" s="1">
        <v>2671</v>
      </c>
      <c r="H91" s="9" t="str">
        <f>"""Business Central"",""CRONUS JetCorp USA"",""25"",""1"",""2671"""</f>
        <v>"Business Central","CRONUS JetCorp USA","25","1","2671"</v>
      </c>
      <c r="I91" s="51"/>
      <c r="J91" s="52" t="str">
        <f>"Order PO102526"</f>
        <v>Order PO102526</v>
      </c>
      <c r="K91" s="52" t="str">
        <f>"PI_102525"</f>
        <v>PI_102525</v>
      </c>
      <c r="L91" s="53">
        <v>42735</v>
      </c>
      <c r="M91" s="53">
        <v>42705</v>
      </c>
      <c r="N91" s="57" t="str">
        <f>""</f>
        <v/>
      </c>
      <c r="O91" s="75">
        <v>0</v>
      </c>
      <c r="P91" s="76">
        <v>0</v>
      </c>
      <c r="Q91" s="77">
        <v>-27783</v>
      </c>
      <c r="R91" s="78">
        <v>0</v>
      </c>
    </row>
    <row r="92" spans="1:18" x14ac:dyDescent="0.3">
      <c r="A92" s="1" t="s">
        <v>78</v>
      </c>
      <c r="B92" s="1" t="str">
        <f t="shared" ref="B92" si="122">IF(H92="","Hide","Show")</f>
        <v>Show</v>
      </c>
      <c r="D92" s="1" t="str">
        <f t="shared" ref="D92:D123" si="123">D91</f>
        <v>"Business Central","CRONUS JetCorp USA","25","1","2671"</v>
      </c>
      <c r="E92" s="1">
        <f t="shared" ref="E92:E123" si="124">E91</f>
        <v>0</v>
      </c>
      <c r="F92" s="1">
        <v>2671</v>
      </c>
      <c r="H92" s="9" t="str">
        <f>"""Business Central"",""CRONUS JetCorp USA"",""380"",""1"",""114"""</f>
        <v>"Business Central","CRONUS JetCorp USA","380","1","114"</v>
      </c>
      <c r="I92" s="48"/>
      <c r="J92" s="41" t="str">
        <f>"Payment"</f>
        <v>Payment</v>
      </c>
      <c r="K92" s="41" t="str">
        <f>"GP100306"</f>
        <v>GP100306</v>
      </c>
      <c r="L92" s="54"/>
      <c r="M92" s="54">
        <v>42400</v>
      </c>
      <c r="N92" s="57" t="str">
        <f>""</f>
        <v/>
      </c>
      <c r="O92" s="75">
        <v>0</v>
      </c>
      <c r="P92" s="76">
        <v>27783</v>
      </c>
      <c r="Q92" s="77">
        <v>27783</v>
      </c>
      <c r="R92" s="78">
        <v>0</v>
      </c>
    </row>
    <row r="93" spans="1:18" ht="9" customHeight="1" x14ac:dyDescent="0.3">
      <c r="A93" s="1" t="s">
        <v>78</v>
      </c>
      <c r="I93" s="48"/>
      <c r="J93" s="41"/>
      <c r="K93" s="41"/>
      <c r="L93" s="54"/>
      <c r="M93" s="54"/>
      <c r="N93" s="61"/>
      <c r="O93" s="60"/>
      <c r="P93" s="58"/>
      <c r="Q93" s="59"/>
      <c r="R93" s="56"/>
    </row>
    <row r="94" spans="1:18" x14ac:dyDescent="0.3">
      <c r="A94" s="1" t="s">
        <v>78</v>
      </c>
      <c r="D94" s="1" t="str">
        <f t="shared" ref="D94:D125" si="125">H94</f>
        <v>"Business Central","CRONUS JetCorp USA","25","1","2755"</v>
      </c>
      <c r="E94" s="1">
        <f t="shared" ref="E94" si="126">I89</f>
        <v>0</v>
      </c>
      <c r="G94" s="1">
        <v>2755</v>
      </c>
      <c r="H94" s="9" t="str">
        <f>"""Business Central"",""CRONUS JetCorp USA"",""25"",""1"",""2755"""</f>
        <v>"Business Central","CRONUS JetCorp USA","25","1","2755"</v>
      </c>
      <c r="I94" s="51"/>
      <c r="J94" s="52" t="str">
        <f>"Order PO102528"</f>
        <v>Order PO102528</v>
      </c>
      <c r="K94" s="52" t="str">
        <f>"PI_102527"</f>
        <v>PI_102527</v>
      </c>
      <c r="L94" s="53">
        <v>42735</v>
      </c>
      <c r="M94" s="53">
        <v>42705</v>
      </c>
      <c r="N94" s="57" t="str">
        <f>""</f>
        <v/>
      </c>
      <c r="O94" s="75">
        <v>0</v>
      </c>
      <c r="P94" s="76">
        <v>0</v>
      </c>
      <c r="Q94" s="77">
        <v>-27783</v>
      </c>
      <c r="R94" s="78">
        <v>0</v>
      </c>
    </row>
    <row r="95" spans="1:18" x14ac:dyDescent="0.3">
      <c r="A95" s="1" t="s">
        <v>78</v>
      </c>
      <c r="B95" s="1" t="str">
        <f t="shared" ref="B95" si="127">IF(H95="","Hide","Show")</f>
        <v>Show</v>
      </c>
      <c r="D95" s="1" t="str">
        <f t="shared" ref="D95:D126" si="128">D94</f>
        <v>"Business Central","CRONUS JetCorp USA","25","1","2755"</v>
      </c>
      <c r="E95" s="1">
        <f t="shared" ref="E95:E126" si="129">E94</f>
        <v>0</v>
      </c>
      <c r="F95" s="1">
        <v>2755</v>
      </c>
      <c r="H95" s="9" t="str">
        <f>"""Business Central"",""CRONUS JetCorp USA"",""380"",""1"",""115"""</f>
        <v>"Business Central","CRONUS JetCorp USA","380","1","115"</v>
      </c>
      <c r="I95" s="48"/>
      <c r="J95" s="41" t="str">
        <f>"Payment"</f>
        <v>Payment</v>
      </c>
      <c r="K95" s="41" t="str">
        <f>"GP100306"</f>
        <v>GP100306</v>
      </c>
      <c r="L95" s="54"/>
      <c r="M95" s="54">
        <v>42400</v>
      </c>
      <c r="N95" s="57" t="str">
        <f>""</f>
        <v/>
      </c>
      <c r="O95" s="75">
        <v>0</v>
      </c>
      <c r="P95" s="76">
        <v>27783</v>
      </c>
      <c r="Q95" s="77">
        <v>27783</v>
      </c>
      <c r="R95" s="78">
        <v>0</v>
      </c>
    </row>
    <row r="96" spans="1:18" ht="9" customHeight="1" x14ac:dyDescent="0.3">
      <c r="A96" s="1" t="s">
        <v>78</v>
      </c>
      <c r="I96" s="48"/>
      <c r="J96" s="41"/>
      <c r="K96" s="41"/>
      <c r="L96" s="54"/>
      <c r="M96" s="54"/>
      <c r="N96" s="61"/>
      <c r="O96" s="60"/>
      <c r="P96" s="58"/>
      <c r="Q96" s="59"/>
      <c r="R96" s="56"/>
    </row>
    <row r="97" spans="1:18" x14ac:dyDescent="0.3">
      <c r="A97" s="1" t="s">
        <v>78</v>
      </c>
      <c r="D97" s="1" t="str">
        <f t="shared" ref="D97:D128" si="130">H97</f>
        <v>"Business Central","CRONUS JetCorp USA","25","1","2881"</v>
      </c>
      <c r="E97" s="1">
        <f t="shared" ref="E97" si="131">I92</f>
        <v>0</v>
      </c>
      <c r="G97" s="1">
        <v>2881</v>
      </c>
      <c r="H97" s="9" t="str">
        <f>"""Business Central"",""CRONUS JetCorp USA"",""25"",""1"",""2881"""</f>
        <v>"Business Central","CRONUS JetCorp USA","25","1","2881"</v>
      </c>
      <c r="I97" s="51"/>
      <c r="J97" s="52" t="str">
        <f>"Order PO102531"</f>
        <v>Order PO102531</v>
      </c>
      <c r="K97" s="52" t="str">
        <f>"PI_102530"</f>
        <v>PI_102530</v>
      </c>
      <c r="L97" s="53">
        <v>42735</v>
      </c>
      <c r="M97" s="53">
        <v>42705</v>
      </c>
      <c r="N97" s="57" t="str">
        <f>""</f>
        <v/>
      </c>
      <c r="O97" s="75">
        <v>0</v>
      </c>
      <c r="P97" s="76">
        <v>0</v>
      </c>
      <c r="Q97" s="77">
        <v>-27783</v>
      </c>
      <c r="R97" s="78">
        <v>0</v>
      </c>
    </row>
    <row r="98" spans="1:18" x14ac:dyDescent="0.3">
      <c r="A98" s="1" t="s">
        <v>78</v>
      </c>
      <c r="B98" s="1" t="str">
        <f t="shared" ref="B98" si="132">IF(H98="","Hide","Show")</f>
        <v>Show</v>
      </c>
      <c r="D98" s="1" t="str">
        <f t="shared" ref="D98:D129" si="133">D97</f>
        <v>"Business Central","CRONUS JetCorp USA","25","1","2881"</v>
      </c>
      <c r="E98" s="1">
        <f t="shared" ref="E98:E129" si="134">E97</f>
        <v>0</v>
      </c>
      <c r="F98" s="1">
        <v>2881</v>
      </c>
      <c r="H98" s="9" t="str">
        <f>"""Business Central"",""CRONUS JetCorp USA"",""380"",""1"",""116"""</f>
        <v>"Business Central","CRONUS JetCorp USA","380","1","116"</v>
      </c>
      <c r="I98" s="48"/>
      <c r="J98" s="41" t="str">
        <f>"Payment"</f>
        <v>Payment</v>
      </c>
      <c r="K98" s="41" t="str">
        <f>"GP100306"</f>
        <v>GP100306</v>
      </c>
      <c r="L98" s="54"/>
      <c r="M98" s="54">
        <v>42400</v>
      </c>
      <c r="N98" s="57" t="str">
        <f>""</f>
        <v/>
      </c>
      <c r="O98" s="75">
        <v>0</v>
      </c>
      <c r="P98" s="76">
        <v>27783</v>
      </c>
      <c r="Q98" s="77">
        <v>27783</v>
      </c>
      <c r="R98" s="78">
        <v>0</v>
      </c>
    </row>
    <row r="99" spans="1:18" ht="9" customHeight="1" x14ac:dyDescent="0.3">
      <c r="A99" s="1" t="s">
        <v>78</v>
      </c>
      <c r="I99" s="48"/>
      <c r="J99" s="41"/>
      <c r="K99" s="41"/>
      <c r="L99" s="54"/>
      <c r="M99" s="54"/>
      <c r="N99" s="61"/>
      <c r="O99" s="60"/>
      <c r="P99" s="58"/>
      <c r="Q99" s="59"/>
      <c r="R99" s="56"/>
    </row>
    <row r="100" spans="1:18" x14ac:dyDescent="0.3">
      <c r="A100" s="1" t="s">
        <v>78</v>
      </c>
      <c r="D100" s="1" t="str">
        <f t="shared" ref="D100:D131" si="135">H100</f>
        <v>"Business Central","CRONUS JetCorp USA","25","1","2965"</v>
      </c>
      <c r="E100" s="1">
        <f t="shared" ref="E100" si="136">I95</f>
        <v>0</v>
      </c>
      <c r="G100" s="1">
        <v>2965</v>
      </c>
      <c r="H100" s="9" t="str">
        <f>"""Business Central"",""CRONUS JetCorp USA"",""25"",""1"",""2965"""</f>
        <v>"Business Central","CRONUS JetCorp USA","25","1","2965"</v>
      </c>
      <c r="I100" s="51"/>
      <c r="J100" s="52" t="str">
        <f>"Order PO102533"</f>
        <v>Order PO102533</v>
      </c>
      <c r="K100" s="52" t="str">
        <f>"PI_102532"</f>
        <v>PI_102532</v>
      </c>
      <c r="L100" s="53">
        <v>42735</v>
      </c>
      <c r="M100" s="53">
        <v>42705</v>
      </c>
      <c r="N100" s="57" t="str">
        <f>""</f>
        <v/>
      </c>
      <c r="O100" s="75">
        <v>0</v>
      </c>
      <c r="P100" s="76">
        <v>0</v>
      </c>
      <c r="Q100" s="77">
        <v>-27783</v>
      </c>
      <c r="R100" s="78">
        <v>0</v>
      </c>
    </row>
    <row r="101" spans="1:18" x14ac:dyDescent="0.3">
      <c r="A101" s="1" t="s">
        <v>78</v>
      </c>
      <c r="B101" s="1" t="str">
        <f t="shared" ref="B101" si="137">IF(H101="","Hide","Show")</f>
        <v>Show</v>
      </c>
      <c r="D101" s="1" t="str">
        <f t="shared" ref="D101:D132" si="138">D100</f>
        <v>"Business Central","CRONUS JetCorp USA","25","1","2965"</v>
      </c>
      <c r="E101" s="1">
        <f t="shared" ref="E101:E132" si="139">E100</f>
        <v>0</v>
      </c>
      <c r="F101" s="1">
        <v>2965</v>
      </c>
      <c r="H101" s="9" t="str">
        <f>"""Business Central"",""CRONUS JetCorp USA"",""380"",""1"",""117"""</f>
        <v>"Business Central","CRONUS JetCorp USA","380","1","117"</v>
      </c>
      <c r="I101" s="48"/>
      <c r="J101" s="41" t="str">
        <f>"Payment"</f>
        <v>Payment</v>
      </c>
      <c r="K101" s="41" t="str">
        <f>"GP100306"</f>
        <v>GP100306</v>
      </c>
      <c r="L101" s="54"/>
      <c r="M101" s="54">
        <v>42400</v>
      </c>
      <c r="N101" s="57" t="str">
        <f>""</f>
        <v/>
      </c>
      <c r="O101" s="75">
        <v>0</v>
      </c>
      <c r="P101" s="76">
        <v>27783</v>
      </c>
      <c r="Q101" s="77">
        <v>27783</v>
      </c>
      <c r="R101" s="78">
        <v>0</v>
      </c>
    </row>
    <row r="102" spans="1:18" ht="9" customHeight="1" x14ac:dyDescent="0.3">
      <c r="A102" s="1" t="s">
        <v>78</v>
      </c>
      <c r="I102" s="48"/>
      <c r="J102" s="41"/>
      <c r="K102" s="41"/>
      <c r="L102" s="54"/>
      <c r="M102" s="54"/>
      <c r="N102" s="61"/>
      <c r="O102" s="60"/>
      <c r="P102" s="58"/>
      <c r="Q102" s="59"/>
      <c r="R102" s="56"/>
    </row>
    <row r="103" spans="1:18" x14ac:dyDescent="0.3">
      <c r="A103" s="1" t="s">
        <v>78</v>
      </c>
      <c r="D103" s="1" t="str">
        <f t="shared" ref="D103:D134" si="140">H103</f>
        <v>"Business Central","CRONUS JetCorp USA","25","1","3007"</v>
      </c>
      <c r="E103" s="1">
        <f t="shared" ref="E103" si="141">I98</f>
        <v>0</v>
      </c>
      <c r="G103" s="1">
        <v>3007</v>
      </c>
      <c r="H103" s="9" t="str">
        <f>"""Business Central"",""CRONUS JetCorp USA"",""25"",""1"",""3007"""</f>
        <v>"Business Central","CRONUS JetCorp USA","25","1","3007"</v>
      </c>
      <c r="I103" s="51"/>
      <c r="J103" s="52" t="str">
        <f>"Order PO102534"</f>
        <v>Order PO102534</v>
      </c>
      <c r="K103" s="52" t="str">
        <f>"PI_102533"</f>
        <v>PI_102533</v>
      </c>
      <c r="L103" s="53">
        <v>42735</v>
      </c>
      <c r="M103" s="53">
        <v>42705</v>
      </c>
      <c r="N103" s="57" t="str">
        <f>""</f>
        <v/>
      </c>
      <c r="O103" s="75">
        <v>0</v>
      </c>
      <c r="P103" s="76">
        <v>0</v>
      </c>
      <c r="Q103" s="77">
        <v>-27783</v>
      </c>
      <c r="R103" s="78">
        <v>0</v>
      </c>
    </row>
    <row r="104" spans="1:18" x14ac:dyDescent="0.3">
      <c r="A104" s="1" t="s">
        <v>78</v>
      </c>
      <c r="B104" s="1" t="str">
        <f t="shared" ref="B104" si="142">IF(H104="","Hide","Show")</f>
        <v>Show</v>
      </c>
      <c r="D104" s="1" t="str">
        <f t="shared" ref="D104:D135" si="143">D103</f>
        <v>"Business Central","CRONUS JetCorp USA","25","1","3007"</v>
      </c>
      <c r="E104" s="1">
        <f t="shared" ref="E104:E135" si="144">E103</f>
        <v>0</v>
      </c>
      <c r="F104" s="1">
        <v>3007</v>
      </c>
      <c r="H104" s="9" t="str">
        <f>"""Business Central"",""CRONUS JetCorp USA"",""380"",""1"",""118"""</f>
        <v>"Business Central","CRONUS JetCorp USA","380","1","118"</v>
      </c>
      <c r="I104" s="48"/>
      <c r="J104" s="41" t="str">
        <f>"Payment"</f>
        <v>Payment</v>
      </c>
      <c r="K104" s="41" t="str">
        <f>"GP100306"</f>
        <v>GP100306</v>
      </c>
      <c r="L104" s="54"/>
      <c r="M104" s="54">
        <v>42400</v>
      </c>
      <c r="N104" s="57" t="str">
        <f>""</f>
        <v/>
      </c>
      <c r="O104" s="75">
        <v>0</v>
      </c>
      <c r="P104" s="76">
        <v>27783</v>
      </c>
      <c r="Q104" s="77">
        <v>27783</v>
      </c>
      <c r="R104" s="78">
        <v>0</v>
      </c>
    </row>
    <row r="105" spans="1:18" ht="9" customHeight="1" x14ac:dyDescent="0.3">
      <c r="A105" s="1" t="s">
        <v>78</v>
      </c>
      <c r="I105" s="48"/>
      <c r="J105" s="41"/>
      <c r="K105" s="41"/>
      <c r="L105" s="54"/>
      <c r="M105" s="54"/>
      <c r="N105" s="61"/>
      <c r="O105" s="60"/>
      <c r="P105" s="58"/>
      <c r="Q105" s="59"/>
      <c r="R105" s="56"/>
    </row>
    <row r="106" spans="1:18" x14ac:dyDescent="0.3">
      <c r="A106" s="1" t="s">
        <v>78</v>
      </c>
      <c r="D106" s="1" t="str">
        <f t="shared" ref="D106:D137" si="145">H106</f>
        <v>"Business Central","CRONUS JetCorp USA","25","1","3033"</v>
      </c>
      <c r="E106" s="1">
        <f t="shared" ref="E106" si="146">I101</f>
        <v>0</v>
      </c>
      <c r="G106" s="1">
        <v>3033</v>
      </c>
      <c r="H106" s="9" t="str">
        <f>"""Business Central"",""CRONUS JetCorp USA"",""25"",""1"",""3033"""</f>
        <v>"Business Central","CRONUS JetCorp USA","25","1","3033"</v>
      </c>
      <c r="I106" s="51"/>
      <c r="J106" s="52" t="str">
        <f>"Order PO102535"</f>
        <v>Order PO102535</v>
      </c>
      <c r="K106" s="52" t="str">
        <f>"PI_102534"</f>
        <v>PI_102534</v>
      </c>
      <c r="L106" s="53">
        <v>42735</v>
      </c>
      <c r="M106" s="53">
        <v>42705</v>
      </c>
      <c r="N106" s="57" t="str">
        <f>""</f>
        <v/>
      </c>
      <c r="O106" s="75">
        <v>0</v>
      </c>
      <c r="P106" s="76">
        <v>0</v>
      </c>
      <c r="Q106" s="77">
        <v>-2310.84</v>
      </c>
      <c r="R106" s="78">
        <v>0</v>
      </c>
    </row>
    <row r="107" spans="1:18" x14ac:dyDescent="0.3">
      <c r="A107" s="1" t="s">
        <v>78</v>
      </c>
      <c r="B107" s="1" t="str">
        <f t="shared" ref="B107" si="147">IF(H107="","Hide","Show")</f>
        <v>Show</v>
      </c>
      <c r="D107" s="1" t="str">
        <f t="shared" ref="D107:D138" si="148">D106</f>
        <v>"Business Central","CRONUS JetCorp USA","25","1","3033"</v>
      </c>
      <c r="E107" s="1">
        <f t="shared" ref="E107:E138" si="149">E106</f>
        <v>0</v>
      </c>
      <c r="F107" s="1">
        <v>3033</v>
      </c>
      <c r="H107" s="9" t="str">
        <f>"""Business Central"",""CRONUS JetCorp USA"",""380"",""1"",""119"""</f>
        <v>"Business Central","CRONUS JetCorp USA","380","1","119"</v>
      </c>
      <c r="I107" s="48"/>
      <c r="J107" s="41" t="str">
        <f>"Payment"</f>
        <v>Payment</v>
      </c>
      <c r="K107" s="41" t="str">
        <f>"GP100306"</f>
        <v>GP100306</v>
      </c>
      <c r="L107" s="54"/>
      <c r="M107" s="54">
        <v>42400</v>
      </c>
      <c r="N107" s="57" t="str">
        <f>""</f>
        <v/>
      </c>
      <c r="O107" s="75">
        <v>0</v>
      </c>
      <c r="P107" s="76">
        <v>2310.84</v>
      </c>
      <c r="Q107" s="77">
        <v>2310.84</v>
      </c>
      <c r="R107" s="78">
        <v>0</v>
      </c>
    </row>
    <row r="108" spans="1:18" ht="9" customHeight="1" x14ac:dyDescent="0.3">
      <c r="A108" s="1" t="s">
        <v>78</v>
      </c>
      <c r="I108" s="48"/>
      <c r="J108" s="41"/>
      <c r="K108" s="41"/>
      <c r="L108" s="54"/>
      <c r="M108" s="54"/>
      <c r="N108" s="61"/>
      <c r="O108" s="60"/>
      <c r="P108" s="58"/>
      <c r="Q108" s="59"/>
      <c r="R108" s="56"/>
    </row>
    <row r="109" spans="1:18" x14ac:dyDescent="0.3">
      <c r="A109" s="1" t="s">
        <v>78</v>
      </c>
      <c r="D109" s="1" t="str">
        <f t="shared" ref="D109:D140" si="150">H109</f>
        <v>"Business Central","CRONUS JetCorp USA","25","1","3105"</v>
      </c>
      <c r="E109" s="1">
        <f t="shared" ref="E109" si="151">I104</f>
        <v>0</v>
      </c>
      <c r="G109" s="1">
        <v>3105</v>
      </c>
      <c r="H109" s="9" t="str">
        <f>"""Business Central"",""CRONUS JetCorp USA"",""25"",""1"",""3105"""</f>
        <v>"Business Central","CRONUS JetCorp USA","25","1","3105"</v>
      </c>
      <c r="I109" s="51"/>
      <c r="J109" s="52" t="str">
        <f>"Order PO102537"</f>
        <v>Order PO102537</v>
      </c>
      <c r="K109" s="52" t="str">
        <f>"PI_102536"</f>
        <v>PI_102536</v>
      </c>
      <c r="L109" s="53">
        <v>42735</v>
      </c>
      <c r="M109" s="53">
        <v>42705</v>
      </c>
      <c r="N109" s="57" t="str">
        <f>""</f>
        <v/>
      </c>
      <c r="O109" s="75">
        <v>0</v>
      </c>
      <c r="P109" s="76">
        <v>0</v>
      </c>
      <c r="Q109" s="77">
        <v>-10652.6</v>
      </c>
      <c r="R109" s="78">
        <v>0</v>
      </c>
    </row>
    <row r="110" spans="1:18" x14ac:dyDescent="0.3">
      <c r="A110" s="1" t="s">
        <v>78</v>
      </c>
      <c r="B110" s="1" t="str">
        <f t="shared" ref="B110" si="152">IF(H110="","Hide","Show")</f>
        <v>Show</v>
      </c>
      <c r="D110" s="1" t="str">
        <f t="shared" ref="D110:D141" si="153">D109</f>
        <v>"Business Central","CRONUS JetCorp USA","25","1","3105"</v>
      </c>
      <c r="E110" s="1">
        <f t="shared" ref="E110:E141" si="154">E109</f>
        <v>0</v>
      </c>
      <c r="F110" s="1">
        <v>3105</v>
      </c>
      <c r="H110" s="9" t="str">
        <f>"""Business Central"",""CRONUS JetCorp USA"",""380"",""1"",""120"""</f>
        <v>"Business Central","CRONUS JetCorp USA","380","1","120"</v>
      </c>
      <c r="I110" s="48"/>
      <c r="J110" s="41" t="str">
        <f>"Payment"</f>
        <v>Payment</v>
      </c>
      <c r="K110" s="41" t="str">
        <f>"GP100306"</f>
        <v>GP100306</v>
      </c>
      <c r="L110" s="54"/>
      <c r="M110" s="54">
        <v>42400</v>
      </c>
      <c r="N110" s="57" t="str">
        <f>""</f>
        <v/>
      </c>
      <c r="O110" s="75">
        <v>0</v>
      </c>
      <c r="P110" s="76">
        <v>10652.6</v>
      </c>
      <c r="Q110" s="77">
        <v>10652.6</v>
      </c>
      <c r="R110" s="78">
        <v>0</v>
      </c>
    </row>
    <row r="111" spans="1:18" ht="9" customHeight="1" x14ac:dyDescent="0.3">
      <c r="A111" s="1" t="s">
        <v>78</v>
      </c>
      <c r="I111" s="48"/>
      <c r="J111" s="41"/>
      <c r="K111" s="41"/>
      <c r="L111" s="54"/>
      <c r="M111" s="54"/>
      <c r="N111" s="61"/>
      <c r="O111" s="60"/>
      <c r="P111" s="58"/>
      <c r="Q111" s="59"/>
      <c r="R111" s="56"/>
    </row>
    <row r="112" spans="1:18" x14ac:dyDescent="0.3">
      <c r="A112" s="1" t="s">
        <v>78</v>
      </c>
      <c r="D112" s="1" t="str">
        <f t="shared" ref="D112:D143" si="155">H112</f>
        <v>"Business Central","CRONUS JetCorp USA","25","1","3141"</v>
      </c>
      <c r="E112" s="1">
        <f t="shared" ref="E112" si="156">I107</f>
        <v>0</v>
      </c>
      <c r="G112" s="1">
        <v>3141</v>
      </c>
      <c r="H112" s="9" t="str">
        <f>"""Business Central"",""CRONUS JetCorp USA"",""25"",""1"",""3141"""</f>
        <v>"Business Central","CRONUS JetCorp USA","25","1","3141"</v>
      </c>
      <c r="I112" s="51"/>
      <c r="J112" s="52" t="str">
        <f>"Order PO102538"</f>
        <v>Order PO102538</v>
      </c>
      <c r="K112" s="52" t="str">
        <f>"PI_102537"</f>
        <v>PI_102537</v>
      </c>
      <c r="L112" s="53">
        <v>42735</v>
      </c>
      <c r="M112" s="53">
        <v>42705</v>
      </c>
      <c r="N112" s="57" t="str">
        <f>""</f>
        <v/>
      </c>
      <c r="O112" s="75">
        <v>0</v>
      </c>
      <c r="P112" s="76">
        <v>0</v>
      </c>
      <c r="Q112" s="77">
        <v>-10652.6</v>
      </c>
      <c r="R112" s="78">
        <v>0</v>
      </c>
    </row>
    <row r="113" spans="1:18" x14ac:dyDescent="0.3">
      <c r="A113" s="1" t="s">
        <v>78</v>
      </c>
      <c r="B113" s="1" t="str">
        <f t="shared" ref="B113" si="157">IF(H113="","Hide","Show")</f>
        <v>Show</v>
      </c>
      <c r="D113" s="1" t="str">
        <f t="shared" ref="D113:D144" si="158">D112</f>
        <v>"Business Central","CRONUS JetCorp USA","25","1","3141"</v>
      </c>
      <c r="E113" s="1">
        <f t="shared" ref="E113:E144" si="159">E112</f>
        <v>0</v>
      </c>
      <c r="F113" s="1">
        <v>3141</v>
      </c>
      <c r="H113" s="9" t="str">
        <f>"""Business Central"",""CRONUS JetCorp USA"",""380"",""1"",""121"""</f>
        <v>"Business Central","CRONUS JetCorp USA","380","1","121"</v>
      </c>
      <c r="I113" s="48"/>
      <c r="J113" s="41" t="str">
        <f>"Payment"</f>
        <v>Payment</v>
      </c>
      <c r="K113" s="41" t="str">
        <f>"GP100306"</f>
        <v>GP100306</v>
      </c>
      <c r="L113" s="54"/>
      <c r="M113" s="54">
        <v>42400</v>
      </c>
      <c r="N113" s="57" t="str">
        <f>""</f>
        <v/>
      </c>
      <c r="O113" s="75">
        <v>0</v>
      </c>
      <c r="P113" s="76">
        <v>10652.6</v>
      </c>
      <c r="Q113" s="77">
        <v>10652.6</v>
      </c>
      <c r="R113" s="78">
        <v>0</v>
      </c>
    </row>
    <row r="114" spans="1:18" ht="9" customHeight="1" x14ac:dyDescent="0.3">
      <c r="A114" s="1" t="s">
        <v>78</v>
      </c>
      <c r="I114" s="48"/>
      <c r="J114" s="41"/>
      <c r="K114" s="41"/>
      <c r="L114" s="54"/>
      <c r="M114" s="54"/>
      <c r="N114" s="61"/>
      <c r="O114" s="60"/>
      <c r="P114" s="58"/>
      <c r="Q114" s="59"/>
      <c r="R114" s="56"/>
    </row>
    <row r="115" spans="1:18" x14ac:dyDescent="0.3">
      <c r="A115" s="1" t="s">
        <v>78</v>
      </c>
      <c r="D115" s="1" t="str">
        <f t="shared" ref="D115:D146" si="160">H115</f>
        <v>"Business Central","CRONUS JetCorp USA","25","1","3175"</v>
      </c>
      <c r="E115" s="1">
        <f t="shared" ref="E115" si="161">I110</f>
        <v>0</v>
      </c>
      <c r="G115" s="1">
        <v>3175</v>
      </c>
      <c r="H115" s="9" t="str">
        <f>"""Business Central"",""CRONUS JetCorp USA"",""25"",""1"",""3175"""</f>
        <v>"Business Central","CRONUS JetCorp USA","25","1","3175"</v>
      </c>
      <c r="I115" s="51"/>
      <c r="J115" s="52" t="str">
        <f>"Order PO102540"</f>
        <v>Order PO102540</v>
      </c>
      <c r="K115" s="52" t="str">
        <f>"PI_102539"</f>
        <v>PI_102539</v>
      </c>
      <c r="L115" s="53">
        <v>42735</v>
      </c>
      <c r="M115" s="53">
        <v>42705</v>
      </c>
      <c r="N115" s="57" t="str">
        <f>""</f>
        <v/>
      </c>
      <c r="O115" s="75">
        <v>0</v>
      </c>
      <c r="P115" s="76">
        <v>0</v>
      </c>
      <c r="Q115" s="77">
        <v>-2736.65</v>
      </c>
      <c r="R115" s="78">
        <v>0</v>
      </c>
    </row>
    <row r="116" spans="1:18" x14ac:dyDescent="0.3">
      <c r="A116" s="1" t="s">
        <v>78</v>
      </c>
      <c r="B116" s="1" t="str">
        <f t="shared" ref="B116" si="162">IF(H116="","Hide","Show")</f>
        <v>Show</v>
      </c>
      <c r="D116" s="1" t="str">
        <f t="shared" ref="D116:D147" si="163">D115</f>
        <v>"Business Central","CRONUS JetCorp USA","25","1","3175"</v>
      </c>
      <c r="E116" s="1">
        <f t="shared" ref="E116:E147" si="164">E115</f>
        <v>0</v>
      </c>
      <c r="F116" s="1">
        <v>3175</v>
      </c>
      <c r="H116" s="9" t="str">
        <f>"""Business Central"",""CRONUS JetCorp USA"",""380"",""1"",""122"""</f>
        <v>"Business Central","CRONUS JetCorp USA","380","1","122"</v>
      </c>
      <c r="I116" s="48"/>
      <c r="J116" s="41" t="str">
        <f>"Payment"</f>
        <v>Payment</v>
      </c>
      <c r="K116" s="41" t="str">
        <f>"GP100306"</f>
        <v>GP100306</v>
      </c>
      <c r="L116" s="54"/>
      <c r="M116" s="54">
        <v>42400</v>
      </c>
      <c r="N116" s="57" t="str">
        <f>""</f>
        <v/>
      </c>
      <c r="O116" s="75">
        <v>0</v>
      </c>
      <c r="P116" s="76">
        <v>2736.65</v>
      </c>
      <c r="Q116" s="77">
        <v>2736.65</v>
      </c>
      <c r="R116" s="78">
        <v>0</v>
      </c>
    </row>
    <row r="117" spans="1:18" ht="9" customHeight="1" x14ac:dyDescent="0.3">
      <c r="A117" s="1" t="s">
        <v>78</v>
      </c>
      <c r="I117" s="48"/>
      <c r="J117" s="41"/>
      <c r="K117" s="41"/>
      <c r="L117" s="54"/>
      <c r="M117" s="54"/>
      <c r="N117" s="61"/>
      <c r="O117" s="60"/>
      <c r="P117" s="58"/>
      <c r="Q117" s="59"/>
      <c r="R117" s="56"/>
    </row>
    <row r="118" spans="1:18" x14ac:dyDescent="0.3">
      <c r="A118" s="1" t="s">
        <v>78</v>
      </c>
      <c r="D118" s="1" t="str">
        <f t="shared" ref="D118:D149" si="165">H118</f>
        <v>"Business Central","CRONUS JetCorp USA","25","1","3207"</v>
      </c>
      <c r="E118" s="1">
        <f t="shared" ref="E118" si="166">I113</f>
        <v>0</v>
      </c>
      <c r="G118" s="1">
        <v>3207</v>
      </c>
      <c r="H118" s="9" t="str">
        <f>"""Business Central"",""CRONUS JetCorp USA"",""25"",""1"",""3207"""</f>
        <v>"Business Central","CRONUS JetCorp USA","25","1","3207"</v>
      </c>
      <c r="I118" s="51"/>
      <c r="J118" s="52" t="str">
        <f>"Order PO102543"</f>
        <v>Order PO102543</v>
      </c>
      <c r="K118" s="52" t="str">
        <f>"PI_102542"</f>
        <v>PI_102542</v>
      </c>
      <c r="L118" s="53">
        <v>42735</v>
      </c>
      <c r="M118" s="53">
        <v>42705</v>
      </c>
      <c r="N118" s="57" t="str">
        <f>""</f>
        <v/>
      </c>
      <c r="O118" s="75">
        <v>0</v>
      </c>
      <c r="P118" s="76">
        <v>0</v>
      </c>
      <c r="Q118" s="77">
        <v>-6232.8</v>
      </c>
      <c r="R118" s="78">
        <v>0</v>
      </c>
    </row>
    <row r="119" spans="1:18" x14ac:dyDescent="0.3">
      <c r="A119" s="1" t="s">
        <v>78</v>
      </c>
      <c r="B119" s="1" t="str">
        <f t="shared" ref="B119" si="167">IF(H119="","Hide","Show")</f>
        <v>Show</v>
      </c>
      <c r="D119" s="1" t="str">
        <f t="shared" ref="D119:D150" si="168">D118</f>
        <v>"Business Central","CRONUS JetCorp USA","25","1","3207"</v>
      </c>
      <c r="E119" s="1">
        <f t="shared" ref="E119:E150" si="169">E118</f>
        <v>0</v>
      </c>
      <c r="F119" s="1">
        <v>3207</v>
      </c>
      <c r="H119" s="9" t="str">
        <f>"""Business Central"",""CRONUS JetCorp USA"",""380"",""1"",""123"""</f>
        <v>"Business Central","CRONUS JetCorp USA","380","1","123"</v>
      </c>
      <c r="I119" s="48"/>
      <c r="J119" s="41" t="str">
        <f>"Payment"</f>
        <v>Payment</v>
      </c>
      <c r="K119" s="41" t="str">
        <f>"GP100306"</f>
        <v>GP100306</v>
      </c>
      <c r="L119" s="54"/>
      <c r="M119" s="54">
        <v>42400</v>
      </c>
      <c r="N119" s="57" t="str">
        <f>""</f>
        <v/>
      </c>
      <c r="O119" s="75">
        <v>0</v>
      </c>
      <c r="P119" s="76">
        <v>6232.8</v>
      </c>
      <c r="Q119" s="77">
        <v>6232.8</v>
      </c>
      <c r="R119" s="78">
        <v>0</v>
      </c>
    </row>
    <row r="120" spans="1:18" ht="9" customHeight="1" x14ac:dyDescent="0.3">
      <c r="A120" s="1" t="s">
        <v>78</v>
      </c>
      <c r="I120" s="48"/>
      <c r="J120" s="41"/>
      <c r="K120" s="41"/>
      <c r="L120" s="54"/>
      <c r="M120" s="54"/>
      <c r="N120" s="61"/>
      <c r="O120" s="60"/>
      <c r="P120" s="58"/>
      <c r="Q120" s="59"/>
      <c r="R120" s="56"/>
    </row>
    <row r="121" spans="1:18" x14ac:dyDescent="0.3">
      <c r="A121" s="1" t="s">
        <v>78</v>
      </c>
      <c r="D121" s="1" t="str">
        <f t="shared" ref="D121:D152" si="170">H121</f>
        <v>"Business Central","CRONUS JetCorp USA","25","1","3242"</v>
      </c>
      <c r="E121" s="1">
        <f t="shared" ref="E121" si="171">I116</f>
        <v>0</v>
      </c>
      <c r="G121" s="1">
        <v>3242</v>
      </c>
      <c r="H121" s="9" t="str">
        <f>"""Business Central"",""CRONUS JetCorp USA"",""25"",""1"",""3242"""</f>
        <v>"Business Central","CRONUS JetCorp USA","25","1","3242"</v>
      </c>
      <c r="I121" s="51"/>
      <c r="J121" s="52" t="str">
        <f>"Order PO102544"</f>
        <v>Order PO102544</v>
      </c>
      <c r="K121" s="52" t="str">
        <f>"PI_102543"</f>
        <v>PI_102543</v>
      </c>
      <c r="L121" s="53">
        <v>42735</v>
      </c>
      <c r="M121" s="53">
        <v>42705</v>
      </c>
      <c r="N121" s="57" t="str">
        <f>""</f>
        <v/>
      </c>
      <c r="O121" s="75">
        <v>0</v>
      </c>
      <c r="P121" s="76">
        <v>0</v>
      </c>
      <c r="Q121" s="77">
        <v>-50117.2</v>
      </c>
      <c r="R121" s="78">
        <v>0</v>
      </c>
    </row>
    <row r="122" spans="1:18" x14ac:dyDescent="0.3">
      <c r="A122" s="1" t="s">
        <v>78</v>
      </c>
      <c r="B122" s="1" t="str">
        <f t="shared" ref="B122" si="172">IF(H122="","Hide","Show")</f>
        <v>Show</v>
      </c>
      <c r="D122" s="1" t="str">
        <f t="shared" ref="D122:D153" si="173">D121</f>
        <v>"Business Central","CRONUS JetCorp USA","25","1","3242"</v>
      </c>
      <c r="E122" s="1">
        <f t="shared" ref="E122:E153" si="174">E121</f>
        <v>0</v>
      </c>
      <c r="F122" s="1">
        <v>3242</v>
      </c>
      <c r="H122" s="9" t="str">
        <f>"""Business Central"",""CRONUS JetCorp USA"",""380"",""1"",""124"""</f>
        <v>"Business Central","CRONUS JetCorp USA","380","1","124"</v>
      </c>
      <c r="I122" s="48"/>
      <c r="J122" s="41" t="str">
        <f>"Payment"</f>
        <v>Payment</v>
      </c>
      <c r="K122" s="41" t="str">
        <f>"GP100306"</f>
        <v>GP100306</v>
      </c>
      <c r="L122" s="54"/>
      <c r="M122" s="54">
        <v>42400</v>
      </c>
      <c r="N122" s="57" t="str">
        <f>""</f>
        <v/>
      </c>
      <c r="O122" s="75">
        <v>0</v>
      </c>
      <c r="P122" s="76">
        <v>50117.2</v>
      </c>
      <c r="Q122" s="77">
        <v>50117.2</v>
      </c>
      <c r="R122" s="78">
        <v>0</v>
      </c>
    </row>
    <row r="123" spans="1:18" ht="9" customHeight="1" x14ac:dyDescent="0.3">
      <c r="A123" s="1" t="s">
        <v>78</v>
      </c>
      <c r="I123" s="48"/>
      <c r="J123" s="41"/>
      <c r="K123" s="41"/>
      <c r="L123" s="54"/>
      <c r="M123" s="54"/>
      <c r="N123" s="61"/>
      <c r="O123" s="60"/>
      <c r="P123" s="58"/>
      <c r="Q123" s="59"/>
      <c r="R123" s="56"/>
    </row>
    <row r="124" spans="1:18" x14ac:dyDescent="0.3">
      <c r="A124" s="1" t="s">
        <v>78</v>
      </c>
      <c r="D124" s="1" t="str">
        <f t="shared" ref="D124:D155" si="175">H124</f>
        <v>"Business Central","CRONUS JetCorp USA","25","1","3260"</v>
      </c>
      <c r="E124" s="1">
        <f t="shared" ref="E124" si="176">I119</f>
        <v>0</v>
      </c>
      <c r="G124" s="1">
        <v>3260</v>
      </c>
      <c r="H124" s="9" t="str">
        <f>"""Business Central"",""CRONUS JetCorp USA"",""25"",""1"",""3260"""</f>
        <v>"Business Central","CRONUS JetCorp USA","25","1","3260"</v>
      </c>
      <c r="I124" s="51"/>
      <c r="J124" s="52" t="str">
        <f>"Order PO102547"</f>
        <v>Order PO102547</v>
      </c>
      <c r="K124" s="52" t="str">
        <f>"PI_102546"</f>
        <v>PI_102546</v>
      </c>
      <c r="L124" s="53">
        <v>42490</v>
      </c>
      <c r="M124" s="53">
        <v>42461</v>
      </c>
      <c r="N124" s="57" t="str">
        <f>""</f>
        <v/>
      </c>
      <c r="O124" s="75">
        <v>0</v>
      </c>
      <c r="P124" s="76">
        <v>0</v>
      </c>
      <c r="Q124" s="77">
        <v>-2698.92</v>
      </c>
      <c r="R124" s="78">
        <v>0</v>
      </c>
    </row>
    <row r="125" spans="1:18" x14ac:dyDescent="0.3">
      <c r="A125" s="1" t="s">
        <v>78</v>
      </c>
      <c r="B125" s="1" t="str">
        <f t="shared" ref="B125" si="177">IF(H125="","Hide","Show")</f>
        <v>Show</v>
      </c>
      <c r="D125" s="1" t="str">
        <f t="shared" ref="D125:D156" si="178">D124</f>
        <v>"Business Central","CRONUS JetCorp USA","25","1","3260"</v>
      </c>
      <c r="E125" s="1">
        <f t="shared" ref="E125:E156" si="179">E124</f>
        <v>0</v>
      </c>
      <c r="F125" s="1">
        <v>3260</v>
      </c>
      <c r="H125" s="9" t="str">
        <f>"""Business Central"",""CRONUS JetCorp USA"",""380"",""1"",""136"""</f>
        <v>"Business Central","CRONUS JetCorp USA","380","1","136"</v>
      </c>
      <c r="I125" s="48"/>
      <c r="J125" s="41" t="str">
        <f>"Payment"</f>
        <v>Payment</v>
      </c>
      <c r="K125" s="41" t="str">
        <f>"GP100308"</f>
        <v>GP100308</v>
      </c>
      <c r="L125" s="54"/>
      <c r="M125" s="54">
        <v>42495</v>
      </c>
      <c r="N125" s="57" t="str">
        <f>""</f>
        <v/>
      </c>
      <c r="O125" s="75">
        <v>0</v>
      </c>
      <c r="P125" s="76">
        <v>2698.92</v>
      </c>
      <c r="Q125" s="77">
        <v>2698.92</v>
      </c>
      <c r="R125" s="78">
        <v>0</v>
      </c>
    </row>
    <row r="126" spans="1:18" ht="9" customHeight="1" x14ac:dyDescent="0.3">
      <c r="A126" s="1" t="s">
        <v>78</v>
      </c>
      <c r="I126" s="48"/>
      <c r="J126" s="41"/>
      <c r="K126" s="41"/>
      <c r="L126" s="54"/>
      <c r="M126" s="54"/>
      <c r="N126" s="61"/>
      <c r="O126" s="60"/>
      <c r="P126" s="58"/>
      <c r="Q126" s="59"/>
      <c r="R126" s="56"/>
    </row>
    <row r="127" spans="1:18" x14ac:dyDescent="0.3">
      <c r="A127" s="1" t="s">
        <v>78</v>
      </c>
      <c r="D127" s="1" t="str">
        <f t="shared" ref="D127:D158" si="180">H127</f>
        <v>"Business Central","CRONUS JetCorp USA","25","1","3264"</v>
      </c>
      <c r="E127" s="1">
        <f t="shared" ref="E127" si="181">I122</f>
        <v>0</v>
      </c>
      <c r="G127" s="1">
        <v>3264</v>
      </c>
      <c r="H127" s="9" t="str">
        <f>"""Business Central"",""CRONUS JetCorp USA"",""25"",""1"",""3264"""</f>
        <v>"Business Central","CRONUS JetCorp USA","25","1","3264"</v>
      </c>
      <c r="I127" s="51"/>
      <c r="J127" s="52" t="str">
        <f>"Order PO102548"</f>
        <v>Order PO102548</v>
      </c>
      <c r="K127" s="52" t="str">
        <f>"PI_102547"</f>
        <v>PI_102547</v>
      </c>
      <c r="L127" s="53">
        <v>42551</v>
      </c>
      <c r="M127" s="53">
        <v>42523</v>
      </c>
      <c r="N127" s="57" t="str">
        <f>""</f>
        <v/>
      </c>
      <c r="O127" s="75">
        <v>0</v>
      </c>
      <c r="P127" s="76">
        <v>0</v>
      </c>
      <c r="Q127" s="77">
        <v>-2698.92</v>
      </c>
      <c r="R127" s="78">
        <v>0</v>
      </c>
    </row>
    <row r="128" spans="1:18" x14ac:dyDescent="0.3">
      <c r="A128" s="1" t="s">
        <v>78</v>
      </c>
      <c r="B128" s="1" t="str">
        <f t="shared" ref="B128" si="182">IF(H128="","Hide","Show")</f>
        <v>Show</v>
      </c>
      <c r="D128" s="1" t="str">
        <f t="shared" ref="D128:D159" si="183">D127</f>
        <v>"Business Central","CRONUS JetCorp USA","25","1","3264"</v>
      </c>
      <c r="E128" s="1">
        <f t="shared" ref="E128:E159" si="184">E127</f>
        <v>0</v>
      </c>
      <c r="F128" s="1">
        <v>3264</v>
      </c>
      <c r="H128" s="9" t="str">
        <f>"""Business Central"",""CRONUS JetCorp USA"",""380"",""1"",""143"""</f>
        <v>"Business Central","CRONUS JetCorp USA","380","1","143"</v>
      </c>
      <c r="I128" s="48"/>
      <c r="J128" s="41" t="str">
        <f>"Payment"</f>
        <v>Payment</v>
      </c>
      <c r="K128" s="41" t="str">
        <f>"GP100310"</f>
        <v>GP100310</v>
      </c>
      <c r="L128" s="54"/>
      <c r="M128" s="54">
        <v>42555</v>
      </c>
      <c r="N128" s="57" t="str">
        <f>""</f>
        <v/>
      </c>
      <c r="O128" s="75">
        <v>0</v>
      </c>
      <c r="P128" s="76">
        <v>2698.92</v>
      </c>
      <c r="Q128" s="77">
        <v>2698.92</v>
      </c>
      <c r="R128" s="78">
        <v>0</v>
      </c>
    </row>
    <row r="129" spans="1:18" ht="9" customHeight="1" x14ac:dyDescent="0.3">
      <c r="A129" s="1" t="s">
        <v>78</v>
      </c>
      <c r="I129" s="48"/>
      <c r="J129" s="41"/>
      <c r="K129" s="41"/>
      <c r="L129" s="54"/>
      <c r="M129" s="54"/>
      <c r="N129" s="61"/>
      <c r="O129" s="60"/>
      <c r="P129" s="58"/>
      <c r="Q129" s="59"/>
      <c r="R129" s="56"/>
    </row>
    <row r="130" spans="1:18" x14ac:dyDescent="0.3">
      <c r="A130" s="1" t="s">
        <v>78</v>
      </c>
      <c r="D130" s="1" t="str">
        <f t="shared" ref="D130:D161" si="185">H130</f>
        <v>"Business Central","CRONUS JetCorp USA","25","1","3278"</v>
      </c>
      <c r="E130" s="1">
        <f t="shared" ref="E130" si="186">I125</f>
        <v>0</v>
      </c>
      <c r="G130" s="1">
        <v>3278</v>
      </c>
      <c r="H130" s="9" t="str">
        <f>"""Business Central"",""CRONUS JetCorp USA"",""25"",""1"",""3278"""</f>
        <v>"Business Central","CRONUS JetCorp USA","25","1","3278"</v>
      </c>
      <c r="I130" s="51"/>
      <c r="J130" s="52" t="str">
        <f>"Order PO102549"</f>
        <v>Order PO102549</v>
      </c>
      <c r="K130" s="52" t="str">
        <f>"PI_102548"</f>
        <v>PI_102548</v>
      </c>
      <c r="L130" s="53">
        <v>42490</v>
      </c>
      <c r="M130" s="53">
        <v>42461</v>
      </c>
      <c r="N130" s="57" t="str">
        <f>""</f>
        <v/>
      </c>
      <c r="O130" s="75">
        <v>0</v>
      </c>
      <c r="P130" s="76">
        <v>0</v>
      </c>
      <c r="Q130" s="77">
        <v>-21231.7</v>
      </c>
      <c r="R130" s="78">
        <v>0</v>
      </c>
    </row>
    <row r="131" spans="1:18" x14ac:dyDescent="0.3">
      <c r="A131" s="1" t="s">
        <v>78</v>
      </c>
      <c r="B131" s="1" t="str">
        <f t="shared" ref="B131" si="187">IF(H131="","Hide","Show")</f>
        <v>Show</v>
      </c>
      <c r="D131" s="1" t="str">
        <f t="shared" ref="D131:D162" si="188">D130</f>
        <v>"Business Central","CRONUS JetCorp USA","25","1","3278"</v>
      </c>
      <c r="E131" s="1">
        <f t="shared" ref="E131:E162" si="189">E130</f>
        <v>0</v>
      </c>
      <c r="F131" s="1">
        <v>3278</v>
      </c>
      <c r="H131" s="9" t="str">
        <f>"""Business Central"",""CRONUS JetCorp USA"",""380"",""1"",""138"""</f>
        <v>"Business Central","CRONUS JetCorp USA","380","1","138"</v>
      </c>
      <c r="I131" s="48"/>
      <c r="J131" s="41" t="str">
        <f>"Payment"</f>
        <v>Payment</v>
      </c>
      <c r="K131" s="41" t="str">
        <f>"GP100308"</f>
        <v>GP100308</v>
      </c>
      <c r="L131" s="54"/>
      <c r="M131" s="54">
        <v>42495</v>
      </c>
      <c r="N131" s="57" t="str">
        <f>""</f>
        <v/>
      </c>
      <c r="O131" s="75">
        <v>0</v>
      </c>
      <c r="P131" s="76">
        <v>21231.7</v>
      </c>
      <c r="Q131" s="77">
        <v>21231.7</v>
      </c>
      <c r="R131" s="78">
        <v>0</v>
      </c>
    </row>
    <row r="132" spans="1:18" ht="9" customHeight="1" x14ac:dyDescent="0.3">
      <c r="A132" s="1" t="s">
        <v>78</v>
      </c>
      <c r="I132" s="48"/>
      <c r="J132" s="41"/>
      <c r="K132" s="41"/>
      <c r="L132" s="54"/>
      <c r="M132" s="54"/>
      <c r="N132" s="61"/>
      <c r="O132" s="60"/>
      <c r="P132" s="58"/>
      <c r="Q132" s="59"/>
      <c r="R132" s="56"/>
    </row>
    <row r="133" spans="1:18" x14ac:dyDescent="0.3">
      <c r="A133" s="1" t="s">
        <v>78</v>
      </c>
      <c r="D133" s="1" t="str">
        <f t="shared" ref="D133:D164" si="190">H133</f>
        <v>"Business Central","CRONUS JetCorp USA","25","1","446766"</v>
      </c>
      <c r="E133" s="1">
        <f t="shared" ref="E133" si="191">I128</f>
        <v>0</v>
      </c>
      <c r="G133" s="1">
        <v>446766</v>
      </c>
      <c r="H133" s="9" t="str">
        <f>"""Business Central"",""CRONUS JetCorp USA"",""25"",""1"",""446766"""</f>
        <v>"Business Central","CRONUS JetCorp USA","25","1","446766"</v>
      </c>
      <c r="I133" s="51"/>
      <c r="J133" s="52" t="str">
        <f>"Order PO102730"</f>
        <v>Order PO102730</v>
      </c>
      <c r="K133" s="52" t="str">
        <f>"PI_102729"</f>
        <v>PI_102729</v>
      </c>
      <c r="L133" s="53">
        <v>42735</v>
      </c>
      <c r="M133" s="53">
        <v>42705</v>
      </c>
      <c r="N133" s="57" t="str">
        <f>""</f>
        <v/>
      </c>
      <c r="O133" s="75">
        <v>0</v>
      </c>
      <c r="P133" s="76">
        <v>0</v>
      </c>
      <c r="Q133" s="77">
        <v>0</v>
      </c>
      <c r="R133" s="78">
        <v>0</v>
      </c>
    </row>
    <row r="134" spans="1:18" hidden="1" x14ac:dyDescent="0.3">
      <c r="A134" s="1" t="s">
        <v>78</v>
      </c>
      <c r="B134" s="1" t="str">
        <f t="shared" ref="B134" si="192">IF(H134="","Hide","Show")</f>
        <v>Hide</v>
      </c>
      <c r="D134" s="1" t="str">
        <f t="shared" ref="D134:D165" si="193">D133</f>
        <v>"Business Central","CRONUS JetCorp USA","25","1","446766"</v>
      </c>
      <c r="E134" s="1">
        <f t="shared" ref="E134:E165" si="194">E133</f>
        <v>0</v>
      </c>
      <c r="F134" s="1" t="str">
        <f>""</f>
        <v/>
      </c>
      <c r="H134" s="9" t="str">
        <f>""</f>
        <v/>
      </c>
      <c r="I134" s="48"/>
      <c r="J134" s="41" t="str">
        <f>""</f>
        <v/>
      </c>
      <c r="K134" s="41" t="str">
        <f>""</f>
        <v/>
      </c>
      <c r="L134" s="54"/>
      <c r="M134" s="54" t="str">
        <f>""</f>
        <v/>
      </c>
      <c r="N134" s="57" t="str">
        <f>""</f>
        <v/>
      </c>
      <c r="O134" s="75">
        <v>0</v>
      </c>
      <c r="P134" s="76" t="str">
        <f>""</f>
        <v/>
      </c>
      <c r="Q134" s="77" t="str">
        <f>""</f>
        <v/>
      </c>
      <c r="R134" s="78">
        <v>0</v>
      </c>
    </row>
    <row r="135" spans="1:18" ht="9" customHeight="1" x14ac:dyDescent="0.3">
      <c r="A135" s="1" t="s">
        <v>78</v>
      </c>
      <c r="I135" s="48"/>
      <c r="J135" s="41"/>
      <c r="K135" s="41"/>
      <c r="L135" s="54"/>
      <c r="M135" s="54"/>
      <c r="N135" s="61"/>
      <c r="O135" s="60"/>
      <c r="P135" s="58"/>
      <c r="Q135" s="59"/>
      <c r="R135" s="56"/>
    </row>
    <row r="136" spans="1:18" x14ac:dyDescent="0.3">
      <c r="A136" s="1" t="s">
        <v>78</v>
      </c>
      <c r="D136" s="1" t="str">
        <f t="shared" ref="D136:D167" si="195">H136</f>
        <v>"Business Central","CRONUS JetCorp USA","25","1","446892"</v>
      </c>
      <c r="E136" s="1">
        <f t="shared" ref="E136" si="196">I131</f>
        <v>0</v>
      </c>
      <c r="G136" s="1">
        <v>446892</v>
      </c>
      <c r="H136" s="9" t="str">
        <f>"""Business Central"",""CRONUS JetCorp USA"",""25"",""1"",""446892"""</f>
        <v>"Business Central","CRONUS JetCorp USA","25","1","446892"</v>
      </c>
      <c r="I136" s="51"/>
      <c r="J136" s="52" t="str">
        <f>"Order PO102732"</f>
        <v>Order PO102732</v>
      </c>
      <c r="K136" s="52" t="str">
        <f>"PI_102731"</f>
        <v>PI_102731</v>
      </c>
      <c r="L136" s="53">
        <v>42735</v>
      </c>
      <c r="M136" s="53">
        <v>42705</v>
      </c>
      <c r="N136" s="57" t="str">
        <f>""</f>
        <v/>
      </c>
      <c r="O136" s="75">
        <v>0</v>
      </c>
      <c r="P136" s="76">
        <v>0</v>
      </c>
      <c r="Q136" s="77">
        <v>0</v>
      </c>
      <c r="R136" s="78">
        <v>0</v>
      </c>
    </row>
    <row r="137" spans="1:18" hidden="1" x14ac:dyDescent="0.3">
      <c r="A137" s="1" t="s">
        <v>78</v>
      </c>
      <c r="B137" s="1" t="str">
        <f t="shared" ref="B137" si="197">IF(H137="","Hide","Show")</f>
        <v>Hide</v>
      </c>
      <c r="D137" s="1" t="str">
        <f t="shared" ref="D137:D168" si="198">D136</f>
        <v>"Business Central","CRONUS JetCorp USA","25","1","446892"</v>
      </c>
      <c r="E137" s="1">
        <f t="shared" ref="E137:E168" si="199">E136</f>
        <v>0</v>
      </c>
      <c r="F137" s="1" t="str">
        <f>""</f>
        <v/>
      </c>
      <c r="H137" s="9" t="str">
        <f>""</f>
        <v/>
      </c>
      <c r="I137" s="48"/>
      <c r="J137" s="41" t="str">
        <f>""</f>
        <v/>
      </c>
      <c r="K137" s="41" t="str">
        <f>""</f>
        <v/>
      </c>
      <c r="L137" s="54"/>
      <c r="M137" s="54" t="str">
        <f>""</f>
        <v/>
      </c>
      <c r="N137" s="57" t="str">
        <f>""</f>
        <v/>
      </c>
      <c r="O137" s="75">
        <v>0</v>
      </c>
      <c r="P137" s="76" t="str">
        <f>""</f>
        <v/>
      </c>
      <c r="Q137" s="77" t="str">
        <f>""</f>
        <v/>
      </c>
      <c r="R137" s="78">
        <v>0</v>
      </c>
    </row>
    <row r="138" spans="1:18" ht="9" customHeight="1" x14ac:dyDescent="0.3">
      <c r="A138" s="1" t="s">
        <v>78</v>
      </c>
      <c r="I138" s="48"/>
      <c r="J138" s="41"/>
      <c r="K138" s="41"/>
      <c r="L138" s="54"/>
      <c r="M138" s="54"/>
      <c r="N138" s="61"/>
      <c r="O138" s="60"/>
      <c r="P138" s="58"/>
      <c r="Q138" s="59"/>
      <c r="R138" s="56"/>
    </row>
    <row r="139" spans="1:18" x14ac:dyDescent="0.3">
      <c r="A139" s="1" t="s">
        <v>78</v>
      </c>
      <c r="D139" s="1" t="str">
        <f t="shared" ref="D139:D170" si="200">H139</f>
        <v>"Business Central","CRONUS JetCorp USA","25","1","447018"</v>
      </c>
      <c r="E139" s="1">
        <f t="shared" ref="E139" si="201">I134</f>
        <v>0</v>
      </c>
      <c r="G139" s="1">
        <v>447018</v>
      </c>
      <c r="H139" s="9" t="str">
        <f>"""Business Central"",""CRONUS JetCorp USA"",""25"",""1"",""447018"""</f>
        <v>"Business Central","CRONUS JetCorp USA","25","1","447018"</v>
      </c>
      <c r="I139" s="51"/>
      <c r="J139" s="52" t="str">
        <f>"Order PO102735"</f>
        <v>Order PO102735</v>
      </c>
      <c r="K139" s="52" t="str">
        <f>"PI_102734"</f>
        <v>PI_102734</v>
      </c>
      <c r="L139" s="53">
        <v>42735</v>
      </c>
      <c r="M139" s="53">
        <v>42705</v>
      </c>
      <c r="N139" s="57" t="str">
        <f>""</f>
        <v/>
      </c>
      <c r="O139" s="75">
        <v>0</v>
      </c>
      <c r="P139" s="76">
        <v>0</v>
      </c>
      <c r="Q139" s="77">
        <v>0</v>
      </c>
      <c r="R139" s="78">
        <v>0</v>
      </c>
    </row>
    <row r="140" spans="1:18" hidden="1" x14ac:dyDescent="0.3">
      <c r="A140" s="1" t="s">
        <v>78</v>
      </c>
      <c r="B140" s="1" t="str">
        <f t="shared" ref="B140" si="202">IF(H140="","Hide","Show")</f>
        <v>Hide</v>
      </c>
      <c r="D140" s="1" t="str">
        <f t="shared" ref="D140:D171" si="203">D139</f>
        <v>"Business Central","CRONUS JetCorp USA","25","1","447018"</v>
      </c>
      <c r="E140" s="1">
        <f t="shared" ref="E140:E171" si="204">E139</f>
        <v>0</v>
      </c>
      <c r="F140" s="1" t="str">
        <f>""</f>
        <v/>
      </c>
      <c r="H140" s="9" t="str">
        <f>""</f>
        <v/>
      </c>
      <c r="I140" s="48"/>
      <c r="J140" s="41" t="str">
        <f>""</f>
        <v/>
      </c>
      <c r="K140" s="41" t="str">
        <f>""</f>
        <v/>
      </c>
      <c r="L140" s="54"/>
      <c r="M140" s="54" t="str">
        <f>""</f>
        <v/>
      </c>
      <c r="N140" s="57" t="str">
        <f>""</f>
        <v/>
      </c>
      <c r="O140" s="75">
        <v>0</v>
      </c>
      <c r="P140" s="76" t="str">
        <f>""</f>
        <v/>
      </c>
      <c r="Q140" s="77" t="str">
        <f>""</f>
        <v/>
      </c>
      <c r="R140" s="78">
        <v>0</v>
      </c>
    </row>
    <row r="141" spans="1:18" ht="9" customHeight="1" x14ac:dyDescent="0.3">
      <c r="A141" s="1" t="s">
        <v>78</v>
      </c>
      <c r="I141" s="48"/>
      <c r="J141" s="41"/>
      <c r="K141" s="41"/>
      <c r="L141" s="54"/>
      <c r="M141" s="54"/>
      <c r="N141" s="61"/>
      <c r="O141" s="60"/>
      <c r="P141" s="58"/>
      <c r="Q141" s="59"/>
      <c r="R141" s="56"/>
    </row>
    <row r="142" spans="1:18" x14ac:dyDescent="0.3">
      <c r="A142" s="1" t="s">
        <v>78</v>
      </c>
      <c r="D142" s="1" t="str">
        <f t="shared" ref="D142:D173" si="205">H142</f>
        <v>"Business Central","CRONUS JetCorp USA","25","1","452346"</v>
      </c>
      <c r="E142" s="1">
        <f t="shared" ref="E142" si="206">I137</f>
        <v>0</v>
      </c>
      <c r="G142" s="1">
        <v>452346</v>
      </c>
      <c r="H142" s="9" t="str">
        <f>"""Business Central"",""CRONUS JetCorp USA"",""25"",""1"",""452346"""</f>
        <v>"Business Central","CRONUS JetCorp USA","25","1","452346"</v>
      </c>
      <c r="I142" s="51"/>
      <c r="J142" s="52" t="str">
        <f>"Order PO102952"</f>
        <v>Order PO102952</v>
      </c>
      <c r="K142" s="52" t="str">
        <f>"PI_102951"</f>
        <v>PI_102951</v>
      </c>
      <c r="L142" s="53">
        <v>42855</v>
      </c>
      <c r="M142" s="53">
        <v>42826</v>
      </c>
      <c r="N142" s="57" t="str">
        <f>""</f>
        <v/>
      </c>
      <c r="O142" s="75">
        <v>0</v>
      </c>
      <c r="P142" s="76">
        <v>0</v>
      </c>
      <c r="Q142" s="77">
        <v>0</v>
      </c>
      <c r="R142" s="78">
        <v>0</v>
      </c>
    </row>
    <row r="143" spans="1:18" hidden="1" x14ac:dyDescent="0.3">
      <c r="A143" s="1" t="s">
        <v>78</v>
      </c>
      <c r="B143" s="1" t="str">
        <f t="shared" ref="B143" si="207">IF(H143="","Hide","Show")</f>
        <v>Hide</v>
      </c>
      <c r="D143" s="1" t="str">
        <f t="shared" ref="D143:D174" si="208">D142</f>
        <v>"Business Central","CRONUS JetCorp USA","25","1","452346"</v>
      </c>
      <c r="E143" s="1">
        <f t="shared" ref="E143:E174" si="209">E142</f>
        <v>0</v>
      </c>
      <c r="F143" s="1" t="str">
        <f>""</f>
        <v/>
      </c>
      <c r="H143" s="9" t="str">
        <f>""</f>
        <v/>
      </c>
      <c r="I143" s="48"/>
      <c r="J143" s="41" t="str">
        <f>""</f>
        <v/>
      </c>
      <c r="K143" s="41" t="str">
        <f>""</f>
        <v/>
      </c>
      <c r="L143" s="54"/>
      <c r="M143" s="54" t="str">
        <f>""</f>
        <v/>
      </c>
      <c r="N143" s="57" t="str">
        <f>""</f>
        <v/>
      </c>
      <c r="O143" s="75">
        <v>0</v>
      </c>
      <c r="P143" s="76" t="str">
        <f>""</f>
        <v/>
      </c>
      <c r="Q143" s="77" t="str">
        <f>""</f>
        <v/>
      </c>
      <c r="R143" s="78">
        <v>0</v>
      </c>
    </row>
    <row r="144" spans="1:18" ht="9" customHeight="1" x14ac:dyDescent="0.3">
      <c r="A144" s="1" t="s">
        <v>78</v>
      </c>
      <c r="I144" s="48"/>
      <c r="J144" s="41"/>
      <c r="K144" s="41"/>
      <c r="L144" s="54"/>
      <c r="M144" s="54"/>
      <c r="N144" s="61"/>
      <c r="O144" s="60"/>
      <c r="P144" s="58"/>
      <c r="Q144" s="59"/>
      <c r="R144" s="56"/>
    </row>
    <row r="145" spans="1:18" x14ac:dyDescent="0.3">
      <c r="A145" s="1" t="s">
        <v>78</v>
      </c>
      <c r="D145" s="1" t="str">
        <f t="shared" ref="D145:D176" si="210">H145</f>
        <v>"Business Central","CRONUS JetCorp USA","25","1","452352"</v>
      </c>
      <c r="E145" s="1">
        <f t="shared" ref="E145" si="211">I140</f>
        <v>0</v>
      </c>
      <c r="G145" s="1">
        <v>452352</v>
      </c>
      <c r="H145" s="9" t="str">
        <f>"""Business Central"",""CRONUS JetCorp USA"",""25"",""1"",""452352"""</f>
        <v>"Business Central","CRONUS JetCorp USA","25","1","452352"</v>
      </c>
      <c r="I145" s="51"/>
      <c r="J145" s="52" t="str">
        <f>"Order PO102954"</f>
        <v>Order PO102954</v>
      </c>
      <c r="K145" s="52" t="str">
        <f>"PI_102953"</f>
        <v>PI_102953</v>
      </c>
      <c r="L145" s="53">
        <v>42947</v>
      </c>
      <c r="M145" s="53">
        <v>42918</v>
      </c>
      <c r="N145" s="57" t="str">
        <f>""</f>
        <v/>
      </c>
      <c r="O145" s="75">
        <v>0</v>
      </c>
      <c r="P145" s="76">
        <v>0</v>
      </c>
      <c r="Q145" s="77">
        <v>0</v>
      </c>
      <c r="R145" s="78">
        <v>0</v>
      </c>
    </row>
    <row r="146" spans="1:18" hidden="1" x14ac:dyDescent="0.3">
      <c r="A146" s="1" t="s">
        <v>78</v>
      </c>
      <c r="B146" s="1" t="str">
        <f t="shared" ref="B146" si="212">IF(H146="","Hide","Show")</f>
        <v>Hide</v>
      </c>
      <c r="D146" s="1" t="str">
        <f t="shared" ref="D146:D177" si="213">D145</f>
        <v>"Business Central","CRONUS JetCorp USA","25","1","452352"</v>
      </c>
      <c r="E146" s="1">
        <f t="shared" ref="E146:E177" si="214">E145</f>
        <v>0</v>
      </c>
      <c r="F146" s="1" t="str">
        <f>""</f>
        <v/>
      </c>
      <c r="H146" s="9" t="str">
        <f>""</f>
        <v/>
      </c>
      <c r="I146" s="48"/>
      <c r="J146" s="41" t="str">
        <f>""</f>
        <v/>
      </c>
      <c r="K146" s="41" t="str">
        <f>""</f>
        <v/>
      </c>
      <c r="L146" s="54"/>
      <c r="M146" s="54" t="str">
        <f>""</f>
        <v/>
      </c>
      <c r="N146" s="57" t="str">
        <f>""</f>
        <v/>
      </c>
      <c r="O146" s="75">
        <v>0</v>
      </c>
      <c r="P146" s="76" t="str">
        <f>""</f>
        <v/>
      </c>
      <c r="Q146" s="77" t="str">
        <f>""</f>
        <v/>
      </c>
      <c r="R146" s="78">
        <v>0</v>
      </c>
    </row>
    <row r="147" spans="1:18" ht="9" customHeight="1" x14ac:dyDescent="0.3">
      <c r="A147" s="1" t="s">
        <v>78</v>
      </c>
      <c r="I147" s="48"/>
      <c r="J147" s="41"/>
      <c r="K147" s="41"/>
      <c r="L147" s="54"/>
      <c r="M147" s="54"/>
      <c r="N147" s="61"/>
      <c r="O147" s="60"/>
      <c r="P147" s="58"/>
      <c r="Q147" s="59"/>
      <c r="R147" s="56"/>
    </row>
    <row r="148" spans="1:18" x14ac:dyDescent="0.3">
      <c r="A148" s="1" t="s">
        <v>78</v>
      </c>
      <c r="D148" s="1" t="str">
        <f t="shared" ref="D148:D179" si="215">H148</f>
        <v>"Business Central","CRONUS JetCorp USA","25","1","457937"</v>
      </c>
      <c r="E148" s="1">
        <f t="shared" ref="E148" si="216">I143</f>
        <v>0</v>
      </c>
      <c r="G148" s="1">
        <v>457937</v>
      </c>
      <c r="H148" s="9" t="str">
        <f>"""Business Central"",""CRONUS JetCorp USA"",""25"",""1"",""457937"""</f>
        <v>"Business Central","CRONUS JetCorp USA","25","1","457937"</v>
      </c>
      <c r="I148" s="51"/>
      <c r="J148" s="52" t="str">
        <f>"Order PO103180"</f>
        <v>Order PO103180</v>
      </c>
      <c r="K148" s="52" t="str">
        <f>"PI_103179"</f>
        <v>PI_103179</v>
      </c>
      <c r="L148" s="53">
        <v>43131</v>
      </c>
      <c r="M148" s="53">
        <v>43101</v>
      </c>
      <c r="N148" s="57" t="str">
        <f>""</f>
        <v/>
      </c>
      <c r="O148" s="75">
        <v>0</v>
      </c>
      <c r="P148" s="76">
        <v>0</v>
      </c>
      <c r="Q148" s="77">
        <v>0</v>
      </c>
      <c r="R148" s="78">
        <v>0</v>
      </c>
    </row>
    <row r="149" spans="1:18" hidden="1" x14ac:dyDescent="0.3">
      <c r="A149" s="1" t="s">
        <v>78</v>
      </c>
      <c r="B149" s="1" t="str">
        <f t="shared" ref="B149" si="217">IF(H149="","Hide","Show")</f>
        <v>Hide</v>
      </c>
      <c r="D149" s="1" t="str">
        <f t="shared" ref="D149:D180" si="218">D148</f>
        <v>"Business Central","CRONUS JetCorp USA","25","1","457937"</v>
      </c>
      <c r="E149" s="1">
        <f t="shared" ref="E149:E180" si="219">E148</f>
        <v>0</v>
      </c>
      <c r="F149" s="1" t="str">
        <f>""</f>
        <v/>
      </c>
      <c r="H149" s="9" t="str">
        <f>""</f>
        <v/>
      </c>
      <c r="I149" s="48"/>
      <c r="J149" s="41" t="str">
        <f>""</f>
        <v/>
      </c>
      <c r="K149" s="41" t="str">
        <f>""</f>
        <v/>
      </c>
      <c r="L149" s="54"/>
      <c r="M149" s="54" t="str">
        <f>""</f>
        <v/>
      </c>
      <c r="N149" s="57" t="str">
        <f>""</f>
        <v/>
      </c>
      <c r="O149" s="75">
        <v>0</v>
      </c>
      <c r="P149" s="76" t="str">
        <f>""</f>
        <v/>
      </c>
      <c r="Q149" s="77" t="str">
        <f>""</f>
        <v/>
      </c>
      <c r="R149" s="78">
        <v>0</v>
      </c>
    </row>
    <row r="150" spans="1:18" ht="9" customHeight="1" x14ac:dyDescent="0.3">
      <c r="A150" s="1" t="s">
        <v>78</v>
      </c>
      <c r="I150" s="48"/>
      <c r="J150" s="41"/>
      <c r="K150" s="41"/>
      <c r="L150" s="54"/>
      <c r="M150" s="54"/>
      <c r="N150" s="61"/>
      <c r="O150" s="60"/>
      <c r="P150" s="58"/>
      <c r="Q150" s="59"/>
      <c r="R150" s="56"/>
    </row>
    <row r="151" spans="1:18" x14ac:dyDescent="0.3">
      <c r="A151" s="1" t="s">
        <v>78</v>
      </c>
      <c r="D151" s="1" t="str">
        <f t="shared" ref="D151:D182" si="220">H151</f>
        <v>"Business Central","CRONUS JetCorp USA","25","1","457958"</v>
      </c>
      <c r="E151" s="1">
        <f t="shared" ref="E151" si="221">I146</f>
        <v>0</v>
      </c>
      <c r="G151" s="1">
        <v>457958</v>
      </c>
      <c r="H151" s="9" t="str">
        <f>"""Business Central"",""CRONUS JetCorp USA"",""25"",""1"",""457958"""</f>
        <v>"Business Central","CRONUS JetCorp USA","25","1","457958"</v>
      </c>
      <c r="I151" s="51"/>
      <c r="J151" s="52" t="str">
        <f>"Order PO103183"</f>
        <v>Order PO103183</v>
      </c>
      <c r="K151" s="52" t="str">
        <f>"PI_103182"</f>
        <v>PI_103182</v>
      </c>
      <c r="L151" s="53">
        <v>43312</v>
      </c>
      <c r="M151" s="53">
        <v>43284</v>
      </c>
      <c r="N151" s="57" t="str">
        <f>""</f>
        <v/>
      </c>
      <c r="O151" s="75">
        <v>0</v>
      </c>
      <c r="P151" s="76">
        <v>0</v>
      </c>
      <c r="Q151" s="77">
        <v>0</v>
      </c>
      <c r="R151" s="78">
        <v>0</v>
      </c>
    </row>
    <row r="152" spans="1:18" hidden="1" x14ac:dyDescent="0.3">
      <c r="A152" s="1" t="s">
        <v>78</v>
      </c>
      <c r="B152" s="1" t="str">
        <f t="shared" ref="B152" si="222">IF(H152="","Hide","Show")</f>
        <v>Hide</v>
      </c>
      <c r="D152" s="1" t="str">
        <f t="shared" ref="D152:D183" si="223">D151</f>
        <v>"Business Central","CRONUS JetCorp USA","25","1","457958"</v>
      </c>
      <c r="E152" s="1">
        <f t="shared" ref="E152:E183" si="224">E151</f>
        <v>0</v>
      </c>
      <c r="F152" s="1" t="str">
        <f>""</f>
        <v/>
      </c>
      <c r="H152" s="9" t="str">
        <f>""</f>
        <v/>
      </c>
      <c r="I152" s="48"/>
      <c r="J152" s="41" t="str">
        <f>""</f>
        <v/>
      </c>
      <c r="K152" s="41" t="str">
        <f>""</f>
        <v/>
      </c>
      <c r="L152" s="54"/>
      <c r="M152" s="54" t="str">
        <f>""</f>
        <v/>
      </c>
      <c r="N152" s="57" t="str">
        <f>""</f>
        <v/>
      </c>
      <c r="O152" s="75">
        <v>0</v>
      </c>
      <c r="P152" s="76" t="str">
        <f>""</f>
        <v/>
      </c>
      <c r="Q152" s="77" t="str">
        <f>""</f>
        <v/>
      </c>
      <c r="R152" s="78">
        <v>0</v>
      </c>
    </row>
    <row r="153" spans="1:18" ht="9" customHeight="1" x14ac:dyDescent="0.3">
      <c r="A153" s="1" t="s">
        <v>78</v>
      </c>
      <c r="I153" s="48"/>
      <c r="J153" s="41"/>
      <c r="K153" s="41"/>
      <c r="L153" s="54"/>
      <c r="M153" s="54"/>
      <c r="N153" s="61"/>
      <c r="O153" s="60"/>
      <c r="P153" s="58"/>
      <c r="Q153" s="59"/>
      <c r="R153" s="56"/>
    </row>
    <row r="154" spans="1:18" x14ac:dyDescent="0.3">
      <c r="A154" s="1" t="s">
        <v>78</v>
      </c>
      <c r="D154" s="1" t="str">
        <f t="shared" ref="D154:D185" si="225">H154</f>
        <v>"Business Central","CRONUS JetCorp USA","25","1","457996"</v>
      </c>
      <c r="E154" s="1">
        <f t="shared" ref="E154" si="226">I149</f>
        <v>0</v>
      </c>
      <c r="G154" s="1">
        <v>457996</v>
      </c>
      <c r="H154" s="9" t="str">
        <f>"""Business Central"",""CRONUS JetCorp USA"",""25"",""1"",""457996"""</f>
        <v>"Business Central","CRONUS JetCorp USA","25","1","457996"</v>
      </c>
      <c r="I154" s="51"/>
      <c r="J154" s="52" t="str">
        <f>"Order PO103185"</f>
        <v>Order PO103185</v>
      </c>
      <c r="K154" s="52" t="str">
        <f>"PI_103184"</f>
        <v>PI_103184</v>
      </c>
      <c r="L154" s="53">
        <v>43404</v>
      </c>
      <c r="M154" s="53">
        <v>43377</v>
      </c>
      <c r="N154" s="57" t="str">
        <f>""</f>
        <v/>
      </c>
      <c r="O154" s="75">
        <v>0</v>
      </c>
      <c r="P154" s="76">
        <v>0</v>
      </c>
      <c r="Q154" s="77">
        <v>0</v>
      </c>
      <c r="R154" s="78">
        <v>0</v>
      </c>
    </row>
    <row r="155" spans="1:18" hidden="1" x14ac:dyDescent="0.3">
      <c r="A155" s="1" t="s">
        <v>78</v>
      </c>
      <c r="B155" s="1" t="str">
        <f t="shared" ref="B155" si="227">IF(H155="","Hide","Show")</f>
        <v>Hide</v>
      </c>
      <c r="D155" s="1" t="str">
        <f t="shared" ref="D155:D186" si="228">D154</f>
        <v>"Business Central","CRONUS JetCorp USA","25","1","457996"</v>
      </c>
      <c r="E155" s="1">
        <f t="shared" ref="E155:E186" si="229">E154</f>
        <v>0</v>
      </c>
      <c r="F155" s="1" t="str">
        <f>""</f>
        <v/>
      </c>
      <c r="H155" s="9" t="str">
        <f>""</f>
        <v/>
      </c>
      <c r="I155" s="48"/>
      <c r="J155" s="41" t="str">
        <f>""</f>
        <v/>
      </c>
      <c r="K155" s="41" t="str">
        <f>""</f>
        <v/>
      </c>
      <c r="L155" s="54"/>
      <c r="M155" s="54" t="str">
        <f>""</f>
        <v/>
      </c>
      <c r="N155" s="57" t="str">
        <f>""</f>
        <v/>
      </c>
      <c r="O155" s="75">
        <v>0</v>
      </c>
      <c r="P155" s="76" t="str">
        <f>""</f>
        <v/>
      </c>
      <c r="Q155" s="77" t="str">
        <f>""</f>
        <v/>
      </c>
      <c r="R155" s="78">
        <v>0</v>
      </c>
    </row>
    <row r="156" spans="1:18" ht="9" customHeight="1" x14ac:dyDescent="0.3">
      <c r="A156" s="1" t="s">
        <v>78</v>
      </c>
      <c r="I156" s="48"/>
      <c r="J156" s="41"/>
      <c r="K156" s="41"/>
      <c r="L156" s="54"/>
      <c r="M156" s="54"/>
      <c r="N156" s="61"/>
      <c r="O156" s="60"/>
      <c r="P156" s="58"/>
      <c r="Q156" s="59"/>
      <c r="R156" s="56"/>
    </row>
    <row r="157" spans="1:18" x14ac:dyDescent="0.3">
      <c r="A157" s="1" t="s">
        <v>78</v>
      </c>
      <c r="D157" s="1" t="str">
        <f t="shared" ref="D157:D188" si="230">H157</f>
        <v>"Business Central","CRONUS JetCorp USA","25","1","464336"</v>
      </c>
      <c r="E157" s="1">
        <f t="shared" ref="E157" si="231">I152</f>
        <v>0</v>
      </c>
      <c r="G157" s="1">
        <v>464336</v>
      </c>
      <c r="H157" s="9" t="str">
        <f>"""Business Central"",""CRONUS JetCorp USA"",""25"",""1"",""464336"""</f>
        <v>"Business Central","CRONUS JetCorp USA","25","1","464336"</v>
      </c>
      <c r="I157" s="51"/>
      <c r="J157" s="52" t="str">
        <f>"Order PO103415"</f>
        <v>Order PO103415</v>
      </c>
      <c r="K157" s="52" t="str">
        <f>"PI_103414"</f>
        <v>PI_103414</v>
      </c>
      <c r="L157" s="53">
        <v>43496</v>
      </c>
      <c r="M157" s="53">
        <v>43466</v>
      </c>
      <c r="N157" s="57" t="str">
        <f>""</f>
        <v/>
      </c>
      <c r="O157" s="75">
        <v>0</v>
      </c>
      <c r="P157" s="76">
        <v>0</v>
      </c>
      <c r="Q157" s="77">
        <v>0</v>
      </c>
      <c r="R157" s="78">
        <v>0</v>
      </c>
    </row>
    <row r="158" spans="1:18" hidden="1" x14ac:dyDescent="0.3">
      <c r="A158" s="1" t="s">
        <v>78</v>
      </c>
      <c r="B158" s="1" t="str">
        <f t="shared" ref="B158" si="232">IF(H158="","Hide","Show")</f>
        <v>Hide</v>
      </c>
      <c r="D158" s="1" t="str">
        <f t="shared" ref="D158:D189" si="233">D157</f>
        <v>"Business Central","CRONUS JetCorp USA","25","1","464336"</v>
      </c>
      <c r="E158" s="1">
        <f t="shared" ref="E158:E189" si="234">E157</f>
        <v>0</v>
      </c>
      <c r="F158" s="1" t="str">
        <f>""</f>
        <v/>
      </c>
      <c r="H158" s="9" t="str">
        <f>""</f>
        <v/>
      </c>
      <c r="I158" s="48"/>
      <c r="J158" s="41" t="str">
        <f>""</f>
        <v/>
      </c>
      <c r="K158" s="41" t="str">
        <f>""</f>
        <v/>
      </c>
      <c r="L158" s="54"/>
      <c r="M158" s="54" t="str">
        <f>""</f>
        <v/>
      </c>
      <c r="N158" s="57" t="str">
        <f>""</f>
        <v/>
      </c>
      <c r="O158" s="75">
        <v>0</v>
      </c>
      <c r="P158" s="76" t="str">
        <f>""</f>
        <v/>
      </c>
      <c r="Q158" s="77" t="str">
        <f>""</f>
        <v/>
      </c>
      <c r="R158" s="78">
        <v>0</v>
      </c>
    </row>
    <row r="159" spans="1:18" ht="9" customHeight="1" x14ac:dyDescent="0.3">
      <c r="A159" s="1" t="s">
        <v>78</v>
      </c>
      <c r="I159" s="48"/>
      <c r="J159" s="41"/>
      <c r="K159" s="41"/>
      <c r="L159" s="54"/>
      <c r="M159" s="54"/>
      <c r="N159" s="61"/>
      <c r="O159" s="60"/>
      <c r="P159" s="58"/>
      <c r="Q159" s="59"/>
      <c r="R159" s="56"/>
    </row>
    <row r="160" spans="1:18" x14ac:dyDescent="0.3">
      <c r="A160" s="1" t="s">
        <v>78</v>
      </c>
      <c r="D160" s="1" t="str">
        <f t="shared" ref="D160:D191" si="235">H160</f>
        <v>"Business Central","CRONUS JetCorp USA","25","1","464396"</v>
      </c>
      <c r="E160" s="1">
        <f t="shared" ref="E160" si="236">I155</f>
        <v>0</v>
      </c>
      <c r="G160" s="1">
        <v>464396</v>
      </c>
      <c r="H160" s="9" t="str">
        <f>"""Business Central"",""CRONUS JetCorp USA"",""25"",""1"",""464396"""</f>
        <v>"Business Central","CRONUS JetCorp USA","25","1","464396"</v>
      </c>
      <c r="I160" s="51"/>
      <c r="J160" s="52" t="str">
        <f>"Order PO103417"</f>
        <v>Order PO103417</v>
      </c>
      <c r="K160" s="52" t="str">
        <f>"PI_103416"</f>
        <v>PI_103416</v>
      </c>
      <c r="L160" s="53">
        <v>43585</v>
      </c>
      <c r="M160" s="53">
        <v>43557</v>
      </c>
      <c r="N160" s="57" t="str">
        <f>""</f>
        <v/>
      </c>
      <c r="O160" s="75">
        <v>0</v>
      </c>
      <c r="P160" s="76">
        <v>0</v>
      </c>
      <c r="Q160" s="77">
        <v>0</v>
      </c>
      <c r="R160" s="78">
        <v>0</v>
      </c>
    </row>
    <row r="161" spans="1:18" hidden="1" x14ac:dyDescent="0.3">
      <c r="A161" s="1" t="s">
        <v>78</v>
      </c>
      <c r="B161" s="1" t="str">
        <f t="shared" ref="B161" si="237">IF(H161="","Hide","Show")</f>
        <v>Hide</v>
      </c>
      <c r="D161" s="1" t="str">
        <f t="shared" ref="D161:D192" si="238">D160</f>
        <v>"Business Central","CRONUS JetCorp USA","25","1","464396"</v>
      </c>
      <c r="E161" s="1">
        <f t="shared" ref="E161:E192" si="239">E160</f>
        <v>0</v>
      </c>
      <c r="F161" s="1" t="str">
        <f>""</f>
        <v/>
      </c>
      <c r="H161" s="9" t="str">
        <f>""</f>
        <v/>
      </c>
      <c r="I161" s="48"/>
      <c r="J161" s="41" t="str">
        <f>""</f>
        <v/>
      </c>
      <c r="K161" s="41" t="str">
        <f>""</f>
        <v/>
      </c>
      <c r="L161" s="54"/>
      <c r="M161" s="54" t="str">
        <f>""</f>
        <v/>
      </c>
      <c r="N161" s="57" t="str">
        <f>""</f>
        <v/>
      </c>
      <c r="O161" s="75">
        <v>0</v>
      </c>
      <c r="P161" s="76" t="str">
        <f>""</f>
        <v/>
      </c>
      <c r="Q161" s="77" t="str">
        <f>""</f>
        <v/>
      </c>
      <c r="R161" s="78">
        <v>0</v>
      </c>
    </row>
    <row r="162" spans="1:18" ht="9" customHeight="1" x14ac:dyDescent="0.3">
      <c r="A162" s="1" t="s">
        <v>78</v>
      </c>
      <c r="I162" s="48"/>
      <c r="J162" s="41"/>
      <c r="K162" s="41"/>
      <c r="L162" s="54"/>
      <c r="M162" s="54"/>
      <c r="N162" s="61"/>
      <c r="O162" s="60"/>
      <c r="P162" s="58"/>
      <c r="Q162" s="59"/>
      <c r="R162" s="56"/>
    </row>
    <row r="163" spans="1:18" x14ac:dyDescent="0.3">
      <c r="A163" s="1" t="s">
        <v>78</v>
      </c>
      <c r="D163" s="1" t="str">
        <f t="shared" ref="D163:D194" si="240">H163</f>
        <v>"Business Central","CRONUS JetCorp USA","25","1","471319"</v>
      </c>
      <c r="E163" s="1">
        <f t="shared" ref="E163" si="241">I158</f>
        <v>0</v>
      </c>
      <c r="G163" s="1">
        <v>471319</v>
      </c>
      <c r="H163" s="9" t="str">
        <f>"""Business Central"",""CRONUS JetCorp USA"",""25"",""1"",""471319"""</f>
        <v>"Business Central","CRONUS JetCorp USA","25","1","471319"</v>
      </c>
      <c r="I163" s="51"/>
      <c r="J163" s="52" t="str">
        <f>"Order PO103696"</f>
        <v>Order PO103696</v>
      </c>
      <c r="K163" s="52" t="str">
        <f>"PI_103695"</f>
        <v>PI_103695</v>
      </c>
      <c r="L163" s="53">
        <v>43769</v>
      </c>
      <c r="M163" s="53">
        <v>43739</v>
      </c>
      <c r="N163" s="57" t="str">
        <f>""</f>
        <v/>
      </c>
      <c r="O163" s="75">
        <v>0</v>
      </c>
      <c r="P163" s="76">
        <v>0</v>
      </c>
      <c r="Q163" s="77">
        <v>0</v>
      </c>
      <c r="R163" s="78">
        <v>0</v>
      </c>
    </row>
    <row r="164" spans="1:18" hidden="1" x14ac:dyDescent="0.3">
      <c r="A164" s="1" t="s">
        <v>78</v>
      </c>
      <c r="B164" s="1" t="str">
        <f t="shared" ref="B164" si="242">IF(H164="","Hide","Show")</f>
        <v>Hide</v>
      </c>
      <c r="D164" s="1" t="str">
        <f t="shared" ref="D164:D195" si="243">D163</f>
        <v>"Business Central","CRONUS JetCorp USA","25","1","471319"</v>
      </c>
      <c r="E164" s="1">
        <f t="shared" ref="E164:E195" si="244">E163</f>
        <v>0</v>
      </c>
      <c r="F164" s="1" t="str">
        <f>""</f>
        <v/>
      </c>
      <c r="H164" s="9" t="str">
        <f>""</f>
        <v/>
      </c>
      <c r="I164" s="48"/>
      <c r="J164" s="41" t="str">
        <f>""</f>
        <v/>
      </c>
      <c r="K164" s="41" t="str">
        <f>""</f>
        <v/>
      </c>
      <c r="L164" s="54"/>
      <c r="M164" s="54" t="str">
        <f>""</f>
        <v/>
      </c>
      <c r="N164" s="57" t="str">
        <f>""</f>
        <v/>
      </c>
      <c r="O164" s="75">
        <v>0</v>
      </c>
      <c r="P164" s="76" t="str">
        <f>""</f>
        <v/>
      </c>
      <c r="Q164" s="77" t="str">
        <f>""</f>
        <v/>
      </c>
      <c r="R164" s="78">
        <v>0</v>
      </c>
    </row>
    <row r="165" spans="1:18" ht="9" customHeight="1" x14ac:dyDescent="0.3">
      <c r="A165" s="1" t="s">
        <v>78</v>
      </c>
      <c r="I165" s="48"/>
      <c r="J165" s="41"/>
      <c r="K165" s="41"/>
      <c r="L165" s="54"/>
      <c r="M165" s="54"/>
      <c r="N165" s="61"/>
      <c r="O165" s="60"/>
      <c r="P165" s="58"/>
      <c r="Q165" s="59"/>
      <c r="R165" s="56"/>
    </row>
    <row r="166" spans="1:18" x14ac:dyDescent="0.3">
      <c r="A166" s="1" t="s">
        <v>78</v>
      </c>
      <c r="D166" s="1" t="str">
        <f t="shared" ref="D166:D197" si="245">H166</f>
        <v>"Business Central","CRONUS JetCorp USA","25","1","471379"</v>
      </c>
      <c r="E166" s="1">
        <f t="shared" ref="E166" si="246">I161</f>
        <v>0</v>
      </c>
      <c r="G166" s="1">
        <v>471379</v>
      </c>
      <c r="H166" s="9" t="str">
        <f>"""Business Central"",""CRONUS JetCorp USA"",""25"",""1"",""471379"""</f>
        <v>"Business Central","CRONUS JetCorp USA","25","1","471379"</v>
      </c>
      <c r="I166" s="51"/>
      <c r="J166" s="52" t="str">
        <f>"Order PO103698"</f>
        <v>Order PO103698</v>
      </c>
      <c r="K166" s="52" t="str">
        <f>"PI_103697"</f>
        <v>PI_103697</v>
      </c>
      <c r="L166" s="53">
        <v>43799</v>
      </c>
      <c r="M166" s="53">
        <v>43771</v>
      </c>
      <c r="N166" s="57" t="str">
        <f>""</f>
        <v/>
      </c>
      <c r="O166" s="75">
        <v>0</v>
      </c>
      <c r="P166" s="76">
        <v>0</v>
      </c>
      <c r="Q166" s="77">
        <v>0</v>
      </c>
      <c r="R166" s="78">
        <v>0</v>
      </c>
    </row>
    <row r="167" spans="1:18" hidden="1" x14ac:dyDescent="0.3">
      <c r="A167" s="1" t="s">
        <v>78</v>
      </c>
      <c r="B167" s="1" t="str">
        <f t="shared" ref="B167" si="247">IF(H167="","Hide","Show")</f>
        <v>Hide</v>
      </c>
      <c r="D167" s="1" t="str">
        <f t="shared" ref="D167:D198" si="248">D166</f>
        <v>"Business Central","CRONUS JetCorp USA","25","1","471379"</v>
      </c>
      <c r="E167" s="1">
        <f t="shared" ref="E167:E198" si="249">E166</f>
        <v>0</v>
      </c>
      <c r="F167" s="1" t="str">
        <f>""</f>
        <v/>
      </c>
      <c r="H167" s="9" t="str">
        <f>""</f>
        <v/>
      </c>
      <c r="I167" s="48"/>
      <c r="J167" s="41" t="str">
        <f>""</f>
        <v/>
      </c>
      <c r="K167" s="41" t="str">
        <f>""</f>
        <v/>
      </c>
      <c r="L167" s="54"/>
      <c r="M167" s="54" t="str">
        <f>""</f>
        <v/>
      </c>
      <c r="N167" s="57" t="str">
        <f>""</f>
        <v/>
      </c>
      <c r="O167" s="75">
        <v>0</v>
      </c>
      <c r="P167" s="76" t="str">
        <f>""</f>
        <v/>
      </c>
      <c r="Q167" s="77" t="str">
        <f>""</f>
        <v/>
      </c>
      <c r="R167" s="78">
        <v>0</v>
      </c>
    </row>
    <row r="168" spans="1:18" ht="9" customHeight="1" x14ac:dyDescent="0.3">
      <c r="A168" s="1" t="s">
        <v>78</v>
      </c>
      <c r="I168" s="48"/>
      <c r="J168" s="41"/>
      <c r="K168" s="41"/>
      <c r="L168" s="54"/>
      <c r="M168" s="54"/>
      <c r="N168" s="61"/>
      <c r="O168" s="60"/>
      <c r="P168" s="58"/>
      <c r="Q168" s="59"/>
      <c r="R168" s="56"/>
    </row>
    <row r="169" spans="1:18" x14ac:dyDescent="0.3">
      <c r="A169" s="1" t="s">
        <v>78</v>
      </c>
      <c r="D169" s="1" t="str">
        <f t="shared" ref="D169:D200" si="250">H169</f>
        <v>"Business Central","CRONUS JetCorp USA","25","1","471449"</v>
      </c>
      <c r="E169" s="1">
        <f t="shared" ref="E169" si="251">I164</f>
        <v>0</v>
      </c>
      <c r="G169" s="1">
        <v>471449</v>
      </c>
      <c r="H169" s="9" t="str">
        <f>"""Business Central"",""CRONUS JetCorp USA"",""25"",""1"",""471449"""</f>
        <v>"Business Central","CRONUS JetCorp USA","25","1","471449"</v>
      </c>
      <c r="I169" s="51"/>
      <c r="J169" s="52" t="str">
        <f>"Order PO103700"</f>
        <v>Order PO103700</v>
      </c>
      <c r="K169" s="52" t="str">
        <f>"PI_103699"</f>
        <v>PI_103699</v>
      </c>
      <c r="L169" s="53">
        <v>43830</v>
      </c>
      <c r="M169" s="53">
        <v>43802</v>
      </c>
      <c r="N169" s="57" t="str">
        <f>""</f>
        <v/>
      </c>
      <c r="O169" s="75">
        <v>0</v>
      </c>
      <c r="P169" s="76">
        <v>0</v>
      </c>
      <c r="Q169" s="77">
        <v>0</v>
      </c>
      <c r="R169" s="78">
        <v>0</v>
      </c>
    </row>
    <row r="170" spans="1:18" hidden="1" x14ac:dyDescent="0.3">
      <c r="A170" s="1" t="s">
        <v>78</v>
      </c>
      <c r="B170" s="1" t="str">
        <f t="shared" ref="B170" si="252">IF(H170="","Hide","Show")</f>
        <v>Hide</v>
      </c>
      <c r="D170" s="1" t="str">
        <f t="shared" ref="D170:D201" si="253">D169</f>
        <v>"Business Central","CRONUS JetCorp USA","25","1","471449"</v>
      </c>
      <c r="E170" s="1">
        <f t="shared" ref="E170:E201" si="254">E169</f>
        <v>0</v>
      </c>
      <c r="F170" s="1" t="str">
        <f>""</f>
        <v/>
      </c>
      <c r="H170" s="9" t="str">
        <f>""</f>
        <v/>
      </c>
      <c r="I170" s="48"/>
      <c r="J170" s="41" t="str">
        <f>""</f>
        <v/>
      </c>
      <c r="K170" s="41" t="str">
        <f>""</f>
        <v/>
      </c>
      <c r="L170" s="54"/>
      <c r="M170" s="54" t="str">
        <f>""</f>
        <v/>
      </c>
      <c r="N170" s="57" t="str">
        <f>""</f>
        <v/>
      </c>
      <c r="O170" s="75">
        <v>0</v>
      </c>
      <c r="P170" s="76" t="str">
        <f>""</f>
        <v/>
      </c>
      <c r="Q170" s="77" t="str">
        <f>""</f>
        <v/>
      </c>
      <c r="R170" s="78">
        <v>0</v>
      </c>
    </row>
    <row r="171" spans="1:18" ht="9" customHeight="1" x14ac:dyDescent="0.3">
      <c r="A171" s="1" t="s">
        <v>78</v>
      </c>
      <c r="I171" s="48"/>
      <c r="J171" s="41"/>
      <c r="K171" s="41"/>
      <c r="L171" s="54"/>
      <c r="M171" s="54"/>
      <c r="N171" s="61"/>
      <c r="O171" s="60"/>
      <c r="P171" s="58"/>
      <c r="Q171" s="59"/>
      <c r="R171" s="56"/>
    </row>
    <row r="172" spans="1:18" x14ac:dyDescent="0.3">
      <c r="A172" s="1" t="s">
        <v>78</v>
      </c>
      <c r="D172" s="1" t="str">
        <f t="shared" ref="D172:D203" si="255">H172</f>
        <v>"Business Central","CRONUS JetCorp USA","25","1","471503"</v>
      </c>
      <c r="E172" s="1">
        <f t="shared" ref="E172" si="256">I167</f>
        <v>0</v>
      </c>
      <c r="G172" s="1">
        <v>471503</v>
      </c>
      <c r="H172" s="9" t="str">
        <f>"""Business Central"",""CRONUS JetCorp USA"",""25"",""1"",""471503"""</f>
        <v>"Business Central","CRONUS JetCorp USA","25","1","471503"</v>
      </c>
      <c r="I172" s="51"/>
      <c r="J172" s="52" t="str">
        <f>"Order PO103702"</f>
        <v>Order PO103702</v>
      </c>
      <c r="K172" s="52" t="str">
        <f>"PI_103701"</f>
        <v>PI_103701</v>
      </c>
      <c r="L172" s="53">
        <v>42035</v>
      </c>
      <c r="M172" s="53">
        <v>43834</v>
      </c>
      <c r="N172" s="57" t="str">
        <f>""</f>
        <v/>
      </c>
      <c r="O172" s="75">
        <v>0</v>
      </c>
      <c r="P172" s="76">
        <v>0</v>
      </c>
      <c r="Q172" s="77">
        <v>0</v>
      </c>
      <c r="R172" s="78">
        <v>0</v>
      </c>
    </row>
    <row r="173" spans="1:18" hidden="1" x14ac:dyDescent="0.3">
      <c r="A173" s="1" t="s">
        <v>78</v>
      </c>
      <c r="B173" s="1" t="str">
        <f t="shared" ref="B173" si="257">IF(H173="","Hide","Show")</f>
        <v>Hide</v>
      </c>
      <c r="D173" s="1" t="str">
        <f t="shared" ref="D173:D204" si="258">D172</f>
        <v>"Business Central","CRONUS JetCorp USA","25","1","471503"</v>
      </c>
      <c r="E173" s="1">
        <f t="shared" ref="E173:E204" si="259">E172</f>
        <v>0</v>
      </c>
      <c r="F173" s="1" t="str">
        <f>""</f>
        <v/>
      </c>
      <c r="H173" s="9" t="str">
        <f>""</f>
        <v/>
      </c>
      <c r="I173" s="48"/>
      <c r="J173" s="41" t="str">
        <f>""</f>
        <v/>
      </c>
      <c r="K173" s="41" t="str">
        <f>""</f>
        <v/>
      </c>
      <c r="L173" s="54"/>
      <c r="M173" s="54" t="str">
        <f>""</f>
        <v/>
      </c>
      <c r="N173" s="57" t="str">
        <f>""</f>
        <v/>
      </c>
      <c r="O173" s="75">
        <v>0</v>
      </c>
      <c r="P173" s="76" t="str">
        <f>""</f>
        <v/>
      </c>
      <c r="Q173" s="77" t="str">
        <f>""</f>
        <v/>
      </c>
      <c r="R173" s="78">
        <v>0</v>
      </c>
    </row>
    <row r="174" spans="1:18" ht="9" customHeight="1" x14ac:dyDescent="0.3">
      <c r="A174" s="1" t="s">
        <v>78</v>
      </c>
      <c r="I174" s="48"/>
      <c r="J174" s="41"/>
      <c r="K174" s="41"/>
      <c r="L174" s="54"/>
      <c r="M174" s="54"/>
      <c r="N174" s="61"/>
      <c r="O174" s="60"/>
      <c r="P174" s="58"/>
      <c r="Q174" s="59"/>
      <c r="R174" s="56"/>
    </row>
    <row r="175" spans="1:18" x14ac:dyDescent="0.3">
      <c r="A175" s="1" t="s">
        <v>78</v>
      </c>
      <c r="D175" s="1" t="str">
        <f t="shared" ref="D175:D206" si="260">H175</f>
        <v>"Business Central","CRONUS JetCorp USA","25","1","471529"</v>
      </c>
      <c r="E175" s="1">
        <f t="shared" ref="E175" si="261">I170</f>
        <v>0</v>
      </c>
      <c r="G175" s="1">
        <v>471529</v>
      </c>
      <c r="H175" s="9" t="str">
        <f>"""Business Central"",""CRONUS JetCorp USA"",""25"",""1"",""471529"""</f>
        <v>"Business Central","CRONUS JetCorp USA","25","1","471529"</v>
      </c>
      <c r="I175" s="51"/>
      <c r="J175" s="52" t="str">
        <f>"Order PO103704"</f>
        <v>Order PO103704</v>
      </c>
      <c r="K175" s="52" t="str">
        <f>"PI_103703"</f>
        <v>PI_103703</v>
      </c>
      <c r="L175" s="53">
        <v>42035</v>
      </c>
      <c r="M175" s="53">
        <v>43834</v>
      </c>
      <c r="N175" s="57" t="str">
        <f>""</f>
        <v/>
      </c>
      <c r="O175" s="75">
        <v>0</v>
      </c>
      <c r="P175" s="76">
        <v>0</v>
      </c>
      <c r="Q175" s="77">
        <v>0</v>
      </c>
      <c r="R175" s="78">
        <v>0</v>
      </c>
    </row>
    <row r="176" spans="1:18" hidden="1" x14ac:dyDescent="0.3">
      <c r="A176" s="1" t="s">
        <v>78</v>
      </c>
      <c r="B176" s="1" t="str">
        <f t="shared" ref="B176" si="262">IF(H176="","Hide","Show")</f>
        <v>Hide</v>
      </c>
      <c r="D176" s="1" t="str">
        <f t="shared" ref="D176:D207" si="263">D175</f>
        <v>"Business Central","CRONUS JetCorp USA","25","1","471529"</v>
      </c>
      <c r="E176" s="1">
        <f t="shared" ref="E176:E207" si="264">E175</f>
        <v>0</v>
      </c>
      <c r="F176" s="1" t="str">
        <f>""</f>
        <v/>
      </c>
      <c r="H176" s="9" t="str">
        <f>""</f>
        <v/>
      </c>
      <c r="I176" s="48"/>
      <c r="J176" s="41" t="str">
        <f>""</f>
        <v/>
      </c>
      <c r="K176" s="41" t="str">
        <f>""</f>
        <v/>
      </c>
      <c r="L176" s="54"/>
      <c r="M176" s="54" t="str">
        <f>""</f>
        <v/>
      </c>
      <c r="N176" s="57" t="str">
        <f>""</f>
        <v/>
      </c>
      <c r="O176" s="75">
        <v>0</v>
      </c>
      <c r="P176" s="76" t="str">
        <f>""</f>
        <v/>
      </c>
      <c r="Q176" s="77" t="str">
        <f>""</f>
        <v/>
      </c>
      <c r="R176" s="78">
        <v>0</v>
      </c>
    </row>
    <row r="177" spans="1:18" ht="9" customHeight="1" x14ac:dyDescent="0.3">
      <c r="A177" s="1" t="s">
        <v>78</v>
      </c>
      <c r="I177" s="48"/>
      <c r="J177" s="41"/>
      <c r="K177" s="41"/>
      <c r="L177" s="54"/>
      <c r="M177" s="54"/>
      <c r="N177" s="61"/>
      <c r="O177" s="60"/>
      <c r="P177" s="58"/>
      <c r="Q177" s="59"/>
      <c r="R177" s="56"/>
    </row>
    <row r="178" spans="1:18" x14ac:dyDescent="0.3">
      <c r="A178" s="1" t="s">
        <v>78</v>
      </c>
      <c r="D178" s="1" t="str">
        <f t="shared" ref="D178:D225" si="265">H178</f>
        <v>"Business Central","CRONUS JetCorp USA","25","1","471556"</v>
      </c>
      <c r="E178" s="1">
        <f t="shared" ref="E178" si="266">I173</f>
        <v>0</v>
      </c>
      <c r="G178" s="1">
        <v>471556</v>
      </c>
      <c r="H178" s="9" t="str">
        <f>"""Business Central"",""CRONUS JetCorp USA"",""25"",""1"",""471556"""</f>
        <v>"Business Central","CRONUS JetCorp USA","25","1","471556"</v>
      </c>
      <c r="I178" s="51"/>
      <c r="J178" s="52" t="str">
        <f>"Order PO103705"</f>
        <v>Order PO103705</v>
      </c>
      <c r="K178" s="52" t="str">
        <f>"PI_103704"</f>
        <v>PI_103704</v>
      </c>
      <c r="L178" s="53">
        <v>42063</v>
      </c>
      <c r="M178" s="53">
        <v>43866</v>
      </c>
      <c r="N178" s="57" t="str">
        <f>""</f>
        <v/>
      </c>
      <c r="O178" s="75">
        <v>0</v>
      </c>
      <c r="P178" s="76">
        <v>0</v>
      </c>
      <c r="Q178" s="77">
        <v>0</v>
      </c>
      <c r="R178" s="78">
        <v>0</v>
      </c>
    </row>
    <row r="179" spans="1:18" hidden="1" x14ac:dyDescent="0.3">
      <c r="A179" s="1" t="s">
        <v>78</v>
      </c>
      <c r="B179" s="1" t="str">
        <f t="shared" ref="B179" si="267">IF(H179="","Hide","Show")</f>
        <v>Hide</v>
      </c>
      <c r="D179" s="1" t="str">
        <f t="shared" ref="D179:D225" si="268">D178</f>
        <v>"Business Central","CRONUS JetCorp USA","25","1","471556"</v>
      </c>
      <c r="E179" s="1">
        <f t="shared" ref="E179:E225" si="269">E178</f>
        <v>0</v>
      </c>
      <c r="F179" s="1" t="str">
        <f>""</f>
        <v/>
      </c>
      <c r="H179" s="9" t="str">
        <f>""</f>
        <v/>
      </c>
      <c r="I179" s="48"/>
      <c r="J179" s="41" t="str">
        <f>""</f>
        <v/>
      </c>
      <c r="K179" s="41" t="str">
        <f>""</f>
        <v/>
      </c>
      <c r="L179" s="54"/>
      <c r="M179" s="54" t="str">
        <f>""</f>
        <v/>
      </c>
      <c r="N179" s="57" t="str">
        <f>""</f>
        <v/>
      </c>
      <c r="O179" s="75">
        <v>0</v>
      </c>
      <c r="P179" s="76" t="str">
        <f>""</f>
        <v/>
      </c>
      <c r="Q179" s="77" t="str">
        <f>""</f>
        <v/>
      </c>
      <c r="R179" s="78">
        <v>0</v>
      </c>
    </row>
    <row r="180" spans="1:18" ht="9" customHeight="1" x14ac:dyDescent="0.3">
      <c r="A180" s="1" t="s">
        <v>78</v>
      </c>
      <c r="I180" s="48"/>
      <c r="J180" s="41"/>
      <c r="K180" s="41"/>
      <c r="L180" s="54"/>
      <c r="M180" s="54"/>
      <c r="N180" s="61"/>
      <c r="O180" s="60"/>
      <c r="P180" s="58"/>
      <c r="Q180" s="59"/>
      <c r="R180" s="56"/>
    </row>
    <row r="181" spans="1:18" x14ac:dyDescent="0.3">
      <c r="A181" s="1" t="s">
        <v>78</v>
      </c>
      <c r="D181" s="1" t="str">
        <f t="shared" ref="D181:D225" si="270">H181</f>
        <v>"Business Central","CRONUS JetCorp USA","25","1","482792"</v>
      </c>
      <c r="E181" s="1">
        <f t="shared" ref="E181" si="271">I176</f>
        <v>0</v>
      </c>
      <c r="G181" s="1">
        <v>482792</v>
      </c>
      <c r="H181" s="9" t="str">
        <f>"""Business Central"",""CRONUS JetCorp USA"",""25"",""1"",""482792"""</f>
        <v>"Business Central","CRONUS JetCorp USA","25","1","482792"</v>
      </c>
      <c r="I181" s="51"/>
      <c r="J181" s="52" t="str">
        <f>"Order PO104137"</f>
        <v>Order PO104137</v>
      </c>
      <c r="K181" s="52" t="str">
        <f>"PI_104136"</f>
        <v>PI_104136</v>
      </c>
      <c r="L181" s="53">
        <v>42124</v>
      </c>
      <c r="M181" s="53">
        <v>43922</v>
      </c>
      <c r="N181" s="57" t="str">
        <f>""</f>
        <v/>
      </c>
      <c r="O181" s="75">
        <v>0</v>
      </c>
      <c r="P181" s="76">
        <v>0</v>
      </c>
      <c r="Q181" s="77">
        <v>0</v>
      </c>
      <c r="R181" s="78">
        <v>0</v>
      </c>
    </row>
    <row r="182" spans="1:18" hidden="1" x14ac:dyDescent="0.3">
      <c r="A182" s="1" t="s">
        <v>78</v>
      </c>
      <c r="B182" s="1" t="str">
        <f t="shared" ref="B182" si="272">IF(H182="","Hide","Show")</f>
        <v>Hide</v>
      </c>
      <c r="D182" s="1" t="str">
        <f t="shared" ref="D182:D225" si="273">D181</f>
        <v>"Business Central","CRONUS JetCorp USA","25","1","482792"</v>
      </c>
      <c r="E182" s="1">
        <f t="shared" ref="E182:E225" si="274">E181</f>
        <v>0</v>
      </c>
      <c r="F182" s="1" t="str">
        <f>""</f>
        <v/>
      </c>
      <c r="H182" s="9" t="str">
        <f>""</f>
        <v/>
      </c>
      <c r="I182" s="48"/>
      <c r="J182" s="41" t="str">
        <f>""</f>
        <v/>
      </c>
      <c r="K182" s="41" t="str">
        <f>""</f>
        <v/>
      </c>
      <c r="L182" s="54"/>
      <c r="M182" s="54" t="str">
        <f>""</f>
        <v/>
      </c>
      <c r="N182" s="57" t="str">
        <f>""</f>
        <v/>
      </c>
      <c r="O182" s="75">
        <v>0</v>
      </c>
      <c r="P182" s="76" t="str">
        <f>""</f>
        <v/>
      </c>
      <c r="Q182" s="77" t="str">
        <f>""</f>
        <v/>
      </c>
      <c r="R182" s="78">
        <v>0</v>
      </c>
    </row>
    <row r="183" spans="1:18" ht="9" customHeight="1" x14ac:dyDescent="0.3">
      <c r="A183" s="1" t="s">
        <v>78</v>
      </c>
      <c r="I183" s="48"/>
      <c r="J183" s="41"/>
      <c r="K183" s="41"/>
      <c r="L183" s="54"/>
      <c r="M183" s="54"/>
      <c r="N183" s="61"/>
      <c r="O183" s="60"/>
      <c r="P183" s="58"/>
      <c r="Q183" s="59"/>
      <c r="R183" s="56"/>
    </row>
    <row r="184" spans="1:18" x14ac:dyDescent="0.3">
      <c r="A184" s="1" t="s">
        <v>78</v>
      </c>
      <c r="D184" s="1" t="str">
        <f t="shared" ref="D184:D225" si="275">H184</f>
        <v>"Business Central","CRONUS JetCorp USA","25","1","482846"</v>
      </c>
      <c r="E184" s="1">
        <f t="shared" ref="E184" si="276">I179</f>
        <v>0</v>
      </c>
      <c r="G184" s="1">
        <v>482846</v>
      </c>
      <c r="H184" s="9" t="str">
        <f>"""Business Central"",""CRONUS JetCorp USA"",""25"",""1"",""482846"""</f>
        <v>"Business Central","CRONUS JetCorp USA","25","1","482846"</v>
      </c>
      <c r="I184" s="51"/>
      <c r="J184" s="52" t="str">
        <f>"Order PO104139"</f>
        <v>Order PO104139</v>
      </c>
      <c r="K184" s="52" t="str">
        <f>"PI_104138"</f>
        <v>PI_104138</v>
      </c>
      <c r="L184" s="53">
        <v>42124</v>
      </c>
      <c r="M184" s="53">
        <v>43922</v>
      </c>
      <c r="N184" s="57" t="str">
        <f>""</f>
        <v/>
      </c>
      <c r="O184" s="75">
        <v>0</v>
      </c>
      <c r="P184" s="76">
        <v>0</v>
      </c>
      <c r="Q184" s="77">
        <v>0</v>
      </c>
      <c r="R184" s="78">
        <v>0</v>
      </c>
    </row>
    <row r="185" spans="1:18" hidden="1" x14ac:dyDescent="0.3">
      <c r="A185" s="1" t="s">
        <v>78</v>
      </c>
      <c r="B185" s="1" t="str">
        <f t="shared" ref="B185" si="277">IF(H185="","Hide","Show")</f>
        <v>Hide</v>
      </c>
      <c r="D185" s="1" t="str">
        <f t="shared" ref="D185:D225" si="278">D184</f>
        <v>"Business Central","CRONUS JetCorp USA","25","1","482846"</v>
      </c>
      <c r="E185" s="1">
        <f t="shared" ref="E185:E225" si="279">E184</f>
        <v>0</v>
      </c>
      <c r="F185" s="1" t="str">
        <f>""</f>
        <v/>
      </c>
      <c r="H185" s="9" t="str">
        <f>""</f>
        <v/>
      </c>
      <c r="I185" s="48"/>
      <c r="J185" s="41" t="str">
        <f>""</f>
        <v/>
      </c>
      <c r="K185" s="41" t="str">
        <f>""</f>
        <v/>
      </c>
      <c r="L185" s="54"/>
      <c r="M185" s="54" t="str">
        <f>""</f>
        <v/>
      </c>
      <c r="N185" s="57" t="str">
        <f>""</f>
        <v/>
      </c>
      <c r="O185" s="75">
        <v>0</v>
      </c>
      <c r="P185" s="76" t="str">
        <f>""</f>
        <v/>
      </c>
      <c r="Q185" s="77" t="str">
        <f>""</f>
        <v/>
      </c>
      <c r="R185" s="78">
        <v>0</v>
      </c>
    </row>
    <row r="186" spans="1:18" ht="9" customHeight="1" x14ac:dyDescent="0.3">
      <c r="A186" s="1" t="s">
        <v>78</v>
      </c>
      <c r="I186" s="48"/>
      <c r="J186" s="41"/>
      <c r="K186" s="41"/>
      <c r="L186" s="54"/>
      <c r="M186" s="54"/>
      <c r="N186" s="61"/>
      <c r="O186" s="60"/>
      <c r="P186" s="58"/>
      <c r="Q186" s="59"/>
      <c r="R186" s="56"/>
    </row>
    <row r="187" spans="1:18" x14ac:dyDescent="0.3">
      <c r="A187" s="1" t="s">
        <v>78</v>
      </c>
      <c r="D187" s="1" t="str">
        <f t="shared" ref="D187:D225" si="280">H187</f>
        <v>"Business Central","CRONUS JetCorp USA","25","1","482889"</v>
      </c>
      <c r="E187" s="1">
        <f t="shared" ref="E187" si="281">I182</f>
        <v>0</v>
      </c>
      <c r="G187" s="1">
        <v>482889</v>
      </c>
      <c r="H187" s="9" t="str">
        <f>"""Business Central"",""CRONUS JetCorp USA"",""25"",""1"",""482889"""</f>
        <v>"Business Central","CRONUS JetCorp USA","25","1","482889"</v>
      </c>
      <c r="I187" s="51"/>
      <c r="J187" s="52" t="str">
        <f>"Order PO104140"</f>
        <v>Order PO104140</v>
      </c>
      <c r="K187" s="52" t="str">
        <f>"PI_104139"</f>
        <v>PI_104139</v>
      </c>
      <c r="L187" s="53">
        <v>42155</v>
      </c>
      <c r="M187" s="53">
        <v>43953</v>
      </c>
      <c r="N187" s="57" t="str">
        <f>""</f>
        <v/>
      </c>
      <c r="O187" s="75">
        <v>0</v>
      </c>
      <c r="P187" s="76">
        <v>0</v>
      </c>
      <c r="Q187" s="77">
        <v>0</v>
      </c>
      <c r="R187" s="78">
        <v>0</v>
      </c>
    </row>
    <row r="188" spans="1:18" hidden="1" x14ac:dyDescent="0.3">
      <c r="A188" s="1" t="s">
        <v>78</v>
      </c>
      <c r="B188" s="1" t="str">
        <f t="shared" ref="B188" si="282">IF(H188="","Hide","Show")</f>
        <v>Hide</v>
      </c>
      <c r="D188" s="1" t="str">
        <f t="shared" ref="D188:D225" si="283">D187</f>
        <v>"Business Central","CRONUS JetCorp USA","25","1","482889"</v>
      </c>
      <c r="E188" s="1">
        <f t="shared" ref="E188:E225" si="284">E187</f>
        <v>0</v>
      </c>
      <c r="F188" s="1" t="str">
        <f>""</f>
        <v/>
      </c>
      <c r="H188" s="9" t="str">
        <f>""</f>
        <v/>
      </c>
      <c r="I188" s="48"/>
      <c r="J188" s="41" t="str">
        <f>""</f>
        <v/>
      </c>
      <c r="K188" s="41" t="str">
        <f>""</f>
        <v/>
      </c>
      <c r="L188" s="54"/>
      <c r="M188" s="54" t="str">
        <f>""</f>
        <v/>
      </c>
      <c r="N188" s="57" t="str">
        <f>""</f>
        <v/>
      </c>
      <c r="O188" s="75">
        <v>0</v>
      </c>
      <c r="P188" s="76" t="str">
        <f>""</f>
        <v/>
      </c>
      <c r="Q188" s="77" t="str">
        <f>""</f>
        <v/>
      </c>
      <c r="R188" s="78">
        <v>0</v>
      </c>
    </row>
    <row r="189" spans="1:18" ht="9" customHeight="1" x14ac:dyDescent="0.3">
      <c r="A189" s="1" t="s">
        <v>78</v>
      </c>
      <c r="I189" s="48"/>
      <c r="J189" s="41"/>
      <c r="K189" s="41"/>
      <c r="L189" s="54"/>
      <c r="M189" s="54"/>
      <c r="N189" s="61"/>
      <c r="O189" s="60"/>
      <c r="P189" s="58"/>
      <c r="Q189" s="59"/>
      <c r="R189" s="56"/>
    </row>
    <row r="190" spans="1:18" x14ac:dyDescent="0.3">
      <c r="A190" s="1" t="s">
        <v>78</v>
      </c>
      <c r="D190" s="1" t="str">
        <f t="shared" ref="D190:D225" si="285">H190</f>
        <v>"Business Central","CRONUS JetCorp USA","25","1","482965"</v>
      </c>
      <c r="E190" s="1">
        <f t="shared" ref="E190" si="286">I185</f>
        <v>0</v>
      </c>
      <c r="G190" s="1">
        <v>482965</v>
      </c>
      <c r="H190" s="9" t="str">
        <f>"""Business Central"",""CRONUS JetCorp USA"",""25"",""1"",""482965"""</f>
        <v>"Business Central","CRONUS JetCorp USA","25","1","482965"</v>
      </c>
      <c r="I190" s="51"/>
      <c r="J190" s="52" t="str">
        <f>"Order PO104142"</f>
        <v>Order PO104142</v>
      </c>
      <c r="K190" s="52" t="str">
        <f>"PI_104141"</f>
        <v>PI_104141</v>
      </c>
      <c r="L190" s="53">
        <v>42185</v>
      </c>
      <c r="M190" s="53">
        <v>43985</v>
      </c>
      <c r="N190" s="57" t="str">
        <f>""</f>
        <v/>
      </c>
      <c r="O190" s="75">
        <v>0</v>
      </c>
      <c r="P190" s="76">
        <v>0</v>
      </c>
      <c r="Q190" s="77">
        <v>0</v>
      </c>
      <c r="R190" s="78">
        <v>0</v>
      </c>
    </row>
    <row r="191" spans="1:18" hidden="1" x14ac:dyDescent="0.3">
      <c r="A191" s="1" t="s">
        <v>78</v>
      </c>
      <c r="B191" s="1" t="str">
        <f t="shared" ref="B191" si="287">IF(H191="","Hide","Show")</f>
        <v>Hide</v>
      </c>
      <c r="D191" s="1" t="str">
        <f t="shared" ref="D191:D225" si="288">D190</f>
        <v>"Business Central","CRONUS JetCorp USA","25","1","482965"</v>
      </c>
      <c r="E191" s="1">
        <f t="shared" ref="E191:E225" si="289">E190</f>
        <v>0</v>
      </c>
      <c r="F191" s="1" t="str">
        <f>""</f>
        <v/>
      </c>
      <c r="H191" s="9" t="str">
        <f>""</f>
        <v/>
      </c>
      <c r="I191" s="48"/>
      <c r="J191" s="41" t="str">
        <f>""</f>
        <v/>
      </c>
      <c r="K191" s="41" t="str">
        <f>""</f>
        <v/>
      </c>
      <c r="L191" s="54"/>
      <c r="M191" s="54" t="str">
        <f>""</f>
        <v/>
      </c>
      <c r="N191" s="57" t="str">
        <f>""</f>
        <v/>
      </c>
      <c r="O191" s="75">
        <v>0</v>
      </c>
      <c r="P191" s="76" t="str">
        <f>""</f>
        <v/>
      </c>
      <c r="Q191" s="77" t="str">
        <f>""</f>
        <v/>
      </c>
      <c r="R191" s="78">
        <v>0</v>
      </c>
    </row>
    <row r="192" spans="1:18" ht="9" customHeight="1" x14ac:dyDescent="0.3">
      <c r="A192" s="1" t="s">
        <v>78</v>
      </c>
      <c r="I192" s="48"/>
      <c r="J192" s="41"/>
      <c r="K192" s="41"/>
      <c r="L192" s="54"/>
      <c r="M192" s="54"/>
      <c r="N192" s="61"/>
      <c r="O192" s="60"/>
      <c r="P192" s="58"/>
      <c r="Q192" s="59"/>
      <c r="R192" s="56"/>
    </row>
    <row r="193" spans="1:18" x14ac:dyDescent="0.3">
      <c r="A193" s="1" t="s">
        <v>78</v>
      </c>
      <c r="D193" s="1" t="str">
        <f t="shared" ref="D193:D225" si="290">H193</f>
        <v>"Business Central","CRONUS JetCorp USA","25","1","483027"</v>
      </c>
      <c r="E193" s="1">
        <f t="shared" ref="E193" si="291">I188</f>
        <v>0</v>
      </c>
      <c r="G193" s="1">
        <v>483027</v>
      </c>
      <c r="H193" s="9" t="str">
        <f>"""Business Central"",""CRONUS JetCorp USA"",""25"",""1"",""483027"""</f>
        <v>"Business Central","CRONUS JetCorp USA","25","1","483027"</v>
      </c>
      <c r="I193" s="51"/>
      <c r="J193" s="52" t="str">
        <f>"Order PO104144"</f>
        <v>Order PO104144</v>
      </c>
      <c r="K193" s="52" t="str">
        <f>"PI_104143"</f>
        <v>PI_104143</v>
      </c>
      <c r="L193" s="53">
        <v>42216</v>
      </c>
      <c r="M193" s="53">
        <v>44016</v>
      </c>
      <c r="N193" s="57" t="str">
        <f>""</f>
        <v/>
      </c>
      <c r="O193" s="75">
        <v>0</v>
      </c>
      <c r="P193" s="76">
        <v>0</v>
      </c>
      <c r="Q193" s="77">
        <v>0</v>
      </c>
      <c r="R193" s="78">
        <v>0</v>
      </c>
    </row>
    <row r="194" spans="1:18" hidden="1" x14ac:dyDescent="0.3">
      <c r="A194" s="1" t="s">
        <v>78</v>
      </c>
      <c r="B194" s="1" t="str">
        <f t="shared" ref="B194" si="292">IF(H194="","Hide","Show")</f>
        <v>Hide</v>
      </c>
      <c r="D194" s="1" t="str">
        <f t="shared" ref="D194:D225" si="293">D193</f>
        <v>"Business Central","CRONUS JetCorp USA","25","1","483027"</v>
      </c>
      <c r="E194" s="1">
        <f t="shared" ref="E194:E225" si="294">E193</f>
        <v>0</v>
      </c>
      <c r="F194" s="1" t="str">
        <f>""</f>
        <v/>
      </c>
      <c r="H194" s="9" t="str">
        <f>""</f>
        <v/>
      </c>
      <c r="I194" s="48"/>
      <c r="J194" s="41" t="str">
        <f>""</f>
        <v/>
      </c>
      <c r="K194" s="41" t="str">
        <f>""</f>
        <v/>
      </c>
      <c r="L194" s="54"/>
      <c r="M194" s="54" t="str">
        <f>""</f>
        <v/>
      </c>
      <c r="N194" s="57" t="str">
        <f>""</f>
        <v/>
      </c>
      <c r="O194" s="75">
        <v>0</v>
      </c>
      <c r="P194" s="76" t="str">
        <f>""</f>
        <v/>
      </c>
      <c r="Q194" s="77" t="str">
        <f>""</f>
        <v/>
      </c>
      <c r="R194" s="78">
        <v>0</v>
      </c>
    </row>
    <row r="195" spans="1:18" ht="9" customHeight="1" x14ac:dyDescent="0.3">
      <c r="A195" s="1" t="s">
        <v>78</v>
      </c>
      <c r="I195" s="48"/>
      <c r="J195" s="41"/>
      <c r="K195" s="41"/>
      <c r="L195" s="54"/>
      <c r="M195" s="54"/>
      <c r="N195" s="61"/>
      <c r="O195" s="60"/>
      <c r="P195" s="58"/>
      <c r="Q195" s="59"/>
      <c r="R195" s="56"/>
    </row>
    <row r="196" spans="1:18" x14ac:dyDescent="0.3">
      <c r="A196" s="1" t="s">
        <v>78</v>
      </c>
      <c r="D196" s="1" t="str">
        <f t="shared" ref="D196:D225" si="295">H196</f>
        <v>"Business Central","CRONUS JetCorp USA","25","1","483105"</v>
      </c>
      <c r="E196" s="1">
        <f t="shared" ref="E196" si="296">I191</f>
        <v>0</v>
      </c>
      <c r="G196" s="1">
        <v>483105</v>
      </c>
      <c r="H196" s="9" t="str">
        <f>"""Business Central"",""CRONUS JetCorp USA"",""25"",""1"",""483105"""</f>
        <v>"Business Central","CRONUS JetCorp USA","25","1","483105"</v>
      </c>
      <c r="I196" s="51"/>
      <c r="J196" s="52" t="str">
        <f>"Order PO104146"</f>
        <v>Order PO104146</v>
      </c>
      <c r="K196" s="52" t="str">
        <f>"PI_104145"</f>
        <v>PI_104145</v>
      </c>
      <c r="L196" s="53">
        <v>42247</v>
      </c>
      <c r="M196" s="53">
        <v>44048</v>
      </c>
      <c r="N196" s="57" t="str">
        <f>""</f>
        <v/>
      </c>
      <c r="O196" s="75">
        <v>0</v>
      </c>
      <c r="P196" s="76">
        <v>0</v>
      </c>
      <c r="Q196" s="77">
        <v>0</v>
      </c>
      <c r="R196" s="78">
        <v>0</v>
      </c>
    </row>
    <row r="197" spans="1:18" hidden="1" x14ac:dyDescent="0.3">
      <c r="A197" s="1" t="s">
        <v>78</v>
      </c>
      <c r="B197" s="1" t="str">
        <f t="shared" ref="B197" si="297">IF(H197="","Hide","Show")</f>
        <v>Hide</v>
      </c>
      <c r="D197" s="1" t="str">
        <f t="shared" ref="D197:D225" si="298">D196</f>
        <v>"Business Central","CRONUS JetCorp USA","25","1","483105"</v>
      </c>
      <c r="E197" s="1">
        <f t="shared" ref="E197:E225" si="299">E196</f>
        <v>0</v>
      </c>
      <c r="F197" s="1" t="str">
        <f>""</f>
        <v/>
      </c>
      <c r="H197" s="9" t="str">
        <f>""</f>
        <v/>
      </c>
      <c r="I197" s="48"/>
      <c r="J197" s="41" t="str">
        <f>""</f>
        <v/>
      </c>
      <c r="K197" s="41" t="str">
        <f>""</f>
        <v/>
      </c>
      <c r="L197" s="54"/>
      <c r="M197" s="54" t="str">
        <f>""</f>
        <v/>
      </c>
      <c r="N197" s="57" t="str">
        <f>""</f>
        <v/>
      </c>
      <c r="O197" s="75">
        <v>0</v>
      </c>
      <c r="P197" s="76" t="str">
        <f>""</f>
        <v/>
      </c>
      <c r="Q197" s="77" t="str">
        <f>""</f>
        <v/>
      </c>
      <c r="R197" s="78">
        <v>0</v>
      </c>
    </row>
    <row r="198" spans="1:18" ht="9" customHeight="1" x14ac:dyDescent="0.3">
      <c r="A198" s="1" t="s">
        <v>78</v>
      </c>
      <c r="I198" s="48"/>
      <c r="J198" s="41"/>
      <c r="K198" s="41"/>
      <c r="L198" s="54"/>
      <c r="M198" s="54"/>
      <c r="N198" s="61"/>
      <c r="O198" s="60"/>
      <c r="P198" s="58"/>
      <c r="Q198" s="59"/>
      <c r="R198" s="56"/>
    </row>
    <row r="199" spans="1:18" x14ac:dyDescent="0.3">
      <c r="A199" s="1" t="s">
        <v>78</v>
      </c>
      <c r="D199" s="1" t="str">
        <f t="shared" ref="D199:D225" si="300">H199</f>
        <v>"Business Central","CRONUS JetCorp USA","25","1","483179"</v>
      </c>
      <c r="E199" s="1">
        <f t="shared" ref="E199" si="301">I194</f>
        <v>0</v>
      </c>
      <c r="G199" s="1">
        <v>483179</v>
      </c>
      <c r="H199" s="9" t="str">
        <f>"""Business Central"",""CRONUS JetCorp USA"",""25"",""1"",""483179"""</f>
        <v>"Business Central","CRONUS JetCorp USA","25","1","483179"</v>
      </c>
      <c r="I199" s="51"/>
      <c r="J199" s="52" t="str">
        <f>"Order PO104148"</f>
        <v>Order PO104148</v>
      </c>
      <c r="K199" s="52" t="str">
        <f>"PI_104147"</f>
        <v>PI_104147</v>
      </c>
      <c r="L199" s="53">
        <v>42277</v>
      </c>
      <c r="M199" s="53">
        <v>44080</v>
      </c>
      <c r="N199" s="57" t="str">
        <f>""</f>
        <v/>
      </c>
      <c r="O199" s="75">
        <v>0</v>
      </c>
      <c r="P199" s="76">
        <v>0</v>
      </c>
      <c r="Q199" s="77">
        <v>0</v>
      </c>
      <c r="R199" s="78">
        <v>0</v>
      </c>
    </row>
    <row r="200" spans="1:18" hidden="1" x14ac:dyDescent="0.3">
      <c r="A200" s="1" t="s">
        <v>78</v>
      </c>
      <c r="B200" s="1" t="str">
        <f t="shared" ref="B200" si="302">IF(H200="","Hide","Show")</f>
        <v>Hide</v>
      </c>
      <c r="D200" s="1" t="str">
        <f t="shared" ref="D200:D225" si="303">D199</f>
        <v>"Business Central","CRONUS JetCorp USA","25","1","483179"</v>
      </c>
      <c r="E200" s="1">
        <f t="shared" ref="E200:E225" si="304">E199</f>
        <v>0</v>
      </c>
      <c r="F200" s="1" t="str">
        <f>""</f>
        <v/>
      </c>
      <c r="H200" s="9" t="str">
        <f>""</f>
        <v/>
      </c>
      <c r="I200" s="48"/>
      <c r="J200" s="41" t="str">
        <f>""</f>
        <v/>
      </c>
      <c r="K200" s="41" t="str">
        <f>""</f>
        <v/>
      </c>
      <c r="L200" s="54"/>
      <c r="M200" s="54" t="str">
        <f>""</f>
        <v/>
      </c>
      <c r="N200" s="57" t="str">
        <f>""</f>
        <v/>
      </c>
      <c r="O200" s="75">
        <v>0</v>
      </c>
      <c r="P200" s="76" t="str">
        <f>""</f>
        <v/>
      </c>
      <c r="Q200" s="77" t="str">
        <f>""</f>
        <v/>
      </c>
      <c r="R200" s="78">
        <v>0</v>
      </c>
    </row>
    <row r="201" spans="1:18" ht="9" customHeight="1" x14ac:dyDescent="0.3">
      <c r="A201" s="1" t="s">
        <v>78</v>
      </c>
      <c r="I201" s="48"/>
      <c r="J201" s="41"/>
      <c r="K201" s="41"/>
      <c r="L201" s="54"/>
      <c r="M201" s="54"/>
      <c r="N201" s="61"/>
      <c r="O201" s="60"/>
      <c r="P201" s="58"/>
      <c r="Q201" s="59"/>
      <c r="R201" s="56"/>
    </row>
    <row r="202" spans="1:18" x14ac:dyDescent="0.3">
      <c r="A202" s="1" t="s">
        <v>78</v>
      </c>
      <c r="D202" s="1" t="str">
        <f t="shared" ref="D202:D225" si="305">H202</f>
        <v>"Business Central","CRONUS JetCorp USA","25","1","483229"</v>
      </c>
      <c r="E202" s="1">
        <f t="shared" ref="E202" si="306">I197</f>
        <v>0</v>
      </c>
      <c r="G202" s="1">
        <v>483229</v>
      </c>
      <c r="H202" s="9" t="str">
        <f>"""Business Central"",""CRONUS JetCorp USA"",""25"",""1"",""483229"""</f>
        <v>"Business Central","CRONUS JetCorp USA","25","1","483229"</v>
      </c>
      <c r="I202" s="51"/>
      <c r="J202" s="52" t="str">
        <f>"Order PO104150"</f>
        <v>Order PO104150</v>
      </c>
      <c r="K202" s="52" t="str">
        <f>"PI_104149"</f>
        <v>PI_104149</v>
      </c>
      <c r="L202" s="53">
        <v>42277</v>
      </c>
      <c r="M202" s="53">
        <v>44080</v>
      </c>
      <c r="N202" s="57" t="str">
        <f>""</f>
        <v/>
      </c>
      <c r="O202" s="75">
        <v>0</v>
      </c>
      <c r="P202" s="76">
        <v>0</v>
      </c>
      <c r="Q202" s="77">
        <v>0</v>
      </c>
      <c r="R202" s="78">
        <v>0</v>
      </c>
    </row>
    <row r="203" spans="1:18" hidden="1" x14ac:dyDescent="0.3">
      <c r="A203" s="1" t="s">
        <v>78</v>
      </c>
      <c r="B203" s="1" t="str">
        <f t="shared" ref="B203" si="307">IF(H203="","Hide","Show")</f>
        <v>Hide</v>
      </c>
      <c r="D203" s="1" t="str">
        <f t="shared" ref="D203:D225" si="308">D202</f>
        <v>"Business Central","CRONUS JetCorp USA","25","1","483229"</v>
      </c>
      <c r="E203" s="1">
        <f t="shared" ref="E203:E225" si="309">E202</f>
        <v>0</v>
      </c>
      <c r="F203" s="1" t="str">
        <f>""</f>
        <v/>
      </c>
      <c r="H203" s="9" t="str">
        <f>""</f>
        <v/>
      </c>
      <c r="I203" s="48"/>
      <c r="J203" s="41" t="str">
        <f>""</f>
        <v/>
      </c>
      <c r="K203" s="41" t="str">
        <f>""</f>
        <v/>
      </c>
      <c r="L203" s="54"/>
      <c r="M203" s="54" t="str">
        <f>""</f>
        <v/>
      </c>
      <c r="N203" s="57" t="str">
        <f>""</f>
        <v/>
      </c>
      <c r="O203" s="75">
        <v>0</v>
      </c>
      <c r="P203" s="76" t="str">
        <f>""</f>
        <v/>
      </c>
      <c r="Q203" s="77" t="str">
        <f>""</f>
        <v/>
      </c>
      <c r="R203" s="78">
        <v>0</v>
      </c>
    </row>
    <row r="204" spans="1:18" ht="9" customHeight="1" x14ac:dyDescent="0.3">
      <c r="A204" s="1" t="s">
        <v>78</v>
      </c>
      <c r="I204" s="48"/>
      <c r="J204" s="41"/>
      <c r="K204" s="41"/>
      <c r="L204" s="54"/>
      <c r="M204" s="54"/>
      <c r="N204" s="61"/>
      <c r="O204" s="60"/>
      <c r="P204" s="58"/>
      <c r="Q204" s="59"/>
      <c r="R204" s="56"/>
    </row>
    <row r="205" spans="1:18" x14ac:dyDescent="0.3">
      <c r="A205" s="1" t="s">
        <v>78</v>
      </c>
      <c r="D205" s="1" t="str">
        <f t="shared" ref="D205:D225" si="310">H205</f>
        <v>"Business Central","CRONUS JetCorp USA","25","1","483283"</v>
      </c>
      <c r="E205" s="1">
        <f t="shared" ref="E205" si="311">I200</f>
        <v>0</v>
      </c>
      <c r="G205" s="1">
        <v>483283</v>
      </c>
      <c r="H205" s="9" t="str">
        <f>"""Business Central"",""CRONUS JetCorp USA"",""25"",""1"",""483283"""</f>
        <v>"Business Central","CRONUS JetCorp USA","25","1","483283"</v>
      </c>
      <c r="I205" s="51"/>
      <c r="J205" s="52" t="str">
        <f>"Order PO104152"</f>
        <v>Order PO104152</v>
      </c>
      <c r="K205" s="52" t="str">
        <f>"PI_104151"</f>
        <v>PI_104151</v>
      </c>
      <c r="L205" s="53">
        <v>42308</v>
      </c>
      <c r="M205" s="53">
        <v>44111</v>
      </c>
      <c r="N205" s="57" t="str">
        <f>""</f>
        <v/>
      </c>
      <c r="O205" s="75">
        <v>0</v>
      </c>
      <c r="P205" s="76">
        <v>0</v>
      </c>
      <c r="Q205" s="77">
        <v>0</v>
      </c>
      <c r="R205" s="78">
        <v>0</v>
      </c>
    </row>
    <row r="206" spans="1:18" hidden="1" x14ac:dyDescent="0.3">
      <c r="A206" s="1" t="s">
        <v>78</v>
      </c>
      <c r="B206" s="1" t="str">
        <f t="shared" ref="B206" si="312">IF(H206="","Hide","Show")</f>
        <v>Hide</v>
      </c>
      <c r="D206" s="1" t="str">
        <f t="shared" ref="D206:D225" si="313">D205</f>
        <v>"Business Central","CRONUS JetCorp USA","25","1","483283"</v>
      </c>
      <c r="E206" s="1">
        <f t="shared" ref="E206:E225" si="314">E205</f>
        <v>0</v>
      </c>
      <c r="F206" s="1" t="str">
        <f>""</f>
        <v/>
      </c>
      <c r="H206" s="9" t="str">
        <f>""</f>
        <v/>
      </c>
      <c r="I206" s="48"/>
      <c r="J206" s="41" t="str">
        <f>""</f>
        <v/>
      </c>
      <c r="K206" s="41" t="str">
        <f>""</f>
        <v/>
      </c>
      <c r="L206" s="54"/>
      <c r="M206" s="54" t="str">
        <f>""</f>
        <v/>
      </c>
      <c r="N206" s="57" t="str">
        <f>""</f>
        <v/>
      </c>
      <c r="O206" s="75">
        <v>0</v>
      </c>
      <c r="P206" s="76" t="str">
        <f>""</f>
        <v/>
      </c>
      <c r="Q206" s="77" t="str">
        <f>""</f>
        <v/>
      </c>
      <c r="R206" s="78">
        <v>0</v>
      </c>
    </row>
    <row r="207" spans="1:18" ht="9" customHeight="1" x14ac:dyDescent="0.3">
      <c r="A207" s="1" t="s">
        <v>78</v>
      </c>
      <c r="I207" s="48"/>
      <c r="J207" s="41"/>
      <c r="K207" s="41"/>
      <c r="L207" s="54"/>
      <c r="M207" s="54"/>
      <c r="N207" s="61"/>
      <c r="O207" s="60"/>
      <c r="P207" s="58"/>
      <c r="Q207" s="59"/>
      <c r="R207" s="56"/>
    </row>
    <row r="208" spans="1:18" x14ac:dyDescent="0.3">
      <c r="A208" s="1" t="s">
        <v>78</v>
      </c>
      <c r="D208" s="1" t="str">
        <f t="shared" ref="D208:D225" si="315">H208</f>
        <v>"Business Central","CRONUS JetCorp USA","25","1","483333"</v>
      </c>
      <c r="E208" s="1">
        <f t="shared" ref="E208" si="316">I203</f>
        <v>0</v>
      </c>
      <c r="G208" s="1">
        <v>483333</v>
      </c>
      <c r="H208" s="9" t="str">
        <f>"""Business Central"",""CRONUS JetCorp USA"",""25"",""1"",""483333"""</f>
        <v>"Business Central","CRONUS JetCorp USA","25","1","483333"</v>
      </c>
      <c r="I208" s="51"/>
      <c r="J208" s="52" t="str">
        <f>"Order PO104154"</f>
        <v>Order PO104154</v>
      </c>
      <c r="K208" s="52" t="str">
        <f>"PI_104153"</f>
        <v>PI_104153</v>
      </c>
      <c r="L208" s="53">
        <v>42308</v>
      </c>
      <c r="M208" s="53">
        <v>44111</v>
      </c>
      <c r="N208" s="57" t="str">
        <f>""</f>
        <v/>
      </c>
      <c r="O208" s="75">
        <v>0</v>
      </c>
      <c r="P208" s="76">
        <v>0</v>
      </c>
      <c r="Q208" s="77">
        <v>0</v>
      </c>
      <c r="R208" s="78">
        <v>0</v>
      </c>
    </row>
    <row r="209" spans="1:18" hidden="1" x14ac:dyDescent="0.3">
      <c r="A209" s="1" t="s">
        <v>78</v>
      </c>
      <c r="B209" s="1" t="str">
        <f t="shared" ref="B209" si="317">IF(H209="","Hide","Show")</f>
        <v>Hide</v>
      </c>
      <c r="D209" s="1" t="str">
        <f t="shared" ref="D209:D225" si="318">D208</f>
        <v>"Business Central","CRONUS JetCorp USA","25","1","483333"</v>
      </c>
      <c r="E209" s="1">
        <f t="shared" ref="E209:E225" si="319">E208</f>
        <v>0</v>
      </c>
      <c r="F209" s="1" t="str">
        <f>""</f>
        <v/>
      </c>
      <c r="H209" s="9" t="str">
        <f>""</f>
        <v/>
      </c>
      <c r="I209" s="48"/>
      <c r="J209" s="41" t="str">
        <f>""</f>
        <v/>
      </c>
      <c r="K209" s="41" t="str">
        <f>""</f>
        <v/>
      </c>
      <c r="L209" s="54"/>
      <c r="M209" s="54" t="str">
        <f>""</f>
        <v/>
      </c>
      <c r="N209" s="57" t="str">
        <f>""</f>
        <v/>
      </c>
      <c r="O209" s="75">
        <v>0</v>
      </c>
      <c r="P209" s="76" t="str">
        <f>""</f>
        <v/>
      </c>
      <c r="Q209" s="77" t="str">
        <f>""</f>
        <v/>
      </c>
      <c r="R209" s="78">
        <v>0</v>
      </c>
    </row>
    <row r="210" spans="1:18" ht="9" customHeight="1" x14ac:dyDescent="0.3">
      <c r="A210" s="1" t="s">
        <v>78</v>
      </c>
      <c r="I210" s="48"/>
      <c r="J210" s="41"/>
      <c r="K210" s="41"/>
      <c r="L210" s="54"/>
      <c r="M210" s="54"/>
      <c r="N210" s="61"/>
      <c r="O210" s="60"/>
      <c r="P210" s="58"/>
      <c r="Q210" s="59"/>
      <c r="R210" s="56"/>
    </row>
    <row r="211" spans="1:18" x14ac:dyDescent="0.3">
      <c r="A211" s="1" t="s">
        <v>78</v>
      </c>
      <c r="D211" s="1" t="str">
        <f t="shared" ref="D211:D225" si="320">H211</f>
        <v>"Business Central","CRONUS JetCorp USA","25","1","483390"</v>
      </c>
      <c r="E211" s="1">
        <f t="shared" ref="E211" si="321">I206</f>
        <v>0</v>
      </c>
      <c r="G211" s="1">
        <v>483390</v>
      </c>
      <c r="H211" s="9" t="str">
        <f>"""Business Central"",""CRONUS JetCorp USA"",""25"",""1"",""483390"""</f>
        <v>"Business Central","CRONUS JetCorp USA","25","1","483390"</v>
      </c>
      <c r="I211" s="51"/>
      <c r="J211" s="52" t="str">
        <f>"Order PO104155"</f>
        <v>Order PO104155</v>
      </c>
      <c r="K211" s="52" t="str">
        <f>"PI_104154"</f>
        <v>PI_104154</v>
      </c>
      <c r="L211" s="53">
        <v>42338</v>
      </c>
      <c r="M211" s="53">
        <v>44143</v>
      </c>
      <c r="N211" s="57" t="str">
        <f>""</f>
        <v/>
      </c>
      <c r="O211" s="75">
        <v>0</v>
      </c>
      <c r="P211" s="76">
        <v>0</v>
      </c>
      <c r="Q211" s="77">
        <v>0</v>
      </c>
      <c r="R211" s="78">
        <v>0</v>
      </c>
    </row>
    <row r="212" spans="1:18" hidden="1" x14ac:dyDescent="0.3">
      <c r="A212" s="1" t="s">
        <v>78</v>
      </c>
      <c r="B212" s="1" t="str">
        <f t="shared" ref="B212" si="322">IF(H212="","Hide","Show")</f>
        <v>Hide</v>
      </c>
      <c r="D212" s="1" t="str">
        <f t="shared" ref="D212:D225" si="323">D211</f>
        <v>"Business Central","CRONUS JetCorp USA","25","1","483390"</v>
      </c>
      <c r="E212" s="1">
        <f t="shared" ref="E212:E225" si="324">E211</f>
        <v>0</v>
      </c>
      <c r="F212" s="1" t="str">
        <f>""</f>
        <v/>
      </c>
      <c r="H212" s="9" t="str">
        <f>""</f>
        <v/>
      </c>
      <c r="I212" s="48"/>
      <c r="J212" s="41" t="str">
        <f>""</f>
        <v/>
      </c>
      <c r="K212" s="41" t="str">
        <f>""</f>
        <v/>
      </c>
      <c r="L212" s="54"/>
      <c r="M212" s="54" t="str">
        <f>""</f>
        <v/>
      </c>
      <c r="N212" s="57" t="str">
        <f>""</f>
        <v/>
      </c>
      <c r="O212" s="75">
        <v>0</v>
      </c>
      <c r="P212" s="76" t="str">
        <f>""</f>
        <v/>
      </c>
      <c r="Q212" s="77" t="str">
        <f>""</f>
        <v/>
      </c>
      <c r="R212" s="78">
        <v>0</v>
      </c>
    </row>
    <row r="213" spans="1:18" ht="9" customHeight="1" x14ac:dyDescent="0.3">
      <c r="A213" s="1" t="s">
        <v>78</v>
      </c>
      <c r="I213" s="48"/>
      <c r="J213" s="41"/>
      <c r="K213" s="41"/>
      <c r="L213" s="54"/>
      <c r="M213" s="54"/>
      <c r="N213" s="61"/>
      <c r="O213" s="60"/>
      <c r="P213" s="58"/>
      <c r="Q213" s="59"/>
      <c r="R213" s="56"/>
    </row>
    <row r="214" spans="1:18" x14ac:dyDescent="0.3">
      <c r="A214" s="1" t="s">
        <v>78</v>
      </c>
      <c r="D214" s="1" t="str">
        <f t="shared" ref="D214:D225" si="325">H214</f>
        <v>"Business Central","CRONUS JetCorp USA","25","1","484620"</v>
      </c>
      <c r="E214" s="1">
        <f t="shared" ref="E214" si="326">I209</f>
        <v>0</v>
      </c>
      <c r="G214" s="1">
        <v>484620</v>
      </c>
      <c r="H214" s="9" t="str">
        <f>"""Business Central"",""CRONUS JetCorp USA"",""25"",""1"",""484620"""</f>
        <v>"Business Central","CRONUS JetCorp USA","25","1","484620"</v>
      </c>
      <c r="I214" s="51"/>
      <c r="J214" s="52" t="str">
        <f>"Order PO104207"</f>
        <v>Order PO104207</v>
      </c>
      <c r="K214" s="52" t="str">
        <f>"PI_104206"</f>
        <v>PI_104206</v>
      </c>
      <c r="L214" s="53">
        <v>42369</v>
      </c>
      <c r="M214" s="53">
        <v>44174</v>
      </c>
      <c r="N214" s="57" t="str">
        <f>""</f>
        <v/>
      </c>
      <c r="O214" s="75">
        <v>0</v>
      </c>
      <c r="P214" s="76">
        <v>0</v>
      </c>
      <c r="Q214" s="77">
        <v>0</v>
      </c>
      <c r="R214" s="78">
        <v>0</v>
      </c>
    </row>
    <row r="215" spans="1:18" hidden="1" x14ac:dyDescent="0.3">
      <c r="A215" s="1" t="s">
        <v>78</v>
      </c>
      <c r="B215" s="1" t="str">
        <f t="shared" ref="B215" si="327">IF(H215="","Hide","Show")</f>
        <v>Hide</v>
      </c>
      <c r="D215" s="1" t="str">
        <f t="shared" ref="D215:D225" si="328">D214</f>
        <v>"Business Central","CRONUS JetCorp USA","25","1","484620"</v>
      </c>
      <c r="E215" s="1">
        <f t="shared" ref="E215:E225" si="329">E214</f>
        <v>0</v>
      </c>
      <c r="F215" s="1" t="str">
        <f>""</f>
        <v/>
      </c>
      <c r="H215" s="9" t="str">
        <f>""</f>
        <v/>
      </c>
      <c r="I215" s="48"/>
      <c r="J215" s="41" t="str">
        <f>""</f>
        <v/>
      </c>
      <c r="K215" s="41" t="str">
        <f>""</f>
        <v/>
      </c>
      <c r="L215" s="54"/>
      <c r="M215" s="54" t="str">
        <f>""</f>
        <v/>
      </c>
      <c r="N215" s="57" t="str">
        <f>""</f>
        <v/>
      </c>
      <c r="O215" s="75">
        <v>0</v>
      </c>
      <c r="P215" s="76" t="str">
        <f>""</f>
        <v/>
      </c>
      <c r="Q215" s="77" t="str">
        <f>""</f>
        <v/>
      </c>
      <c r="R215" s="78">
        <v>0</v>
      </c>
    </row>
    <row r="216" spans="1:18" ht="9" customHeight="1" x14ac:dyDescent="0.3">
      <c r="A216" s="1" t="s">
        <v>78</v>
      </c>
      <c r="I216" s="48"/>
      <c r="J216" s="41"/>
      <c r="K216" s="41"/>
      <c r="L216" s="54"/>
      <c r="M216" s="54"/>
      <c r="N216" s="61"/>
      <c r="O216" s="60"/>
      <c r="P216" s="58"/>
      <c r="Q216" s="59"/>
      <c r="R216" s="56"/>
    </row>
    <row r="217" spans="1:18" x14ac:dyDescent="0.3">
      <c r="A217" s="1" t="s">
        <v>78</v>
      </c>
      <c r="D217" s="1" t="str">
        <f t="shared" ref="D217:D225" si="330">H217</f>
        <v>"Business Central","CRONUS JetCorp USA","25","1","493793"</v>
      </c>
      <c r="E217" s="1">
        <f t="shared" ref="E217" si="331">I212</f>
        <v>0</v>
      </c>
      <c r="G217" s="1">
        <v>493793</v>
      </c>
      <c r="H217" s="9" t="str">
        <f>"""Business Central"",""CRONUS JetCorp USA"",""25"",""1"",""493793"""</f>
        <v>"Business Central","CRONUS JetCorp USA","25","1","493793"</v>
      </c>
      <c r="I217" s="51"/>
      <c r="J217" s="52" t="str">
        <f>"Order PO104315"</f>
        <v>Order PO104315</v>
      </c>
      <c r="K217" s="52" t="str">
        <f>"PI_104314"</f>
        <v>PI_104314</v>
      </c>
      <c r="L217" s="53">
        <v>42400</v>
      </c>
      <c r="M217" s="53">
        <v>42371</v>
      </c>
      <c r="N217" s="57" t="str">
        <f>""</f>
        <v/>
      </c>
      <c r="O217" s="75">
        <v>0</v>
      </c>
      <c r="P217" s="76">
        <v>0</v>
      </c>
      <c r="Q217" s="77">
        <v>0</v>
      </c>
      <c r="R217" s="78">
        <v>0</v>
      </c>
    </row>
    <row r="218" spans="1:18" hidden="1" x14ac:dyDescent="0.3">
      <c r="A218" s="1" t="s">
        <v>78</v>
      </c>
      <c r="B218" s="1" t="str">
        <f t="shared" ref="B218" si="332">IF(H218="","Hide","Show")</f>
        <v>Hide</v>
      </c>
      <c r="D218" s="1" t="str">
        <f t="shared" ref="D218:D225" si="333">D217</f>
        <v>"Business Central","CRONUS JetCorp USA","25","1","493793"</v>
      </c>
      <c r="E218" s="1">
        <f t="shared" ref="E218:E225" si="334">E217</f>
        <v>0</v>
      </c>
      <c r="F218" s="1" t="str">
        <f>""</f>
        <v/>
      </c>
      <c r="H218" s="9" t="str">
        <f>""</f>
        <v/>
      </c>
      <c r="I218" s="48"/>
      <c r="J218" s="41" t="str">
        <f>""</f>
        <v/>
      </c>
      <c r="K218" s="41" t="str">
        <f>""</f>
        <v/>
      </c>
      <c r="L218" s="54"/>
      <c r="M218" s="54" t="str">
        <f>""</f>
        <v/>
      </c>
      <c r="N218" s="57" t="str">
        <f>""</f>
        <v/>
      </c>
      <c r="O218" s="75">
        <v>0</v>
      </c>
      <c r="P218" s="76" t="str">
        <f>""</f>
        <v/>
      </c>
      <c r="Q218" s="77" t="str">
        <f>""</f>
        <v/>
      </c>
      <c r="R218" s="78">
        <v>0</v>
      </c>
    </row>
    <row r="219" spans="1:18" ht="9" customHeight="1" x14ac:dyDescent="0.3">
      <c r="A219" s="1" t="s">
        <v>78</v>
      </c>
      <c r="I219" s="48"/>
      <c r="J219" s="41"/>
      <c r="K219" s="41"/>
      <c r="L219" s="54"/>
      <c r="M219" s="54"/>
      <c r="N219" s="61"/>
      <c r="O219" s="60"/>
      <c r="P219" s="58"/>
      <c r="Q219" s="59"/>
      <c r="R219" s="56"/>
    </row>
    <row r="220" spans="1:18" x14ac:dyDescent="0.3">
      <c r="A220" s="1" t="s">
        <v>78</v>
      </c>
      <c r="D220" s="1" t="str">
        <f t="shared" ref="D220:D225" si="335">H220</f>
        <v>"Business Central","CRONUS JetCorp USA","25","1","493919"</v>
      </c>
      <c r="E220" s="1">
        <f t="shared" ref="E220" si="336">I215</f>
        <v>0</v>
      </c>
      <c r="G220" s="1">
        <v>493919</v>
      </c>
      <c r="H220" s="9" t="str">
        <f>"""Business Central"",""CRONUS JetCorp USA"",""25"",""1"",""493919"""</f>
        <v>"Business Central","CRONUS JetCorp USA","25","1","493919"</v>
      </c>
      <c r="I220" s="51"/>
      <c r="J220" s="52" t="str">
        <f>"Order PO104317"</f>
        <v>Order PO104317</v>
      </c>
      <c r="K220" s="52" t="str">
        <f>"PI_104316"</f>
        <v>PI_104316</v>
      </c>
      <c r="L220" s="53">
        <v>42400</v>
      </c>
      <c r="M220" s="53">
        <v>42371</v>
      </c>
      <c r="N220" s="57" t="str">
        <f>""</f>
        <v/>
      </c>
      <c r="O220" s="75">
        <v>0</v>
      </c>
      <c r="P220" s="76">
        <v>0</v>
      </c>
      <c r="Q220" s="77">
        <v>0</v>
      </c>
      <c r="R220" s="78">
        <v>0</v>
      </c>
    </row>
    <row r="221" spans="1:18" hidden="1" x14ac:dyDescent="0.3">
      <c r="A221" s="1" t="s">
        <v>78</v>
      </c>
      <c r="B221" s="1" t="str">
        <f t="shared" ref="B221" si="337">IF(H221="","Hide","Show")</f>
        <v>Hide</v>
      </c>
      <c r="D221" s="1" t="str">
        <f t="shared" ref="D221:D225" si="338">D220</f>
        <v>"Business Central","CRONUS JetCorp USA","25","1","493919"</v>
      </c>
      <c r="E221" s="1">
        <f t="shared" ref="E221:E225" si="339">E220</f>
        <v>0</v>
      </c>
      <c r="F221" s="1" t="str">
        <f>""</f>
        <v/>
      </c>
      <c r="H221" s="9" t="str">
        <f>""</f>
        <v/>
      </c>
      <c r="I221" s="48"/>
      <c r="J221" s="41" t="str">
        <f>""</f>
        <v/>
      </c>
      <c r="K221" s="41" t="str">
        <f>""</f>
        <v/>
      </c>
      <c r="L221" s="54"/>
      <c r="M221" s="54" t="str">
        <f>""</f>
        <v/>
      </c>
      <c r="N221" s="57" t="str">
        <f>""</f>
        <v/>
      </c>
      <c r="O221" s="75">
        <v>0</v>
      </c>
      <c r="P221" s="76" t="str">
        <f>""</f>
        <v/>
      </c>
      <c r="Q221" s="77" t="str">
        <f>""</f>
        <v/>
      </c>
      <c r="R221" s="78">
        <v>0</v>
      </c>
    </row>
    <row r="222" spans="1:18" ht="9" customHeight="1" x14ac:dyDescent="0.3">
      <c r="A222" s="1" t="s">
        <v>78</v>
      </c>
      <c r="I222" s="48"/>
      <c r="J222" s="41"/>
      <c r="K222" s="41"/>
      <c r="L222" s="54"/>
      <c r="M222" s="54"/>
      <c r="N222" s="61"/>
      <c r="O222" s="60"/>
      <c r="P222" s="58"/>
      <c r="Q222" s="59"/>
      <c r="R222" s="56"/>
    </row>
    <row r="223" spans="1:18" x14ac:dyDescent="0.3">
      <c r="A223" s="1" t="s">
        <v>78</v>
      </c>
      <c r="D223" s="1" t="str">
        <f t="shared" ref="D223:D225" si="340">H223</f>
        <v>"Business Central","CRONUS JetCorp USA","25","1","494074"</v>
      </c>
      <c r="E223" s="1">
        <f t="shared" ref="E223" si="341">I218</f>
        <v>0</v>
      </c>
      <c r="G223" s="1">
        <v>494074</v>
      </c>
      <c r="H223" s="9" t="str">
        <f>"""Business Central"",""CRONUS JetCorp USA"",""25"",""1"",""494074"""</f>
        <v>"Business Central","CRONUS JetCorp USA","25","1","494074"</v>
      </c>
      <c r="I223" s="51"/>
      <c r="J223" s="52" t="str">
        <f>"Order PO104320"</f>
        <v>Order PO104320</v>
      </c>
      <c r="K223" s="52" t="str">
        <f>"PI_104319"</f>
        <v>PI_104319</v>
      </c>
      <c r="L223" s="53">
        <v>42400</v>
      </c>
      <c r="M223" s="53">
        <v>42371</v>
      </c>
      <c r="N223" s="57" t="str">
        <f>""</f>
        <v/>
      </c>
      <c r="O223" s="75">
        <v>0</v>
      </c>
      <c r="P223" s="76">
        <v>0</v>
      </c>
      <c r="Q223" s="77">
        <v>0</v>
      </c>
      <c r="R223" s="78">
        <v>0</v>
      </c>
    </row>
    <row r="224" spans="1:18" hidden="1" x14ac:dyDescent="0.3">
      <c r="A224" s="1" t="s">
        <v>78</v>
      </c>
      <c r="B224" s="1" t="str">
        <f t="shared" ref="B224" si="342">IF(H224="","Hide","Show")</f>
        <v>Hide</v>
      </c>
      <c r="D224" s="1" t="str">
        <f t="shared" ref="D224:D225" si="343">D223</f>
        <v>"Business Central","CRONUS JetCorp USA","25","1","494074"</v>
      </c>
      <c r="E224" s="1">
        <f t="shared" ref="E224:E225" si="344">E223</f>
        <v>0</v>
      </c>
      <c r="F224" s="1" t="str">
        <f>""</f>
        <v/>
      </c>
      <c r="H224" s="9" t="str">
        <f>""</f>
        <v/>
      </c>
      <c r="I224" s="48"/>
      <c r="J224" s="41" t="str">
        <f>""</f>
        <v/>
      </c>
      <c r="K224" s="41" t="str">
        <f>""</f>
        <v/>
      </c>
      <c r="L224" s="54"/>
      <c r="M224" s="54" t="str">
        <f>""</f>
        <v/>
      </c>
      <c r="N224" s="57" t="str">
        <f>""</f>
        <v/>
      </c>
      <c r="O224" s="75">
        <v>0</v>
      </c>
      <c r="P224" s="76" t="str">
        <f>""</f>
        <v/>
      </c>
      <c r="Q224" s="77" t="str">
        <f>""</f>
        <v/>
      </c>
      <c r="R224" s="78">
        <v>0</v>
      </c>
    </row>
    <row r="225" spans="1:18" ht="9" customHeight="1" x14ac:dyDescent="0.3">
      <c r="A225" s="1" t="s">
        <v>78</v>
      </c>
      <c r="I225" s="48"/>
      <c r="J225" s="41"/>
      <c r="K225" s="41"/>
      <c r="L225" s="54"/>
      <c r="M225" s="54"/>
      <c r="N225" s="61"/>
      <c r="O225" s="60"/>
      <c r="P225" s="58"/>
      <c r="Q225" s="59"/>
      <c r="R225" s="56"/>
    </row>
    <row r="226" spans="1:18" x14ac:dyDescent="0.3">
      <c r="I226" s="48"/>
      <c r="J226" s="41"/>
      <c r="K226" s="41"/>
      <c r="L226" s="54"/>
      <c r="M226" s="54"/>
      <c r="N226" s="61"/>
      <c r="O226" s="62"/>
      <c r="P226" s="63"/>
      <c r="Q226" s="64"/>
      <c r="R226" s="65"/>
    </row>
    <row r="227" spans="1:18" ht="17.25" x14ac:dyDescent="0.3">
      <c r="I227" s="24"/>
      <c r="J227" s="25"/>
      <c r="K227" s="26"/>
      <c r="L227" s="27"/>
      <c r="M227" s="26"/>
      <c r="N227" s="26"/>
      <c r="O227" s="26"/>
      <c r="P227" s="26"/>
      <c r="Q227" s="37" t="str">
        <f>CONCATENATE(I11," - ",I12,"      Remaining Amount  In Local Currency")</f>
        <v>V100001 - Greigner, Inc.      Remaining Amount  In Local Currency</v>
      </c>
      <c r="R227" s="39">
        <f>SUBTOTAL(9,R16:R226)</f>
        <v>0</v>
      </c>
    </row>
    <row r="228" spans="1:18" ht="17.25" x14ac:dyDescent="0.3">
      <c r="A228" s="1" t="s">
        <v>78</v>
      </c>
      <c r="H228" s="9" t="str">
        <f>"""Business Central"",""CRONUS JetCorp USA"",""23"",""1"",""V100002"""</f>
        <v>"Business Central","CRONUS JetCorp USA","23","1","V100002"</v>
      </c>
      <c r="I228" s="21" t="str">
        <f>"V100002"</f>
        <v>V100002</v>
      </c>
      <c r="J228" s="28"/>
      <c r="K228" s="29"/>
      <c r="L228" s="30"/>
      <c r="M228" s="29"/>
      <c r="N228" s="29"/>
      <c r="O228" s="20"/>
      <c r="P228" s="31"/>
      <c r="Q228" s="34"/>
      <c r="R228" s="38"/>
    </row>
    <row r="229" spans="1:18" ht="17.25" x14ac:dyDescent="0.3">
      <c r="A229" s="1" t="s">
        <v>78</v>
      </c>
      <c r="H229" s="1" t="str">
        <f>H228</f>
        <v>"Business Central","CRONUS JetCorp USA","23","1","V100002"</v>
      </c>
      <c r="I229" s="22" t="str">
        <f>"Marley Printing, Inc"</f>
        <v>Marley Printing, Inc</v>
      </c>
      <c r="J229" s="11"/>
      <c r="K229" s="11"/>
      <c r="L229" s="11"/>
      <c r="M229" s="11"/>
      <c r="N229" s="11"/>
      <c r="O229" s="11"/>
      <c r="P229" s="11"/>
      <c r="Q229" s="35"/>
      <c r="R229" s="23"/>
    </row>
    <row r="230" spans="1:18" ht="17.25" x14ac:dyDescent="0.3">
      <c r="A230" s="1" t="s">
        <v>78</v>
      </c>
      <c r="H230" s="1" t="str">
        <f>H229</f>
        <v>"Business Central","CRONUS JetCorp USA","23","1","V100002"</v>
      </c>
      <c r="I230" s="22" t="str">
        <f>"Mr. Peter Houston"</f>
        <v>Mr. Peter Houston</v>
      </c>
      <c r="J230" s="11"/>
      <c r="K230" s="11"/>
      <c r="L230" s="11"/>
      <c r="M230" s="11"/>
      <c r="N230" s="44" t="s">
        <v>22</v>
      </c>
      <c r="O230" s="44"/>
      <c r="P230" s="44"/>
      <c r="Q230" s="42" t="s">
        <v>23</v>
      </c>
      <c r="R230" s="43"/>
    </row>
    <row r="231" spans="1:18" x14ac:dyDescent="0.3">
      <c r="A231" s="1" t="s">
        <v>78</v>
      </c>
      <c r="I231" s="45"/>
      <c r="J231" s="46"/>
      <c r="K231" s="40"/>
      <c r="L231" s="47"/>
      <c r="M231" s="40"/>
      <c r="N231" s="66"/>
      <c r="O231" s="67"/>
      <c r="P231" s="67" t="s">
        <v>20</v>
      </c>
      <c r="Q231" s="68"/>
      <c r="R231" s="69" t="s">
        <v>20</v>
      </c>
    </row>
    <row r="232" spans="1:18" x14ac:dyDescent="0.3">
      <c r="A232" s="1" t="s">
        <v>78</v>
      </c>
      <c r="D232" s="1" t="s">
        <v>16</v>
      </c>
      <c r="E232" s="1" t="s">
        <v>32</v>
      </c>
      <c r="F232" s="1" t="s">
        <v>14</v>
      </c>
      <c r="G232" s="13" t="s">
        <v>14</v>
      </c>
      <c r="I232" s="48"/>
      <c r="J232" s="49" t="s">
        <v>7</v>
      </c>
      <c r="K232" s="49" t="s">
        <v>11</v>
      </c>
      <c r="L232" s="50" t="s">
        <v>2</v>
      </c>
      <c r="M232" s="50" t="s">
        <v>3</v>
      </c>
      <c r="N232" s="70" t="s">
        <v>21</v>
      </c>
      <c r="O232" s="71" t="s">
        <v>19</v>
      </c>
      <c r="P232" s="72" t="s">
        <v>16</v>
      </c>
      <c r="Q232" s="73" t="s">
        <v>12</v>
      </c>
      <c r="R232" s="74" t="s">
        <v>12</v>
      </c>
    </row>
    <row r="233" spans="1:18" x14ac:dyDescent="0.3">
      <c r="A233" s="1" t="s">
        <v>78</v>
      </c>
      <c r="D233" s="1" t="str">
        <f t="shared" ref="D233" si="345">H233</f>
        <v>"Business Central","CRONUS JetCorp USA","25","1","151"</v>
      </c>
      <c r="E233" s="1" t="str">
        <f t="shared" ref="E233" si="346">I228</f>
        <v>V100002</v>
      </c>
      <c r="G233" s="1">
        <v>151</v>
      </c>
      <c r="H233" s="9" t="str">
        <f>"""Business Central"",""CRONUS JetCorp USA"",""25"",""1"",""151"""</f>
        <v>"Business Central","CRONUS JetCorp USA","25","1","151"</v>
      </c>
      <c r="I233" s="51"/>
      <c r="J233" s="52" t="str">
        <f>"Order PO102466"</f>
        <v>Order PO102466</v>
      </c>
      <c r="K233" s="52" t="str">
        <f>"PI_102465"</f>
        <v>PI_102465</v>
      </c>
      <c r="L233" s="53">
        <v>42370</v>
      </c>
      <c r="M233" s="53">
        <v>42705</v>
      </c>
      <c r="N233" s="57" t="str">
        <f>""</f>
        <v/>
      </c>
      <c r="O233" s="75">
        <v>0</v>
      </c>
      <c r="P233" s="76">
        <v>0</v>
      </c>
      <c r="Q233" s="77">
        <v>-68246.22</v>
      </c>
      <c r="R233" s="78">
        <v>0</v>
      </c>
    </row>
    <row r="234" spans="1:18" x14ac:dyDescent="0.3">
      <c r="A234" s="1" t="s">
        <v>78</v>
      </c>
      <c r="B234" s="1" t="str">
        <f t="shared" ref="B234" si="347">IF(H234="","Hide","Show")</f>
        <v>Show</v>
      </c>
      <c r="D234" s="1" t="str">
        <f t="shared" ref="D234" si="348">D233</f>
        <v>"Business Central","CRONUS JetCorp USA","25","1","151"</v>
      </c>
      <c r="E234" s="1" t="str">
        <f t="shared" ref="E234" si="349">E233</f>
        <v>V100002</v>
      </c>
      <c r="F234" s="1">
        <v>151</v>
      </c>
      <c r="H234" s="9" t="str">
        <f>"""Business Central"",""CRONUS JetCorp USA"",""380"",""1"",""146"""</f>
        <v>"Business Central","CRONUS JetCorp USA","380","1","146"</v>
      </c>
      <c r="I234" s="48"/>
      <c r="J234" s="41" t="str">
        <f>"Payment"</f>
        <v>Payment</v>
      </c>
      <c r="K234" s="41" t="str">
        <f>"GP100311"</f>
        <v>GP100311</v>
      </c>
      <c r="L234" s="54"/>
      <c r="M234" s="54">
        <v>42398</v>
      </c>
      <c r="N234" s="57" t="str">
        <f>""</f>
        <v/>
      </c>
      <c r="O234" s="75">
        <v>0</v>
      </c>
      <c r="P234" s="76">
        <v>68246.22</v>
      </c>
      <c r="Q234" s="77">
        <v>68246.22</v>
      </c>
      <c r="R234" s="78">
        <v>0</v>
      </c>
    </row>
    <row r="235" spans="1:18" ht="9" customHeight="1" x14ac:dyDescent="0.3">
      <c r="A235" s="1" t="s">
        <v>78</v>
      </c>
      <c r="I235" s="48"/>
      <c r="J235" s="41"/>
      <c r="K235" s="41"/>
      <c r="L235" s="54"/>
      <c r="M235" s="54"/>
      <c r="N235" s="61"/>
      <c r="O235" s="60"/>
      <c r="P235" s="58"/>
      <c r="Q235" s="59"/>
      <c r="R235" s="56"/>
    </row>
    <row r="236" spans="1:18" x14ac:dyDescent="0.3">
      <c r="A236" s="1" t="s">
        <v>78</v>
      </c>
      <c r="I236" s="48"/>
      <c r="J236" s="41"/>
      <c r="K236" s="41"/>
      <c r="L236" s="54"/>
      <c r="M236" s="54"/>
      <c r="N236" s="61"/>
      <c r="O236" s="62"/>
      <c r="P236" s="63"/>
      <c r="Q236" s="64"/>
      <c r="R236" s="65"/>
    </row>
    <row r="237" spans="1:18" ht="17.25" x14ac:dyDescent="0.3">
      <c r="A237" s="1" t="s">
        <v>78</v>
      </c>
      <c r="I237" s="24"/>
      <c r="J237" s="25"/>
      <c r="K237" s="26"/>
      <c r="L237" s="27"/>
      <c r="M237" s="26"/>
      <c r="N237" s="26"/>
      <c r="O237" s="26"/>
      <c r="P237" s="26"/>
      <c r="Q237" s="37" t="str">
        <f>CONCATENATE(I228," - ",I229,"      Remaining Amount  In Local Currency")</f>
        <v>V100002 - Marley Printing, Inc      Remaining Amount  In Local Currency</v>
      </c>
      <c r="R237" s="39">
        <f>SUBTOTAL(9,R233:R236)</f>
        <v>0</v>
      </c>
    </row>
    <row r="238" spans="1:18" ht="17.25" x14ac:dyDescent="0.3">
      <c r="A238" s="1" t="s">
        <v>78</v>
      </c>
      <c r="H238" s="9" t="str">
        <f>"""Business Central"",""CRONUS JetCorp USA"",""23"",""1"",""V100003"""</f>
        <v>"Business Central","CRONUS JetCorp USA","23","1","V100003"</v>
      </c>
      <c r="I238" s="21" t="str">
        <f>"V100003"</f>
        <v>V100003</v>
      </c>
      <c r="J238" s="28"/>
      <c r="K238" s="29"/>
      <c r="L238" s="30"/>
      <c r="M238" s="29"/>
      <c r="N238" s="29"/>
      <c r="O238" s="20"/>
      <c r="P238" s="31"/>
      <c r="Q238" s="34"/>
      <c r="R238" s="38"/>
    </row>
    <row r="239" spans="1:18" ht="17.25" x14ac:dyDescent="0.3">
      <c r="A239" s="1" t="s">
        <v>78</v>
      </c>
      <c r="H239" s="1" t="str">
        <f>H238</f>
        <v>"Business Central","CRONUS JetCorp USA","23","1","V100003"</v>
      </c>
      <c r="I239" s="22" t="str">
        <f>"LogoMasters"</f>
        <v>LogoMasters</v>
      </c>
      <c r="J239" s="11"/>
      <c r="K239" s="11"/>
      <c r="L239" s="11"/>
      <c r="M239" s="11"/>
      <c r="N239" s="11"/>
      <c r="O239" s="11"/>
      <c r="P239" s="11"/>
      <c r="Q239" s="35"/>
      <c r="R239" s="23"/>
    </row>
    <row r="240" spans="1:18" ht="17.25" x14ac:dyDescent="0.3">
      <c r="A240" s="1" t="s">
        <v>78</v>
      </c>
      <c r="H240" s="1" t="str">
        <f>H239</f>
        <v>"Business Central","CRONUS JetCorp USA","23","1","V100003"</v>
      </c>
      <c r="I240" s="22" t="str">
        <f>"Mr. Jeff D. Henshaw"</f>
        <v>Mr. Jeff D. Henshaw</v>
      </c>
      <c r="J240" s="11"/>
      <c r="K240" s="11"/>
      <c r="L240" s="11"/>
      <c r="M240" s="11"/>
      <c r="N240" s="44" t="s">
        <v>22</v>
      </c>
      <c r="O240" s="44"/>
      <c r="P240" s="44"/>
      <c r="Q240" s="42" t="s">
        <v>23</v>
      </c>
      <c r="R240" s="43"/>
    </row>
    <row r="241" spans="1:18" x14ac:dyDescent="0.3">
      <c r="A241" s="1" t="s">
        <v>78</v>
      </c>
      <c r="I241" s="45"/>
      <c r="J241" s="46"/>
      <c r="K241" s="40"/>
      <c r="L241" s="47"/>
      <c r="M241" s="40"/>
      <c r="N241" s="66"/>
      <c r="O241" s="67"/>
      <c r="P241" s="67" t="s">
        <v>20</v>
      </c>
      <c r="Q241" s="68"/>
      <c r="R241" s="69" t="s">
        <v>20</v>
      </c>
    </row>
    <row r="242" spans="1:18" x14ac:dyDescent="0.3">
      <c r="A242" s="1" t="s">
        <v>78</v>
      </c>
      <c r="D242" s="1" t="s">
        <v>16</v>
      </c>
      <c r="E242" s="1" t="s">
        <v>32</v>
      </c>
      <c r="F242" s="1" t="s">
        <v>14</v>
      </c>
      <c r="G242" s="13" t="s">
        <v>14</v>
      </c>
      <c r="I242" s="48"/>
      <c r="J242" s="49" t="s">
        <v>7</v>
      </c>
      <c r="K242" s="49" t="s">
        <v>11</v>
      </c>
      <c r="L242" s="50" t="s">
        <v>2</v>
      </c>
      <c r="M242" s="50" t="s">
        <v>3</v>
      </c>
      <c r="N242" s="70" t="s">
        <v>21</v>
      </c>
      <c r="O242" s="71" t="s">
        <v>19</v>
      </c>
      <c r="P242" s="72" t="s">
        <v>16</v>
      </c>
      <c r="Q242" s="73" t="s">
        <v>12</v>
      </c>
      <c r="R242" s="74" t="s">
        <v>12</v>
      </c>
    </row>
    <row r="243" spans="1:18" x14ac:dyDescent="0.3">
      <c r="A243" s="1" t="s">
        <v>78</v>
      </c>
      <c r="D243" s="1" t="str">
        <f t="shared" ref="D243" si="350">H243</f>
        <v>"Business Central","CRONUS JetCorp USA","25","1","319"</v>
      </c>
      <c r="E243" s="1" t="str">
        <f t="shared" ref="E243" si="351">I238</f>
        <v>V100003</v>
      </c>
      <c r="G243" s="1">
        <v>319</v>
      </c>
      <c r="H243" s="9" t="str">
        <f>"""Business Central"",""CRONUS JetCorp USA"",""25"",""1"",""319"""</f>
        <v>"Business Central","CRONUS JetCorp USA","25","1","319"</v>
      </c>
      <c r="I243" s="51"/>
      <c r="J243" s="52" t="str">
        <f>"Order PO102470"</f>
        <v>Order PO102470</v>
      </c>
      <c r="K243" s="52" t="str">
        <f>"PI_102469"</f>
        <v>PI_102469</v>
      </c>
      <c r="L243" s="53">
        <v>42735</v>
      </c>
      <c r="M243" s="53">
        <v>42705</v>
      </c>
      <c r="N243" s="57" t="str">
        <f>""</f>
        <v/>
      </c>
      <c r="O243" s="75">
        <v>0</v>
      </c>
      <c r="P243" s="76">
        <v>0</v>
      </c>
      <c r="Q243" s="77">
        <v>-68246.22</v>
      </c>
      <c r="R243" s="78">
        <v>0</v>
      </c>
    </row>
    <row r="244" spans="1:18" x14ac:dyDescent="0.3">
      <c r="A244" s="1" t="s">
        <v>78</v>
      </c>
      <c r="B244" s="1" t="str">
        <f t="shared" ref="B244" si="352">IF(H244="","Hide","Show")</f>
        <v>Show</v>
      </c>
      <c r="D244" s="1" t="str">
        <f t="shared" ref="D244" si="353">D243</f>
        <v>"Business Central","CRONUS JetCorp USA","25","1","319"</v>
      </c>
      <c r="E244" s="1" t="str">
        <f t="shared" ref="E244" si="354">E243</f>
        <v>V100003</v>
      </c>
      <c r="F244" s="1">
        <v>319</v>
      </c>
      <c r="H244" s="9" t="str">
        <f>"""Business Central"",""CRONUS JetCorp USA"",""380"",""1"",""126"""</f>
        <v>"Business Central","CRONUS JetCorp USA","380","1","126"</v>
      </c>
      <c r="I244" s="48"/>
      <c r="J244" s="41" t="str">
        <f>"Payment"</f>
        <v>Payment</v>
      </c>
      <c r="K244" s="41" t="str">
        <f>"GP100307"</f>
        <v>GP100307</v>
      </c>
      <c r="L244" s="54"/>
      <c r="M244" s="54">
        <v>42374</v>
      </c>
      <c r="N244" s="57" t="str">
        <f>""</f>
        <v/>
      </c>
      <c r="O244" s="75">
        <v>0</v>
      </c>
      <c r="P244" s="76">
        <v>68246.22</v>
      </c>
      <c r="Q244" s="77">
        <v>68246.22</v>
      </c>
      <c r="R244" s="78">
        <v>0</v>
      </c>
    </row>
    <row r="245" spans="1:18" ht="9" customHeight="1" x14ac:dyDescent="0.3">
      <c r="A245" s="1" t="s">
        <v>78</v>
      </c>
      <c r="I245" s="48"/>
      <c r="J245" s="41"/>
      <c r="K245" s="41"/>
      <c r="L245" s="54"/>
      <c r="M245" s="54"/>
      <c r="N245" s="61"/>
      <c r="O245" s="60"/>
      <c r="P245" s="58"/>
      <c r="Q245" s="59"/>
      <c r="R245" s="56"/>
    </row>
    <row r="246" spans="1:18" x14ac:dyDescent="0.3">
      <c r="A246" s="1" t="s">
        <v>78</v>
      </c>
      <c r="D246" s="1" t="str">
        <f t="shared" ref="D246:D309" si="355">H246</f>
        <v>"Business Central","CRONUS JetCorp USA","25","1","1201"</v>
      </c>
      <c r="E246" s="1">
        <f t="shared" ref="E246" si="356">I241</f>
        <v>0</v>
      </c>
      <c r="G246" s="1">
        <v>1201</v>
      </c>
      <c r="H246" s="9" t="str">
        <f>"""Business Central"",""CRONUS JetCorp USA"",""25"",""1"",""1201"""</f>
        <v>"Business Central","CRONUS JetCorp USA","25","1","1201"</v>
      </c>
      <c r="I246" s="51"/>
      <c r="J246" s="52" t="str">
        <f>"Order PO102491"</f>
        <v>Order PO102491</v>
      </c>
      <c r="K246" s="52" t="str">
        <f>"PI_102490"</f>
        <v>PI_102490</v>
      </c>
      <c r="L246" s="53">
        <v>42735</v>
      </c>
      <c r="M246" s="53">
        <v>42705</v>
      </c>
      <c r="N246" s="57" t="str">
        <f>""</f>
        <v/>
      </c>
      <c r="O246" s="75">
        <v>0</v>
      </c>
      <c r="P246" s="76">
        <v>0</v>
      </c>
      <c r="Q246" s="77">
        <v>-28375.899999999998</v>
      </c>
      <c r="R246" s="78">
        <v>0</v>
      </c>
    </row>
    <row r="247" spans="1:18" x14ac:dyDescent="0.3">
      <c r="A247" s="1" t="s">
        <v>78</v>
      </c>
      <c r="B247" s="1" t="str">
        <f t="shared" ref="B247:B310" si="357">IF(H247="","Hide","Show")</f>
        <v>Show</v>
      </c>
      <c r="D247" s="1" t="str">
        <f t="shared" ref="D247:D310" si="358">D246</f>
        <v>"Business Central","CRONUS JetCorp USA","25","1","1201"</v>
      </c>
      <c r="E247" s="1">
        <f t="shared" ref="E247:E310" si="359">E246</f>
        <v>0</v>
      </c>
      <c r="F247" s="1">
        <v>1201</v>
      </c>
      <c r="H247" s="9" t="str">
        <f>"""Business Central"",""CRONUS JetCorp USA"",""380"",""1"",""128"""</f>
        <v>"Business Central","CRONUS JetCorp USA","380","1","128"</v>
      </c>
      <c r="I247" s="48"/>
      <c r="J247" s="41" t="str">
        <f>"Payment"</f>
        <v>Payment</v>
      </c>
      <c r="K247" s="41" t="str">
        <f>"GP100307"</f>
        <v>GP100307</v>
      </c>
      <c r="L247" s="54"/>
      <c r="M247" s="54">
        <v>42374</v>
      </c>
      <c r="N247" s="57" t="str">
        <f>""</f>
        <v/>
      </c>
      <c r="O247" s="75">
        <v>0</v>
      </c>
      <c r="P247" s="76">
        <v>28375.899999999998</v>
      </c>
      <c r="Q247" s="77">
        <v>28375.899999999998</v>
      </c>
      <c r="R247" s="78">
        <v>0</v>
      </c>
    </row>
    <row r="248" spans="1:18" ht="9" customHeight="1" x14ac:dyDescent="0.3">
      <c r="A248" s="1" t="s">
        <v>78</v>
      </c>
      <c r="I248" s="48"/>
      <c r="J248" s="41"/>
      <c r="K248" s="41"/>
      <c r="L248" s="54"/>
      <c r="M248" s="54"/>
      <c r="N248" s="61"/>
      <c r="O248" s="60"/>
      <c r="P248" s="58"/>
      <c r="Q248" s="59"/>
      <c r="R248" s="56"/>
    </row>
    <row r="249" spans="1:18" x14ac:dyDescent="0.3">
      <c r="A249" s="1" t="s">
        <v>78</v>
      </c>
      <c r="D249" s="1" t="str">
        <f t="shared" ref="D249:D312" si="360">H249</f>
        <v>"Business Central","CRONUS JetCorp USA","25","1","1663"</v>
      </c>
      <c r="E249" s="1">
        <f t="shared" ref="E249" si="361">I244</f>
        <v>0</v>
      </c>
      <c r="G249" s="1">
        <v>1663</v>
      </c>
      <c r="H249" s="9" t="str">
        <f>"""Business Central"",""CRONUS JetCorp USA"",""25"",""1"",""1663"""</f>
        <v>"Business Central","CRONUS JetCorp USA","25","1","1663"</v>
      </c>
      <c r="I249" s="51"/>
      <c r="J249" s="52" t="str">
        <f>"Order PO102502"</f>
        <v>Order PO102502</v>
      </c>
      <c r="K249" s="52" t="str">
        <f>"PI_102501"</f>
        <v>PI_102501</v>
      </c>
      <c r="L249" s="53">
        <v>42735</v>
      </c>
      <c r="M249" s="53">
        <v>42705</v>
      </c>
      <c r="N249" s="57" t="str">
        <f>""</f>
        <v/>
      </c>
      <c r="O249" s="75">
        <v>0</v>
      </c>
      <c r="P249" s="76">
        <v>0</v>
      </c>
      <c r="Q249" s="77">
        <v>-20007.189999999999</v>
      </c>
      <c r="R249" s="78">
        <v>0</v>
      </c>
    </row>
    <row r="250" spans="1:18" x14ac:dyDescent="0.3">
      <c r="A250" s="1" t="s">
        <v>78</v>
      </c>
      <c r="B250" s="1" t="str">
        <f t="shared" ref="B250:B313" si="362">IF(H250="","Hide","Show")</f>
        <v>Show</v>
      </c>
      <c r="D250" s="1" t="str">
        <f t="shared" ref="D250:D313" si="363">D249</f>
        <v>"Business Central","CRONUS JetCorp USA","25","1","1663"</v>
      </c>
      <c r="E250" s="1">
        <f t="shared" ref="E250:E313" si="364">E249</f>
        <v>0</v>
      </c>
      <c r="F250" s="1">
        <v>1663</v>
      </c>
      <c r="H250" s="9" t="str">
        <f>"""Business Central"",""CRONUS JetCorp USA"",""380"",""1"",""129"""</f>
        <v>"Business Central","CRONUS JetCorp USA","380","1","129"</v>
      </c>
      <c r="I250" s="48"/>
      <c r="J250" s="41" t="str">
        <f>"Payment"</f>
        <v>Payment</v>
      </c>
      <c r="K250" s="41" t="str">
        <f>"GP100307"</f>
        <v>GP100307</v>
      </c>
      <c r="L250" s="54"/>
      <c r="M250" s="54">
        <v>42374</v>
      </c>
      <c r="N250" s="57" t="str">
        <f>""</f>
        <v/>
      </c>
      <c r="O250" s="75">
        <v>0</v>
      </c>
      <c r="P250" s="76">
        <v>20007.189999999999</v>
      </c>
      <c r="Q250" s="77">
        <v>20007.189999999999</v>
      </c>
      <c r="R250" s="78">
        <v>0</v>
      </c>
    </row>
    <row r="251" spans="1:18" ht="9" customHeight="1" x14ac:dyDescent="0.3">
      <c r="A251" s="1" t="s">
        <v>78</v>
      </c>
      <c r="I251" s="48"/>
      <c r="J251" s="41"/>
      <c r="K251" s="41"/>
      <c r="L251" s="54"/>
      <c r="M251" s="54"/>
      <c r="N251" s="61"/>
      <c r="O251" s="60"/>
      <c r="P251" s="58"/>
      <c r="Q251" s="59"/>
      <c r="R251" s="56"/>
    </row>
    <row r="252" spans="1:18" x14ac:dyDescent="0.3">
      <c r="A252" s="1" t="s">
        <v>78</v>
      </c>
      <c r="D252" s="1" t="str">
        <f t="shared" ref="D252:D315" si="365">H252</f>
        <v>"Business Central","CRONUS JetCorp USA","25","1","2083"</v>
      </c>
      <c r="E252" s="1">
        <f t="shared" ref="E252" si="366">I247</f>
        <v>0</v>
      </c>
      <c r="G252" s="1">
        <v>2083</v>
      </c>
      <c r="H252" s="9" t="str">
        <f>"""Business Central"",""CRONUS JetCorp USA"",""25"",""1"",""2083"""</f>
        <v>"Business Central","CRONUS JetCorp USA","25","1","2083"</v>
      </c>
      <c r="I252" s="51"/>
      <c r="J252" s="52" t="str">
        <f>"Order PO102512"</f>
        <v>Order PO102512</v>
      </c>
      <c r="K252" s="52" t="str">
        <f>"PI_102511"</f>
        <v>PI_102511</v>
      </c>
      <c r="L252" s="53">
        <v>42735</v>
      </c>
      <c r="M252" s="53">
        <v>42705</v>
      </c>
      <c r="N252" s="57" t="str">
        <f>""</f>
        <v/>
      </c>
      <c r="O252" s="75">
        <v>0</v>
      </c>
      <c r="P252" s="76">
        <v>0</v>
      </c>
      <c r="Q252" s="77">
        <v>-45032.959999999999</v>
      </c>
      <c r="R252" s="78">
        <v>0</v>
      </c>
    </row>
    <row r="253" spans="1:18" x14ac:dyDescent="0.3">
      <c r="A253" s="1" t="s">
        <v>78</v>
      </c>
      <c r="B253" s="1" t="str">
        <f t="shared" ref="B253:B316" si="367">IF(H253="","Hide","Show")</f>
        <v>Show</v>
      </c>
      <c r="D253" s="1" t="str">
        <f t="shared" ref="D253:D316" si="368">D252</f>
        <v>"Business Central","CRONUS JetCorp USA","25","1","2083"</v>
      </c>
      <c r="E253" s="1">
        <f t="shared" ref="E253:E316" si="369">E252</f>
        <v>0</v>
      </c>
      <c r="F253" s="1">
        <v>2083</v>
      </c>
      <c r="H253" s="9" t="str">
        <f>"""Business Central"",""CRONUS JetCorp USA"",""380"",""1"",""130"""</f>
        <v>"Business Central","CRONUS JetCorp USA","380","1","130"</v>
      </c>
      <c r="I253" s="48"/>
      <c r="J253" s="41" t="str">
        <f>"Payment"</f>
        <v>Payment</v>
      </c>
      <c r="K253" s="41" t="str">
        <f>"GP100307"</f>
        <v>GP100307</v>
      </c>
      <c r="L253" s="54"/>
      <c r="M253" s="54">
        <v>42374</v>
      </c>
      <c r="N253" s="57" t="str">
        <f>""</f>
        <v/>
      </c>
      <c r="O253" s="75">
        <v>0</v>
      </c>
      <c r="P253" s="76">
        <v>45032.959999999999</v>
      </c>
      <c r="Q253" s="77">
        <v>45032.959999999999</v>
      </c>
      <c r="R253" s="78">
        <v>0</v>
      </c>
    </row>
    <row r="254" spans="1:18" ht="9" customHeight="1" x14ac:dyDescent="0.3">
      <c r="A254" s="1" t="s">
        <v>78</v>
      </c>
      <c r="I254" s="48"/>
      <c r="J254" s="41"/>
      <c r="K254" s="41"/>
      <c r="L254" s="54"/>
      <c r="M254" s="54"/>
      <c r="N254" s="61"/>
      <c r="O254" s="60"/>
      <c r="P254" s="58"/>
      <c r="Q254" s="59"/>
      <c r="R254" s="56"/>
    </row>
    <row r="255" spans="1:18" x14ac:dyDescent="0.3">
      <c r="A255" s="1" t="s">
        <v>78</v>
      </c>
      <c r="D255" s="1" t="str">
        <f t="shared" ref="D255:D318" si="370">H255</f>
        <v>"Business Central","CRONUS JetCorp USA","25","1","2419"</v>
      </c>
      <c r="E255" s="1">
        <f t="shared" ref="E255" si="371">I250</f>
        <v>0</v>
      </c>
      <c r="G255" s="1">
        <v>2419</v>
      </c>
      <c r="H255" s="9" t="str">
        <f>"""Business Central"",""CRONUS JetCorp USA"",""25"",""1"",""2419"""</f>
        <v>"Business Central","CRONUS JetCorp USA","25","1","2419"</v>
      </c>
      <c r="I255" s="51"/>
      <c r="J255" s="52" t="str">
        <f>"Order PO102520"</f>
        <v>Order PO102520</v>
      </c>
      <c r="K255" s="52" t="str">
        <f>"PI_102519"</f>
        <v>PI_102519</v>
      </c>
      <c r="L255" s="53">
        <v>42735</v>
      </c>
      <c r="M255" s="53">
        <v>42705</v>
      </c>
      <c r="N255" s="57" t="str">
        <f>""</f>
        <v/>
      </c>
      <c r="O255" s="75">
        <v>0</v>
      </c>
      <c r="P255" s="76">
        <v>0</v>
      </c>
      <c r="Q255" s="77">
        <v>-32202.799999999999</v>
      </c>
      <c r="R255" s="78">
        <v>0</v>
      </c>
    </row>
    <row r="256" spans="1:18" x14ac:dyDescent="0.3">
      <c r="A256" s="1" t="s">
        <v>78</v>
      </c>
      <c r="B256" s="1" t="str">
        <f t="shared" ref="B256:B319" si="372">IF(H256="","Hide","Show")</f>
        <v>Show</v>
      </c>
      <c r="D256" s="1" t="str">
        <f t="shared" ref="D256:D319" si="373">D255</f>
        <v>"Business Central","CRONUS JetCorp USA","25","1","2419"</v>
      </c>
      <c r="E256" s="1">
        <f t="shared" ref="E256:E319" si="374">E255</f>
        <v>0</v>
      </c>
      <c r="F256" s="1">
        <v>2419</v>
      </c>
      <c r="H256" s="9" t="str">
        <f>"""Business Central"",""CRONUS JetCorp USA"",""380"",""1"",""131"""</f>
        <v>"Business Central","CRONUS JetCorp USA","380","1","131"</v>
      </c>
      <c r="I256" s="48"/>
      <c r="J256" s="41" t="str">
        <f>"Payment"</f>
        <v>Payment</v>
      </c>
      <c r="K256" s="41" t="str">
        <f>"GP100307"</f>
        <v>GP100307</v>
      </c>
      <c r="L256" s="54"/>
      <c r="M256" s="54">
        <v>42374</v>
      </c>
      <c r="N256" s="57" t="str">
        <f>""</f>
        <v/>
      </c>
      <c r="O256" s="75">
        <v>0</v>
      </c>
      <c r="P256" s="76">
        <v>32202.799999999999</v>
      </c>
      <c r="Q256" s="77">
        <v>32202.799999999999</v>
      </c>
      <c r="R256" s="78">
        <v>0</v>
      </c>
    </row>
    <row r="257" spans="1:18" ht="9" customHeight="1" x14ac:dyDescent="0.3">
      <c r="A257" s="1" t="s">
        <v>78</v>
      </c>
      <c r="I257" s="48"/>
      <c r="J257" s="41"/>
      <c r="K257" s="41"/>
      <c r="L257" s="54"/>
      <c r="M257" s="54"/>
      <c r="N257" s="61"/>
      <c r="O257" s="60"/>
      <c r="P257" s="58"/>
      <c r="Q257" s="59"/>
      <c r="R257" s="56"/>
    </row>
    <row r="258" spans="1:18" x14ac:dyDescent="0.3">
      <c r="A258" s="1" t="s">
        <v>78</v>
      </c>
      <c r="D258" s="1" t="str">
        <f t="shared" ref="D258:D321" si="375">H258</f>
        <v>"Business Central","CRONUS JetCorp USA","25","1","2839"</v>
      </c>
      <c r="E258" s="1">
        <f t="shared" ref="E258" si="376">I253</f>
        <v>0</v>
      </c>
      <c r="G258" s="1">
        <v>2839</v>
      </c>
      <c r="H258" s="9" t="str">
        <f>"""Business Central"",""CRONUS JetCorp USA"",""25"",""1"",""2839"""</f>
        <v>"Business Central","CRONUS JetCorp USA","25","1","2839"</v>
      </c>
      <c r="I258" s="51"/>
      <c r="J258" s="52" t="str">
        <f>"Order PO102530"</f>
        <v>Order PO102530</v>
      </c>
      <c r="K258" s="52" t="str">
        <f>"PI_102529"</f>
        <v>PI_102529</v>
      </c>
      <c r="L258" s="53">
        <v>42735</v>
      </c>
      <c r="M258" s="53">
        <v>42705</v>
      </c>
      <c r="N258" s="57" t="str">
        <f>""</f>
        <v/>
      </c>
      <c r="O258" s="75">
        <v>0</v>
      </c>
      <c r="P258" s="76">
        <v>0</v>
      </c>
      <c r="Q258" s="77">
        <v>-27783</v>
      </c>
      <c r="R258" s="78">
        <v>0</v>
      </c>
    </row>
    <row r="259" spans="1:18" x14ac:dyDescent="0.3">
      <c r="A259" s="1" t="s">
        <v>78</v>
      </c>
      <c r="B259" s="1" t="str">
        <f t="shared" ref="B259:B322" si="377">IF(H259="","Hide","Show")</f>
        <v>Show</v>
      </c>
      <c r="D259" s="1" t="str">
        <f t="shared" ref="D259:D322" si="378">D258</f>
        <v>"Business Central","CRONUS JetCorp USA","25","1","2839"</v>
      </c>
      <c r="E259" s="1">
        <f t="shared" ref="E259:E322" si="379">E258</f>
        <v>0</v>
      </c>
      <c r="F259" s="1">
        <v>2839</v>
      </c>
      <c r="H259" s="9" t="str">
        <f>"""Business Central"",""CRONUS JetCorp USA"",""380"",""1"",""132"""</f>
        <v>"Business Central","CRONUS JetCorp USA","380","1","132"</v>
      </c>
      <c r="I259" s="48"/>
      <c r="J259" s="41" t="str">
        <f>"Payment"</f>
        <v>Payment</v>
      </c>
      <c r="K259" s="41" t="str">
        <f>"GP100307"</f>
        <v>GP100307</v>
      </c>
      <c r="L259" s="54"/>
      <c r="M259" s="54">
        <v>42374</v>
      </c>
      <c r="N259" s="57" t="str">
        <f>""</f>
        <v/>
      </c>
      <c r="O259" s="75">
        <v>0</v>
      </c>
      <c r="P259" s="76">
        <v>27783</v>
      </c>
      <c r="Q259" s="77">
        <v>27783</v>
      </c>
      <c r="R259" s="78">
        <v>0</v>
      </c>
    </row>
    <row r="260" spans="1:18" ht="9" customHeight="1" x14ac:dyDescent="0.3">
      <c r="A260" s="1" t="s">
        <v>78</v>
      </c>
      <c r="I260" s="48"/>
      <c r="J260" s="41"/>
      <c r="K260" s="41"/>
      <c r="L260" s="54"/>
      <c r="M260" s="54"/>
      <c r="N260" s="61"/>
      <c r="O260" s="60"/>
      <c r="P260" s="58"/>
      <c r="Q260" s="59"/>
      <c r="R260" s="56"/>
    </row>
    <row r="261" spans="1:18" x14ac:dyDescent="0.3">
      <c r="A261" s="1" t="s">
        <v>78</v>
      </c>
      <c r="D261" s="1" t="str">
        <f t="shared" ref="D261:D324" si="380">H261</f>
        <v>"Business Central","CRONUS JetCorp USA","25","1","3157"</v>
      </c>
      <c r="E261" s="1">
        <f t="shared" ref="E261" si="381">I256</f>
        <v>0</v>
      </c>
      <c r="G261" s="1">
        <v>3157</v>
      </c>
      <c r="H261" s="9" t="str">
        <f>"""Business Central"",""CRONUS JetCorp USA"",""25"",""1"",""3157"""</f>
        <v>"Business Central","CRONUS JetCorp USA","25","1","3157"</v>
      </c>
      <c r="I261" s="51"/>
      <c r="J261" s="52" t="str">
        <f>"Order PO102539"</f>
        <v>Order PO102539</v>
      </c>
      <c r="K261" s="52" t="str">
        <f>"PI_102538"</f>
        <v>PI_102538</v>
      </c>
      <c r="L261" s="53">
        <v>42735</v>
      </c>
      <c r="M261" s="53">
        <v>42705</v>
      </c>
      <c r="N261" s="57" t="str">
        <f>""</f>
        <v/>
      </c>
      <c r="O261" s="75">
        <v>0</v>
      </c>
      <c r="P261" s="76">
        <v>0</v>
      </c>
      <c r="Q261" s="77">
        <v>-42279.65</v>
      </c>
      <c r="R261" s="78">
        <v>0</v>
      </c>
    </row>
    <row r="262" spans="1:18" x14ac:dyDescent="0.3">
      <c r="A262" s="1" t="s">
        <v>78</v>
      </c>
      <c r="B262" s="1" t="str">
        <f t="shared" ref="B262:B325" si="382">IF(H262="","Hide","Show")</f>
        <v>Show</v>
      </c>
      <c r="D262" s="1" t="str">
        <f t="shared" ref="D262:D325" si="383">D261</f>
        <v>"Business Central","CRONUS JetCorp USA","25","1","3157"</v>
      </c>
      <c r="E262" s="1">
        <f t="shared" ref="E262:E325" si="384">E261</f>
        <v>0</v>
      </c>
      <c r="F262" s="1">
        <v>3157</v>
      </c>
      <c r="H262" s="9" t="str">
        <f>"""Business Central"",""CRONUS JetCorp USA"",""380"",""1"",""133"""</f>
        <v>"Business Central","CRONUS JetCorp USA","380","1","133"</v>
      </c>
      <c r="I262" s="48"/>
      <c r="J262" s="41" t="str">
        <f>"Payment"</f>
        <v>Payment</v>
      </c>
      <c r="K262" s="41" t="str">
        <f>"GP100307"</f>
        <v>GP100307</v>
      </c>
      <c r="L262" s="54"/>
      <c r="M262" s="54">
        <v>42374</v>
      </c>
      <c r="N262" s="57" t="str">
        <f>""</f>
        <v/>
      </c>
      <c r="O262" s="75">
        <v>0</v>
      </c>
      <c r="P262" s="76">
        <v>42279.65</v>
      </c>
      <c r="Q262" s="77">
        <v>42279.65</v>
      </c>
      <c r="R262" s="78">
        <v>0</v>
      </c>
    </row>
    <row r="263" spans="1:18" ht="9" customHeight="1" x14ac:dyDescent="0.3">
      <c r="A263" s="1" t="s">
        <v>78</v>
      </c>
      <c r="I263" s="48"/>
      <c r="J263" s="41"/>
      <c r="K263" s="41"/>
      <c r="L263" s="54"/>
      <c r="M263" s="54"/>
      <c r="N263" s="61"/>
      <c r="O263" s="60"/>
      <c r="P263" s="58"/>
      <c r="Q263" s="59"/>
      <c r="R263" s="56"/>
    </row>
    <row r="264" spans="1:18" x14ac:dyDescent="0.3">
      <c r="A264" s="1" t="s">
        <v>78</v>
      </c>
      <c r="D264" s="1" t="str">
        <f t="shared" ref="D264:D327" si="385">H264</f>
        <v>"Business Central","CRONUS JetCorp USA","25","1","3195"</v>
      </c>
      <c r="E264" s="1">
        <f t="shared" ref="E264" si="386">I259</f>
        <v>0</v>
      </c>
      <c r="G264" s="1">
        <v>3195</v>
      </c>
      <c r="H264" s="9" t="str">
        <f>"""Business Central"",""CRONUS JetCorp USA"",""25"",""1"",""3195"""</f>
        <v>"Business Central","CRONUS JetCorp USA","25","1","3195"</v>
      </c>
      <c r="I264" s="51"/>
      <c r="J264" s="52" t="str">
        <f>"Order PO102541"</f>
        <v>Order PO102541</v>
      </c>
      <c r="K264" s="52" t="str">
        <f>"PI_102540"</f>
        <v>PI_102540</v>
      </c>
      <c r="L264" s="53">
        <v>42735</v>
      </c>
      <c r="M264" s="53">
        <v>42705</v>
      </c>
      <c r="N264" s="57" t="str">
        <f>""</f>
        <v/>
      </c>
      <c r="O264" s="75">
        <v>0</v>
      </c>
      <c r="P264" s="76">
        <v>0</v>
      </c>
      <c r="Q264" s="77">
        <v>-10603.6</v>
      </c>
      <c r="R264" s="78">
        <v>0</v>
      </c>
    </row>
    <row r="265" spans="1:18" x14ac:dyDescent="0.3">
      <c r="A265" s="1" t="s">
        <v>78</v>
      </c>
      <c r="B265" s="1" t="str">
        <f t="shared" ref="B265:B328" si="387">IF(H265="","Hide","Show")</f>
        <v>Show</v>
      </c>
      <c r="D265" s="1" t="str">
        <f t="shared" ref="D265:D328" si="388">D264</f>
        <v>"Business Central","CRONUS JetCorp USA","25","1","3195"</v>
      </c>
      <c r="E265" s="1">
        <f t="shared" ref="E265:E328" si="389">E264</f>
        <v>0</v>
      </c>
      <c r="F265" s="1">
        <v>3195</v>
      </c>
      <c r="H265" s="9" t="str">
        <f>"""Business Central"",""CRONUS JetCorp USA"",""380"",""1"",""134"""</f>
        <v>"Business Central","CRONUS JetCorp USA","380","1","134"</v>
      </c>
      <c r="I265" s="48"/>
      <c r="J265" s="41" t="str">
        <f>"Payment"</f>
        <v>Payment</v>
      </c>
      <c r="K265" s="41" t="str">
        <f>"GP100307"</f>
        <v>GP100307</v>
      </c>
      <c r="L265" s="54"/>
      <c r="M265" s="54">
        <v>42374</v>
      </c>
      <c r="N265" s="57" t="str">
        <f>""</f>
        <v/>
      </c>
      <c r="O265" s="75">
        <v>0</v>
      </c>
      <c r="P265" s="76">
        <v>10603.6</v>
      </c>
      <c r="Q265" s="77">
        <v>10603.6</v>
      </c>
      <c r="R265" s="78">
        <v>0</v>
      </c>
    </row>
    <row r="266" spans="1:18" ht="9" customHeight="1" x14ac:dyDescent="0.3">
      <c r="A266" s="1" t="s">
        <v>78</v>
      </c>
      <c r="I266" s="48"/>
      <c r="J266" s="41"/>
      <c r="K266" s="41"/>
      <c r="L266" s="54"/>
      <c r="M266" s="54"/>
      <c r="N266" s="61"/>
      <c r="O266" s="60"/>
      <c r="P266" s="58"/>
      <c r="Q266" s="59"/>
      <c r="R266" s="56"/>
    </row>
    <row r="267" spans="1:18" x14ac:dyDescent="0.3">
      <c r="A267" s="1" t="s">
        <v>78</v>
      </c>
      <c r="D267" s="1" t="str">
        <f t="shared" ref="D267:D330" si="390">H267</f>
        <v>"Business Central","CRONUS JetCorp USA","25","1","3252"</v>
      </c>
      <c r="E267" s="1">
        <f t="shared" ref="E267" si="391">I262</f>
        <v>0</v>
      </c>
      <c r="G267" s="1">
        <v>3252</v>
      </c>
      <c r="H267" s="9" t="str">
        <f>"""Business Central"",""CRONUS JetCorp USA"",""25"",""1"",""3252"""</f>
        <v>"Business Central","CRONUS JetCorp USA","25","1","3252"</v>
      </c>
      <c r="I267" s="51"/>
      <c r="J267" s="52" t="str">
        <f>"Order PO102545"</f>
        <v>Order PO102545</v>
      </c>
      <c r="K267" s="52" t="str">
        <f>"PI_102544"</f>
        <v>PI_102544</v>
      </c>
      <c r="L267" s="53">
        <v>42490</v>
      </c>
      <c r="M267" s="53">
        <v>42461</v>
      </c>
      <c r="N267" s="57" t="str">
        <f>""</f>
        <v/>
      </c>
      <c r="O267" s="75">
        <v>0</v>
      </c>
      <c r="P267" s="76">
        <v>0</v>
      </c>
      <c r="Q267" s="77">
        <v>-48026.86</v>
      </c>
      <c r="R267" s="78">
        <v>0</v>
      </c>
    </row>
    <row r="268" spans="1:18" x14ac:dyDescent="0.3">
      <c r="A268" s="1" t="s">
        <v>78</v>
      </c>
      <c r="B268" s="1" t="str">
        <f t="shared" ref="B268:B331" si="392">IF(H268="","Hide","Show")</f>
        <v>Show</v>
      </c>
      <c r="D268" s="1" t="str">
        <f t="shared" ref="D268:D331" si="393">D267</f>
        <v>"Business Central","CRONUS JetCorp USA","25","1","3252"</v>
      </c>
      <c r="E268" s="1">
        <f t="shared" ref="E268:E331" si="394">E267</f>
        <v>0</v>
      </c>
      <c r="F268" s="1">
        <v>3252</v>
      </c>
      <c r="H268" s="9" t="str">
        <f>"""Business Central"",""CRONUS JetCorp USA"",""380"",""1"",""140"""</f>
        <v>"Business Central","CRONUS JetCorp USA","380","1","140"</v>
      </c>
      <c r="I268" s="48"/>
      <c r="J268" s="41" t="str">
        <f>"Payment"</f>
        <v>Payment</v>
      </c>
      <c r="K268" s="41" t="str">
        <f>"GP100309"</f>
        <v>GP100309</v>
      </c>
      <c r="L268" s="54"/>
      <c r="M268" s="54">
        <v>42500</v>
      </c>
      <c r="N268" s="57" t="str">
        <f>""</f>
        <v/>
      </c>
      <c r="O268" s="75">
        <v>0</v>
      </c>
      <c r="P268" s="76">
        <v>48026.86</v>
      </c>
      <c r="Q268" s="77">
        <v>48026.86</v>
      </c>
      <c r="R268" s="78">
        <v>0</v>
      </c>
    </row>
    <row r="269" spans="1:18" ht="9" customHeight="1" x14ac:dyDescent="0.3">
      <c r="A269" s="1" t="s">
        <v>78</v>
      </c>
      <c r="I269" s="48"/>
      <c r="J269" s="41"/>
      <c r="K269" s="41"/>
      <c r="L269" s="54"/>
      <c r="M269" s="54"/>
      <c r="N269" s="61"/>
      <c r="O269" s="60"/>
      <c r="P269" s="58"/>
      <c r="Q269" s="59"/>
      <c r="R269" s="56"/>
    </row>
    <row r="270" spans="1:18" x14ac:dyDescent="0.3">
      <c r="A270" s="1" t="s">
        <v>78</v>
      </c>
      <c r="D270" s="1" t="str">
        <f t="shared" ref="D270:D333" si="395">H270</f>
        <v>"Business Central","CRONUS JetCorp USA","25","1","446955"</v>
      </c>
      <c r="E270" s="1">
        <f t="shared" ref="E270" si="396">I265</f>
        <v>0</v>
      </c>
      <c r="G270" s="1">
        <v>446955</v>
      </c>
      <c r="H270" s="9" t="str">
        <f>"""Business Central"",""CRONUS JetCorp USA"",""25"",""1"",""446955"""</f>
        <v>"Business Central","CRONUS JetCorp USA","25","1","446955"</v>
      </c>
      <c r="I270" s="51"/>
      <c r="J270" s="52" t="str">
        <f>"Order PO102734"</f>
        <v>Order PO102734</v>
      </c>
      <c r="K270" s="52" t="str">
        <f>"PI_102733"</f>
        <v>PI_102733</v>
      </c>
      <c r="L270" s="53">
        <v>42735</v>
      </c>
      <c r="M270" s="53">
        <v>42705</v>
      </c>
      <c r="N270" s="57" t="str">
        <f>""</f>
        <v/>
      </c>
      <c r="O270" s="75">
        <v>0</v>
      </c>
      <c r="P270" s="76">
        <v>0</v>
      </c>
      <c r="Q270" s="77">
        <v>0</v>
      </c>
      <c r="R270" s="78">
        <v>0</v>
      </c>
    </row>
    <row r="271" spans="1:18" hidden="1" x14ac:dyDescent="0.3">
      <c r="A271" s="1" t="s">
        <v>78</v>
      </c>
      <c r="B271" s="1" t="str">
        <f t="shared" ref="B271:B334" si="397">IF(H271="","Hide","Show")</f>
        <v>Hide</v>
      </c>
      <c r="D271" s="1" t="str">
        <f t="shared" ref="D271:D334" si="398">D270</f>
        <v>"Business Central","CRONUS JetCorp USA","25","1","446955"</v>
      </c>
      <c r="E271" s="1">
        <f t="shared" ref="E271:E334" si="399">E270</f>
        <v>0</v>
      </c>
      <c r="F271" s="1" t="str">
        <f>""</f>
        <v/>
      </c>
      <c r="H271" s="9" t="str">
        <f>""</f>
        <v/>
      </c>
      <c r="I271" s="48"/>
      <c r="J271" s="41" t="str">
        <f>""</f>
        <v/>
      </c>
      <c r="K271" s="41" t="str">
        <f>""</f>
        <v/>
      </c>
      <c r="L271" s="54"/>
      <c r="M271" s="54" t="str">
        <f>""</f>
        <v/>
      </c>
      <c r="N271" s="57" t="str">
        <f>""</f>
        <v/>
      </c>
      <c r="O271" s="75">
        <v>0</v>
      </c>
      <c r="P271" s="76" t="str">
        <f>""</f>
        <v/>
      </c>
      <c r="Q271" s="77" t="str">
        <f>""</f>
        <v/>
      </c>
      <c r="R271" s="78">
        <v>0</v>
      </c>
    </row>
    <row r="272" spans="1:18" ht="9" customHeight="1" x14ac:dyDescent="0.3">
      <c r="A272" s="1" t="s">
        <v>78</v>
      </c>
      <c r="I272" s="48"/>
      <c r="J272" s="41"/>
      <c r="K272" s="41"/>
      <c r="L272" s="54"/>
      <c r="M272" s="54"/>
      <c r="N272" s="61"/>
      <c r="O272" s="60"/>
      <c r="P272" s="58"/>
      <c r="Q272" s="59"/>
      <c r="R272" s="56"/>
    </row>
    <row r="273" spans="1:18" x14ac:dyDescent="0.3">
      <c r="A273" s="1" t="s">
        <v>78</v>
      </c>
      <c r="D273" s="1" t="str">
        <f t="shared" ref="D273:D335" si="400">H273</f>
        <v>"Business Central","CRONUS JetCorp USA","25","1","452349"</v>
      </c>
      <c r="E273" s="1">
        <f t="shared" ref="E273" si="401">I268</f>
        <v>0</v>
      </c>
      <c r="G273" s="1">
        <v>452349</v>
      </c>
      <c r="H273" s="9" t="str">
        <f>"""Business Central"",""CRONUS JetCorp USA"",""25"",""1"",""452349"""</f>
        <v>"Business Central","CRONUS JetCorp USA","25","1","452349"</v>
      </c>
      <c r="I273" s="51"/>
      <c r="J273" s="52" t="str">
        <f>"Order PO102953"</f>
        <v>Order PO102953</v>
      </c>
      <c r="K273" s="52" t="str">
        <f>"PI_102952"</f>
        <v>PI_102952</v>
      </c>
      <c r="L273" s="53">
        <v>42855</v>
      </c>
      <c r="M273" s="53">
        <v>42826</v>
      </c>
      <c r="N273" s="57" t="str">
        <f>""</f>
        <v/>
      </c>
      <c r="O273" s="75">
        <v>0</v>
      </c>
      <c r="P273" s="76">
        <v>0</v>
      </c>
      <c r="Q273" s="77">
        <v>0</v>
      </c>
      <c r="R273" s="78">
        <v>0</v>
      </c>
    </row>
    <row r="274" spans="1:18" hidden="1" x14ac:dyDescent="0.3">
      <c r="A274" s="1" t="s">
        <v>78</v>
      </c>
      <c r="B274" s="1" t="str">
        <f t="shared" ref="B274:B335" si="402">IF(H274="","Hide","Show")</f>
        <v>Hide</v>
      </c>
      <c r="D274" s="1" t="str">
        <f t="shared" ref="D274:D335" si="403">D273</f>
        <v>"Business Central","CRONUS JetCorp USA","25","1","452349"</v>
      </c>
      <c r="E274" s="1">
        <f t="shared" ref="E274:E335" si="404">E273</f>
        <v>0</v>
      </c>
      <c r="F274" s="1" t="str">
        <f>""</f>
        <v/>
      </c>
      <c r="H274" s="9" t="str">
        <f>""</f>
        <v/>
      </c>
      <c r="I274" s="48"/>
      <c r="J274" s="41" t="str">
        <f>""</f>
        <v/>
      </c>
      <c r="K274" s="41" t="str">
        <f>""</f>
        <v/>
      </c>
      <c r="L274" s="54"/>
      <c r="M274" s="54" t="str">
        <f>""</f>
        <v/>
      </c>
      <c r="N274" s="57" t="str">
        <f>""</f>
        <v/>
      </c>
      <c r="O274" s="75">
        <v>0</v>
      </c>
      <c r="P274" s="76" t="str">
        <f>""</f>
        <v/>
      </c>
      <c r="Q274" s="77" t="str">
        <f>""</f>
        <v/>
      </c>
      <c r="R274" s="78">
        <v>0</v>
      </c>
    </row>
    <row r="275" spans="1:18" ht="9" customHeight="1" x14ac:dyDescent="0.3">
      <c r="A275" s="1" t="s">
        <v>78</v>
      </c>
      <c r="I275" s="48"/>
      <c r="J275" s="41"/>
      <c r="K275" s="41"/>
      <c r="L275" s="54"/>
      <c r="M275" s="54"/>
      <c r="N275" s="61"/>
      <c r="O275" s="60"/>
      <c r="P275" s="58"/>
      <c r="Q275" s="59"/>
      <c r="R275" s="56"/>
    </row>
    <row r="276" spans="1:18" x14ac:dyDescent="0.3">
      <c r="A276" s="1" t="s">
        <v>78</v>
      </c>
      <c r="D276" s="1" t="str">
        <f t="shared" ref="D276:D335" si="405">H276</f>
        <v>"Business Central","CRONUS JetCorp USA","25","1","452355"</v>
      </c>
      <c r="E276" s="1">
        <f t="shared" ref="E276" si="406">I271</f>
        <v>0</v>
      </c>
      <c r="G276" s="1">
        <v>452355</v>
      </c>
      <c r="H276" s="9" t="str">
        <f>"""Business Central"",""CRONUS JetCorp USA"",""25"",""1"",""452355"""</f>
        <v>"Business Central","CRONUS JetCorp USA","25","1","452355"</v>
      </c>
      <c r="I276" s="51"/>
      <c r="J276" s="52" t="str">
        <f>"Order PO102955"</f>
        <v>Order PO102955</v>
      </c>
      <c r="K276" s="52" t="str">
        <f>"PI_102954"</f>
        <v>PI_102954</v>
      </c>
      <c r="L276" s="53">
        <v>42947</v>
      </c>
      <c r="M276" s="53">
        <v>42918</v>
      </c>
      <c r="N276" s="57" t="str">
        <f>""</f>
        <v/>
      </c>
      <c r="O276" s="75">
        <v>0</v>
      </c>
      <c r="P276" s="76">
        <v>0</v>
      </c>
      <c r="Q276" s="77">
        <v>0</v>
      </c>
      <c r="R276" s="78">
        <v>0</v>
      </c>
    </row>
    <row r="277" spans="1:18" hidden="1" x14ac:dyDescent="0.3">
      <c r="A277" s="1" t="s">
        <v>78</v>
      </c>
      <c r="B277" s="1" t="str">
        <f t="shared" ref="B277:B335" si="407">IF(H277="","Hide","Show")</f>
        <v>Hide</v>
      </c>
      <c r="D277" s="1" t="str">
        <f t="shared" ref="D277:D335" si="408">D276</f>
        <v>"Business Central","CRONUS JetCorp USA","25","1","452355"</v>
      </c>
      <c r="E277" s="1">
        <f t="shared" ref="E277:E335" si="409">E276</f>
        <v>0</v>
      </c>
      <c r="F277" s="1" t="str">
        <f>""</f>
        <v/>
      </c>
      <c r="H277" s="9" t="str">
        <f>""</f>
        <v/>
      </c>
      <c r="I277" s="48"/>
      <c r="J277" s="41" t="str">
        <f>""</f>
        <v/>
      </c>
      <c r="K277" s="41" t="str">
        <f>""</f>
        <v/>
      </c>
      <c r="L277" s="54"/>
      <c r="M277" s="54" t="str">
        <f>""</f>
        <v/>
      </c>
      <c r="N277" s="57" t="str">
        <f>""</f>
        <v/>
      </c>
      <c r="O277" s="75">
        <v>0</v>
      </c>
      <c r="P277" s="76" t="str">
        <f>""</f>
        <v/>
      </c>
      <c r="Q277" s="77" t="str">
        <f>""</f>
        <v/>
      </c>
      <c r="R277" s="78">
        <v>0</v>
      </c>
    </row>
    <row r="278" spans="1:18" ht="9" customHeight="1" x14ac:dyDescent="0.3">
      <c r="A278" s="1" t="s">
        <v>78</v>
      </c>
      <c r="I278" s="48"/>
      <c r="J278" s="41"/>
      <c r="K278" s="41"/>
      <c r="L278" s="54"/>
      <c r="M278" s="54"/>
      <c r="N278" s="61"/>
      <c r="O278" s="60"/>
      <c r="P278" s="58"/>
      <c r="Q278" s="59"/>
      <c r="R278" s="56"/>
    </row>
    <row r="279" spans="1:18" x14ac:dyDescent="0.3">
      <c r="A279" s="1" t="s">
        <v>78</v>
      </c>
      <c r="D279" s="1" t="str">
        <f t="shared" ref="D279:D335" si="410">H279</f>
        <v>"Business Central","CRONUS JetCorp USA","25","1","457942"</v>
      </c>
      <c r="E279" s="1">
        <f t="shared" ref="E279" si="411">I274</f>
        <v>0</v>
      </c>
      <c r="G279" s="1">
        <v>457942</v>
      </c>
      <c r="H279" s="9" t="str">
        <f>"""Business Central"",""CRONUS JetCorp USA"",""25"",""1"",""457942"""</f>
        <v>"Business Central","CRONUS JetCorp USA","25","1","457942"</v>
      </c>
      <c r="I279" s="51"/>
      <c r="J279" s="52" t="str">
        <f>"Order PO103181"</f>
        <v>Order PO103181</v>
      </c>
      <c r="K279" s="52" t="str">
        <f>"PI_103180"</f>
        <v>PI_103180</v>
      </c>
      <c r="L279" s="53">
        <v>43131</v>
      </c>
      <c r="M279" s="53">
        <v>43101</v>
      </c>
      <c r="N279" s="57" t="str">
        <f>""</f>
        <v/>
      </c>
      <c r="O279" s="75">
        <v>0</v>
      </c>
      <c r="P279" s="76">
        <v>0</v>
      </c>
      <c r="Q279" s="77">
        <v>0</v>
      </c>
      <c r="R279" s="78">
        <v>0</v>
      </c>
    </row>
    <row r="280" spans="1:18" hidden="1" x14ac:dyDescent="0.3">
      <c r="A280" s="1" t="s">
        <v>78</v>
      </c>
      <c r="B280" s="1" t="str">
        <f t="shared" ref="B280:B335" si="412">IF(H280="","Hide","Show")</f>
        <v>Hide</v>
      </c>
      <c r="D280" s="1" t="str">
        <f t="shared" ref="D280:D335" si="413">D279</f>
        <v>"Business Central","CRONUS JetCorp USA","25","1","457942"</v>
      </c>
      <c r="E280" s="1">
        <f t="shared" ref="E280:E335" si="414">E279</f>
        <v>0</v>
      </c>
      <c r="F280" s="1" t="str">
        <f>""</f>
        <v/>
      </c>
      <c r="H280" s="9" t="str">
        <f>""</f>
        <v/>
      </c>
      <c r="I280" s="48"/>
      <c r="J280" s="41" t="str">
        <f>""</f>
        <v/>
      </c>
      <c r="K280" s="41" t="str">
        <f>""</f>
        <v/>
      </c>
      <c r="L280" s="54"/>
      <c r="M280" s="54" t="str">
        <f>""</f>
        <v/>
      </c>
      <c r="N280" s="57" t="str">
        <f>""</f>
        <v/>
      </c>
      <c r="O280" s="75">
        <v>0</v>
      </c>
      <c r="P280" s="76" t="str">
        <f>""</f>
        <v/>
      </c>
      <c r="Q280" s="77" t="str">
        <f>""</f>
        <v/>
      </c>
      <c r="R280" s="78">
        <v>0</v>
      </c>
    </row>
    <row r="281" spans="1:18" ht="9" customHeight="1" x14ac:dyDescent="0.3">
      <c r="A281" s="1" t="s">
        <v>78</v>
      </c>
      <c r="I281" s="48"/>
      <c r="J281" s="41"/>
      <c r="K281" s="41"/>
      <c r="L281" s="54"/>
      <c r="M281" s="54"/>
      <c r="N281" s="61"/>
      <c r="O281" s="60"/>
      <c r="P281" s="58"/>
      <c r="Q281" s="59"/>
      <c r="R281" s="56"/>
    </row>
    <row r="282" spans="1:18" x14ac:dyDescent="0.3">
      <c r="A282" s="1" t="s">
        <v>78</v>
      </c>
      <c r="D282" s="1" t="str">
        <f t="shared" ref="D282:D335" si="415">H282</f>
        <v>"Business Central","CRONUS JetCorp USA","25","1","457945"</v>
      </c>
      <c r="E282" s="1">
        <f t="shared" ref="E282" si="416">I277</f>
        <v>0</v>
      </c>
      <c r="G282" s="1">
        <v>457945</v>
      </c>
      <c r="H282" s="9" t="str">
        <f>"""Business Central"",""CRONUS JetCorp USA"",""25"",""1"",""457945"""</f>
        <v>"Business Central","CRONUS JetCorp USA","25","1","457945"</v>
      </c>
      <c r="I282" s="51"/>
      <c r="J282" s="52" t="str">
        <f>"Order PO103182"</f>
        <v>Order PO103182</v>
      </c>
      <c r="K282" s="52" t="str">
        <f>"PI_103181"</f>
        <v>PI_103181</v>
      </c>
      <c r="L282" s="53">
        <v>43220</v>
      </c>
      <c r="M282" s="53">
        <v>43192</v>
      </c>
      <c r="N282" s="57" t="str">
        <f>""</f>
        <v/>
      </c>
      <c r="O282" s="75">
        <v>0</v>
      </c>
      <c r="P282" s="76">
        <v>0</v>
      </c>
      <c r="Q282" s="77">
        <v>0</v>
      </c>
      <c r="R282" s="78">
        <v>0</v>
      </c>
    </row>
    <row r="283" spans="1:18" hidden="1" x14ac:dyDescent="0.3">
      <c r="A283" s="1" t="s">
        <v>78</v>
      </c>
      <c r="B283" s="1" t="str">
        <f t="shared" ref="B283:B335" si="417">IF(H283="","Hide","Show")</f>
        <v>Hide</v>
      </c>
      <c r="D283" s="1" t="str">
        <f t="shared" ref="D283:D335" si="418">D282</f>
        <v>"Business Central","CRONUS JetCorp USA","25","1","457945"</v>
      </c>
      <c r="E283" s="1">
        <f t="shared" ref="E283:E335" si="419">E282</f>
        <v>0</v>
      </c>
      <c r="F283" s="1" t="str">
        <f>""</f>
        <v/>
      </c>
      <c r="H283" s="9" t="str">
        <f>""</f>
        <v/>
      </c>
      <c r="I283" s="48"/>
      <c r="J283" s="41" t="str">
        <f>""</f>
        <v/>
      </c>
      <c r="K283" s="41" t="str">
        <f>""</f>
        <v/>
      </c>
      <c r="L283" s="54"/>
      <c r="M283" s="54" t="str">
        <f>""</f>
        <v/>
      </c>
      <c r="N283" s="57" t="str">
        <f>""</f>
        <v/>
      </c>
      <c r="O283" s="75">
        <v>0</v>
      </c>
      <c r="P283" s="76" t="str">
        <f>""</f>
        <v/>
      </c>
      <c r="Q283" s="77" t="str">
        <f>""</f>
        <v/>
      </c>
      <c r="R283" s="78">
        <v>0</v>
      </c>
    </row>
    <row r="284" spans="1:18" ht="9" customHeight="1" x14ac:dyDescent="0.3">
      <c r="A284" s="1" t="s">
        <v>78</v>
      </c>
      <c r="I284" s="48"/>
      <c r="J284" s="41"/>
      <c r="K284" s="41"/>
      <c r="L284" s="54"/>
      <c r="M284" s="54"/>
      <c r="N284" s="61"/>
      <c r="O284" s="60"/>
      <c r="P284" s="58"/>
      <c r="Q284" s="59"/>
      <c r="R284" s="56"/>
    </row>
    <row r="285" spans="1:18" x14ac:dyDescent="0.3">
      <c r="A285" s="1" t="s">
        <v>78</v>
      </c>
      <c r="D285" s="1" t="str">
        <f t="shared" ref="D285:D335" si="420">H285</f>
        <v>"Business Central","CRONUS JetCorp USA","25","1","457971"</v>
      </c>
      <c r="E285" s="1">
        <f t="shared" ref="E285" si="421">I280</f>
        <v>0</v>
      </c>
      <c r="G285" s="1">
        <v>457971</v>
      </c>
      <c r="H285" s="9" t="str">
        <f>"""Business Central"",""CRONUS JetCorp USA"",""25"",""1"",""457971"""</f>
        <v>"Business Central","CRONUS JetCorp USA","25","1","457971"</v>
      </c>
      <c r="I285" s="51"/>
      <c r="J285" s="52" t="str">
        <f>"Order PO103184"</f>
        <v>Order PO103184</v>
      </c>
      <c r="K285" s="52" t="str">
        <f>"PI_103183"</f>
        <v>PI_103183</v>
      </c>
      <c r="L285" s="53">
        <v>43312</v>
      </c>
      <c r="M285" s="53">
        <v>43284</v>
      </c>
      <c r="N285" s="57" t="str">
        <f>""</f>
        <v/>
      </c>
      <c r="O285" s="75">
        <v>0</v>
      </c>
      <c r="P285" s="76">
        <v>0</v>
      </c>
      <c r="Q285" s="77">
        <v>0</v>
      </c>
      <c r="R285" s="78">
        <v>0</v>
      </c>
    </row>
    <row r="286" spans="1:18" hidden="1" x14ac:dyDescent="0.3">
      <c r="A286" s="1" t="s">
        <v>78</v>
      </c>
      <c r="B286" s="1" t="str">
        <f t="shared" ref="B286:B335" si="422">IF(H286="","Hide","Show")</f>
        <v>Hide</v>
      </c>
      <c r="D286" s="1" t="str">
        <f t="shared" ref="D286:D335" si="423">D285</f>
        <v>"Business Central","CRONUS JetCorp USA","25","1","457971"</v>
      </c>
      <c r="E286" s="1">
        <f t="shared" ref="E286:E335" si="424">E285</f>
        <v>0</v>
      </c>
      <c r="F286" s="1" t="str">
        <f>""</f>
        <v/>
      </c>
      <c r="H286" s="9" t="str">
        <f>""</f>
        <v/>
      </c>
      <c r="I286" s="48"/>
      <c r="J286" s="41" t="str">
        <f>""</f>
        <v/>
      </c>
      <c r="K286" s="41" t="str">
        <f>""</f>
        <v/>
      </c>
      <c r="L286" s="54"/>
      <c r="M286" s="54" t="str">
        <f>""</f>
        <v/>
      </c>
      <c r="N286" s="57" t="str">
        <f>""</f>
        <v/>
      </c>
      <c r="O286" s="75">
        <v>0</v>
      </c>
      <c r="P286" s="76" t="str">
        <f>""</f>
        <v/>
      </c>
      <c r="Q286" s="77" t="str">
        <f>""</f>
        <v/>
      </c>
      <c r="R286" s="78">
        <v>0</v>
      </c>
    </row>
    <row r="287" spans="1:18" ht="9" customHeight="1" x14ac:dyDescent="0.3">
      <c r="A287" s="1" t="s">
        <v>78</v>
      </c>
      <c r="I287" s="48"/>
      <c r="J287" s="41"/>
      <c r="K287" s="41"/>
      <c r="L287" s="54"/>
      <c r="M287" s="54"/>
      <c r="N287" s="61"/>
      <c r="O287" s="60"/>
      <c r="P287" s="58"/>
      <c r="Q287" s="59"/>
      <c r="R287" s="56"/>
    </row>
    <row r="288" spans="1:18" x14ac:dyDescent="0.3">
      <c r="A288" s="1" t="s">
        <v>78</v>
      </c>
      <c r="D288" s="1" t="str">
        <f t="shared" ref="D288:D335" si="425">H288</f>
        <v>"Business Central","CRONUS JetCorp USA","25","1","458007"</v>
      </c>
      <c r="E288" s="1">
        <f t="shared" ref="E288" si="426">I283</f>
        <v>0</v>
      </c>
      <c r="G288" s="1">
        <v>458007</v>
      </c>
      <c r="H288" s="9" t="str">
        <f>"""Business Central"",""CRONUS JetCorp USA"",""25"",""1"",""458007"""</f>
        <v>"Business Central","CRONUS JetCorp USA","25","1","458007"</v>
      </c>
      <c r="I288" s="51"/>
      <c r="J288" s="52" t="str">
        <f>"Order PO103186"</f>
        <v>Order PO103186</v>
      </c>
      <c r="K288" s="52" t="str">
        <f>"PI_103185"</f>
        <v>PI_103185</v>
      </c>
      <c r="L288" s="53">
        <v>43404</v>
      </c>
      <c r="M288" s="53">
        <v>43377</v>
      </c>
      <c r="N288" s="57" t="str">
        <f>""</f>
        <v/>
      </c>
      <c r="O288" s="75">
        <v>0</v>
      </c>
      <c r="P288" s="76">
        <v>0</v>
      </c>
      <c r="Q288" s="77">
        <v>0</v>
      </c>
      <c r="R288" s="78">
        <v>0</v>
      </c>
    </row>
    <row r="289" spans="1:18" hidden="1" x14ac:dyDescent="0.3">
      <c r="A289" s="1" t="s">
        <v>78</v>
      </c>
      <c r="B289" s="1" t="str">
        <f t="shared" ref="B289:B335" si="427">IF(H289="","Hide","Show")</f>
        <v>Hide</v>
      </c>
      <c r="D289" s="1" t="str">
        <f t="shared" ref="D289:D335" si="428">D288</f>
        <v>"Business Central","CRONUS JetCorp USA","25","1","458007"</v>
      </c>
      <c r="E289" s="1">
        <f t="shared" ref="E289:E335" si="429">E288</f>
        <v>0</v>
      </c>
      <c r="F289" s="1" t="str">
        <f>""</f>
        <v/>
      </c>
      <c r="H289" s="9" t="str">
        <f>""</f>
        <v/>
      </c>
      <c r="I289" s="48"/>
      <c r="J289" s="41" t="str">
        <f>""</f>
        <v/>
      </c>
      <c r="K289" s="41" t="str">
        <f>""</f>
        <v/>
      </c>
      <c r="L289" s="54"/>
      <c r="M289" s="54" t="str">
        <f>""</f>
        <v/>
      </c>
      <c r="N289" s="57" t="str">
        <f>""</f>
        <v/>
      </c>
      <c r="O289" s="75">
        <v>0</v>
      </c>
      <c r="P289" s="76" t="str">
        <f>""</f>
        <v/>
      </c>
      <c r="Q289" s="77" t="str">
        <f>""</f>
        <v/>
      </c>
      <c r="R289" s="78">
        <v>0</v>
      </c>
    </row>
    <row r="290" spans="1:18" ht="9" customHeight="1" x14ac:dyDescent="0.3">
      <c r="A290" s="1" t="s">
        <v>78</v>
      </c>
      <c r="I290" s="48"/>
      <c r="J290" s="41"/>
      <c r="K290" s="41"/>
      <c r="L290" s="54"/>
      <c r="M290" s="54"/>
      <c r="N290" s="61"/>
      <c r="O290" s="60"/>
      <c r="P290" s="58"/>
      <c r="Q290" s="59"/>
      <c r="R290" s="56"/>
    </row>
    <row r="291" spans="1:18" x14ac:dyDescent="0.3">
      <c r="A291" s="1" t="s">
        <v>78</v>
      </c>
      <c r="D291" s="1" t="str">
        <f t="shared" ref="D291:D335" si="430">H291</f>
        <v>"Business Central","CRONUS JetCorp USA","25","1","464349"</v>
      </c>
      <c r="E291" s="1">
        <f t="shared" ref="E291" si="431">I286</f>
        <v>0</v>
      </c>
      <c r="G291" s="1">
        <v>464349</v>
      </c>
      <c r="H291" s="9" t="str">
        <f>"""Business Central"",""CRONUS JetCorp USA"",""25"",""1"",""464349"""</f>
        <v>"Business Central","CRONUS JetCorp USA","25","1","464349"</v>
      </c>
      <c r="I291" s="51"/>
      <c r="J291" s="52" t="str">
        <f>"Order PO103416"</f>
        <v>Order PO103416</v>
      </c>
      <c r="K291" s="52" t="str">
        <f>"PI_103415"</f>
        <v>PI_103415</v>
      </c>
      <c r="L291" s="53">
        <v>43496</v>
      </c>
      <c r="M291" s="53">
        <v>43466</v>
      </c>
      <c r="N291" s="57" t="str">
        <f>""</f>
        <v/>
      </c>
      <c r="O291" s="75">
        <v>0</v>
      </c>
      <c r="P291" s="76">
        <v>0</v>
      </c>
      <c r="Q291" s="77">
        <v>0</v>
      </c>
      <c r="R291" s="78">
        <v>0</v>
      </c>
    </row>
    <row r="292" spans="1:18" hidden="1" x14ac:dyDescent="0.3">
      <c r="A292" s="1" t="s">
        <v>78</v>
      </c>
      <c r="B292" s="1" t="str">
        <f t="shared" ref="B292:B335" si="432">IF(H292="","Hide","Show")</f>
        <v>Hide</v>
      </c>
      <c r="D292" s="1" t="str">
        <f t="shared" ref="D292:D335" si="433">D291</f>
        <v>"Business Central","CRONUS JetCorp USA","25","1","464349"</v>
      </c>
      <c r="E292" s="1">
        <f t="shared" ref="E292:E335" si="434">E291</f>
        <v>0</v>
      </c>
      <c r="F292" s="1" t="str">
        <f>""</f>
        <v/>
      </c>
      <c r="H292" s="9" t="str">
        <f>""</f>
        <v/>
      </c>
      <c r="I292" s="48"/>
      <c r="J292" s="41" t="str">
        <f>""</f>
        <v/>
      </c>
      <c r="K292" s="41" t="str">
        <f>""</f>
        <v/>
      </c>
      <c r="L292" s="54"/>
      <c r="M292" s="54" t="str">
        <f>""</f>
        <v/>
      </c>
      <c r="N292" s="57" t="str">
        <f>""</f>
        <v/>
      </c>
      <c r="O292" s="75">
        <v>0</v>
      </c>
      <c r="P292" s="76" t="str">
        <f>""</f>
        <v/>
      </c>
      <c r="Q292" s="77" t="str">
        <f>""</f>
        <v/>
      </c>
      <c r="R292" s="78">
        <v>0</v>
      </c>
    </row>
    <row r="293" spans="1:18" ht="9" customHeight="1" x14ac:dyDescent="0.3">
      <c r="A293" s="1" t="s">
        <v>78</v>
      </c>
      <c r="I293" s="48"/>
      <c r="J293" s="41"/>
      <c r="K293" s="41"/>
      <c r="L293" s="54"/>
      <c r="M293" s="54"/>
      <c r="N293" s="61"/>
      <c r="O293" s="60"/>
      <c r="P293" s="58"/>
      <c r="Q293" s="59"/>
      <c r="R293" s="56"/>
    </row>
    <row r="294" spans="1:18" x14ac:dyDescent="0.3">
      <c r="A294" s="1" t="s">
        <v>78</v>
      </c>
      <c r="D294" s="1" t="str">
        <f t="shared" ref="D294:D335" si="435">H294</f>
        <v>"Business Central","CRONUS JetCorp USA","25","1","464415"</v>
      </c>
      <c r="E294" s="1">
        <f t="shared" ref="E294" si="436">I289</f>
        <v>0</v>
      </c>
      <c r="G294" s="1">
        <v>464415</v>
      </c>
      <c r="H294" s="9" t="str">
        <f>"""Business Central"",""CRONUS JetCorp USA"",""25"",""1"",""464415"""</f>
        <v>"Business Central","CRONUS JetCorp USA","25","1","464415"</v>
      </c>
      <c r="I294" s="51"/>
      <c r="J294" s="52" t="str">
        <f>"Order PO103418"</f>
        <v>Order PO103418</v>
      </c>
      <c r="K294" s="52" t="str">
        <f>"PI_103417"</f>
        <v>PI_103417</v>
      </c>
      <c r="L294" s="53">
        <v>43585</v>
      </c>
      <c r="M294" s="53">
        <v>43557</v>
      </c>
      <c r="N294" s="57" t="str">
        <f>""</f>
        <v/>
      </c>
      <c r="O294" s="75">
        <v>0</v>
      </c>
      <c r="P294" s="76">
        <v>0</v>
      </c>
      <c r="Q294" s="77">
        <v>0</v>
      </c>
      <c r="R294" s="78">
        <v>0</v>
      </c>
    </row>
    <row r="295" spans="1:18" hidden="1" x14ac:dyDescent="0.3">
      <c r="A295" s="1" t="s">
        <v>78</v>
      </c>
      <c r="B295" s="1" t="str">
        <f t="shared" ref="B295:B335" si="437">IF(H295="","Hide","Show")</f>
        <v>Hide</v>
      </c>
      <c r="D295" s="1" t="str">
        <f t="shared" ref="D295:D335" si="438">D294</f>
        <v>"Business Central","CRONUS JetCorp USA","25","1","464415"</v>
      </c>
      <c r="E295" s="1">
        <f t="shared" ref="E295:E335" si="439">E294</f>
        <v>0</v>
      </c>
      <c r="F295" s="1" t="str">
        <f>""</f>
        <v/>
      </c>
      <c r="H295" s="9" t="str">
        <f>""</f>
        <v/>
      </c>
      <c r="I295" s="48"/>
      <c r="J295" s="41" t="str">
        <f>""</f>
        <v/>
      </c>
      <c r="K295" s="41" t="str">
        <f>""</f>
        <v/>
      </c>
      <c r="L295" s="54"/>
      <c r="M295" s="54" t="str">
        <f>""</f>
        <v/>
      </c>
      <c r="N295" s="57" t="str">
        <f>""</f>
        <v/>
      </c>
      <c r="O295" s="75">
        <v>0</v>
      </c>
      <c r="P295" s="76" t="str">
        <f>""</f>
        <v/>
      </c>
      <c r="Q295" s="77" t="str">
        <f>""</f>
        <v/>
      </c>
      <c r="R295" s="78">
        <v>0</v>
      </c>
    </row>
    <row r="296" spans="1:18" ht="9" customHeight="1" x14ac:dyDescent="0.3">
      <c r="A296" s="1" t="s">
        <v>78</v>
      </c>
      <c r="I296" s="48"/>
      <c r="J296" s="41"/>
      <c r="K296" s="41"/>
      <c r="L296" s="54"/>
      <c r="M296" s="54"/>
      <c r="N296" s="61"/>
      <c r="O296" s="60"/>
      <c r="P296" s="58"/>
      <c r="Q296" s="59"/>
      <c r="R296" s="56"/>
    </row>
    <row r="297" spans="1:18" x14ac:dyDescent="0.3">
      <c r="A297" s="1" t="s">
        <v>78</v>
      </c>
      <c r="D297" s="1" t="str">
        <f t="shared" ref="D297:D335" si="440">H297</f>
        <v>"Business Central","CRONUS JetCorp USA","25","1","471338"</v>
      </c>
      <c r="E297" s="1">
        <f t="shared" ref="E297" si="441">I292</f>
        <v>0</v>
      </c>
      <c r="G297" s="1">
        <v>471338</v>
      </c>
      <c r="H297" s="9" t="str">
        <f>"""Business Central"",""CRONUS JetCorp USA"",""25"",""1"",""471338"""</f>
        <v>"Business Central","CRONUS JetCorp USA","25","1","471338"</v>
      </c>
      <c r="I297" s="51"/>
      <c r="J297" s="52" t="str">
        <f>"Order PO103697"</f>
        <v>Order PO103697</v>
      </c>
      <c r="K297" s="52" t="str">
        <f>"PI_103696"</f>
        <v>PI_103696</v>
      </c>
      <c r="L297" s="53">
        <v>43769</v>
      </c>
      <c r="M297" s="53">
        <v>43739</v>
      </c>
      <c r="N297" s="57" t="str">
        <f>""</f>
        <v/>
      </c>
      <c r="O297" s="75">
        <v>0</v>
      </c>
      <c r="P297" s="76">
        <v>0</v>
      </c>
      <c r="Q297" s="77">
        <v>0</v>
      </c>
      <c r="R297" s="78">
        <v>0</v>
      </c>
    </row>
    <row r="298" spans="1:18" hidden="1" x14ac:dyDescent="0.3">
      <c r="A298" s="1" t="s">
        <v>78</v>
      </c>
      <c r="B298" s="1" t="str">
        <f t="shared" ref="B298:B335" si="442">IF(H298="","Hide","Show")</f>
        <v>Hide</v>
      </c>
      <c r="D298" s="1" t="str">
        <f t="shared" ref="D298:D335" si="443">D297</f>
        <v>"Business Central","CRONUS JetCorp USA","25","1","471338"</v>
      </c>
      <c r="E298" s="1">
        <f t="shared" ref="E298:E335" si="444">E297</f>
        <v>0</v>
      </c>
      <c r="F298" s="1" t="str">
        <f>""</f>
        <v/>
      </c>
      <c r="H298" s="9" t="str">
        <f>""</f>
        <v/>
      </c>
      <c r="I298" s="48"/>
      <c r="J298" s="41" t="str">
        <f>""</f>
        <v/>
      </c>
      <c r="K298" s="41" t="str">
        <f>""</f>
        <v/>
      </c>
      <c r="L298" s="54"/>
      <c r="M298" s="54" t="str">
        <f>""</f>
        <v/>
      </c>
      <c r="N298" s="57" t="str">
        <f>""</f>
        <v/>
      </c>
      <c r="O298" s="75">
        <v>0</v>
      </c>
      <c r="P298" s="76" t="str">
        <f>""</f>
        <v/>
      </c>
      <c r="Q298" s="77" t="str">
        <f>""</f>
        <v/>
      </c>
      <c r="R298" s="78">
        <v>0</v>
      </c>
    </row>
    <row r="299" spans="1:18" ht="9" customHeight="1" x14ac:dyDescent="0.3">
      <c r="A299" s="1" t="s">
        <v>78</v>
      </c>
      <c r="I299" s="48"/>
      <c r="J299" s="41"/>
      <c r="K299" s="41"/>
      <c r="L299" s="54"/>
      <c r="M299" s="54"/>
      <c r="N299" s="61"/>
      <c r="O299" s="60"/>
      <c r="P299" s="58"/>
      <c r="Q299" s="59"/>
      <c r="R299" s="56"/>
    </row>
    <row r="300" spans="1:18" x14ac:dyDescent="0.3">
      <c r="A300" s="1" t="s">
        <v>78</v>
      </c>
      <c r="D300" s="1" t="str">
        <f t="shared" ref="D300:D335" si="445">H300</f>
        <v>"Business Central","CRONUS JetCorp USA","25","1","471408"</v>
      </c>
      <c r="E300" s="1">
        <f t="shared" ref="E300" si="446">I295</f>
        <v>0</v>
      </c>
      <c r="G300" s="1">
        <v>471408</v>
      </c>
      <c r="H300" s="9" t="str">
        <f>"""Business Central"",""CRONUS JetCorp USA"",""25"",""1"",""471408"""</f>
        <v>"Business Central","CRONUS JetCorp USA","25","1","471408"</v>
      </c>
      <c r="I300" s="51"/>
      <c r="J300" s="52" t="str">
        <f>"Order PO103699"</f>
        <v>Order PO103699</v>
      </c>
      <c r="K300" s="52" t="str">
        <f>"PI_103698"</f>
        <v>PI_103698</v>
      </c>
      <c r="L300" s="53">
        <v>43799</v>
      </c>
      <c r="M300" s="53">
        <v>43771</v>
      </c>
      <c r="N300" s="57" t="str">
        <f>""</f>
        <v/>
      </c>
      <c r="O300" s="75">
        <v>0</v>
      </c>
      <c r="P300" s="76">
        <v>0</v>
      </c>
      <c r="Q300" s="77">
        <v>0</v>
      </c>
      <c r="R300" s="78">
        <v>0</v>
      </c>
    </row>
    <row r="301" spans="1:18" hidden="1" x14ac:dyDescent="0.3">
      <c r="A301" s="1" t="s">
        <v>78</v>
      </c>
      <c r="B301" s="1" t="str">
        <f t="shared" ref="B301:B335" si="447">IF(H301="","Hide","Show")</f>
        <v>Hide</v>
      </c>
      <c r="D301" s="1" t="str">
        <f t="shared" ref="D301:D335" si="448">D300</f>
        <v>"Business Central","CRONUS JetCorp USA","25","1","471408"</v>
      </c>
      <c r="E301" s="1">
        <f t="shared" ref="E301:E335" si="449">E300</f>
        <v>0</v>
      </c>
      <c r="F301" s="1" t="str">
        <f>""</f>
        <v/>
      </c>
      <c r="H301" s="9" t="str">
        <f>""</f>
        <v/>
      </c>
      <c r="I301" s="48"/>
      <c r="J301" s="41" t="str">
        <f>""</f>
        <v/>
      </c>
      <c r="K301" s="41" t="str">
        <f>""</f>
        <v/>
      </c>
      <c r="L301" s="54"/>
      <c r="M301" s="54" t="str">
        <f>""</f>
        <v/>
      </c>
      <c r="N301" s="57" t="str">
        <f>""</f>
        <v/>
      </c>
      <c r="O301" s="75">
        <v>0</v>
      </c>
      <c r="P301" s="76" t="str">
        <f>""</f>
        <v/>
      </c>
      <c r="Q301" s="77" t="str">
        <f>""</f>
        <v/>
      </c>
      <c r="R301" s="78">
        <v>0</v>
      </c>
    </row>
    <row r="302" spans="1:18" ht="9" customHeight="1" x14ac:dyDescent="0.3">
      <c r="A302" s="1" t="s">
        <v>78</v>
      </c>
      <c r="I302" s="48"/>
      <c r="J302" s="41"/>
      <c r="K302" s="41"/>
      <c r="L302" s="54"/>
      <c r="M302" s="54"/>
      <c r="N302" s="61"/>
      <c r="O302" s="60"/>
      <c r="P302" s="58"/>
      <c r="Q302" s="59"/>
      <c r="R302" s="56"/>
    </row>
    <row r="303" spans="1:18" x14ac:dyDescent="0.3">
      <c r="A303" s="1" t="s">
        <v>78</v>
      </c>
      <c r="D303" s="1" t="str">
        <f t="shared" ref="D303:D335" si="450">H303</f>
        <v>"Business Central","CRONUS JetCorp USA","25","1","471470"</v>
      </c>
      <c r="E303" s="1">
        <f t="shared" ref="E303" si="451">I298</f>
        <v>0</v>
      </c>
      <c r="G303" s="1">
        <v>471470</v>
      </c>
      <c r="H303" s="9" t="str">
        <f>"""Business Central"",""CRONUS JetCorp USA"",""25"",""1"",""471470"""</f>
        <v>"Business Central","CRONUS JetCorp USA","25","1","471470"</v>
      </c>
      <c r="I303" s="51"/>
      <c r="J303" s="52" t="str">
        <f>"Order PO103701"</f>
        <v>Order PO103701</v>
      </c>
      <c r="K303" s="52" t="str">
        <f>"PI_103700"</f>
        <v>PI_103700</v>
      </c>
      <c r="L303" s="53">
        <v>43830</v>
      </c>
      <c r="M303" s="53">
        <v>43802</v>
      </c>
      <c r="N303" s="57" t="str">
        <f>""</f>
        <v/>
      </c>
      <c r="O303" s="75">
        <v>0</v>
      </c>
      <c r="P303" s="76">
        <v>0</v>
      </c>
      <c r="Q303" s="77">
        <v>0</v>
      </c>
      <c r="R303" s="78">
        <v>0</v>
      </c>
    </row>
    <row r="304" spans="1:18" hidden="1" x14ac:dyDescent="0.3">
      <c r="A304" s="1" t="s">
        <v>78</v>
      </c>
      <c r="B304" s="1" t="str">
        <f t="shared" ref="B304:B335" si="452">IF(H304="","Hide","Show")</f>
        <v>Hide</v>
      </c>
      <c r="D304" s="1" t="str">
        <f t="shared" ref="D304:D335" si="453">D303</f>
        <v>"Business Central","CRONUS JetCorp USA","25","1","471470"</v>
      </c>
      <c r="E304" s="1">
        <f t="shared" ref="E304:E335" si="454">E303</f>
        <v>0</v>
      </c>
      <c r="F304" s="1" t="str">
        <f>""</f>
        <v/>
      </c>
      <c r="H304" s="9" t="str">
        <f>""</f>
        <v/>
      </c>
      <c r="I304" s="48"/>
      <c r="J304" s="41" t="str">
        <f>""</f>
        <v/>
      </c>
      <c r="K304" s="41" t="str">
        <f>""</f>
        <v/>
      </c>
      <c r="L304" s="54"/>
      <c r="M304" s="54" t="str">
        <f>""</f>
        <v/>
      </c>
      <c r="N304" s="57" t="str">
        <f>""</f>
        <v/>
      </c>
      <c r="O304" s="75">
        <v>0</v>
      </c>
      <c r="P304" s="76" t="str">
        <f>""</f>
        <v/>
      </c>
      <c r="Q304" s="77" t="str">
        <f>""</f>
        <v/>
      </c>
      <c r="R304" s="78">
        <v>0</v>
      </c>
    </row>
    <row r="305" spans="1:18" ht="9" customHeight="1" x14ac:dyDescent="0.3">
      <c r="A305" s="1" t="s">
        <v>78</v>
      </c>
      <c r="I305" s="48"/>
      <c r="J305" s="41"/>
      <c r="K305" s="41"/>
      <c r="L305" s="54"/>
      <c r="M305" s="54"/>
      <c r="N305" s="61"/>
      <c r="O305" s="60"/>
      <c r="P305" s="58"/>
      <c r="Q305" s="59"/>
      <c r="R305" s="56"/>
    </row>
    <row r="306" spans="1:18" x14ac:dyDescent="0.3">
      <c r="A306" s="1" t="s">
        <v>78</v>
      </c>
      <c r="D306" s="1" t="str">
        <f t="shared" ref="D306:D335" si="455">H306</f>
        <v>"Business Central","CRONUS JetCorp USA","25","1","471526"</v>
      </c>
      <c r="E306" s="1">
        <f t="shared" ref="E306" si="456">I301</f>
        <v>0</v>
      </c>
      <c r="G306" s="1">
        <v>471526</v>
      </c>
      <c r="H306" s="9" t="str">
        <f>"""Business Central"",""CRONUS JetCorp USA"",""25"",""1"",""471526"""</f>
        <v>"Business Central","CRONUS JetCorp USA","25","1","471526"</v>
      </c>
      <c r="I306" s="51"/>
      <c r="J306" s="52" t="str">
        <f>"Order PO103703"</f>
        <v>Order PO103703</v>
      </c>
      <c r="K306" s="52" t="str">
        <f>"PI_103702"</f>
        <v>PI_103702</v>
      </c>
      <c r="L306" s="53">
        <v>42035</v>
      </c>
      <c r="M306" s="53">
        <v>43834</v>
      </c>
      <c r="N306" s="57" t="str">
        <f>""</f>
        <v/>
      </c>
      <c r="O306" s="75">
        <v>0</v>
      </c>
      <c r="P306" s="76">
        <v>0</v>
      </c>
      <c r="Q306" s="77">
        <v>0</v>
      </c>
      <c r="R306" s="78">
        <v>0</v>
      </c>
    </row>
    <row r="307" spans="1:18" hidden="1" x14ac:dyDescent="0.3">
      <c r="A307" s="1" t="s">
        <v>78</v>
      </c>
      <c r="B307" s="1" t="str">
        <f t="shared" ref="B307:B335" si="457">IF(H307="","Hide","Show")</f>
        <v>Hide</v>
      </c>
      <c r="D307" s="1" t="str">
        <f t="shared" ref="D307:D335" si="458">D306</f>
        <v>"Business Central","CRONUS JetCorp USA","25","1","471526"</v>
      </c>
      <c r="E307" s="1">
        <f t="shared" ref="E307:E335" si="459">E306</f>
        <v>0</v>
      </c>
      <c r="F307" s="1" t="str">
        <f>""</f>
        <v/>
      </c>
      <c r="H307" s="9" t="str">
        <f>""</f>
        <v/>
      </c>
      <c r="I307" s="48"/>
      <c r="J307" s="41" t="str">
        <f>""</f>
        <v/>
      </c>
      <c r="K307" s="41" t="str">
        <f>""</f>
        <v/>
      </c>
      <c r="L307" s="54"/>
      <c r="M307" s="54" t="str">
        <f>""</f>
        <v/>
      </c>
      <c r="N307" s="57" t="str">
        <f>""</f>
        <v/>
      </c>
      <c r="O307" s="75">
        <v>0</v>
      </c>
      <c r="P307" s="76" t="str">
        <f>""</f>
        <v/>
      </c>
      <c r="Q307" s="77" t="str">
        <f>""</f>
        <v/>
      </c>
      <c r="R307" s="78">
        <v>0</v>
      </c>
    </row>
    <row r="308" spans="1:18" ht="9" customHeight="1" x14ac:dyDescent="0.3">
      <c r="A308" s="1" t="s">
        <v>78</v>
      </c>
      <c r="I308" s="48"/>
      <c r="J308" s="41"/>
      <c r="K308" s="41"/>
      <c r="L308" s="54"/>
      <c r="M308" s="54"/>
      <c r="N308" s="61"/>
      <c r="O308" s="60"/>
      <c r="P308" s="58"/>
      <c r="Q308" s="59"/>
      <c r="R308" s="56"/>
    </row>
    <row r="309" spans="1:18" x14ac:dyDescent="0.3">
      <c r="A309" s="1" t="s">
        <v>78</v>
      </c>
      <c r="D309" s="1" t="str">
        <f t="shared" ref="D309:D335" si="460">H309</f>
        <v>"Business Central","CRONUS JetCorp USA","25","1","471591"</v>
      </c>
      <c r="E309" s="1">
        <f t="shared" ref="E309" si="461">I304</f>
        <v>0</v>
      </c>
      <c r="G309" s="1">
        <v>471591</v>
      </c>
      <c r="H309" s="9" t="str">
        <f>"""Business Central"",""CRONUS JetCorp USA"",""25"",""1"",""471591"""</f>
        <v>"Business Central","CRONUS JetCorp USA","25","1","471591"</v>
      </c>
      <c r="I309" s="51"/>
      <c r="J309" s="52" t="str">
        <f>"Order PO103706"</f>
        <v>Order PO103706</v>
      </c>
      <c r="K309" s="52" t="str">
        <f>"PI_103705"</f>
        <v>PI_103705</v>
      </c>
      <c r="L309" s="53">
        <v>42063</v>
      </c>
      <c r="M309" s="53">
        <v>43866</v>
      </c>
      <c r="N309" s="57" t="str">
        <f>""</f>
        <v/>
      </c>
      <c r="O309" s="75">
        <v>0</v>
      </c>
      <c r="P309" s="76">
        <v>0</v>
      </c>
      <c r="Q309" s="77">
        <v>0</v>
      </c>
      <c r="R309" s="78">
        <v>0</v>
      </c>
    </row>
    <row r="310" spans="1:18" hidden="1" x14ac:dyDescent="0.3">
      <c r="A310" s="1" t="s">
        <v>78</v>
      </c>
      <c r="B310" s="1" t="str">
        <f t="shared" ref="B310:B335" si="462">IF(H310="","Hide","Show")</f>
        <v>Hide</v>
      </c>
      <c r="D310" s="1" t="str">
        <f t="shared" ref="D310:D335" si="463">D309</f>
        <v>"Business Central","CRONUS JetCorp USA","25","1","471591"</v>
      </c>
      <c r="E310" s="1">
        <f t="shared" ref="E310:E335" si="464">E309</f>
        <v>0</v>
      </c>
      <c r="F310" s="1" t="str">
        <f>""</f>
        <v/>
      </c>
      <c r="H310" s="9" t="str">
        <f>""</f>
        <v/>
      </c>
      <c r="I310" s="48"/>
      <c r="J310" s="41" t="str">
        <f>""</f>
        <v/>
      </c>
      <c r="K310" s="41" t="str">
        <f>""</f>
        <v/>
      </c>
      <c r="L310" s="54"/>
      <c r="M310" s="54" t="str">
        <f>""</f>
        <v/>
      </c>
      <c r="N310" s="57" t="str">
        <f>""</f>
        <v/>
      </c>
      <c r="O310" s="75">
        <v>0</v>
      </c>
      <c r="P310" s="76" t="str">
        <f>""</f>
        <v/>
      </c>
      <c r="Q310" s="77" t="str">
        <f>""</f>
        <v/>
      </c>
      <c r="R310" s="78">
        <v>0</v>
      </c>
    </row>
    <row r="311" spans="1:18" ht="9" customHeight="1" x14ac:dyDescent="0.3">
      <c r="A311" s="1" t="s">
        <v>78</v>
      </c>
      <c r="I311" s="48"/>
      <c r="J311" s="41"/>
      <c r="K311" s="41"/>
      <c r="L311" s="54"/>
      <c r="M311" s="54"/>
      <c r="N311" s="61"/>
      <c r="O311" s="60"/>
      <c r="P311" s="58"/>
      <c r="Q311" s="59"/>
      <c r="R311" s="56"/>
    </row>
    <row r="312" spans="1:18" x14ac:dyDescent="0.3">
      <c r="A312" s="1" t="s">
        <v>78</v>
      </c>
      <c r="D312" s="1" t="str">
        <f t="shared" ref="D312:D335" si="465">H312</f>
        <v>"Business Central","CRONUS JetCorp USA","25","1","482843"</v>
      </c>
      <c r="E312" s="1">
        <f t="shared" ref="E312" si="466">I307</f>
        <v>0</v>
      </c>
      <c r="G312" s="1">
        <v>482843</v>
      </c>
      <c r="H312" s="9" t="str">
        <f>"""Business Central"",""CRONUS JetCorp USA"",""25"",""1"",""482843"""</f>
        <v>"Business Central","CRONUS JetCorp USA","25","1","482843"</v>
      </c>
      <c r="I312" s="51"/>
      <c r="J312" s="52" t="str">
        <f>"Order PO104138"</f>
        <v>Order PO104138</v>
      </c>
      <c r="K312" s="52" t="str">
        <f>"PI_104137"</f>
        <v>PI_104137</v>
      </c>
      <c r="L312" s="53">
        <v>42124</v>
      </c>
      <c r="M312" s="53">
        <v>43922</v>
      </c>
      <c r="N312" s="57" t="str">
        <f>""</f>
        <v/>
      </c>
      <c r="O312" s="75">
        <v>0</v>
      </c>
      <c r="P312" s="76">
        <v>0</v>
      </c>
      <c r="Q312" s="77">
        <v>0</v>
      </c>
      <c r="R312" s="78">
        <v>0</v>
      </c>
    </row>
    <row r="313" spans="1:18" hidden="1" x14ac:dyDescent="0.3">
      <c r="A313" s="1" t="s">
        <v>78</v>
      </c>
      <c r="B313" s="1" t="str">
        <f t="shared" ref="B313:B335" si="467">IF(H313="","Hide","Show")</f>
        <v>Hide</v>
      </c>
      <c r="D313" s="1" t="str">
        <f t="shared" ref="D313:D335" si="468">D312</f>
        <v>"Business Central","CRONUS JetCorp USA","25","1","482843"</v>
      </c>
      <c r="E313" s="1">
        <f t="shared" ref="E313:E335" si="469">E312</f>
        <v>0</v>
      </c>
      <c r="F313" s="1" t="str">
        <f>""</f>
        <v/>
      </c>
      <c r="H313" s="9" t="str">
        <f>""</f>
        <v/>
      </c>
      <c r="I313" s="48"/>
      <c r="J313" s="41" t="str">
        <f>""</f>
        <v/>
      </c>
      <c r="K313" s="41" t="str">
        <f>""</f>
        <v/>
      </c>
      <c r="L313" s="54"/>
      <c r="M313" s="54" t="str">
        <f>""</f>
        <v/>
      </c>
      <c r="N313" s="57" t="str">
        <f>""</f>
        <v/>
      </c>
      <c r="O313" s="75">
        <v>0</v>
      </c>
      <c r="P313" s="76" t="str">
        <f>""</f>
        <v/>
      </c>
      <c r="Q313" s="77" t="str">
        <f>""</f>
        <v/>
      </c>
      <c r="R313" s="78">
        <v>0</v>
      </c>
    </row>
    <row r="314" spans="1:18" ht="9" customHeight="1" x14ac:dyDescent="0.3">
      <c r="A314" s="1" t="s">
        <v>78</v>
      </c>
      <c r="I314" s="48"/>
      <c r="J314" s="41"/>
      <c r="K314" s="41"/>
      <c r="L314" s="54"/>
      <c r="M314" s="54"/>
      <c r="N314" s="61"/>
      <c r="O314" s="60"/>
      <c r="P314" s="58"/>
      <c r="Q314" s="59"/>
      <c r="R314" s="56"/>
    </row>
    <row r="315" spans="1:18" x14ac:dyDescent="0.3">
      <c r="A315" s="1" t="s">
        <v>78</v>
      </c>
      <c r="D315" s="1" t="str">
        <f t="shared" ref="D315:D335" si="470">H315</f>
        <v>"Business Central","CRONUS JetCorp USA","25","1","482916"</v>
      </c>
      <c r="E315" s="1">
        <f t="shared" ref="E315" si="471">I310</f>
        <v>0</v>
      </c>
      <c r="G315" s="1">
        <v>482916</v>
      </c>
      <c r="H315" s="9" t="str">
        <f>"""Business Central"",""CRONUS JetCorp USA"",""25"",""1"",""482916"""</f>
        <v>"Business Central","CRONUS JetCorp USA","25","1","482916"</v>
      </c>
      <c r="I315" s="51"/>
      <c r="J315" s="52" t="str">
        <f>"Order PO104141"</f>
        <v>Order PO104141</v>
      </c>
      <c r="K315" s="52" t="str">
        <f>"PI_104140"</f>
        <v>PI_104140</v>
      </c>
      <c r="L315" s="53">
        <v>42155</v>
      </c>
      <c r="M315" s="53">
        <v>43953</v>
      </c>
      <c r="N315" s="57" t="str">
        <f>""</f>
        <v/>
      </c>
      <c r="O315" s="75">
        <v>0</v>
      </c>
      <c r="P315" s="76">
        <v>0</v>
      </c>
      <c r="Q315" s="77">
        <v>0</v>
      </c>
      <c r="R315" s="78">
        <v>0</v>
      </c>
    </row>
    <row r="316" spans="1:18" hidden="1" x14ac:dyDescent="0.3">
      <c r="A316" s="1" t="s">
        <v>78</v>
      </c>
      <c r="B316" s="1" t="str">
        <f t="shared" ref="B316:B335" si="472">IF(H316="","Hide","Show")</f>
        <v>Hide</v>
      </c>
      <c r="D316" s="1" t="str">
        <f t="shared" ref="D316:D335" si="473">D315</f>
        <v>"Business Central","CRONUS JetCorp USA","25","1","482916"</v>
      </c>
      <c r="E316" s="1">
        <f t="shared" ref="E316:E335" si="474">E315</f>
        <v>0</v>
      </c>
      <c r="F316" s="1" t="str">
        <f>""</f>
        <v/>
      </c>
      <c r="H316" s="9" t="str">
        <f>""</f>
        <v/>
      </c>
      <c r="I316" s="48"/>
      <c r="J316" s="41" t="str">
        <f>""</f>
        <v/>
      </c>
      <c r="K316" s="41" t="str">
        <f>""</f>
        <v/>
      </c>
      <c r="L316" s="54"/>
      <c r="M316" s="54" t="str">
        <f>""</f>
        <v/>
      </c>
      <c r="N316" s="57" t="str">
        <f>""</f>
        <v/>
      </c>
      <c r="O316" s="75">
        <v>0</v>
      </c>
      <c r="P316" s="76" t="str">
        <f>""</f>
        <v/>
      </c>
      <c r="Q316" s="77" t="str">
        <f>""</f>
        <v/>
      </c>
      <c r="R316" s="78">
        <v>0</v>
      </c>
    </row>
    <row r="317" spans="1:18" ht="9" customHeight="1" x14ac:dyDescent="0.3">
      <c r="A317" s="1" t="s">
        <v>78</v>
      </c>
      <c r="I317" s="48"/>
      <c r="J317" s="41"/>
      <c r="K317" s="41"/>
      <c r="L317" s="54"/>
      <c r="M317" s="54"/>
      <c r="N317" s="61"/>
      <c r="O317" s="60"/>
      <c r="P317" s="58"/>
      <c r="Q317" s="59"/>
      <c r="R317" s="56"/>
    </row>
    <row r="318" spans="1:18" x14ac:dyDescent="0.3">
      <c r="A318" s="1" t="s">
        <v>78</v>
      </c>
      <c r="D318" s="1" t="str">
        <f t="shared" ref="D318:D335" si="475">H318</f>
        <v>"Business Central","CRONUS JetCorp USA","25","1","482988"</v>
      </c>
      <c r="E318" s="1">
        <f t="shared" ref="E318" si="476">I313</f>
        <v>0</v>
      </c>
      <c r="G318" s="1">
        <v>482988</v>
      </c>
      <c r="H318" s="9" t="str">
        <f>"""Business Central"",""CRONUS JetCorp USA"",""25"",""1"",""482988"""</f>
        <v>"Business Central","CRONUS JetCorp USA","25","1","482988"</v>
      </c>
      <c r="I318" s="51"/>
      <c r="J318" s="52" t="str">
        <f>"Order PO104143"</f>
        <v>Order PO104143</v>
      </c>
      <c r="K318" s="52" t="str">
        <f>"PI_104142"</f>
        <v>PI_104142</v>
      </c>
      <c r="L318" s="53">
        <v>42185</v>
      </c>
      <c r="M318" s="53">
        <v>43985</v>
      </c>
      <c r="N318" s="57" t="str">
        <f>""</f>
        <v/>
      </c>
      <c r="O318" s="75">
        <v>0</v>
      </c>
      <c r="P318" s="76">
        <v>0</v>
      </c>
      <c r="Q318" s="77">
        <v>0</v>
      </c>
      <c r="R318" s="78">
        <v>0</v>
      </c>
    </row>
    <row r="319" spans="1:18" hidden="1" x14ac:dyDescent="0.3">
      <c r="A319" s="1" t="s">
        <v>78</v>
      </c>
      <c r="B319" s="1" t="str">
        <f t="shared" ref="B319:B335" si="477">IF(H319="","Hide","Show")</f>
        <v>Hide</v>
      </c>
      <c r="D319" s="1" t="str">
        <f t="shared" ref="D319:D335" si="478">D318</f>
        <v>"Business Central","CRONUS JetCorp USA","25","1","482988"</v>
      </c>
      <c r="E319" s="1">
        <f t="shared" ref="E319:E335" si="479">E318</f>
        <v>0</v>
      </c>
      <c r="F319" s="1" t="str">
        <f>""</f>
        <v/>
      </c>
      <c r="H319" s="9" t="str">
        <f>""</f>
        <v/>
      </c>
      <c r="I319" s="48"/>
      <c r="J319" s="41" t="str">
        <f>""</f>
        <v/>
      </c>
      <c r="K319" s="41" t="str">
        <f>""</f>
        <v/>
      </c>
      <c r="L319" s="54"/>
      <c r="M319" s="54" t="str">
        <f>""</f>
        <v/>
      </c>
      <c r="N319" s="57" t="str">
        <f>""</f>
        <v/>
      </c>
      <c r="O319" s="75">
        <v>0</v>
      </c>
      <c r="P319" s="76" t="str">
        <f>""</f>
        <v/>
      </c>
      <c r="Q319" s="77" t="str">
        <f>""</f>
        <v/>
      </c>
      <c r="R319" s="78">
        <v>0</v>
      </c>
    </row>
    <row r="320" spans="1:18" ht="9" customHeight="1" x14ac:dyDescent="0.3">
      <c r="A320" s="1" t="s">
        <v>78</v>
      </c>
      <c r="I320" s="48"/>
      <c r="J320" s="41"/>
      <c r="K320" s="41"/>
      <c r="L320" s="54"/>
      <c r="M320" s="54"/>
      <c r="N320" s="61"/>
      <c r="O320" s="60"/>
      <c r="P320" s="58"/>
      <c r="Q320" s="59"/>
      <c r="R320" s="56"/>
    </row>
    <row r="321" spans="1:18" x14ac:dyDescent="0.3">
      <c r="A321" s="1" t="s">
        <v>78</v>
      </c>
      <c r="D321" s="1" t="str">
        <f t="shared" ref="D321:D335" si="480">H321</f>
        <v>"Business Central","CRONUS JetCorp USA","25","1","483064"</v>
      </c>
      <c r="E321" s="1">
        <f t="shared" ref="E321" si="481">I316</f>
        <v>0</v>
      </c>
      <c r="G321" s="1">
        <v>483064</v>
      </c>
      <c r="H321" s="9" t="str">
        <f>"""Business Central"",""CRONUS JetCorp USA"",""25"",""1"",""483064"""</f>
        <v>"Business Central","CRONUS JetCorp USA","25","1","483064"</v>
      </c>
      <c r="I321" s="51"/>
      <c r="J321" s="52" t="str">
        <f>"Order PO104145"</f>
        <v>Order PO104145</v>
      </c>
      <c r="K321" s="52" t="str">
        <f>"PI_104144"</f>
        <v>PI_104144</v>
      </c>
      <c r="L321" s="53">
        <v>42216</v>
      </c>
      <c r="M321" s="53">
        <v>44016</v>
      </c>
      <c r="N321" s="57" t="str">
        <f>""</f>
        <v/>
      </c>
      <c r="O321" s="75">
        <v>0</v>
      </c>
      <c r="P321" s="76">
        <v>0</v>
      </c>
      <c r="Q321" s="77">
        <v>0</v>
      </c>
      <c r="R321" s="78">
        <v>0</v>
      </c>
    </row>
    <row r="322" spans="1:18" hidden="1" x14ac:dyDescent="0.3">
      <c r="A322" s="1" t="s">
        <v>78</v>
      </c>
      <c r="B322" s="1" t="str">
        <f t="shared" ref="B322:B335" si="482">IF(H322="","Hide","Show")</f>
        <v>Hide</v>
      </c>
      <c r="D322" s="1" t="str">
        <f t="shared" ref="D322:D335" si="483">D321</f>
        <v>"Business Central","CRONUS JetCorp USA","25","1","483064"</v>
      </c>
      <c r="E322" s="1">
        <f t="shared" ref="E322:E335" si="484">E321</f>
        <v>0</v>
      </c>
      <c r="F322" s="1" t="str">
        <f>""</f>
        <v/>
      </c>
      <c r="H322" s="9" t="str">
        <f>""</f>
        <v/>
      </c>
      <c r="I322" s="48"/>
      <c r="J322" s="41" t="str">
        <f>""</f>
        <v/>
      </c>
      <c r="K322" s="41" t="str">
        <f>""</f>
        <v/>
      </c>
      <c r="L322" s="54"/>
      <c r="M322" s="54" t="str">
        <f>""</f>
        <v/>
      </c>
      <c r="N322" s="57" t="str">
        <f>""</f>
        <v/>
      </c>
      <c r="O322" s="75">
        <v>0</v>
      </c>
      <c r="P322" s="76" t="str">
        <f>""</f>
        <v/>
      </c>
      <c r="Q322" s="77" t="str">
        <f>""</f>
        <v/>
      </c>
      <c r="R322" s="78">
        <v>0</v>
      </c>
    </row>
    <row r="323" spans="1:18" ht="9" customHeight="1" x14ac:dyDescent="0.3">
      <c r="A323" s="1" t="s">
        <v>78</v>
      </c>
      <c r="I323" s="48"/>
      <c r="J323" s="41"/>
      <c r="K323" s="41"/>
      <c r="L323" s="54"/>
      <c r="M323" s="54"/>
      <c r="N323" s="61"/>
      <c r="O323" s="60"/>
      <c r="P323" s="58"/>
      <c r="Q323" s="59"/>
      <c r="R323" s="56"/>
    </row>
    <row r="324" spans="1:18" x14ac:dyDescent="0.3">
      <c r="A324" s="1" t="s">
        <v>78</v>
      </c>
      <c r="D324" s="1" t="str">
        <f t="shared" ref="D324:D335" si="485">H324</f>
        <v>"Business Central","CRONUS JetCorp USA","25","1","483142"</v>
      </c>
      <c r="E324" s="1">
        <f t="shared" ref="E324" si="486">I319</f>
        <v>0</v>
      </c>
      <c r="G324" s="1">
        <v>483142</v>
      </c>
      <c r="H324" s="9" t="str">
        <f>"""Business Central"",""CRONUS JetCorp USA"",""25"",""1"",""483142"""</f>
        <v>"Business Central","CRONUS JetCorp USA","25","1","483142"</v>
      </c>
      <c r="I324" s="51"/>
      <c r="J324" s="52" t="str">
        <f>"Order PO104147"</f>
        <v>Order PO104147</v>
      </c>
      <c r="K324" s="52" t="str">
        <f>"PI_104146"</f>
        <v>PI_104146</v>
      </c>
      <c r="L324" s="53">
        <v>42247</v>
      </c>
      <c r="M324" s="53">
        <v>44048</v>
      </c>
      <c r="N324" s="57" t="str">
        <f>""</f>
        <v/>
      </c>
      <c r="O324" s="75">
        <v>0</v>
      </c>
      <c r="P324" s="76">
        <v>0</v>
      </c>
      <c r="Q324" s="77">
        <v>0</v>
      </c>
      <c r="R324" s="78">
        <v>0</v>
      </c>
    </row>
    <row r="325" spans="1:18" hidden="1" x14ac:dyDescent="0.3">
      <c r="A325" s="1" t="s">
        <v>78</v>
      </c>
      <c r="B325" s="1" t="str">
        <f t="shared" ref="B325:B335" si="487">IF(H325="","Hide","Show")</f>
        <v>Hide</v>
      </c>
      <c r="D325" s="1" t="str">
        <f t="shared" ref="D325:D335" si="488">D324</f>
        <v>"Business Central","CRONUS JetCorp USA","25","1","483142"</v>
      </c>
      <c r="E325" s="1">
        <f t="shared" ref="E325:E335" si="489">E324</f>
        <v>0</v>
      </c>
      <c r="F325" s="1" t="str">
        <f>""</f>
        <v/>
      </c>
      <c r="H325" s="9" t="str">
        <f>""</f>
        <v/>
      </c>
      <c r="I325" s="48"/>
      <c r="J325" s="41" t="str">
        <f>""</f>
        <v/>
      </c>
      <c r="K325" s="41" t="str">
        <f>""</f>
        <v/>
      </c>
      <c r="L325" s="54"/>
      <c r="M325" s="54" t="str">
        <f>""</f>
        <v/>
      </c>
      <c r="N325" s="57" t="str">
        <f>""</f>
        <v/>
      </c>
      <c r="O325" s="75">
        <v>0</v>
      </c>
      <c r="P325" s="76" t="str">
        <f>""</f>
        <v/>
      </c>
      <c r="Q325" s="77" t="str">
        <f>""</f>
        <v/>
      </c>
      <c r="R325" s="78">
        <v>0</v>
      </c>
    </row>
    <row r="326" spans="1:18" ht="9" customHeight="1" x14ac:dyDescent="0.3">
      <c r="A326" s="1" t="s">
        <v>78</v>
      </c>
      <c r="I326" s="48"/>
      <c r="J326" s="41"/>
      <c r="K326" s="41"/>
      <c r="L326" s="54"/>
      <c r="M326" s="54"/>
      <c r="N326" s="61"/>
      <c r="O326" s="60"/>
      <c r="P326" s="58"/>
      <c r="Q326" s="59"/>
      <c r="R326" s="56"/>
    </row>
    <row r="327" spans="1:18" x14ac:dyDescent="0.3">
      <c r="A327" s="1" t="s">
        <v>78</v>
      </c>
      <c r="D327" s="1" t="str">
        <f t="shared" ref="D327:D335" si="490">H327</f>
        <v>"Business Central","CRONUS JetCorp USA","25","1","483224"</v>
      </c>
      <c r="E327" s="1">
        <f t="shared" ref="E327" si="491">I322</f>
        <v>0</v>
      </c>
      <c r="G327" s="1">
        <v>483224</v>
      </c>
      <c r="H327" s="9" t="str">
        <f>"""Business Central"",""CRONUS JetCorp USA"",""25"",""1"",""483224"""</f>
        <v>"Business Central","CRONUS JetCorp USA","25","1","483224"</v>
      </c>
      <c r="I327" s="51"/>
      <c r="J327" s="52" t="str">
        <f>"Order PO104149"</f>
        <v>Order PO104149</v>
      </c>
      <c r="K327" s="52" t="str">
        <f>"PI_104148"</f>
        <v>PI_104148</v>
      </c>
      <c r="L327" s="53">
        <v>42277</v>
      </c>
      <c r="M327" s="53">
        <v>44080</v>
      </c>
      <c r="N327" s="57" t="str">
        <f>""</f>
        <v/>
      </c>
      <c r="O327" s="75">
        <v>0</v>
      </c>
      <c r="P327" s="76">
        <v>0</v>
      </c>
      <c r="Q327" s="77">
        <v>0</v>
      </c>
      <c r="R327" s="78">
        <v>0</v>
      </c>
    </row>
    <row r="328" spans="1:18" hidden="1" x14ac:dyDescent="0.3">
      <c r="A328" s="1" t="s">
        <v>78</v>
      </c>
      <c r="B328" s="1" t="str">
        <f t="shared" ref="B328:B335" si="492">IF(H328="","Hide","Show")</f>
        <v>Hide</v>
      </c>
      <c r="D328" s="1" t="str">
        <f t="shared" ref="D328:D335" si="493">D327</f>
        <v>"Business Central","CRONUS JetCorp USA","25","1","483224"</v>
      </c>
      <c r="E328" s="1">
        <f t="shared" ref="E328:E335" si="494">E327</f>
        <v>0</v>
      </c>
      <c r="F328" s="1" t="str">
        <f>""</f>
        <v/>
      </c>
      <c r="H328" s="9" t="str">
        <f>""</f>
        <v/>
      </c>
      <c r="I328" s="48"/>
      <c r="J328" s="41" t="str">
        <f>""</f>
        <v/>
      </c>
      <c r="K328" s="41" t="str">
        <f>""</f>
        <v/>
      </c>
      <c r="L328" s="54"/>
      <c r="M328" s="54" t="str">
        <f>""</f>
        <v/>
      </c>
      <c r="N328" s="57" t="str">
        <f>""</f>
        <v/>
      </c>
      <c r="O328" s="75">
        <v>0</v>
      </c>
      <c r="P328" s="76" t="str">
        <f>""</f>
        <v/>
      </c>
      <c r="Q328" s="77" t="str">
        <f>""</f>
        <v/>
      </c>
      <c r="R328" s="78">
        <v>0</v>
      </c>
    </row>
    <row r="329" spans="1:18" ht="9" customHeight="1" x14ac:dyDescent="0.3">
      <c r="A329" s="1" t="s">
        <v>78</v>
      </c>
      <c r="I329" s="48"/>
      <c r="J329" s="41"/>
      <c r="K329" s="41"/>
      <c r="L329" s="54"/>
      <c r="M329" s="54"/>
      <c r="N329" s="61"/>
      <c r="O329" s="60"/>
      <c r="P329" s="58"/>
      <c r="Q329" s="59"/>
      <c r="R329" s="56"/>
    </row>
    <row r="330" spans="1:18" x14ac:dyDescent="0.3">
      <c r="A330" s="1" t="s">
        <v>78</v>
      </c>
      <c r="D330" s="1" t="str">
        <f t="shared" ref="D330:D335" si="495">H330</f>
        <v>"Business Central","CRONUS JetCorp USA","25","1","483326"</v>
      </c>
      <c r="E330" s="1">
        <f t="shared" ref="E330" si="496">I325</f>
        <v>0</v>
      </c>
      <c r="G330" s="1">
        <v>483326</v>
      </c>
      <c r="H330" s="9" t="str">
        <f>"""Business Central"",""CRONUS JetCorp USA"",""25"",""1"",""483326"""</f>
        <v>"Business Central","CRONUS JetCorp USA","25","1","483326"</v>
      </c>
      <c r="I330" s="51"/>
      <c r="J330" s="52" t="str">
        <f>"Order PO104153"</f>
        <v>Order PO104153</v>
      </c>
      <c r="K330" s="52" t="str">
        <f>"PI_104152"</f>
        <v>PI_104152</v>
      </c>
      <c r="L330" s="53">
        <v>42308</v>
      </c>
      <c r="M330" s="53">
        <v>44111</v>
      </c>
      <c r="N330" s="57" t="str">
        <f>""</f>
        <v/>
      </c>
      <c r="O330" s="75">
        <v>0</v>
      </c>
      <c r="P330" s="76">
        <v>0</v>
      </c>
      <c r="Q330" s="77">
        <v>0</v>
      </c>
      <c r="R330" s="78">
        <v>0</v>
      </c>
    </row>
    <row r="331" spans="1:18" hidden="1" x14ac:dyDescent="0.3">
      <c r="A331" s="1" t="s">
        <v>78</v>
      </c>
      <c r="B331" s="1" t="str">
        <f t="shared" ref="B331:B335" si="497">IF(H331="","Hide","Show")</f>
        <v>Hide</v>
      </c>
      <c r="D331" s="1" t="str">
        <f t="shared" ref="D331:D335" si="498">D330</f>
        <v>"Business Central","CRONUS JetCorp USA","25","1","483326"</v>
      </c>
      <c r="E331" s="1">
        <f t="shared" ref="E331:E335" si="499">E330</f>
        <v>0</v>
      </c>
      <c r="F331" s="1" t="str">
        <f>""</f>
        <v/>
      </c>
      <c r="H331" s="9" t="str">
        <f>""</f>
        <v/>
      </c>
      <c r="I331" s="48"/>
      <c r="J331" s="41" t="str">
        <f>""</f>
        <v/>
      </c>
      <c r="K331" s="41" t="str">
        <f>""</f>
        <v/>
      </c>
      <c r="L331" s="54"/>
      <c r="M331" s="54" t="str">
        <f>""</f>
        <v/>
      </c>
      <c r="N331" s="57" t="str">
        <f>""</f>
        <v/>
      </c>
      <c r="O331" s="75">
        <v>0</v>
      </c>
      <c r="P331" s="76" t="str">
        <f>""</f>
        <v/>
      </c>
      <c r="Q331" s="77" t="str">
        <f>""</f>
        <v/>
      </c>
      <c r="R331" s="78">
        <v>0</v>
      </c>
    </row>
    <row r="332" spans="1:18" ht="9" customHeight="1" x14ac:dyDescent="0.3">
      <c r="A332" s="1" t="s">
        <v>78</v>
      </c>
      <c r="I332" s="48"/>
      <c r="J332" s="41"/>
      <c r="K332" s="41"/>
      <c r="L332" s="54"/>
      <c r="M332" s="54"/>
      <c r="N332" s="61"/>
      <c r="O332" s="60"/>
      <c r="P332" s="58"/>
      <c r="Q332" s="59"/>
      <c r="R332" s="56"/>
    </row>
    <row r="333" spans="1:18" x14ac:dyDescent="0.3">
      <c r="A333" s="1" t="s">
        <v>78</v>
      </c>
      <c r="D333" s="1" t="str">
        <f t="shared" ref="D333:D335" si="500">H333</f>
        <v>"Business Central","CRONUS JetCorp USA","25","1","483437"</v>
      </c>
      <c r="E333" s="1">
        <f t="shared" ref="E333" si="501">I328</f>
        <v>0</v>
      </c>
      <c r="G333" s="1">
        <v>483437</v>
      </c>
      <c r="H333" s="9" t="str">
        <f>"""Business Central"",""CRONUS JetCorp USA"",""25"",""1"",""483437"""</f>
        <v>"Business Central","CRONUS JetCorp USA","25","1","483437"</v>
      </c>
      <c r="I333" s="51"/>
      <c r="J333" s="52" t="str">
        <f>"Order PO104156"</f>
        <v>Order PO104156</v>
      </c>
      <c r="K333" s="52" t="str">
        <f>"PI_104155"</f>
        <v>PI_104155</v>
      </c>
      <c r="L333" s="53">
        <v>42338</v>
      </c>
      <c r="M333" s="53">
        <v>44143</v>
      </c>
      <c r="N333" s="57" t="str">
        <f>""</f>
        <v/>
      </c>
      <c r="O333" s="75">
        <v>0</v>
      </c>
      <c r="P333" s="76">
        <v>0</v>
      </c>
      <c r="Q333" s="77">
        <v>0</v>
      </c>
      <c r="R333" s="78">
        <v>0</v>
      </c>
    </row>
    <row r="334" spans="1:18" hidden="1" x14ac:dyDescent="0.3">
      <c r="A334" s="1" t="s">
        <v>78</v>
      </c>
      <c r="B334" s="1" t="str">
        <f t="shared" ref="B334:B335" si="502">IF(H334="","Hide","Show")</f>
        <v>Hide</v>
      </c>
      <c r="D334" s="1" t="str">
        <f t="shared" ref="D334:D335" si="503">D333</f>
        <v>"Business Central","CRONUS JetCorp USA","25","1","483437"</v>
      </c>
      <c r="E334" s="1">
        <f t="shared" ref="E334:E335" si="504">E333</f>
        <v>0</v>
      </c>
      <c r="F334" s="1" t="str">
        <f>""</f>
        <v/>
      </c>
      <c r="H334" s="9" t="str">
        <f>""</f>
        <v/>
      </c>
      <c r="I334" s="48"/>
      <c r="J334" s="41" t="str">
        <f>""</f>
        <v/>
      </c>
      <c r="K334" s="41" t="str">
        <f>""</f>
        <v/>
      </c>
      <c r="L334" s="54"/>
      <c r="M334" s="54" t="str">
        <f>""</f>
        <v/>
      </c>
      <c r="N334" s="57" t="str">
        <f>""</f>
        <v/>
      </c>
      <c r="O334" s="75">
        <v>0</v>
      </c>
      <c r="P334" s="76" t="str">
        <f>""</f>
        <v/>
      </c>
      <c r="Q334" s="77" t="str">
        <f>""</f>
        <v/>
      </c>
      <c r="R334" s="78">
        <v>0</v>
      </c>
    </row>
    <row r="335" spans="1:18" ht="9" customHeight="1" x14ac:dyDescent="0.3">
      <c r="A335" s="1" t="s">
        <v>78</v>
      </c>
      <c r="I335" s="48"/>
      <c r="J335" s="41"/>
      <c r="K335" s="41"/>
      <c r="L335" s="54"/>
      <c r="M335" s="54"/>
      <c r="N335" s="61"/>
      <c r="O335" s="60"/>
      <c r="P335" s="58"/>
      <c r="Q335" s="59"/>
      <c r="R335" s="56"/>
    </row>
    <row r="336" spans="1:18" x14ac:dyDescent="0.3">
      <c r="A336" s="1" t="s">
        <v>78</v>
      </c>
      <c r="I336" s="48"/>
      <c r="J336" s="41"/>
      <c r="K336" s="41"/>
      <c r="L336" s="54"/>
      <c r="M336" s="54"/>
      <c r="N336" s="61"/>
      <c r="O336" s="62"/>
      <c r="P336" s="63"/>
      <c r="Q336" s="64"/>
      <c r="R336" s="65"/>
    </row>
    <row r="337" spans="1:18" ht="17.25" x14ac:dyDescent="0.3">
      <c r="A337" s="1" t="s">
        <v>78</v>
      </c>
      <c r="I337" s="24"/>
      <c r="J337" s="25"/>
      <c r="K337" s="26"/>
      <c r="L337" s="27"/>
      <c r="M337" s="26"/>
      <c r="N337" s="26"/>
      <c r="O337" s="26"/>
      <c r="P337" s="26"/>
      <c r="Q337" s="37" t="str">
        <f>CONCATENATE(I238," - ",I239,"      Remaining Amount  In Local Currency")</f>
        <v>V100003 - LogoMasters      Remaining Amount  In Local Currency</v>
      </c>
      <c r="R337" s="39">
        <f>SUBTOTAL(9,R243:R336)</f>
        <v>0</v>
      </c>
    </row>
    <row r="338" spans="1:18" ht="17.25" x14ac:dyDescent="0.3">
      <c r="A338" s="1" t="s">
        <v>78</v>
      </c>
      <c r="H338" s="9" t="str">
        <f>"""Business Central"",""CRONUS JetCorp USA"",""23"",""1"",""V100004"""</f>
        <v>"Business Central","CRONUS JetCorp USA","23","1","V100004"</v>
      </c>
      <c r="I338" s="21" t="str">
        <f>"V100004"</f>
        <v>V100004</v>
      </c>
      <c r="J338" s="28"/>
      <c r="K338" s="29"/>
      <c r="L338" s="30"/>
      <c r="M338" s="29"/>
      <c r="N338" s="29"/>
      <c r="O338" s="20"/>
      <c r="P338" s="31"/>
      <c r="Q338" s="34"/>
      <c r="R338" s="38"/>
    </row>
    <row r="339" spans="1:18" ht="17.25" x14ac:dyDescent="0.3">
      <c r="A339" s="1" t="s">
        <v>78</v>
      </c>
      <c r="H339" s="1" t="str">
        <f>H338</f>
        <v>"Business Central","CRONUS JetCorp USA","23","1","V100004"</v>
      </c>
      <c r="I339" s="22" t="str">
        <f>"Mundersand Corporation"</f>
        <v>Mundersand Corporation</v>
      </c>
      <c r="J339" s="11"/>
      <c r="K339" s="11"/>
      <c r="L339" s="11"/>
      <c r="M339" s="11"/>
      <c r="N339" s="11"/>
      <c r="O339" s="11"/>
      <c r="P339" s="11"/>
      <c r="Q339" s="35"/>
      <c r="R339" s="23"/>
    </row>
    <row r="340" spans="1:18" ht="17.25" x14ac:dyDescent="0.3">
      <c r="A340" s="1" t="s">
        <v>78</v>
      </c>
      <c r="H340" s="1" t="str">
        <f>H339</f>
        <v>"Business Central","CRONUS JetCorp USA","23","1","V100004"</v>
      </c>
      <c r="I340" s="22" t="str">
        <f>"Mr. Mike Hines"</f>
        <v>Mr. Mike Hines</v>
      </c>
      <c r="J340" s="11"/>
      <c r="K340" s="11"/>
      <c r="L340" s="11"/>
      <c r="M340" s="11"/>
      <c r="N340" s="44" t="s">
        <v>22</v>
      </c>
      <c r="O340" s="44"/>
      <c r="P340" s="44"/>
      <c r="Q340" s="42" t="s">
        <v>23</v>
      </c>
      <c r="R340" s="43"/>
    </row>
    <row r="341" spans="1:18" x14ac:dyDescent="0.3">
      <c r="A341" s="1" t="s">
        <v>78</v>
      </c>
      <c r="I341" s="45"/>
      <c r="J341" s="46"/>
      <c r="K341" s="40"/>
      <c r="L341" s="47"/>
      <c r="M341" s="40"/>
      <c r="N341" s="66"/>
      <c r="O341" s="67"/>
      <c r="P341" s="67" t="s">
        <v>20</v>
      </c>
      <c r="Q341" s="68"/>
      <c r="R341" s="69" t="s">
        <v>20</v>
      </c>
    </row>
    <row r="342" spans="1:18" x14ac:dyDescent="0.3">
      <c r="A342" s="1" t="s">
        <v>78</v>
      </c>
      <c r="D342" s="1" t="s">
        <v>16</v>
      </c>
      <c r="E342" s="1" t="s">
        <v>32</v>
      </c>
      <c r="F342" s="1" t="s">
        <v>14</v>
      </c>
      <c r="G342" s="13" t="s">
        <v>14</v>
      </c>
      <c r="I342" s="48"/>
      <c r="J342" s="49" t="s">
        <v>7</v>
      </c>
      <c r="K342" s="49" t="s">
        <v>11</v>
      </c>
      <c r="L342" s="50" t="s">
        <v>2</v>
      </c>
      <c r="M342" s="50" t="s">
        <v>3</v>
      </c>
      <c r="N342" s="70" t="s">
        <v>21</v>
      </c>
      <c r="O342" s="71" t="s">
        <v>19</v>
      </c>
      <c r="P342" s="72" t="s">
        <v>16</v>
      </c>
      <c r="Q342" s="73" t="s">
        <v>12</v>
      </c>
      <c r="R342" s="74" t="s">
        <v>12</v>
      </c>
    </row>
    <row r="343" spans="1:18" x14ac:dyDescent="0.3">
      <c r="A343" s="1" t="s">
        <v>78</v>
      </c>
      <c r="D343" s="1" t="str">
        <f t="shared" ref="D343" si="505">H343</f>
        <v>"Business Central","CRONUS JetCorp USA","25","1","403"</v>
      </c>
      <c r="E343" s="1" t="str">
        <f t="shared" ref="E343" si="506">I338</f>
        <v>V100004</v>
      </c>
      <c r="G343" s="1">
        <v>403</v>
      </c>
      <c r="H343" s="9" t="str">
        <f>"""Business Central"",""CRONUS JetCorp USA"",""25"",""1"",""403"""</f>
        <v>"Business Central","CRONUS JetCorp USA","25","1","403"</v>
      </c>
      <c r="I343" s="51"/>
      <c r="J343" s="52" t="str">
        <f>"Order PO102472"</f>
        <v>Order PO102472</v>
      </c>
      <c r="K343" s="52" t="str">
        <f>"PI_102471"</f>
        <v>PI_102471</v>
      </c>
      <c r="L343" s="53">
        <v>42370</v>
      </c>
      <c r="M343" s="53">
        <v>42705</v>
      </c>
      <c r="N343" s="57" t="str">
        <f>"CAD"</f>
        <v>CAD</v>
      </c>
      <c r="O343" s="75">
        <v>-67352.160000000003</v>
      </c>
      <c r="P343" s="76">
        <v>0</v>
      </c>
      <c r="Q343" s="77">
        <v>-68246.19</v>
      </c>
      <c r="R343" s="78">
        <v>0</v>
      </c>
    </row>
    <row r="344" spans="1:18" x14ac:dyDescent="0.3">
      <c r="A344" s="1" t="s">
        <v>78</v>
      </c>
      <c r="B344" s="1" t="str">
        <f t="shared" ref="B344" si="507">IF(H344="","Hide","Show")</f>
        <v>Show</v>
      </c>
      <c r="D344" s="1" t="str">
        <f t="shared" ref="D344" si="508">D343</f>
        <v>"Business Central","CRONUS JetCorp USA","25","1","403"</v>
      </c>
      <c r="E344" s="1" t="str">
        <f t="shared" ref="E344" si="509">E343</f>
        <v>V100004</v>
      </c>
      <c r="F344" s="1">
        <v>403</v>
      </c>
      <c r="H344" s="9" t="str">
        <f>"""Business Central"",""CRONUS JetCorp USA"",""380"",""1"",""158"""</f>
        <v>"Business Central","CRONUS JetCorp USA","380","1","158"</v>
      </c>
      <c r="I344" s="48"/>
      <c r="J344" s="41" t="str">
        <f>"Payment"</f>
        <v>Payment</v>
      </c>
      <c r="K344" s="41" t="str">
        <f>"GP100313"</f>
        <v>GP100313</v>
      </c>
      <c r="L344" s="54"/>
      <c r="M344" s="54">
        <v>42379</v>
      </c>
      <c r="N344" s="57" t="str">
        <f>"CAD"</f>
        <v>CAD</v>
      </c>
      <c r="O344" s="75">
        <v>67352.160000000003</v>
      </c>
      <c r="P344" s="76">
        <v>67352.160000000003</v>
      </c>
      <c r="Q344" s="77">
        <v>68246.19</v>
      </c>
      <c r="R344" s="78">
        <v>0</v>
      </c>
    </row>
    <row r="345" spans="1:18" ht="9" customHeight="1" x14ac:dyDescent="0.3">
      <c r="A345" s="1" t="s">
        <v>78</v>
      </c>
      <c r="I345" s="48"/>
      <c r="J345" s="41"/>
      <c r="K345" s="41"/>
      <c r="L345" s="54"/>
      <c r="M345" s="54"/>
      <c r="N345" s="61"/>
      <c r="O345" s="60"/>
      <c r="P345" s="58"/>
      <c r="Q345" s="59"/>
      <c r="R345" s="56"/>
    </row>
    <row r="346" spans="1:18" x14ac:dyDescent="0.3">
      <c r="A346" s="1" t="s">
        <v>78</v>
      </c>
      <c r="D346" s="1" t="str">
        <f t="shared" ref="D346:D369" si="510">H346</f>
        <v>"Business Central","CRONUS JetCorp USA","25","1","823"</v>
      </c>
      <c r="E346" s="1">
        <f t="shared" ref="E346" si="511">I341</f>
        <v>0</v>
      </c>
      <c r="G346" s="1">
        <v>823</v>
      </c>
      <c r="H346" s="9" t="str">
        <f>"""Business Central"",""CRONUS JetCorp USA"",""25"",""1"",""823"""</f>
        <v>"Business Central","CRONUS JetCorp USA","25","1","823"</v>
      </c>
      <c r="I346" s="51"/>
      <c r="J346" s="52" t="str">
        <f>"Order PO102482"</f>
        <v>Order PO102482</v>
      </c>
      <c r="K346" s="52" t="str">
        <f>"PI_102481"</f>
        <v>PI_102481</v>
      </c>
      <c r="L346" s="53">
        <v>42370</v>
      </c>
      <c r="M346" s="53">
        <v>42705</v>
      </c>
      <c r="N346" s="57" t="str">
        <f>"CAD"</f>
        <v>CAD</v>
      </c>
      <c r="O346" s="75">
        <v>-123023.34999999999</v>
      </c>
      <c r="P346" s="76">
        <v>0</v>
      </c>
      <c r="Q346" s="77">
        <v>-124656.34999999999</v>
      </c>
      <c r="R346" s="78">
        <v>0</v>
      </c>
    </row>
    <row r="347" spans="1:18" x14ac:dyDescent="0.3">
      <c r="A347" s="1" t="s">
        <v>78</v>
      </c>
      <c r="B347" s="1" t="str">
        <f t="shared" ref="B347:B369" si="512">IF(H347="","Hide","Show")</f>
        <v>Show</v>
      </c>
      <c r="D347" s="1" t="str">
        <f t="shared" ref="D347:D369" si="513">D346</f>
        <v>"Business Central","CRONUS JetCorp USA","25","1","823"</v>
      </c>
      <c r="E347" s="1">
        <f t="shared" ref="E347:E369" si="514">E346</f>
        <v>0</v>
      </c>
      <c r="F347" s="1">
        <v>823</v>
      </c>
      <c r="H347" s="9" t="str">
        <f>"""Business Central"",""CRONUS JetCorp USA"",""380"",""1"",""160"""</f>
        <v>"Business Central","CRONUS JetCorp USA","380","1","160"</v>
      </c>
      <c r="I347" s="48"/>
      <c r="J347" s="41" t="str">
        <f>"Payment"</f>
        <v>Payment</v>
      </c>
      <c r="K347" s="41" t="str">
        <f>"GP100313"</f>
        <v>GP100313</v>
      </c>
      <c r="L347" s="54"/>
      <c r="M347" s="54">
        <v>42379</v>
      </c>
      <c r="N347" s="57" t="str">
        <f>"CAD"</f>
        <v>CAD</v>
      </c>
      <c r="O347" s="75">
        <v>123023.34999999999</v>
      </c>
      <c r="P347" s="76">
        <v>123023.34999999999</v>
      </c>
      <c r="Q347" s="77">
        <v>124656.34999999999</v>
      </c>
      <c r="R347" s="78">
        <v>0</v>
      </c>
    </row>
    <row r="348" spans="1:18" ht="9" customHeight="1" x14ac:dyDescent="0.3">
      <c r="A348" s="1" t="s">
        <v>78</v>
      </c>
      <c r="I348" s="48"/>
      <c r="J348" s="41"/>
      <c r="K348" s="41"/>
      <c r="L348" s="54"/>
      <c r="M348" s="54"/>
      <c r="N348" s="61"/>
      <c r="O348" s="60"/>
      <c r="P348" s="58"/>
      <c r="Q348" s="59"/>
      <c r="R348" s="56"/>
    </row>
    <row r="349" spans="1:18" x14ac:dyDescent="0.3">
      <c r="A349" s="1" t="s">
        <v>78</v>
      </c>
      <c r="D349" s="1" t="str">
        <f t="shared" ref="D349:D369" si="515">H349</f>
        <v>"Business Central","CRONUS JetCorp USA","25","1","1285"</v>
      </c>
      <c r="E349" s="1">
        <f t="shared" ref="E349" si="516">I344</f>
        <v>0</v>
      </c>
      <c r="G349" s="1">
        <v>1285</v>
      </c>
      <c r="H349" s="9" t="str">
        <f>"""Business Central"",""CRONUS JetCorp USA"",""25"",""1"",""1285"""</f>
        <v>"Business Central","CRONUS JetCorp USA","25","1","1285"</v>
      </c>
      <c r="I349" s="51"/>
      <c r="J349" s="52" t="str">
        <f>"Order PO102493"</f>
        <v>Order PO102493</v>
      </c>
      <c r="K349" s="52" t="str">
        <f>"PI_102492"</f>
        <v>PI_102492</v>
      </c>
      <c r="L349" s="53">
        <v>42370</v>
      </c>
      <c r="M349" s="53">
        <v>42705</v>
      </c>
      <c r="N349" s="57" t="str">
        <f>"CAD"</f>
        <v>CAD</v>
      </c>
      <c r="O349" s="75">
        <v>-28003.99</v>
      </c>
      <c r="P349" s="76">
        <v>0</v>
      </c>
      <c r="Q349" s="77">
        <v>-28375.71</v>
      </c>
      <c r="R349" s="78">
        <v>0</v>
      </c>
    </row>
    <row r="350" spans="1:18" x14ac:dyDescent="0.3">
      <c r="A350" s="1" t="s">
        <v>78</v>
      </c>
      <c r="B350" s="1" t="str">
        <f t="shared" ref="B350:B369" si="517">IF(H350="","Hide","Show")</f>
        <v>Show</v>
      </c>
      <c r="D350" s="1" t="str">
        <f t="shared" ref="D350:D369" si="518">D349</f>
        <v>"Business Central","CRONUS JetCorp USA","25","1","1285"</v>
      </c>
      <c r="E350" s="1">
        <f t="shared" ref="E350:E369" si="519">E349</f>
        <v>0</v>
      </c>
      <c r="F350" s="1">
        <v>1285</v>
      </c>
      <c r="H350" s="9" t="str">
        <f>"""Business Central"",""CRONUS JetCorp USA"",""380"",""1"",""161"""</f>
        <v>"Business Central","CRONUS JetCorp USA","380","1","161"</v>
      </c>
      <c r="I350" s="48"/>
      <c r="J350" s="41" t="str">
        <f>"Payment"</f>
        <v>Payment</v>
      </c>
      <c r="K350" s="41" t="str">
        <f>"GP100313"</f>
        <v>GP100313</v>
      </c>
      <c r="L350" s="54"/>
      <c r="M350" s="54">
        <v>42379</v>
      </c>
      <c r="N350" s="57" t="str">
        <f>"CAD"</f>
        <v>CAD</v>
      </c>
      <c r="O350" s="75">
        <v>28003.99</v>
      </c>
      <c r="P350" s="76">
        <v>28003.99</v>
      </c>
      <c r="Q350" s="77">
        <v>28375.71</v>
      </c>
      <c r="R350" s="78">
        <v>0</v>
      </c>
    </row>
    <row r="351" spans="1:18" ht="9" customHeight="1" x14ac:dyDescent="0.3">
      <c r="A351" s="1" t="s">
        <v>78</v>
      </c>
      <c r="I351" s="48"/>
      <c r="J351" s="41"/>
      <c r="K351" s="41"/>
      <c r="L351" s="54"/>
      <c r="M351" s="54"/>
      <c r="N351" s="61"/>
      <c r="O351" s="60"/>
      <c r="P351" s="58"/>
      <c r="Q351" s="59"/>
      <c r="R351" s="56"/>
    </row>
    <row r="352" spans="1:18" x14ac:dyDescent="0.3">
      <c r="A352" s="1" t="s">
        <v>78</v>
      </c>
      <c r="D352" s="1" t="str">
        <f t="shared" ref="D352:D369" si="520">H352</f>
        <v>"Business Central","CRONUS JetCorp USA","25","1","1705"</v>
      </c>
      <c r="E352" s="1">
        <f t="shared" ref="E352" si="521">I347</f>
        <v>0</v>
      </c>
      <c r="G352" s="1">
        <v>1705</v>
      </c>
      <c r="H352" s="9" t="str">
        <f>"""Business Central"",""CRONUS JetCorp USA"",""25"",""1"",""1705"""</f>
        <v>"Business Central","CRONUS JetCorp USA","25","1","1705"</v>
      </c>
      <c r="I352" s="51"/>
      <c r="J352" s="52" t="str">
        <f>"Order PO102503"</f>
        <v>Order PO102503</v>
      </c>
      <c r="K352" s="52" t="str">
        <f>"PI_102502"</f>
        <v>PI_102502</v>
      </c>
      <c r="L352" s="53">
        <v>42370</v>
      </c>
      <c r="M352" s="53">
        <v>42705</v>
      </c>
      <c r="N352" s="57" t="str">
        <f>"CAD"</f>
        <v>CAD</v>
      </c>
      <c r="O352" s="75">
        <v>-19745.149999999998</v>
      </c>
      <c r="P352" s="76">
        <v>0</v>
      </c>
      <c r="Q352" s="77">
        <v>-20007.240000000002</v>
      </c>
      <c r="R352" s="78">
        <v>0</v>
      </c>
    </row>
    <row r="353" spans="1:18" x14ac:dyDescent="0.3">
      <c r="A353" s="1" t="s">
        <v>78</v>
      </c>
      <c r="B353" s="1" t="str">
        <f t="shared" ref="B353:B369" si="522">IF(H353="","Hide","Show")</f>
        <v>Show</v>
      </c>
      <c r="D353" s="1" t="str">
        <f t="shared" ref="D353:D369" si="523">D352</f>
        <v>"Business Central","CRONUS JetCorp USA","25","1","1705"</v>
      </c>
      <c r="E353" s="1">
        <f t="shared" ref="E353:E369" si="524">E352</f>
        <v>0</v>
      </c>
      <c r="F353" s="1">
        <v>1705</v>
      </c>
      <c r="H353" s="9" t="str">
        <f>"""Business Central"",""CRONUS JetCorp USA"",""380"",""1"",""162"""</f>
        <v>"Business Central","CRONUS JetCorp USA","380","1","162"</v>
      </c>
      <c r="I353" s="48"/>
      <c r="J353" s="41" t="str">
        <f>"Payment"</f>
        <v>Payment</v>
      </c>
      <c r="K353" s="41" t="str">
        <f>"GP100313"</f>
        <v>GP100313</v>
      </c>
      <c r="L353" s="54"/>
      <c r="M353" s="54">
        <v>42379</v>
      </c>
      <c r="N353" s="57" t="str">
        <f>"CAD"</f>
        <v>CAD</v>
      </c>
      <c r="O353" s="75">
        <v>19745.149999999998</v>
      </c>
      <c r="P353" s="76">
        <v>19745.149999999998</v>
      </c>
      <c r="Q353" s="77">
        <v>20007.240000000002</v>
      </c>
      <c r="R353" s="78">
        <v>0</v>
      </c>
    </row>
    <row r="354" spans="1:18" ht="9" customHeight="1" x14ac:dyDescent="0.3">
      <c r="A354" s="1" t="s">
        <v>78</v>
      </c>
      <c r="I354" s="48"/>
      <c r="J354" s="41"/>
      <c r="K354" s="41"/>
      <c r="L354" s="54"/>
      <c r="M354" s="54"/>
      <c r="N354" s="61"/>
      <c r="O354" s="60"/>
      <c r="P354" s="58"/>
      <c r="Q354" s="59"/>
      <c r="R354" s="56"/>
    </row>
    <row r="355" spans="1:18" x14ac:dyDescent="0.3">
      <c r="A355" s="1" t="s">
        <v>78</v>
      </c>
      <c r="D355" s="1" t="str">
        <f t="shared" ref="D355:D369" si="525">H355</f>
        <v>"Business Central","CRONUS JetCorp USA","25","1","2503"</v>
      </c>
      <c r="E355" s="1">
        <f t="shared" ref="E355" si="526">I350</f>
        <v>0</v>
      </c>
      <c r="G355" s="1">
        <v>2503</v>
      </c>
      <c r="H355" s="9" t="str">
        <f>"""Business Central"",""CRONUS JetCorp USA"",""25"",""1"",""2503"""</f>
        <v>"Business Central","CRONUS JetCorp USA","25","1","2503"</v>
      </c>
      <c r="I355" s="51"/>
      <c r="J355" s="52" t="str">
        <f>"Order PO102522"</f>
        <v>Order PO102522</v>
      </c>
      <c r="K355" s="52" t="str">
        <f>"PI_102521"</f>
        <v>PI_102521</v>
      </c>
      <c r="L355" s="53">
        <v>42370</v>
      </c>
      <c r="M355" s="53">
        <v>42705</v>
      </c>
      <c r="N355" s="57" t="str">
        <f>"CAD"</f>
        <v>CAD</v>
      </c>
      <c r="O355" s="75">
        <v>-31781.4</v>
      </c>
      <c r="P355" s="76">
        <v>0</v>
      </c>
      <c r="Q355" s="77">
        <v>-32203.260000000002</v>
      </c>
      <c r="R355" s="78">
        <v>0</v>
      </c>
    </row>
    <row r="356" spans="1:18" x14ac:dyDescent="0.3">
      <c r="A356" s="1" t="s">
        <v>78</v>
      </c>
      <c r="B356" s="1" t="str">
        <f t="shared" ref="B356:B369" si="527">IF(H356="","Hide","Show")</f>
        <v>Show</v>
      </c>
      <c r="D356" s="1" t="str">
        <f t="shared" ref="D356:D369" si="528">D355</f>
        <v>"Business Central","CRONUS JetCorp USA","25","1","2503"</v>
      </c>
      <c r="E356" s="1">
        <f t="shared" ref="E356:E369" si="529">E355</f>
        <v>0</v>
      </c>
      <c r="F356" s="1">
        <v>2503</v>
      </c>
      <c r="H356" s="9" t="str">
        <f>"""Business Central"",""CRONUS JetCorp USA"",""380"",""1"",""163"""</f>
        <v>"Business Central","CRONUS JetCorp USA","380","1","163"</v>
      </c>
      <c r="I356" s="48"/>
      <c r="J356" s="41" t="str">
        <f>"Payment"</f>
        <v>Payment</v>
      </c>
      <c r="K356" s="41" t="str">
        <f>"GP100313"</f>
        <v>GP100313</v>
      </c>
      <c r="L356" s="54"/>
      <c r="M356" s="54">
        <v>42379</v>
      </c>
      <c r="N356" s="57" t="str">
        <f>"CAD"</f>
        <v>CAD</v>
      </c>
      <c r="O356" s="75">
        <v>31781.4</v>
      </c>
      <c r="P356" s="76">
        <v>31781.4</v>
      </c>
      <c r="Q356" s="77">
        <v>32203.260000000002</v>
      </c>
      <c r="R356" s="78">
        <v>0</v>
      </c>
    </row>
    <row r="357" spans="1:18" ht="9" customHeight="1" x14ac:dyDescent="0.3">
      <c r="A357" s="1" t="s">
        <v>78</v>
      </c>
      <c r="I357" s="48"/>
      <c r="J357" s="41"/>
      <c r="K357" s="41"/>
      <c r="L357" s="54"/>
      <c r="M357" s="54"/>
      <c r="N357" s="61"/>
      <c r="O357" s="60"/>
      <c r="P357" s="58"/>
      <c r="Q357" s="59"/>
      <c r="R357" s="56"/>
    </row>
    <row r="358" spans="1:18" x14ac:dyDescent="0.3">
      <c r="A358" s="1" t="s">
        <v>78</v>
      </c>
      <c r="D358" s="1" t="str">
        <f t="shared" ref="D358:D369" si="530">H358</f>
        <v>"Business Central","CRONUS JetCorp USA","25","1","2923"</v>
      </c>
      <c r="E358" s="1">
        <f t="shared" ref="E358" si="531">I353</f>
        <v>0</v>
      </c>
      <c r="G358" s="1">
        <v>2923</v>
      </c>
      <c r="H358" s="9" t="str">
        <f>"""Business Central"",""CRONUS JetCorp USA"",""25"",""1"",""2923"""</f>
        <v>"Business Central","CRONUS JetCorp USA","25","1","2923"</v>
      </c>
      <c r="I358" s="51"/>
      <c r="J358" s="52" t="str">
        <f>"Order PO102532"</f>
        <v>Order PO102532</v>
      </c>
      <c r="K358" s="52" t="str">
        <f>"PI_102531"</f>
        <v>PI_102531</v>
      </c>
      <c r="L358" s="53">
        <v>42370</v>
      </c>
      <c r="M358" s="53">
        <v>42705</v>
      </c>
      <c r="N358" s="57" t="str">
        <f>"CAD"</f>
        <v>CAD</v>
      </c>
      <c r="O358" s="75">
        <v>-27416.48</v>
      </c>
      <c r="P358" s="76">
        <v>0</v>
      </c>
      <c r="Q358" s="77">
        <v>-27780.400000000001</v>
      </c>
      <c r="R358" s="78">
        <v>0</v>
      </c>
    </row>
    <row r="359" spans="1:18" x14ac:dyDescent="0.3">
      <c r="A359" s="1" t="s">
        <v>78</v>
      </c>
      <c r="B359" s="1" t="str">
        <f t="shared" ref="B359:B369" si="532">IF(H359="","Hide","Show")</f>
        <v>Show</v>
      </c>
      <c r="D359" s="1" t="str">
        <f t="shared" ref="D359:D369" si="533">D358</f>
        <v>"Business Central","CRONUS JetCorp USA","25","1","2923"</v>
      </c>
      <c r="E359" s="1">
        <f t="shared" ref="E359:E369" si="534">E358</f>
        <v>0</v>
      </c>
      <c r="F359" s="1">
        <v>2923</v>
      </c>
      <c r="H359" s="9" t="str">
        <f>"""Business Central"",""CRONUS JetCorp USA"",""380"",""1"",""164"""</f>
        <v>"Business Central","CRONUS JetCorp USA","380","1","164"</v>
      </c>
      <c r="I359" s="48"/>
      <c r="J359" s="41" t="str">
        <f>"Payment"</f>
        <v>Payment</v>
      </c>
      <c r="K359" s="41" t="str">
        <f>"GP100313"</f>
        <v>GP100313</v>
      </c>
      <c r="L359" s="54"/>
      <c r="M359" s="54">
        <v>42379</v>
      </c>
      <c r="N359" s="57" t="str">
        <f>"CAD"</f>
        <v>CAD</v>
      </c>
      <c r="O359" s="75">
        <v>27416.48</v>
      </c>
      <c r="P359" s="76">
        <v>27416.48</v>
      </c>
      <c r="Q359" s="77">
        <v>27780.400000000001</v>
      </c>
      <c r="R359" s="78">
        <v>0</v>
      </c>
    </row>
    <row r="360" spans="1:18" ht="9" customHeight="1" x14ac:dyDescent="0.3">
      <c r="A360" s="1" t="s">
        <v>78</v>
      </c>
      <c r="I360" s="48"/>
      <c r="J360" s="41"/>
      <c r="K360" s="41"/>
      <c r="L360" s="54"/>
      <c r="M360" s="54"/>
      <c r="N360" s="61"/>
      <c r="O360" s="60"/>
      <c r="P360" s="58"/>
      <c r="Q360" s="59"/>
      <c r="R360" s="56"/>
    </row>
    <row r="361" spans="1:18" x14ac:dyDescent="0.3">
      <c r="A361" s="1" t="s">
        <v>78</v>
      </c>
      <c r="D361" s="1" t="str">
        <f t="shared" ref="D361:D369" si="535">H361</f>
        <v>"Business Central","CRONUS JetCorp USA","25","1","3069"</v>
      </c>
      <c r="E361" s="1">
        <f t="shared" ref="E361" si="536">I356</f>
        <v>0</v>
      </c>
      <c r="G361" s="1">
        <v>3069</v>
      </c>
      <c r="H361" s="9" t="str">
        <f>"""Business Central"",""CRONUS JetCorp USA"",""25"",""1"",""3069"""</f>
        <v>"Business Central","CRONUS JetCorp USA","25","1","3069"</v>
      </c>
      <c r="I361" s="51"/>
      <c r="J361" s="52" t="str">
        <f>"Order PO102536"</f>
        <v>Order PO102536</v>
      </c>
      <c r="K361" s="52" t="str">
        <f>"PI_102535"</f>
        <v>PI_102535</v>
      </c>
      <c r="L361" s="53">
        <v>42370</v>
      </c>
      <c r="M361" s="53">
        <v>42705</v>
      </c>
      <c r="N361" s="57" t="str">
        <f>"CAD"</f>
        <v>CAD</v>
      </c>
      <c r="O361" s="75">
        <v>-10513.05</v>
      </c>
      <c r="P361" s="76">
        <v>0</v>
      </c>
      <c r="Q361" s="77">
        <v>-10652.6</v>
      </c>
      <c r="R361" s="78">
        <v>0</v>
      </c>
    </row>
    <row r="362" spans="1:18" x14ac:dyDescent="0.3">
      <c r="A362" s="1" t="s">
        <v>78</v>
      </c>
      <c r="B362" s="1" t="str">
        <f t="shared" ref="B362:B369" si="537">IF(H362="","Hide","Show")</f>
        <v>Show</v>
      </c>
      <c r="D362" s="1" t="str">
        <f t="shared" ref="D362:D369" si="538">D361</f>
        <v>"Business Central","CRONUS JetCorp USA","25","1","3069"</v>
      </c>
      <c r="E362" s="1">
        <f t="shared" ref="E362:E369" si="539">E361</f>
        <v>0</v>
      </c>
      <c r="F362" s="1">
        <v>3069</v>
      </c>
      <c r="H362" s="9" t="str">
        <f>"""Business Central"",""CRONUS JetCorp USA"",""380"",""1"",""165"""</f>
        <v>"Business Central","CRONUS JetCorp USA","380","1","165"</v>
      </c>
      <c r="I362" s="48"/>
      <c r="J362" s="41" t="str">
        <f>"Payment"</f>
        <v>Payment</v>
      </c>
      <c r="K362" s="41" t="str">
        <f>"GP100313"</f>
        <v>GP100313</v>
      </c>
      <c r="L362" s="54"/>
      <c r="M362" s="54">
        <v>42379</v>
      </c>
      <c r="N362" s="57" t="str">
        <f>"CAD"</f>
        <v>CAD</v>
      </c>
      <c r="O362" s="75">
        <v>10513.05</v>
      </c>
      <c r="P362" s="76">
        <v>10513.05</v>
      </c>
      <c r="Q362" s="77">
        <v>10652.6</v>
      </c>
      <c r="R362" s="78">
        <v>0</v>
      </c>
    </row>
    <row r="363" spans="1:18" ht="9" customHeight="1" x14ac:dyDescent="0.3">
      <c r="A363" s="1" t="s">
        <v>78</v>
      </c>
      <c r="I363" s="48"/>
      <c r="J363" s="41"/>
      <c r="K363" s="41"/>
      <c r="L363" s="54"/>
      <c r="M363" s="54"/>
      <c r="N363" s="61"/>
      <c r="O363" s="60"/>
      <c r="P363" s="58"/>
      <c r="Q363" s="59"/>
      <c r="R363" s="56"/>
    </row>
    <row r="364" spans="1:18" x14ac:dyDescent="0.3">
      <c r="A364" s="1" t="s">
        <v>78</v>
      </c>
      <c r="D364" s="1" t="str">
        <f t="shared" ref="D364:D369" si="540">H364</f>
        <v>"Business Central","CRONUS JetCorp USA","25","1","3201"</v>
      </c>
      <c r="E364" s="1">
        <f t="shared" ref="E364" si="541">I359</f>
        <v>0</v>
      </c>
      <c r="G364" s="1">
        <v>3201</v>
      </c>
      <c r="H364" s="9" t="str">
        <f>"""Business Central"",""CRONUS JetCorp USA"",""25"",""1"",""3201"""</f>
        <v>"Business Central","CRONUS JetCorp USA","25","1","3201"</v>
      </c>
      <c r="I364" s="51"/>
      <c r="J364" s="52" t="str">
        <f>"Order PO102542"</f>
        <v>Order PO102542</v>
      </c>
      <c r="K364" s="52" t="str">
        <f>"PI_102541"</f>
        <v>PI_102541</v>
      </c>
      <c r="L364" s="53">
        <v>42370</v>
      </c>
      <c r="M364" s="53">
        <v>42705</v>
      </c>
      <c r="N364" s="57" t="str">
        <f>"CAD"</f>
        <v>CAD</v>
      </c>
      <c r="O364" s="75">
        <v>-6150.4800000000005</v>
      </c>
      <c r="P364" s="76">
        <v>0</v>
      </c>
      <c r="Q364" s="77">
        <v>-6232.12</v>
      </c>
      <c r="R364" s="78">
        <v>0</v>
      </c>
    </row>
    <row r="365" spans="1:18" x14ac:dyDescent="0.3">
      <c r="A365" s="1" t="s">
        <v>78</v>
      </c>
      <c r="B365" s="1" t="str">
        <f t="shared" ref="B365:B369" si="542">IF(H365="","Hide","Show")</f>
        <v>Show</v>
      </c>
      <c r="D365" s="1" t="str">
        <f t="shared" ref="D365:D369" si="543">D364</f>
        <v>"Business Central","CRONUS JetCorp USA","25","1","3201"</v>
      </c>
      <c r="E365" s="1">
        <f t="shared" ref="E365:E369" si="544">E364</f>
        <v>0</v>
      </c>
      <c r="F365" s="1">
        <v>3201</v>
      </c>
      <c r="H365" s="9" t="str">
        <f>"""Business Central"",""CRONUS JetCorp USA"",""380"",""1"",""166"""</f>
        <v>"Business Central","CRONUS JetCorp USA","380","1","166"</v>
      </c>
      <c r="I365" s="48"/>
      <c r="J365" s="41" t="str">
        <f>"Payment"</f>
        <v>Payment</v>
      </c>
      <c r="K365" s="41" t="str">
        <f>"GP100313"</f>
        <v>GP100313</v>
      </c>
      <c r="L365" s="54"/>
      <c r="M365" s="54">
        <v>42379</v>
      </c>
      <c r="N365" s="57" t="str">
        <f>"CAD"</f>
        <v>CAD</v>
      </c>
      <c r="O365" s="75">
        <v>6150.4800000000005</v>
      </c>
      <c r="P365" s="76">
        <v>6150.4800000000005</v>
      </c>
      <c r="Q365" s="77">
        <v>6232.12</v>
      </c>
      <c r="R365" s="78">
        <v>0</v>
      </c>
    </row>
    <row r="366" spans="1:18" ht="9" customHeight="1" x14ac:dyDescent="0.3">
      <c r="A366" s="1" t="s">
        <v>78</v>
      </c>
      <c r="I366" s="48"/>
      <c r="J366" s="41"/>
      <c r="K366" s="41"/>
      <c r="L366" s="54"/>
      <c r="M366" s="54"/>
      <c r="N366" s="61"/>
      <c r="O366" s="60"/>
      <c r="P366" s="58"/>
      <c r="Q366" s="59"/>
      <c r="R366" s="56"/>
    </row>
    <row r="367" spans="1:18" x14ac:dyDescent="0.3">
      <c r="A367" s="1" t="s">
        <v>78</v>
      </c>
      <c r="D367" s="1" t="str">
        <f t="shared" ref="D367:D369" si="545">H367</f>
        <v>"Business Central","CRONUS JetCorp USA","25","1","3256"</v>
      </c>
      <c r="E367" s="1">
        <f t="shared" ref="E367" si="546">I362</f>
        <v>0</v>
      </c>
      <c r="G367" s="1">
        <v>3256</v>
      </c>
      <c r="H367" s="9" t="str">
        <f>"""Business Central"",""CRONUS JetCorp USA"",""25"",""1"",""3256"""</f>
        <v>"Business Central","CRONUS JetCorp USA","25","1","3256"</v>
      </c>
      <c r="I367" s="51"/>
      <c r="J367" s="52" t="str">
        <f>"Order PO102546"</f>
        <v>Order PO102546</v>
      </c>
      <c r="K367" s="52" t="str">
        <f>"PI_102545"</f>
        <v>PI_102545</v>
      </c>
      <c r="L367" s="53">
        <v>42491</v>
      </c>
      <c r="M367" s="53">
        <v>42461</v>
      </c>
      <c r="N367" s="57" t="str">
        <f>"CAD"</f>
        <v>CAD</v>
      </c>
      <c r="O367" s="75">
        <v>-2663.64</v>
      </c>
      <c r="P367" s="76">
        <v>0</v>
      </c>
      <c r="Q367" s="77">
        <v>-2699</v>
      </c>
      <c r="R367" s="78">
        <v>0</v>
      </c>
    </row>
    <row r="368" spans="1:18" x14ac:dyDescent="0.3">
      <c r="A368" s="1" t="s">
        <v>78</v>
      </c>
      <c r="B368" s="1" t="str">
        <f t="shared" ref="B368:B369" si="547">IF(H368="","Hide","Show")</f>
        <v>Show</v>
      </c>
      <c r="D368" s="1" t="str">
        <f t="shared" ref="D368:D369" si="548">D367</f>
        <v>"Business Central","CRONUS JetCorp USA","25","1","3256"</v>
      </c>
      <c r="E368" s="1">
        <f t="shared" ref="E368:E369" si="549">E367</f>
        <v>0</v>
      </c>
      <c r="F368" s="1">
        <v>3256</v>
      </c>
      <c r="H368" s="9" t="str">
        <f>"""Business Central"",""CRONUS JetCorp USA"",""380"",""1"",""176"""</f>
        <v>"Business Central","CRONUS JetCorp USA","380","1","176"</v>
      </c>
      <c r="I368" s="48"/>
      <c r="J368" s="41" t="str">
        <f>"Payment"</f>
        <v>Payment</v>
      </c>
      <c r="K368" s="41" t="str">
        <f>"GP100315"</f>
        <v>GP100315</v>
      </c>
      <c r="L368" s="54"/>
      <c r="M368" s="54">
        <v>42515</v>
      </c>
      <c r="N368" s="57" t="str">
        <f>"CAD"</f>
        <v>CAD</v>
      </c>
      <c r="O368" s="75">
        <v>2663.64</v>
      </c>
      <c r="P368" s="76">
        <v>2663.64</v>
      </c>
      <c r="Q368" s="77">
        <v>2699</v>
      </c>
      <c r="R368" s="78">
        <v>0</v>
      </c>
    </row>
    <row r="369" spans="1:18" ht="9" customHeight="1" x14ac:dyDescent="0.3">
      <c r="A369" s="1" t="s">
        <v>78</v>
      </c>
      <c r="I369" s="48"/>
      <c r="J369" s="41"/>
      <c r="K369" s="41"/>
      <c r="L369" s="54"/>
      <c r="M369" s="54"/>
      <c r="N369" s="61"/>
      <c r="O369" s="60"/>
      <c r="P369" s="58"/>
      <c r="Q369" s="59"/>
      <c r="R369" s="56"/>
    </row>
    <row r="370" spans="1:18" x14ac:dyDescent="0.3">
      <c r="A370" s="1" t="s">
        <v>78</v>
      </c>
      <c r="I370" s="48"/>
      <c r="J370" s="41"/>
      <c r="K370" s="41"/>
      <c r="L370" s="54"/>
      <c r="M370" s="54"/>
      <c r="N370" s="61"/>
      <c r="O370" s="62"/>
      <c r="P370" s="63"/>
      <c r="Q370" s="64"/>
      <c r="R370" s="65"/>
    </row>
    <row r="371" spans="1:18" ht="17.25" x14ac:dyDescent="0.3">
      <c r="A371" s="1" t="s">
        <v>78</v>
      </c>
      <c r="I371" s="24"/>
      <c r="J371" s="25"/>
      <c r="K371" s="26"/>
      <c r="L371" s="27"/>
      <c r="M371" s="26"/>
      <c r="N371" s="26"/>
      <c r="O371" s="26"/>
      <c r="P371" s="26"/>
      <c r="Q371" s="37" t="str">
        <f>CONCATENATE(I338," - ",I339,"      Remaining Amount  In Local Currency")</f>
        <v>V100004 - Mundersand Corporation      Remaining Amount  In Local Currency</v>
      </c>
      <c r="R371" s="39">
        <f>SUBTOTAL(9,R343:R370)</f>
        <v>0</v>
      </c>
    </row>
    <row r="372" spans="1:18" ht="17.25" x14ac:dyDescent="0.3">
      <c r="A372" s="1" t="s">
        <v>78</v>
      </c>
      <c r="H372" s="9" t="str">
        <f>"""Business Central"",""CRONUS JetCorp USA"",""23"",""1"",""V100007"""</f>
        <v>"Business Central","CRONUS JetCorp USA","23","1","V100007"</v>
      </c>
      <c r="I372" s="21" t="str">
        <f>"V100007"</f>
        <v>V100007</v>
      </c>
      <c r="J372" s="28"/>
      <c r="K372" s="29"/>
      <c r="L372" s="30"/>
      <c r="M372" s="29"/>
      <c r="N372" s="29"/>
      <c r="O372" s="20"/>
      <c r="P372" s="31"/>
      <c r="Q372" s="34"/>
      <c r="R372" s="38"/>
    </row>
    <row r="373" spans="1:18" ht="17.25" x14ac:dyDescent="0.3">
      <c r="A373" s="1" t="s">
        <v>78</v>
      </c>
      <c r="H373" s="1" t="str">
        <f>H372</f>
        <v>"Business Central","CRONUS JetCorp USA","23","1","V100007"</v>
      </c>
      <c r="I373" s="22" t="str">
        <f>"TrendTech"</f>
        <v>TrendTech</v>
      </c>
      <c r="J373" s="11"/>
      <c r="K373" s="11"/>
      <c r="L373" s="11"/>
      <c r="M373" s="11"/>
      <c r="N373" s="11"/>
      <c r="O373" s="11"/>
      <c r="P373" s="11"/>
      <c r="Q373" s="35"/>
      <c r="R373" s="23"/>
    </row>
    <row r="374" spans="1:18" ht="17.25" x14ac:dyDescent="0.3">
      <c r="A374" s="1" t="s">
        <v>78</v>
      </c>
      <c r="H374" s="1" t="str">
        <f>H373</f>
        <v>"Business Central","CRONUS JetCorp USA","23","1","V100007"</v>
      </c>
      <c r="I374" s="22" t="str">
        <f>"Mrs. Carol Philips"</f>
        <v>Mrs. Carol Philips</v>
      </c>
      <c r="J374" s="11"/>
      <c r="K374" s="11"/>
      <c r="L374" s="11"/>
      <c r="M374" s="11"/>
      <c r="N374" s="44" t="s">
        <v>22</v>
      </c>
      <c r="O374" s="44"/>
      <c r="P374" s="44"/>
      <c r="Q374" s="42" t="s">
        <v>23</v>
      </c>
      <c r="R374" s="43"/>
    </row>
    <row r="375" spans="1:18" x14ac:dyDescent="0.3">
      <c r="A375" s="1" t="s">
        <v>78</v>
      </c>
      <c r="I375" s="45"/>
      <c r="J375" s="46"/>
      <c r="K375" s="40"/>
      <c r="L375" s="47"/>
      <c r="M375" s="40"/>
      <c r="N375" s="66"/>
      <c r="O375" s="67"/>
      <c r="P375" s="67" t="s">
        <v>20</v>
      </c>
      <c r="Q375" s="68"/>
      <c r="R375" s="69" t="s">
        <v>20</v>
      </c>
    </row>
    <row r="376" spans="1:18" x14ac:dyDescent="0.3">
      <c r="A376" s="1" t="s">
        <v>78</v>
      </c>
      <c r="D376" s="1" t="s">
        <v>16</v>
      </c>
      <c r="E376" s="1" t="s">
        <v>32</v>
      </c>
      <c r="F376" s="1" t="s">
        <v>14</v>
      </c>
      <c r="G376" s="13" t="s">
        <v>14</v>
      </c>
      <c r="I376" s="48"/>
      <c r="J376" s="49" t="s">
        <v>7</v>
      </c>
      <c r="K376" s="49" t="s">
        <v>11</v>
      </c>
      <c r="L376" s="50" t="s">
        <v>2</v>
      </c>
      <c r="M376" s="50" t="s">
        <v>3</v>
      </c>
      <c r="N376" s="70" t="s">
        <v>21</v>
      </c>
      <c r="O376" s="71" t="s">
        <v>19</v>
      </c>
      <c r="P376" s="72" t="s">
        <v>16</v>
      </c>
      <c r="Q376" s="73" t="s">
        <v>12</v>
      </c>
      <c r="R376" s="74" t="s">
        <v>12</v>
      </c>
    </row>
    <row r="377" spans="1:18" x14ac:dyDescent="0.3">
      <c r="A377" s="1" t="s">
        <v>78</v>
      </c>
      <c r="D377" s="1" t="str">
        <f t="shared" ref="D377" si="550">H377</f>
        <v>"Business Central","CRONUS JetCorp USA","25","1","193"</v>
      </c>
      <c r="E377" s="1" t="str">
        <f t="shared" ref="E377" si="551">I372</f>
        <v>V100007</v>
      </c>
      <c r="G377" s="1">
        <v>193</v>
      </c>
      <c r="H377" s="9" t="str">
        <f>"""Business Central"",""CRONUS JetCorp USA"",""25"",""1"",""193"""</f>
        <v>"Business Central","CRONUS JetCorp USA","25","1","193"</v>
      </c>
      <c r="I377" s="51"/>
      <c r="J377" s="52" t="str">
        <f>"Order PO102467"</f>
        <v>Order PO102467</v>
      </c>
      <c r="K377" s="52" t="str">
        <f>"PI_102466"</f>
        <v>PI_102466</v>
      </c>
      <c r="L377" s="53">
        <v>42735</v>
      </c>
      <c r="M377" s="53">
        <v>42705</v>
      </c>
      <c r="N377" s="57" t="str">
        <f>""</f>
        <v/>
      </c>
      <c r="O377" s="75">
        <v>0</v>
      </c>
      <c r="P377" s="76">
        <v>0</v>
      </c>
      <c r="Q377" s="77">
        <v>-68246.22</v>
      </c>
      <c r="R377" s="78">
        <v>0</v>
      </c>
    </row>
    <row r="378" spans="1:18" x14ac:dyDescent="0.3">
      <c r="A378" s="1" t="s">
        <v>78</v>
      </c>
      <c r="B378" s="1" t="str">
        <f t="shared" ref="B378" si="552">IF(H378="","Hide","Show")</f>
        <v>Show</v>
      </c>
      <c r="D378" s="1" t="str">
        <f t="shared" ref="D378" si="553">D377</f>
        <v>"Business Central","CRONUS JetCorp USA","25","1","193"</v>
      </c>
      <c r="E378" s="1" t="str">
        <f t="shared" ref="E378" si="554">E377</f>
        <v>V100007</v>
      </c>
      <c r="F378" s="1">
        <v>193</v>
      </c>
      <c r="H378" s="9" t="str">
        <f>"""Business Central"",""CRONUS JetCorp USA"",""380"",""1"",""149"""</f>
        <v>"Business Central","CRONUS JetCorp USA","380","1","149"</v>
      </c>
      <c r="I378" s="48"/>
      <c r="J378" s="41" t="str">
        <f>"Payment"</f>
        <v>Payment</v>
      </c>
      <c r="K378" s="41" t="str">
        <f>"GP100312"</f>
        <v>GP100312</v>
      </c>
      <c r="L378" s="54"/>
      <c r="M378" s="54">
        <v>42379</v>
      </c>
      <c r="N378" s="57" t="str">
        <f>""</f>
        <v/>
      </c>
      <c r="O378" s="75">
        <v>0</v>
      </c>
      <c r="P378" s="76">
        <v>68246.22</v>
      </c>
      <c r="Q378" s="77">
        <v>68246.22</v>
      </c>
      <c r="R378" s="78">
        <v>0</v>
      </c>
    </row>
    <row r="379" spans="1:18" ht="9" customHeight="1" x14ac:dyDescent="0.3">
      <c r="A379" s="1" t="s">
        <v>78</v>
      </c>
      <c r="I379" s="48"/>
      <c r="J379" s="41"/>
      <c r="K379" s="41"/>
      <c r="L379" s="54"/>
      <c r="M379" s="54"/>
      <c r="N379" s="61"/>
      <c r="O379" s="60"/>
      <c r="P379" s="58"/>
      <c r="Q379" s="59"/>
      <c r="R379" s="56"/>
    </row>
    <row r="380" spans="1:18" x14ac:dyDescent="0.3">
      <c r="A380" s="1" t="s">
        <v>78</v>
      </c>
      <c r="D380" s="1" t="str">
        <f t="shared" ref="D380:D406" si="555">H380</f>
        <v>"Business Central","CRONUS JetCorp USA","25","1","655"</v>
      </c>
      <c r="E380" s="1">
        <f t="shared" ref="E380" si="556">I375</f>
        <v>0</v>
      </c>
      <c r="G380" s="1">
        <v>655</v>
      </c>
      <c r="H380" s="9" t="str">
        <f>"""Business Central"",""CRONUS JetCorp USA"",""25"",""1"",""655"""</f>
        <v>"Business Central","CRONUS JetCorp USA","25","1","655"</v>
      </c>
      <c r="I380" s="51"/>
      <c r="J380" s="52" t="str">
        <f>"Order PO102478"</f>
        <v>Order PO102478</v>
      </c>
      <c r="K380" s="52" t="str">
        <f>"PI_102477"</f>
        <v>PI_102477</v>
      </c>
      <c r="L380" s="53">
        <v>42735</v>
      </c>
      <c r="M380" s="53">
        <v>42705</v>
      </c>
      <c r="N380" s="57" t="str">
        <f>""</f>
        <v/>
      </c>
      <c r="O380" s="75">
        <v>0</v>
      </c>
      <c r="P380" s="76">
        <v>0</v>
      </c>
      <c r="Q380" s="77">
        <v>-124655.99999999999</v>
      </c>
      <c r="R380" s="78">
        <v>0</v>
      </c>
    </row>
    <row r="381" spans="1:18" x14ac:dyDescent="0.3">
      <c r="A381" s="1" t="s">
        <v>78</v>
      </c>
      <c r="B381" s="1" t="str">
        <f t="shared" ref="B381:B406" si="557">IF(H381="","Hide","Show")</f>
        <v>Show</v>
      </c>
      <c r="D381" s="1" t="str">
        <f t="shared" ref="D381:D406" si="558">D380</f>
        <v>"Business Central","CRONUS JetCorp USA","25","1","655"</v>
      </c>
      <c r="E381" s="1">
        <f t="shared" ref="E381:E406" si="559">E380</f>
        <v>0</v>
      </c>
      <c r="F381" s="1">
        <v>655</v>
      </c>
      <c r="H381" s="9" t="str">
        <f>"""Business Central"",""CRONUS JetCorp USA"",""380"",""1"",""151"""</f>
        <v>"Business Central","CRONUS JetCorp USA","380","1","151"</v>
      </c>
      <c r="I381" s="48"/>
      <c r="J381" s="41" t="str">
        <f>"Payment"</f>
        <v>Payment</v>
      </c>
      <c r="K381" s="41" t="str">
        <f>"GP100312"</f>
        <v>GP100312</v>
      </c>
      <c r="L381" s="54"/>
      <c r="M381" s="54">
        <v>42379</v>
      </c>
      <c r="N381" s="57" t="str">
        <f>""</f>
        <v/>
      </c>
      <c r="O381" s="75">
        <v>0</v>
      </c>
      <c r="P381" s="76">
        <v>124655.99999999999</v>
      </c>
      <c r="Q381" s="77">
        <v>124655.99999999999</v>
      </c>
      <c r="R381" s="78">
        <v>0</v>
      </c>
    </row>
    <row r="382" spans="1:18" ht="9" customHeight="1" x14ac:dyDescent="0.3">
      <c r="A382" s="1" t="s">
        <v>78</v>
      </c>
      <c r="I382" s="48"/>
      <c r="J382" s="41"/>
      <c r="K382" s="41"/>
      <c r="L382" s="54"/>
      <c r="M382" s="54"/>
      <c r="N382" s="61"/>
      <c r="O382" s="60"/>
      <c r="P382" s="58"/>
      <c r="Q382" s="59"/>
      <c r="R382" s="56"/>
    </row>
    <row r="383" spans="1:18" x14ac:dyDescent="0.3">
      <c r="A383" s="1" t="s">
        <v>78</v>
      </c>
      <c r="D383" s="1" t="str">
        <f t="shared" ref="D383:D406" si="560">H383</f>
        <v>"Business Central","CRONUS JetCorp USA","25","1","1075"</v>
      </c>
      <c r="E383" s="1">
        <f t="shared" ref="E383" si="561">I378</f>
        <v>0</v>
      </c>
      <c r="G383" s="1">
        <v>1075</v>
      </c>
      <c r="H383" s="9" t="str">
        <f>"""Business Central"",""CRONUS JetCorp USA"",""25"",""1"",""1075"""</f>
        <v>"Business Central","CRONUS JetCorp USA","25","1","1075"</v>
      </c>
      <c r="I383" s="51"/>
      <c r="J383" s="52" t="str">
        <f>"Order PO102488"</f>
        <v>Order PO102488</v>
      </c>
      <c r="K383" s="52" t="str">
        <f>"PI_102487"</f>
        <v>PI_102487</v>
      </c>
      <c r="L383" s="53">
        <v>42735</v>
      </c>
      <c r="M383" s="53">
        <v>42705</v>
      </c>
      <c r="N383" s="57" t="str">
        <f>""</f>
        <v/>
      </c>
      <c r="O383" s="75">
        <v>0</v>
      </c>
      <c r="P383" s="76">
        <v>0</v>
      </c>
      <c r="Q383" s="77">
        <v>-28375.899999999998</v>
      </c>
      <c r="R383" s="78">
        <v>0</v>
      </c>
    </row>
    <row r="384" spans="1:18" x14ac:dyDescent="0.3">
      <c r="A384" s="1" t="s">
        <v>78</v>
      </c>
      <c r="B384" s="1" t="str">
        <f t="shared" ref="B384:B406" si="562">IF(H384="","Hide","Show")</f>
        <v>Show</v>
      </c>
      <c r="D384" s="1" t="str">
        <f t="shared" ref="D384:D406" si="563">D383</f>
        <v>"Business Central","CRONUS JetCorp USA","25","1","1075"</v>
      </c>
      <c r="E384" s="1">
        <f t="shared" ref="E384:E406" si="564">E383</f>
        <v>0</v>
      </c>
      <c r="F384" s="1">
        <v>1075</v>
      </c>
      <c r="H384" s="9" t="str">
        <f>"""Business Central"",""CRONUS JetCorp USA"",""380"",""1"",""152"""</f>
        <v>"Business Central","CRONUS JetCorp USA","380","1","152"</v>
      </c>
      <c r="I384" s="48"/>
      <c r="J384" s="41" t="str">
        <f>"Payment"</f>
        <v>Payment</v>
      </c>
      <c r="K384" s="41" t="str">
        <f>"GP100312"</f>
        <v>GP100312</v>
      </c>
      <c r="L384" s="54"/>
      <c r="M384" s="54">
        <v>42379</v>
      </c>
      <c r="N384" s="57" t="str">
        <f>""</f>
        <v/>
      </c>
      <c r="O384" s="75">
        <v>0</v>
      </c>
      <c r="P384" s="76">
        <v>28375.899999999998</v>
      </c>
      <c r="Q384" s="77">
        <v>28375.899999999998</v>
      </c>
      <c r="R384" s="78">
        <v>0</v>
      </c>
    </row>
    <row r="385" spans="1:18" ht="9" customHeight="1" x14ac:dyDescent="0.3">
      <c r="A385" s="1" t="s">
        <v>78</v>
      </c>
      <c r="I385" s="48"/>
      <c r="J385" s="41"/>
      <c r="K385" s="41"/>
      <c r="L385" s="54"/>
      <c r="M385" s="54"/>
      <c r="N385" s="61"/>
      <c r="O385" s="60"/>
      <c r="P385" s="58"/>
      <c r="Q385" s="59"/>
      <c r="R385" s="56"/>
    </row>
    <row r="386" spans="1:18" x14ac:dyDescent="0.3">
      <c r="A386" s="1" t="s">
        <v>78</v>
      </c>
      <c r="D386" s="1" t="str">
        <f t="shared" ref="D386:D406" si="565">H386</f>
        <v>"Business Central","CRONUS JetCorp USA","25","1","1537"</v>
      </c>
      <c r="E386" s="1">
        <f t="shared" ref="E386" si="566">I381</f>
        <v>0</v>
      </c>
      <c r="G386" s="1">
        <v>1537</v>
      </c>
      <c r="H386" s="9" t="str">
        <f>"""Business Central"",""CRONUS JetCorp USA"",""25"",""1"",""1537"""</f>
        <v>"Business Central","CRONUS JetCorp USA","25","1","1537"</v>
      </c>
      <c r="I386" s="51"/>
      <c r="J386" s="52" t="str">
        <f>"Order PO102499"</f>
        <v>Order PO102499</v>
      </c>
      <c r="K386" s="52" t="str">
        <f>"PI_102498"</f>
        <v>PI_102498</v>
      </c>
      <c r="L386" s="53">
        <v>42735</v>
      </c>
      <c r="M386" s="53">
        <v>42705</v>
      </c>
      <c r="N386" s="57" t="str">
        <f>""</f>
        <v/>
      </c>
      <c r="O386" s="75">
        <v>0</v>
      </c>
      <c r="P386" s="76">
        <v>0</v>
      </c>
      <c r="Q386" s="77">
        <v>-20007.189999999999</v>
      </c>
      <c r="R386" s="78">
        <v>0</v>
      </c>
    </row>
    <row r="387" spans="1:18" x14ac:dyDescent="0.3">
      <c r="A387" s="1" t="s">
        <v>78</v>
      </c>
      <c r="B387" s="1" t="str">
        <f t="shared" ref="B387:B406" si="567">IF(H387="","Hide","Show")</f>
        <v>Show</v>
      </c>
      <c r="D387" s="1" t="str">
        <f t="shared" ref="D387:D406" si="568">D386</f>
        <v>"Business Central","CRONUS JetCorp USA","25","1","1537"</v>
      </c>
      <c r="E387" s="1">
        <f t="shared" ref="E387:E406" si="569">E386</f>
        <v>0</v>
      </c>
      <c r="F387" s="1">
        <v>1537</v>
      </c>
      <c r="H387" s="9" t="str">
        <f>"""Business Central"",""CRONUS JetCorp USA"",""380"",""1"",""153"""</f>
        <v>"Business Central","CRONUS JetCorp USA","380","1","153"</v>
      </c>
      <c r="I387" s="48"/>
      <c r="J387" s="41" t="str">
        <f>"Payment"</f>
        <v>Payment</v>
      </c>
      <c r="K387" s="41" t="str">
        <f>"GP100312"</f>
        <v>GP100312</v>
      </c>
      <c r="L387" s="54"/>
      <c r="M387" s="54">
        <v>42379</v>
      </c>
      <c r="N387" s="57" t="str">
        <f>""</f>
        <v/>
      </c>
      <c r="O387" s="75">
        <v>0</v>
      </c>
      <c r="P387" s="76">
        <v>20007.189999999999</v>
      </c>
      <c r="Q387" s="77">
        <v>20007.189999999999</v>
      </c>
      <c r="R387" s="78">
        <v>0</v>
      </c>
    </row>
    <row r="388" spans="1:18" ht="9" customHeight="1" x14ac:dyDescent="0.3">
      <c r="A388" s="1" t="s">
        <v>78</v>
      </c>
      <c r="I388" s="48"/>
      <c r="J388" s="41"/>
      <c r="K388" s="41"/>
      <c r="L388" s="54"/>
      <c r="M388" s="54"/>
      <c r="N388" s="61"/>
      <c r="O388" s="60"/>
      <c r="P388" s="58"/>
      <c r="Q388" s="59"/>
      <c r="R388" s="56"/>
    </row>
    <row r="389" spans="1:18" x14ac:dyDescent="0.3">
      <c r="A389" s="1" t="s">
        <v>78</v>
      </c>
      <c r="D389" s="1" t="str">
        <f t="shared" ref="D389:D406" si="570">H389</f>
        <v>"Business Central","CRONUS JetCorp USA","25","1","1957"</v>
      </c>
      <c r="E389" s="1">
        <f t="shared" ref="E389" si="571">I384</f>
        <v>0</v>
      </c>
      <c r="G389" s="1">
        <v>1957</v>
      </c>
      <c r="H389" s="9" t="str">
        <f>"""Business Central"",""CRONUS JetCorp USA"",""25"",""1"",""1957"""</f>
        <v>"Business Central","CRONUS JetCorp USA","25","1","1957"</v>
      </c>
      <c r="I389" s="51"/>
      <c r="J389" s="52" t="str">
        <f>"Order PO102509"</f>
        <v>Order PO102509</v>
      </c>
      <c r="K389" s="52" t="str">
        <f>"PI_102508"</f>
        <v>PI_102508</v>
      </c>
      <c r="L389" s="53">
        <v>42735</v>
      </c>
      <c r="M389" s="53">
        <v>42705</v>
      </c>
      <c r="N389" s="57" t="str">
        <f>""</f>
        <v/>
      </c>
      <c r="O389" s="75">
        <v>0</v>
      </c>
      <c r="P389" s="76">
        <v>0</v>
      </c>
      <c r="Q389" s="77">
        <v>-47972.959999999999</v>
      </c>
      <c r="R389" s="78">
        <v>0</v>
      </c>
    </row>
    <row r="390" spans="1:18" x14ac:dyDescent="0.3">
      <c r="A390" s="1" t="s">
        <v>78</v>
      </c>
      <c r="B390" s="1" t="str">
        <f t="shared" ref="B390:B406" si="572">IF(H390="","Hide","Show")</f>
        <v>Show</v>
      </c>
      <c r="D390" s="1" t="str">
        <f t="shared" ref="D390:D406" si="573">D389</f>
        <v>"Business Central","CRONUS JetCorp USA","25","1","1957"</v>
      </c>
      <c r="E390" s="1">
        <f t="shared" ref="E390:E406" si="574">E389</f>
        <v>0</v>
      </c>
      <c r="F390" s="1">
        <v>1957</v>
      </c>
      <c r="H390" s="9" t="str">
        <f>"""Business Central"",""CRONUS JetCorp USA"",""380"",""1"",""154"""</f>
        <v>"Business Central","CRONUS JetCorp USA","380","1","154"</v>
      </c>
      <c r="I390" s="48"/>
      <c r="J390" s="41" t="str">
        <f>"Payment"</f>
        <v>Payment</v>
      </c>
      <c r="K390" s="41" t="str">
        <f>"GP100312"</f>
        <v>GP100312</v>
      </c>
      <c r="L390" s="54"/>
      <c r="M390" s="54">
        <v>42379</v>
      </c>
      <c r="N390" s="57" t="str">
        <f>""</f>
        <v/>
      </c>
      <c r="O390" s="75">
        <v>0</v>
      </c>
      <c r="P390" s="76">
        <v>47972.959999999999</v>
      </c>
      <c r="Q390" s="77">
        <v>47972.959999999999</v>
      </c>
      <c r="R390" s="78">
        <v>0</v>
      </c>
    </row>
    <row r="391" spans="1:18" ht="9" customHeight="1" x14ac:dyDescent="0.3">
      <c r="A391" s="1" t="s">
        <v>78</v>
      </c>
      <c r="I391" s="48"/>
      <c r="J391" s="41"/>
      <c r="K391" s="41"/>
      <c r="L391" s="54"/>
      <c r="M391" s="54"/>
      <c r="N391" s="61"/>
      <c r="O391" s="60"/>
      <c r="P391" s="58"/>
      <c r="Q391" s="59"/>
      <c r="R391" s="56"/>
    </row>
    <row r="392" spans="1:18" x14ac:dyDescent="0.3">
      <c r="A392" s="1" t="s">
        <v>78</v>
      </c>
      <c r="D392" s="1" t="str">
        <f t="shared" ref="D392:D406" si="575">H392</f>
        <v>"Business Central","CRONUS JetCorp USA","25","1","2293"</v>
      </c>
      <c r="E392" s="1">
        <f t="shared" ref="E392" si="576">I387</f>
        <v>0</v>
      </c>
      <c r="G392" s="1">
        <v>2293</v>
      </c>
      <c r="H392" s="9" t="str">
        <f>"""Business Central"",""CRONUS JetCorp USA"",""25"",""1"",""2293"""</f>
        <v>"Business Central","CRONUS JetCorp USA","25","1","2293"</v>
      </c>
      <c r="I392" s="51"/>
      <c r="J392" s="52" t="str">
        <f>"Order PO102517"</f>
        <v>Order PO102517</v>
      </c>
      <c r="K392" s="52" t="str">
        <f>"PI_102516"</f>
        <v>PI_102516</v>
      </c>
      <c r="L392" s="53">
        <v>42735</v>
      </c>
      <c r="M392" s="53">
        <v>42705</v>
      </c>
      <c r="N392" s="57" t="str">
        <f>""</f>
        <v/>
      </c>
      <c r="O392" s="75">
        <v>0</v>
      </c>
      <c r="P392" s="76">
        <v>0</v>
      </c>
      <c r="Q392" s="77">
        <v>-32202.799999999999</v>
      </c>
      <c r="R392" s="78">
        <v>0</v>
      </c>
    </row>
    <row r="393" spans="1:18" x14ac:dyDescent="0.3">
      <c r="A393" s="1" t="s">
        <v>78</v>
      </c>
      <c r="B393" s="1" t="str">
        <f t="shared" ref="B393:B406" si="577">IF(H393="","Hide","Show")</f>
        <v>Show</v>
      </c>
      <c r="D393" s="1" t="str">
        <f t="shared" ref="D393:D406" si="578">D392</f>
        <v>"Business Central","CRONUS JetCorp USA","25","1","2293"</v>
      </c>
      <c r="E393" s="1">
        <f t="shared" ref="E393:E406" si="579">E392</f>
        <v>0</v>
      </c>
      <c r="F393" s="1">
        <v>2293</v>
      </c>
      <c r="H393" s="9" t="str">
        <f>"""Business Central"",""CRONUS JetCorp USA"",""380"",""1"",""155"""</f>
        <v>"Business Central","CRONUS JetCorp USA","380","1","155"</v>
      </c>
      <c r="I393" s="48"/>
      <c r="J393" s="41" t="str">
        <f>"Payment"</f>
        <v>Payment</v>
      </c>
      <c r="K393" s="41" t="str">
        <f>"GP100312"</f>
        <v>GP100312</v>
      </c>
      <c r="L393" s="54"/>
      <c r="M393" s="54">
        <v>42379</v>
      </c>
      <c r="N393" s="57" t="str">
        <f>""</f>
        <v/>
      </c>
      <c r="O393" s="75">
        <v>0</v>
      </c>
      <c r="P393" s="76">
        <v>32202.799999999999</v>
      </c>
      <c r="Q393" s="77">
        <v>32202.799999999999</v>
      </c>
      <c r="R393" s="78">
        <v>0</v>
      </c>
    </row>
    <row r="394" spans="1:18" ht="9" customHeight="1" x14ac:dyDescent="0.3">
      <c r="A394" s="1" t="s">
        <v>78</v>
      </c>
      <c r="I394" s="48"/>
      <c r="J394" s="41"/>
      <c r="K394" s="41"/>
      <c r="L394" s="54"/>
      <c r="M394" s="54"/>
      <c r="N394" s="61"/>
      <c r="O394" s="60"/>
      <c r="P394" s="58"/>
      <c r="Q394" s="59"/>
      <c r="R394" s="56"/>
    </row>
    <row r="395" spans="1:18" x14ac:dyDescent="0.3">
      <c r="A395" s="1" t="s">
        <v>78</v>
      </c>
      <c r="D395" s="1" t="str">
        <f t="shared" ref="D395:D406" si="580">H395</f>
        <v>"Business Central","CRONUS JetCorp USA","25","1","2713"</v>
      </c>
      <c r="E395" s="1">
        <f t="shared" ref="E395" si="581">I390</f>
        <v>0</v>
      </c>
      <c r="G395" s="1">
        <v>2713</v>
      </c>
      <c r="H395" s="9" t="str">
        <f>"""Business Central"",""CRONUS JetCorp USA"",""25"",""1"",""2713"""</f>
        <v>"Business Central","CRONUS JetCorp USA","25","1","2713"</v>
      </c>
      <c r="I395" s="51"/>
      <c r="J395" s="52" t="str">
        <f>"Order PO102527"</f>
        <v>Order PO102527</v>
      </c>
      <c r="K395" s="52" t="str">
        <f>"PI_102526"</f>
        <v>PI_102526</v>
      </c>
      <c r="L395" s="53">
        <v>42735</v>
      </c>
      <c r="M395" s="53">
        <v>42705</v>
      </c>
      <c r="N395" s="57" t="str">
        <f>""</f>
        <v/>
      </c>
      <c r="O395" s="75">
        <v>0</v>
      </c>
      <c r="P395" s="76">
        <v>0</v>
      </c>
      <c r="Q395" s="77">
        <v>-27783</v>
      </c>
      <c r="R395" s="78">
        <v>0</v>
      </c>
    </row>
    <row r="396" spans="1:18" x14ac:dyDescent="0.3">
      <c r="A396" s="1" t="s">
        <v>78</v>
      </c>
      <c r="B396" s="1" t="str">
        <f t="shared" ref="B396:B406" si="582">IF(H396="","Hide","Show")</f>
        <v>Show</v>
      </c>
      <c r="D396" s="1" t="str">
        <f t="shared" ref="D396:D406" si="583">D395</f>
        <v>"Business Central","CRONUS JetCorp USA","25","1","2713"</v>
      </c>
      <c r="E396" s="1">
        <f t="shared" ref="E396:E406" si="584">E395</f>
        <v>0</v>
      </c>
      <c r="F396" s="1">
        <v>2713</v>
      </c>
      <c r="H396" s="9" t="str">
        <f>"""Business Central"",""CRONUS JetCorp USA"",""380"",""1"",""156"""</f>
        <v>"Business Central","CRONUS JetCorp USA","380","1","156"</v>
      </c>
      <c r="I396" s="48"/>
      <c r="J396" s="41" t="str">
        <f>"Payment"</f>
        <v>Payment</v>
      </c>
      <c r="K396" s="41" t="str">
        <f>"GP100312"</f>
        <v>GP100312</v>
      </c>
      <c r="L396" s="54"/>
      <c r="M396" s="54">
        <v>42379</v>
      </c>
      <c r="N396" s="57" t="str">
        <f>""</f>
        <v/>
      </c>
      <c r="O396" s="75">
        <v>0</v>
      </c>
      <c r="P396" s="76">
        <v>27783</v>
      </c>
      <c r="Q396" s="77">
        <v>27783</v>
      </c>
      <c r="R396" s="78">
        <v>0</v>
      </c>
    </row>
    <row r="397" spans="1:18" ht="9" customHeight="1" x14ac:dyDescent="0.3">
      <c r="A397" s="1" t="s">
        <v>78</v>
      </c>
      <c r="I397" s="48"/>
      <c r="J397" s="41"/>
      <c r="K397" s="41"/>
      <c r="L397" s="54"/>
      <c r="M397" s="54"/>
      <c r="N397" s="61"/>
      <c r="O397" s="60"/>
      <c r="P397" s="58"/>
      <c r="Q397" s="59"/>
      <c r="R397" s="56"/>
    </row>
    <row r="398" spans="1:18" x14ac:dyDescent="0.3">
      <c r="A398" s="1" t="s">
        <v>78</v>
      </c>
      <c r="D398" s="1" t="str">
        <f t="shared" ref="D398:D406" si="585">H398</f>
        <v>"Business Central","CRONUS JetCorp USA","25","1","446829"</v>
      </c>
      <c r="E398" s="1">
        <f t="shared" ref="E398" si="586">I393</f>
        <v>0</v>
      </c>
      <c r="G398" s="1">
        <v>446829</v>
      </c>
      <c r="H398" s="9" t="str">
        <f>"""Business Central"",""CRONUS JetCorp USA"",""25"",""1"",""446829"""</f>
        <v>"Business Central","CRONUS JetCorp USA","25","1","446829"</v>
      </c>
      <c r="I398" s="51"/>
      <c r="J398" s="52" t="str">
        <f>"Order PO102731"</f>
        <v>Order PO102731</v>
      </c>
      <c r="K398" s="52" t="str">
        <f>"PI_102730"</f>
        <v>PI_102730</v>
      </c>
      <c r="L398" s="53">
        <v>42735</v>
      </c>
      <c r="M398" s="53">
        <v>42705</v>
      </c>
      <c r="N398" s="57" t="str">
        <f>""</f>
        <v/>
      </c>
      <c r="O398" s="75">
        <v>0</v>
      </c>
      <c r="P398" s="76">
        <v>0</v>
      </c>
      <c r="Q398" s="77">
        <v>0</v>
      </c>
      <c r="R398" s="78">
        <v>0</v>
      </c>
    </row>
    <row r="399" spans="1:18" hidden="1" x14ac:dyDescent="0.3">
      <c r="A399" s="1" t="s">
        <v>78</v>
      </c>
      <c r="B399" s="1" t="str">
        <f t="shared" ref="B399:B406" si="587">IF(H399="","Hide","Show")</f>
        <v>Hide</v>
      </c>
      <c r="D399" s="1" t="str">
        <f t="shared" ref="D399:D406" si="588">D398</f>
        <v>"Business Central","CRONUS JetCorp USA","25","1","446829"</v>
      </c>
      <c r="E399" s="1">
        <f t="shared" ref="E399:E406" si="589">E398</f>
        <v>0</v>
      </c>
      <c r="F399" s="1" t="str">
        <f>""</f>
        <v/>
      </c>
      <c r="H399" s="9" t="str">
        <f>""</f>
        <v/>
      </c>
      <c r="I399" s="48"/>
      <c r="J399" s="41" t="str">
        <f>""</f>
        <v/>
      </c>
      <c r="K399" s="41" t="str">
        <f>""</f>
        <v/>
      </c>
      <c r="L399" s="54"/>
      <c r="M399" s="54" t="str">
        <f>""</f>
        <v/>
      </c>
      <c r="N399" s="57" t="str">
        <f>""</f>
        <v/>
      </c>
      <c r="O399" s="75">
        <v>0</v>
      </c>
      <c r="P399" s="76" t="str">
        <f>""</f>
        <v/>
      </c>
      <c r="Q399" s="77" t="str">
        <f>""</f>
        <v/>
      </c>
      <c r="R399" s="78">
        <v>0</v>
      </c>
    </row>
    <row r="400" spans="1:18" ht="9" customHeight="1" x14ac:dyDescent="0.3">
      <c r="A400" s="1" t="s">
        <v>78</v>
      </c>
      <c r="I400" s="48"/>
      <c r="J400" s="41"/>
      <c r="K400" s="41"/>
      <c r="L400" s="54"/>
      <c r="M400" s="54"/>
      <c r="N400" s="61"/>
      <c r="O400" s="60"/>
      <c r="P400" s="58"/>
      <c r="Q400" s="59"/>
      <c r="R400" s="56"/>
    </row>
    <row r="401" spans="1:18" x14ac:dyDescent="0.3">
      <c r="A401" s="1" t="s">
        <v>78</v>
      </c>
      <c r="D401" s="1" t="str">
        <f t="shared" ref="D401:D406" si="590">H401</f>
        <v>"Business Central","CRONUS JetCorp USA","25","1","483232"</v>
      </c>
      <c r="E401" s="1">
        <f t="shared" ref="E401" si="591">I396</f>
        <v>0</v>
      </c>
      <c r="G401" s="1">
        <v>483232</v>
      </c>
      <c r="H401" s="9" t="str">
        <f>"""Business Central"",""CRONUS JetCorp USA"",""25"",""1"",""483232"""</f>
        <v>"Business Central","CRONUS JetCorp USA","25","1","483232"</v>
      </c>
      <c r="I401" s="51"/>
      <c r="J401" s="52" t="str">
        <f>"Order PO104151"</f>
        <v>Order PO104151</v>
      </c>
      <c r="K401" s="52" t="str">
        <f>"PI_104150"</f>
        <v>PI_104150</v>
      </c>
      <c r="L401" s="53">
        <v>42308</v>
      </c>
      <c r="M401" s="53">
        <v>44111</v>
      </c>
      <c r="N401" s="57" t="str">
        <f>""</f>
        <v/>
      </c>
      <c r="O401" s="75">
        <v>0</v>
      </c>
      <c r="P401" s="76">
        <v>0</v>
      </c>
      <c r="Q401" s="77">
        <v>0</v>
      </c>
      <c r="R401" s="78">
        <v>0</v>
      </c>
    </row>
    <row r="402" spans="1:18" hidden="1" x14ac:dyDescent="0.3">
      <c r="A402" s="1" t="s">
        <v>78</v>
      </c>
      <c r="B402" s="1" t="str">
        <f t="shared" ref="B402:B406" si="592">IF(H402="","Hide","Show")</f>
        <v>Hide</v>
      </c>
      <c r="D402" s="1" t="str">
        <f t="shared" ref="D402:D406" si="593">D401</f>
        <v>"Business Central","CRONUS JetCorp USA","25","1","483232"</v>
      </c>
      <c r="E402" s="1">
        <f t="shared" ref="E402:E406" si="594">E401</f>
        <v>0</v>
      </c>
      <c r="F402" s="1" t="str">
        <f>""</f>
        <v/>
      </c>
      <c r="H402" s="9" t="str">
        <f>""</f>
        <v/>
      </c>
      <c r="I402" s="48"/>
      <c r="J402" s="41" t="str">
        <f>""</f>
        <v/>
      </c>
      <c r="K402" s="41" t="str">
        <f>""</f>
        <v/>
      </c>
      <c r="L402" s="54"/>
      <c r="M402" s="54" t="str">
        <f>""</f>
        <v/>
      </c>
      <c r="N402" s="57" t="str">
        <f>""</f>
        <v/>
      </c>
      <c r="O402" s="75">
        <v>0</v>
      </c>
      <c r="P402" s="76" t="str">
        <f>""</f>
        <v/>
      </c>
      <c r="Q402" s="77" t="str">
        <f>""</f>
        <v/>
      </c>
      <c r="R402" s="78">
        <v>0</v>
      </c>
    </row>
    <row r="403" spans="1:18" ht="9" customHeight="1" x14ac:dyDescent="0.3">
      <c r="A403" s="1" t="s">
        <v>78</v>
      </c>
      <c r="I403" s="48"/>
      <c r="J403" s="41"/>
      <c r="K403" s="41"/>
      <c r="L403" s="54"/>
      <c r="M403" s="54"/>
      <c r="N403" s="61"/>
      <c r="O403" s="60"/>
      <c r="P403" s="58"/>
      <c r="Q403" s="59"/>
      <c r="R403" s="56"/>
    </row>
    <row r="404" spans="1:18" x14ac:dyDescent="0.3">
      <c r="A404" s="1" t="s">
        <v>78</v>
      </c>
      <c r="D404" s="1" t="str">
        <f t="shared" ref="D404:D406" si="595">H404</f>
        <v>"Business Central","CRONUS JetCorp USA","25","1","493856"</v>
      </c>
      <c r="E404" s="1">
        <f t="shared" ref="E404" si="596">I399</f>
        <v>0</v>
      </c>
      <c r="G404" s="1">
        <v>493856</v>
      </c>
      <c r="H404" s="9" t="str">
        <f>"""Business Central"",""CRONUS JetCorp USA"",""25"",""1"",""493856"""</f>
        <v>"Business Central","CRONUS JetCorp USA","25","1","493856"</v>
      </c>
      <c r="I404" s="51"/>
      <c r="J404" s="52" t="str">
        <f>"Order PO104316"</f>
        <v>Order PO104316</v>
      </c>
      <c r="K404" s="52" t="str">
        <f>"PI_104315"</f>
        <v>PI_104315</v>
      </c>
      <c r="L404" s="53">
        <v>42400</v>
      </c>
      <c r="M404" s="53">
        <v>42371</v>
      </c>
      <c r="N404" s="57" t="str">
        <f>""</f>
        <v/>
      </c>
      <c r="O404" s="75">
        <v>0</v>
      </c>
      <c r="P404" s="76">
        <v>0</v>
      </c>
      <c r="Q404" s="77">
        <v>0</v>
      </c>
      <c r="R404" s="78">
        <v>0</v>
      </c>
    </row>
    <row r="405" spans="1:18" hidden="1" x14ac:dyDescent="0.3">
      <c r="A405" s="1" t="s">
        <v>78</v>
      </c>
      <c r="B405" s="1" t="str">
        <f t="shared" ref="B405:B406" si="597">IF(H405="","Hide","Show")</f>
        <v>Hide</v>
      </c>
      <c r="D405" s="1" t="str">
        <f t="shared" ref="D405:D406" si="598">D404</f>
        <v>"Business Central","CRONUS JetCorp USA","25","1","493856"</v>
      </c>
      <c r="E405" s="1">
        <f t="shared" ref="E405:E406" si="599">E404</f>
        <v>0</v>
      </c>
      <c r="F405" s="1" t="str">
        <f>""</f>
        <v/>
      </c>
      <c r="H405" s="9" t="str">
        <f>""</f>
        <v/>
      </c>
      <c r="I405" s="48"/>
      <c r="J405" s="41" t="str">
        <f>""</f>
        <v/>
      </c>
      <c r="K405" s="41" t="str">
        <f>""</f>
        <v/>
      </c>
      <c r="L405" s="54"/>
      <c r="M405" s="54" t="str">
        <f>""</f>
        <v/>
      </c>
      <c r="N405" s="57" t="str">
        <f>""</f>
        <v/>
      </c>
      <c r="O405" s="75">
        <v>0</v>
      </c>
      <c r="P405" s="76" t="str">
        <f>""</f>
        <v/>
      </c>
      <c r="Q405" s="77" t="str">
        <f>""</f>
        <v/>
      </c>
      <c r="R405" s="78">
        <v>0</v>
      </c>
    </row>
    <row r="406" spans="1:18" ht="9" customHeight="1" x14ac:dyDescent="0.3">
      <c r="A406" s="1" t="s">
        <v>78</v>
      </c>
      <c r="I406" s="48"/>
      <c r="J406" s="41"/>
      <c r="K406" s="41"/>
      <c r="L406" s="54"/>
      <c r="M406" s="54"/>
      <c r="N406" s="61"/>
      <c r="O406" s="60"/>
      <c r="P406" s="58"/>
      <c r="Q406" s="59"/>
      <c r="R406" s="56"/>
    </row>
    <row r="407" spans="1:18" x14ac:dyDescent="0.3">
      <c r="A407" s="1" t="s">
        <v>78</v>
      </c>
      <c r="I407" s="48"/>
      <c r="J407" s="41"/>
      <c r="K407" s="41"/>
      <c r="L407" s="54"/>
      <c r="M407" s="54"/>
      <c r="N407" s="61"/>
      <c r="O407" s="62"/>
      <c r="P407" s="63"/>
      <c r="Q407" s="64"/>
      <c r="R407" s="65"/>
    </row>
    <row r="408" spans="1:18" ht="17.25" x14ac:dyDescent="0.3">
      <c r="A408" s="1" t="s">
        <v>78</v>
      </c>
      <c r="I408" s="24"/>
      <c r="J408" s="25"/>
      <c r="K408" s="26"/>
      <c r="L408" s="27"/>
      <c r="M408" s="26"/>
      <c r="N408" s="26"/>
      <c r="O408" s="26"/>
      <c r="P408" s="26"/>
      <c r="Q408" s="37" t="str">
        <f>CONCATENATE(I372," - ",I373,"      Remaining Amount  In Local Currency")</f>
        <v>V100007 - TrendTech      Remaining Amount  In Local Currency</v>
      </c>
      <c r="R408" s="39">
        <f>SUBTOTAL(9,R377:R407)</f>
        <v>0</v>
      </c>
    </row>
    <row r="409" spans="1:18" ht="17.25" x14ac:dyDescent="0.3">
      <c r="A409" s="1" t="s">
        <v>78</v>
      </c>
      <c r="H409" s="9" t="str">
        <f>"""Business Central"",""CRONUS JetCorp USA"",""23"",""1"",""V100009"""</f>
        <v>"Business Central","CRONUS JetCorp USA","23","1","V100009"</v>
      </c>
      <c r="I409" s="21" t="str">
        <f>"V100009"</f>
        <v>V100009</v>
      </c>
      <c r="J409" s="28"/>
      <c r="K409" s="29"/>
      <c r="L409" s="30"/>
      <c r="M409" s="29"/>
      <c r="N409" s="29"/>
      <c r="O409" s="20"/>
      <c r="P409" s="31"/>
      <c r="Q409" s="34"/>
      <c r="R409" s="38"/>
    </row>
    <row r="410" spans="1:18" ht="17.25" x14ac:dyDescent="0.3">
      <c r="A410" s="1" t="s">
        <v>78</v>
      </c>
      <c r="H410" s="1" t="str">
        <f>H409</f>
        <v>"Business Central","CRONUS JetCorp USA","23","1","V100009"</v>
      </c>
      <c r="I410" s="22" t="str">
        <f>"Malay-Dan Export Unit Sdn Bhd"</f>
        <v>Malay-Dan Export Unit Sdn Bhd</v>
      </c>
      <c r="J410" s="11"/>
      <c r="K410" s="11"/>
      <c r="L410" s="11"/>
      <c r="M410" s="11"/>
      <c r="N410" s="11"/>
      <c r="O410" s="11"/>
      <c r="P410" s="11"/>
      <c r="Q410" s="35"/>
      <c r="R410" s="23"/>
    </row>
    <row r="411" spans="1:18" ht="17.25" x14ac:dyDescent="0.3">
      <c r="A411" s="1" t="s">
        <v>78</v>
      </c>
      <c r="H411" s="1" t="str">
        <f>H410</f>
        <v>"Business Central","CRONUS JetCorp USA","23","1","V100009"</v>
      </c>
      <c r="I411" s="22" t="str">
        <f>"Mr. Fabrice Perez"</f>
        <v>Mr. Fabrice Perez</v>
      </c>
      <c r="J411" s="11"/>
      <c r="K411" s="11"/>
      <c r="L411" s="11"/>
      <c r="M411" s="11"/>
      <c r="N411" s="44" t="s">
        <v>22</v>
      </c>
      <c r="O411" s="44"/>
      <c r="P411" s="44"/>
      <c r="Q411" s="42" t="s">
        <v>23</v>
      </c>
      <c r="R411" s="43"/>
    </row>
    <row r="412" spans="1:18" x14ac:dyDescent="0.3">
      <c r="A412" s="1" t="s">
        <v>78</v>
      </c>
      <c r="I412" s="45"/>
      <c r="J412" s="46"/>
      <c r="K412" s="40"/>
      <c r="L412" s="47"/>
      <c r="M412" s="40"/>
      <c r="N412" s="66"/>
      <c r="O412" s="67"/>
      <c r="P412" s="67" t="s">
        <v>20</v>
      </c>
      <c r="Q412" s="68"/>
      <c r="R412" s="69" t="s">
        <v>20</v>
      </c>
    </row>
    <row r="413" spans="1:18" x14ac:dyDescent="0.3">
      <c r="A413" s="1" t="s">
        <v>78</v>
      </c>
      <c r="D413" s="1" t="s">
        <v>16</v>
      </c>
      <c r="E413" s="1" t="s">
        <v>32</v>
      </c>
      <c r="F413" s="1" t="s">
        <v>14</v>
      </c>
      <c r="G413" s="13" t="s">
        <v>14</v>
      </c>
      <c r="I413" s="48"/>
      <c r="J413" s="49" t="s">
        <v>7</v>
      </c>
      <c r="K413" s="49" t="s">
        <v>11</v>
      </c>
      <c r="L413" s="50" t="s">
        <v>2</v>
      </c>
      <c r="M413" s="50" t="s">
        <v>3</v>
      </c>
      <c r="N413" s="70" t="s">
        <v>21</v>
      </c>
      <c r="O413" s="71" t="s">
        <v>19</v>
      </c>
      <c r="P413" s="72" t="s">
        <v>16</v>
      </c>
      <c r="Q413" s="73" t="s">
        <v>12</v>
      </c>
      <c r="R413" s="74" t="s">
        <v>12</v>
      </c>
    </row>
    <row r="414" spans="1:18" x14ac:dyDescent="0.3">
      <c r="A414" s="1" t="s">
        <v>78</v>
      </c>
      <c r="D414" s="1" t="str">
        <f t="shared" ref="D414" si="600">H414</f>
        <v>"Business Central","CRONUS JetCorp USA","25","1","67"</v>
      </c>
      <c r="E414" s="1" t="str">
        <f t="shared" ref="E414" si="601">I409</f>
        <v>V100009</v>
      </c>
      <c r="G414" s="1">
        <v>67</v>
      </c>
      <c r="H414" s="9" t="str">
        <f>"""Business Central"",""CRONUS JetCorp USA"",""25"",""1"",""67"""</f>
        <v>"Business Central","CRONUS JetCorp USA","25","1","67"</v>
      </c>
      <c r="I414" s="51"/>
      <c r="J414" s="52" t="str">
        <f>"Order PO102464"</f>
        <v>Order PO102464</v>
      </c>
      <c r="K414" s="52" t="str">
        <f>"PI_102463"</f>
        <v>PI_102463</v>
      </c>
      <c r="L414" s="53">
        <v>42735</v>
      </c>
      <c r="M414" s="53">
        <v>42705</v>
      </c>
      <c r="N414" s="57" t="str">
        <f>"MYR"</f>
        <v>MYR</v>
      </c>
      <c r="O414" s="75">
        <v>-266549.07</v>
      </c>
      <c r="P414" s="76">
        <v>0</v>
      </c>
      <c r="Q414" s="77">
        <v>-68246.17</v>
      </c>
      <c r="R414" s="78">
        <v>0</v>
      </c>
    </row>
    <row r="415" spans="1:18" x14ac:dyDescent="0.3">
      <c r="A415" s="1" t="s">
        <v>78</v>
      </c>
      <c r="B415" s="1" t="str">
        <f t="shared" ref="B415" si="602">IF(H415="","Hide","Show")</f>
        <v>Show</v>
      </c>
      <c r="D415" s="1" t="str">
        <f t="shared" ref="D415" si="603">D414</f>
        <v>"Business Central","CRONUS JetCorp USA","25","1","67"</v>
      </c>
      <c r="E415" s="1" t="str">
        <f t="shared" ref="E415" si="604">E414</f>
        <v>V100009</v>
      </c>
      <c r="F415" s="1">
        <v>67</v>
      </c>
      <c r="H415" s="9" t="str">
        <f>"""Business Central"",""CRONUS JetCorp USA"",""380"",""1"",""169"""</f>
        <v>"Business Central","CRONUS JetCorp USA","380","1","169"</v>
      </c>
      <c r="I415" s="48"/>
      <c r="J415" s="41" t="str">
        <f>"Payment"</f>
        <v>Payment</v>
      </c>
      <c r="K415" s="41" t="str">
        <f>"GP100314"</f>
        <v>GP100314</v>
      </c>
      <c r="L415" s="54"/>
      <c r="M415" s="54">
        <v>42397</v>
      </c>
      <c r="N415" s="57" t="str">
        <f>"MYR"</f>
        <v>MYR</v>
      </c>
      <c r="O415" s="75">
        <v>266549.07</v>
      </c>
      <c r="P415" s="76">
        <v>266549.07</v>
      </c>
      <c r="Q415" s="77">
        <v>68246.17</v>
      </c>
      <c r="R415" s="78">
        <v>0</v>
      </c>
    </row>
    <row r="416" spans="1:18" ht="9" customHeight="1" x14ac:dyDescent="0.3">
      <c r="A416" s="1" t="s">
        <v>78</v>
      </c>
      <c r="I416" s="48"/>
      <c r="J416" s="41"/>
      <c r="K416" s="41"/>
      <c r="L416" s="54"/>
      <c r="M416" s="54"/>
      <c r="N416" s="61"/>
      <c r="O416" s="60"/>
      <c r="P416" s="58"/>
      <c r="Q416" s="59"/>
      <c r="R416" s="56"/>
    </row>
    <row r="417" spans="1:18" x14ac:dyDescent="0.3">
      <c r="A417" s="1" t="s">
        <v>78</v>
      </c>
      <c r="D417" s="1" t="str">
        <f t="shared" ref="D417:D425" si="605">H417</f>
        <v>"Business Central","CRONUS JetCorp USA","25","1","529"</v>
      </c>
      <c r="E417" s="1">
        <f t="shared" ref="E417" si="606">I412</f>
        <v>0</v>
      </c>
      <c r="G417" s="1">
        <v>529</v>
      </c>
      <c r="H417" s="9" t="str">
        <f>"""Business Central"",""CRONUS JetCorp USA"",""25"",""1"",""529"""</f>
        <v>"Business Central","CRONUS JetCorp USA","25","1","529"</v>
      </c>
      <c r="I417" s="51"/>
      <c r="J417" s="52" t="str">
        <f>"Order PO102475"</f>
        <v>Order PO102475</v>
      </c>
      <c r="K417" s="52" t="str">
        <f>"PI_102474"</f>
        <v>PI_102474</v>
      </c>
      <c r="L417" s="53">
        <v>42735</v>
      </c>
      <c r="M417" s="53">
        <v>42705</v>
      </c>
      <c r="N417" s="57" t="str">
        <f>"MYR"</f>
        <v>MYR</v>
      </c>
      <c r="O417" s="75">
        <v>-486869.5</v>
      </c>
      <c r="P417" s="76">
        <v>0</v>
      </c>
      <c r="Q417" s="77">
        <v>-124656.14</v>
      </c>
      <c r="R417" s="78">
        <v>0</v>
      </c>
    </row>
    <row r="418" spans="1:18" x14ac:dyDescent="0.3">
      <c r="A418" s="1" t="s">
        <v>78</v>
      </c>
      <c r="B418" s="1" t="str">
        <f t="shared" ref="B418:B425" si="607">IF(H418="","Hide","Show")</f>
        <v>Show</v>
      </c>
      <c r="D418" s="1" t="str">
        <f t="shared" ref="D418:D425" si="608">D417</f>
        <v>"Business Central","CRONUS JetCorp USA","25","1","529"</v>
      </c>
      <c r="E418" s="1">
        <f t="shared" ref="E418:E425" si="609">E417</f>
        <v>0</v>
      </c>
      <c r="F418" s="1">
        <v>529</v>
      </c>
      <c r="H418" s="9" t="str">
        <f>"""Business Central"",""CRONUS JetCorp USA"",""380"",""1"",""171"""</f>
        <v>"Business Central","CRONUS JetCorp USA","380","1","171"</v>
      </c>
      <c r="I418" s="48"/>
      <c r="J418" s="41" t="str">
        <f>"Payment"</f>
        <v>Payment</v>
      </c>
      <c r="K418" s="41" t="str">
        <f>"GP100314"</f>
        <v>GP100314</v>
      </c>
      <c r="L418" s="54"/>
      <c r="M418" s="54">
        <v>42397</v>
      </c>
      <c r="N418" s="57" t="str">
        <f>"MYR"</f>
        <v>MYR</v>
      </c>
      <c r="O418" s="75">
        <v>486869.5</v>
      </c>
      <c r="P418" s="76">
        <v>486869.5</v>
      </c>
      <c r="Q418" s="77">
        <v>124656.14</v>
      </c>
      <c r="R418" s="78">
        <v>0</v>
      </c>
    </row>
    <row r="419" spans="1:18" ht="9" customHeight="1" x14ac:dyDescent="0.3">
      <c r="A419" s="1" t="s">
        <v>78</v>
      </c>
      <c r="I419" s="48"/>
      <c r="J419" s="41"/>
      <c r="K419" s="41"/>
      <c r="L419" s="54"/>
      <c r="M419" s="54"/>
      <c r="N419" s="61"/>
      <c r="O419" s="60"/>
      <c r="P419" s="58"/>
      <c r="Q419" s="59"/>
      <c r="R419" s="56"/>
    </row>
    <row r="420" spans="1:18" x14ac:dyDescent="0.3">
      <c r="A420" s="1" t="s">
        <v>78</v>
      </c>
      <c r="D420" s="1" t="str">
        <f t="shared" ref="D420:D425" si="610">H420</f>
        <v>"Business Central","CRONUS JetCorp USA","25","1","949"</v>
      </c>
      <c r="E420" s="1">
        <f t="shared" ref="E420" si="611">I415</f>
        <v>0</v>
      </c>
      <c r="G420" s="1">
        <v>949</v>
      </c>
      <c r="H420" s="9" t="str">
        <f>"""Business Central"",""CRONUS JetCorp USA"",""25"",""1"",""949"""</f>
        <v>"Business Central","CRONUS JetCorp USA","25","1","949"</v>
      </c>
      <c r="I420" s="51"/>
      <c r="J420" s="52" t="str">
        <f>"Order PO102485"</f>
        <v>Order PO102485</v>
      </c>
      <c r="K420" s="52" t="str">
        <f>"PI_102484"</f>
        <v>PI_102484</v>
      </c>
      <c r="L420" s="53">
        <v>42735</v>
      </c>
      <c r="M420" s="53">
        <v>42705</v>
      </c>
      <c r="N420" s="57" t="str">
        <f>"MYR"</f>
        <v>MYR</v>
      </c>
      <c r="O420" s="75">
        <v>-110828.2</v>
      </c>
      <c r="P420" s="76">
        <v>0</v>
      </c>
      <c r="Q420" s="77">
        <v>-28376.010000000002</v>
      </c>
      <c r="R420" s="78">
        <v>0</v>
      </c>
    </row>
    <row r="421" spans="1:18" x14ac:dyDescent="0.3">
      <c r="A421" s="1" t="s">
        <v>78</v>
      </c>
      <c r="B421" s="1" t="str">
        <f t="shared" ref="B421:B425" si="612">IF(H421="","Hide","Show")</f>
        <v>Show</v>
      </c>
      <c r="D421" s="1" t="str">
        <f t="shared" ref="D421:D425" si="613">D420</f>
        <v>"Business Central","CRONUS JetCorp USA","25","1","949"</v>
      </c>
      <c r="E421" s="1">
        <f t="shared" ref="E421:E425" si="614">E420</f>
        <v>0</v>
      </c>
      <c r="F421" s="1">
        <v>949</v>
      </c>
      <c r="H421" s="9" t="str">
        <f>"""Business Central"",""CRONUS JetCorp USA"",""380"",""1"",""172"""</f>
        <v>"Business Central","CRONUS JetCorp USA","380","1","172"</v>
      </c>
      <c r="I421" s="48"/>
      <c r="J421" s="41" t="str">
        <f>"Payment"</f>
        <v>Payment</v>
      </c>
      <c r="K421" s="41" t="str">
        <f>"GP100314"</f>
        <v>GP100314</v>
      </c>
      <c r="L421" s="54"/>
      <c r="M421" s="54">
        <v>42397</v>
      </c>
      <c r="N421" s="57" t="str">
        <f>"MYR"</f>
        <v>MYR</v>
      </c>
      <c r="O421" s="75">
        <v>110828.2</v>
      </c>
      <c r="P421" s="76">
        <v>110828.2</v>
      </c>
      <c r="Q421" s="77">
        <v>28376.010000000002</v>
      </c>
      <c r="R421" s="78">
        <v>0</v>
      </c>
    </row>
    <row r="422" spans="1:18" ht="9" customHeight="1" x14ac:dyDescent="0.3">
      <c r="A422" s="1" t="s">
        <v>78</v>
      </c>
      <c r="I422" s="48"/>
      <c r="J422" s="41"/>
      <c r="K422" s="41"/>
      <c r="L422" s="54"/>
      <c r="M422" s="54"/>
      <c r="N422" s="61"/>
      <c r="O422" s="60"/>
      <c r="P422" s="58"/>
      <c r="Q422" s="59"/>
      <c r="R422" s="56"/>
    </row>
    <row r="423" spans="1:18" x14ac:dyDescent="0.3">
      <c r="A423" s="1" t="s">
        <v>78</v>
      </c>
      <c r="D423" s="1" t="str">
        <f t="shared" ref="D423:D425" si="615">H423</f>
        <v>"Business Central","CRONUS JetCorp USA","25","1","1411"</v>
      </c>
      <c r="E423" s="1">
        <f t="shared" ref="E423" si="616">I418</f>
        <v>0</v>
      </c>
      <c r="G423" s="1">
        <v>1411</v>
      </c>
      <c r="H423" s="9" t="str">
        <f>"""Business Central"",""CRONUS JetCorp USA"",""25"",""1"",""1411"""</f>
        <v>"Business Central","CRONUS JetCorp USA","25","1","1411"</v>
      </c>
      <c r="I423" s="51"/>
      <c r="J423" s="52" t="str">
        <f>"Order PO102496"</f>
        <v>Order PO102496</v>
      </c>
      <c r="K423" s="52" t="str">
        <f>"PI_102495"</f>
        <v>PI_102495</v>
      </c>
      <c r="L423" s="53">
        <v>42735</v>
      </c>
      <c r="M423" s="53">
        <v>42705</v>
      </c>
      <c r="N423" s="57" t="str">
        <f>"MYR"</f>
        <v>MYR</v>
      </c>
      <c r="O423" s="75">
        <v>-78141.540000000008</v>
      </c>
      <c r="P423" s="76">
        <v>0</v>
      </c>
      <c r="Q423" s="77">
        <v>-20007.05</v>
      </c>
      <c r="R423" s="78">
        <v>0</v>
      </c>
    </row>
    <row r="424" spans="1:18" x14ac:dyDescent="0.3">
      <c r="A424" s="1" t="s">
        <v>78</v>
      </c>
      <c r="B424" s="1" t="str">
        <f t="shared" ref="B424:B425" si="617">IF(H424="","Hide","Show")</f>
        <v>Show</v>
      </c>
      <c r="D424" s="1" t="str">
        <f t="shared" ref="D424:D425" si="618">D423</f>
        <v>"Business Central","CRONUS JetCorp USA","25","1","1411"</v>
      </c>
      <c r="E424" s="1">
        <f t="shared" ref="E424:E425" si="619">E423</f>
        <v>0</v>
      </c>
      <c r="F424" s="1">
        <v>1411</v>
      </c>
      <c r="H424" s="9" t="str">
        <f>"""Business Central"",""CRONUS JetCorp USA"",""380"",""1"",""173"""</f>
        <v>"Business Central","CRONUS JetCorp USA","380","1","173"</v>
      </c>
      <c r="I424" s="48"/>
      <c r="J424" s="41" t="str">
        <f>"Payment"</f>
        <v>Payment</v>
      </c>
      <c r="K424" s="41" t="str">
        <f>"GP100314"</f>
        <v>GP100314</v>
      </c>
      <c r="L424" s="54"/>
      <c r="M424" s="54">
        <v>42397</v>
      </c>
      <c r="N424" s="57" t="str">
        <f>"MYR"</f>
        <v>MYR</v>
      </c>
      <c r="O424" s="75">
        <v>78141.540000000008</v>
      </c>
      <c r="P424" s="76">
        <v>78141.540000000008</v>
      </c>
      <c r="Q424" s="77">
        <v>20007.05</v>
      </c>
      <c r="R424" s="78">
        <v>0</v>
      </c>
    </row>
    <row r="425" spans="1:18" ht="9" customHeight="1" x14ac:dyDescent="0.3">
      <c r="A425" s="1" t="s">
        <v>78</v>
      </c>
      <c r="I425" s="48"/>
      <c r="J425" s="41"/>
      <c r="K425" s="41"/>
      <c r="L425" s="54"/>
      <c r="M425" s="54"/>
      <c r="N425" s="61"/>
      <c r="O425" s="60"/>
      <c r="P425" s="58"/>
      <c r="Q425" s="59"/>
      <c r="R425" s="56"/>
    </row>
    <row r="426" spans="1:18" x14ac:dyDescent="0.3">
      <c r="A426" s="1" t="s">
        <v>78</v>
      </c>
      <c r="I426" s="48"/>
      <c r="J426" s="41"/>
      <c r="K426" s="41"/>
      <c r="L426" s="54"/>
      <c r="M426" s="54"/>
      <c r="N426" s="61"/>
      <c r="O426" s="62"/>
      <c r="P426" s="63"/>
      <c r="Q426" s="64"/>
      <c r="R426" s="65"/>
    </row>
    <row r="427" spans="1:18" ht="17.25" x14ac:dyDescent="0.3">
      <c r="A427" s="1" t="s">
        <v>78</v>
      </c>
      <c r="I427" s="24"/>
      <c r="J427" s="25"/>
      <c r="K427" s="26"/>
      <c r="L427" s="27"/>
      <c r="M427" s="26"/>
      <c r="N427" s="26"/>
      <c r="O427" s="26"/>
      <c r="P427" s="26"/>
      <c r="Q427" s="37" t="str">
        <f>CONCATENATE(I409," - ",I410,"      Remaining Amount  In Local Currency")</f>
        <v>V100009 - Malay-Dan Export Unit Sdn Bhd      Remaining Amount  In Local Currency</v>
      </c>
      <c r="R427" s="39">
        <f>SUBTOTAL(9,R414:R426)</f>
        <v>0</v>
      </c>
    </row>
    <row r="428" spans="1:18" ht="17.25" x14ac:dyDescent="0.3">
      <c r="A428" s="1" t="s">
        <v>78</v>
      </c>
      <c r="H428" s="9" t="str">
        <f>"""Business Central"",""CRONUS JetCorp USA"",""23"",""1"",""V100023"""</f>
        <v>"Business Central","CRONUS JetCorp USA","23","1","V100023"</v>
      </c>
      <c r="I428" s="21" t="str">
        <f>"V100023"</f>
        <v>V100023</v>
      </c>
      <c r="J428" s="28"/>
      <c r="K428" s="29"/>
      <c r="L428" s="30"/>
      <c r="M428" s="29"/>
      <c r="N428" s="29"/>
      <c r="O428" s="20"/>
      <c r="P428" s="31"/>
      <c r="Q428" s="34"/>
      <c r="R428" s="38"/>
    </row>
    <row r="429" spans="1:18" ht="17.25" x14ac:dyDescent="0.3">
      <c r="A429" s="1" t="s">
        <v>78</v>
      </c>
      <c r="H429" s="1" t="str">
        <f>H428</f>
        <v>"Business Central","CRONUS JetCorp USA","23","1","V100023"</v>
      </c>
      <c r="I429" s="22" t="str">
        <f>"PURE-LOOK"</f>
        <v>PURE-LOOK</v>
      </c>
      <c r="J429" s="11"/>
      <c r="K429" s="11"/>
      <c r="L429" s="11"/>
      <c r="M429" s="11"/>
      <c r="N429" s="11"/>
      <c r="O429" s="11"/>
      <c r="P429" s="11"/>
      <c r="Q429" s="35"/>
      <c r="R429" s="23"/>
    </row>
    <row r="430" spans="1:18" ht="17.25" x14ac:dyDescent="0.3">
      <c r="A430" s="1" t="s">
        <v>78</v>
      </c>
      <c r="H430" s="1" t="str">
        <f>H429</f>
        <v>"Business Central","CRONUS JetCorp USA","23","1","V100023"</v>
      </c>
      <c r="I430" s="22" t="str">
        <f>"Rob Caron"</f>
        <v>Rob Caron</v>
      </c>
      <c r="J430" s="11"/>
      <c r="K430" s="11"/>
      <c r="L430" s="11"/>
      <c r="M430" s="11"/>
      <c r="N430" s="44" t="s">
        <v>22</v>
      </c>
      <c r="O430" s="44"/>
      <c r="P430" s="44"/>
      <c r="Q430" s="42" t="s">
        <v>23</v>
      </c>
      <c r="R430" s="43"/>
    </row>
    <row r="431" spans="1:18" x14ac:dyDescent="0.3">
      <c r="A431" s="1" t="s">
        <v>78</v>
      </c>
      <c r="I431" s="45"/>
      <c r="J431" s="46"/>
      <c r="K431" s="40"/>
      <c r="L431" s="47"/>
      <c r="M431" s="40"/>
      <c r="N431" s="66"/>
      <c r="O431" s="67"/>
      <c r="P431" s="67" t="s">
        <v>20</v>
      </c>
      <c r="Q431" s="68"/>
      <c r="R431" s="69" t="s">
        <v>20</v>
      </c>
    </row>
    <row r="432" spans="1:18" x14ac:dyDescent="0.3">
      <c r="A432" s="1" t="s">
        <v>78</v>
      </c>
      <c r="D432" s="1" t="s">
        <v>16</v>
      </c>
      <c r="E432" s="1" t="s">
        <v>32</v>
      </c>
      <c r="F432" s="1" t="s">
        <v>14</v>
      </c>
      <c r="G432" s="13" t="s">
        <v>14</v>
      </c>
      <c r="I432" s="48"/>
      <c r="J432" s="49" t="s">
        <v>7</v>
      </c>
      <c r="K432" s="49" t="s">
        <v>11</v>
      </c>
      <c r="L432" s="50" t="s">
        <v>2</v>
      </c>
      <c r="M432" s="50" t="s">
        <v>3</v>
      </c>
      <c r="N432" s="70" t="s">
        <v>21</v>
      </c>
      <c r="O432" s="71" t="s">
        <v>19</v>
      </c>
      <c r="P432" s="72" t="s">
        <v>16</v>
      </c>
      <c r="Q432" s="73" t="s">
        <v>12</v>
      </c>
      <c r="R432" s="74" t="s">
        <v>12</v>
      </c>
    </row>
    <row r="433" spans="1:18" x14ac:dyDescent="0.3">
      <c r="A433" s="1" t="s">
        <v>78</v>
      </c>
      <c r="D433" s="1" t="str">
        <f t="shared" ref="D433" si="620">H433</f>
        <v>"Business Central","CRONUS JetCorp USA","25","1","1831"</v>
      </c>
      <c r="E433" s="1" t="str">
        <f t="shared" ref="E433" si="621">I428</f>
        <v>V100023</v>
      </c>
      <c r="G433" s="1">
        <v>1831</v>
      </c>
      <c r="H433" s="9" t="str">
        <f>"""Business Central"",""CRONUS JetCorp USA"",""25"",""1"",""1831"""</f>
        <v>"Business Central","CRONUS JetCorp USA","25","1","1831"</v>
      </c>
      <c r="I433" s="51"/>
      <c r="J433" s="52" t="str">
        <f>"Order PO102506"</f>
        <v>Order PO102506</v>
      </c>
      <c r="K433" s="52" t="str">
        <f>"PI_102505"</f>
        <v>PI_102505</v>
      </c>
      <c r="L433" s="53">
        <v>42735</v>
      </c>
      <c r="M433" s="53">
        <v>42705</v>
      </c>
      <c r="N433" s="57" t="str">
        <f>"EUR"</f>
        <v>EUR</v>
      </c>
      <c r="O433" s="75">
        <v>-33838.81</v>
      </c>
      <c r="P433" s="76">
        <v>0</v>
      </c>
      <c r="Q433" s="77">
        <v>-45032.67</v>
      </c>
      <c r="R433" s="78">
        <v>0</v>
      </c>
    </row>
    <row r="434" spans="1:18" x14ac:dyDescent="0.3">
      <c r="A434" s="1" t="s">
        <v>78</v>
      </c>
      <c r="B434" s="1" t="str">
        <f t="shared" ref="B434" si="622">IF(H434="","Hide","Show")</f>
        <v>Show</v>
      </c>
      <c r="D434" s="1" t="str">
        <f t="shared" ref="D434" si="623">D433</f>
        <v>"Business Central","CRONUS JetCorp USA","25","1","1831"</v>
      </c>
      <c r="E434" s="1" t="str">
        <f t="shared" ref="E434" si="624">E433</f>
        <v>V100023</v>
      </c>
      <c r="F434" s="1">
        <v>1831</v>
      </c>
      <c r="H434" s="9" t="str">
        <f>"""Business Central"",""CRONUS JetCorp USA"",""380"",""1"",""188"""</f>
        <v>"Business Central","CRONUS JetCorp USA","380","1","188"</v>
      </c>
      <c r="I434" s="48"/>
      <c r="J434" s="41" t="str">
        <f>"Payment"</f>
        <v>Payment</v>
      </c>
      <c r="K434" s="41" t="str">
        <f>"GP100317"</f>
        <v>GP100317</v>
      </c>
      <c r="L434" s="54"/>
      <c r="M434" s="54">
        <v>42397</v>
      </c>
      <c r="N434" s="57" t="str">
        <f>"EUR"</f>
        <v>EUR</v>
      </c>
      <c r="O434" s="75">
        <v>33838.81</v>
      </c>
      <c r="P434" s="76">
        <v>33838.81</v>
      </c>
      <c r="Q434" s="77">
        <v>45032.67</v>
      </c>
      <c r="R434" s="78">
        <v>0</v>
      </c>
    </row>
    <row r="435" spans="1:18" ht="9" customHeight="1" x14ac:dyDescent="0.3">
      <c r="A435" s="1" t="s">
        <v>78</v>
      </c>
      <c r="I435" s="48"/>
      <c r="J435" s="41"/>
      <c r="K435" s="41"/>
      <c r="L435" s="54"/>
      <c r="M435" s="54"/>
      <c r="N435" s="61"/>
      <c r="O435" s="60"/>
      <c r="P435" s="58"/>
      <c r="Q435" s="59"/>
      <c r="R435" s="56"/>
    </row>
    <row r="436" spans="1:18" x14ac:dyDescent="0.3">
      <c r="A436" s="1" t="s">
        <v>78</v>
      </c>
      <c r="I436" s="48"/>
      <c r="J436" s="41"/>
      <c r="K436" s="41"/>
      <c r="L436" s="54"/>
      <c r="M436" s="54"/>
      <c r="N436" s="61"/>
      <c r="O436" s="62"/>
      <c r="P436" s="63"/>
      <c r="Q436" s="64"/>
      <c r="R436" s="65"/>
    </row>
    <row r="437" spans="1:18" ht="17.25" x14ac:dyDescent="0.3">
      <c r="A437" s="1" t="s">
        <v>78</v>
      </c>
      <c r="I437" s="24"/>
      <c r="J437" s="25"/>
      <c r="K437" s="26"/>
      <c r="L437" s="27"/>
      <c r="M437" s="26"/>
      <c r="N437" s="26"/>
      <c r="O437" s="26"/>
      <c r="P437" s="26"/>
      <c r="Q437" s="37" t="str">
        <f>CONCATENATE(I428," - ",I429,"      Remaining Amount  In Local Currency")</f>
        <v>V100023 - PURE-LOOK      Remaining Amount  In Local Currency</v>
      </c>
      <c r="R437" s="39">
        <f>SUBTOTAL(9,R433:R436)</f>
        <v>0</v>
      </c>
    </row>
    <row r="438" spans="1:18" ht="17.25" x14ac:dyDescent="0.3">
      <c r="A438" s="1" t="s">
        <v>78</v>
      </c>
      <c r="H438" s="9" t="str">
        <f>"""Business Central"",""CRONUS JetCorp USA"",""23"",""1"",""V100025"""</f>
        <v>"Business Central","CRONUS JetCorp USA","23","1","V100025"</v>
      </c>
      <c r="I438" s="21" t="str">
        <f>"V100025"</f>
        <v>V100025</v>
      </c>
      <c r="J438" s="28"/>
      <c r="K438" s="29"/>
      <c r="L438" s="30"/>
      <c r="M438" s="29"/>
      <c r="N438" s="29"/>
      <c r="O438" s="20"/>
      <c r="P438" s="31"/>
      <c r="Q438" s="34"/>
      <c r="R438" s="38"/>
    </row>
    <row r="439" spans="1:18" ht="17.25" x14ac:dyDescent="0.3">
      <c r="A439" s="1" t="s">
        <v>78</v>
      </c>
      <c r="H439" s="1" t="str">
        <f>H438</f>
        <v>"Business Central","CRONUS JetCorp USA","23","1","V100025"</v>
      </c>
      <c r="I439" s="22" t="str">
        <f>"Club Euroamis"</f>
        <v>Club Euroamis</v>
      </c>
      <c r="J439" s="11"/>
      <c r="K439" s="11"/>
      <c r="L439" s="11"/>
      <c r="M439" s="11"/>
      <c r="N439" s="11"/>
      <c r="O439" s="11"/>
      <c r="P439" s="11"/>
      <c r="Q439" s="35"/>
      <c r="R439" s="23"/>
    </row>
    <row r="440" spans="1:18" ht="17.25" x14ac:dyDescent="0.3">
      <c r="A440" s="1" t="s">
        <v>78</v>
      </c>
      <c r="H440" s="1" t="str">
        <f>H439</f>
        <v>"Business Central","CRONUS JetCorp USA","23","1","V100025"</v>
      </c>
      <c r="I440" s="22" t="str">
        <f>"M. Francois GERARD"</f>
        <v>M. Francois GERARD</v>
      </c>
      <c r="J440" s="11"/>
      <c r="K440" s="11"/>
      <c r="L440" s="11"/>
      <c r="M440" s="11"/>
      <c r="N440" s="44" t="s">
        <v>22</v>
      </c>
      <c r="O440" s="44"/>
      <c r="P440" s="44"/>
      <c r="Q440" s="42" t="s">
        <v>23</v>
      </c>
      <c r="R440" s="43"/>
    </row>
    <row r="441" spans="1:18" x14ac:dyDescent="0.3">
      <c r="A441" s="1" t="s">
        <v>78</v>
      </c>
      <c r="I441" s="45"/>
      <c r="J441" s="46"/>
      <c r="K441" s="40"/>
      <c r="L441" s="47"/>
      <c r="M441" s="40"/>
      <c r="N441" s="66"/>
      <c r="O441" s="67"/>
      <c r="P441" s="67" t="s">
        <v>20</v>
      </c>
      <c r="Q441" s="68"/>
      <c r="R441" s="69" t="s">
        <v>20</v>
      </c>
    </row>
    <row r="442" spans="1:18" x14ac:dyDescent="0.3">
      <c r="A442" s="1" t="s">
        <v>78</v>
      </c>
      <c r="D442" s="1" t="s">
        <v>16</v>
      </c>
      <c r="E442" s="1" t="s">
        <v>32</v>
      </c>
      <c r="F442" s="1" t="s">
        <v>14</v>
      </c>
      <c r="G442" s="13" t="s">
        <v>14</v>
      </c>
      <c r="I442" s="48"/>
      <c r="J442" s="49" t="s">
        <v>7</v>
      </c>
      <c r="K442" s="49" t="s">
        <v>11</v>
      </c>
      <c r="L442" s="50" t="s">
        <v>2</v>
      </c>
      <c r="M442" s="50" t="s">
        <v>3</v>
      </c>
      <c r="N442" s="70" t="s">
        <v>21</v>
      </c>
      <c r="O442" s="71" t="s">
        <v>19</v>
      </c>
      <c r="P442" s="72" t="s">
        <v>16</v>
      </c>
      <c r="Q442" s="73" t="s">
        <v>12</v>
      </c>
      <c r="R442" s="74" t="s">
        <v>12</v>
      </c>
    </row>
    <row r="443" spans="1:18" x14ac:dyDescent="0.3">
      <c r="A443" s="1" t="s">
        <v>78</v>
      </c>
      <c r="D443" s="1" t="str">
        <f t="shared" ref="D443" si="625">H443</f>
        <v>"Business Central","CRONUS JetCorp USA","25","1","2167"</v>
      </c>
      <c r="E443" s="1" t="str">
        <f t="shared" ref="E443" si="626">I438</f>
        <v>V100025</v>
      </c>
      <c r="G443" s="1">
        <v>2167</v>
      </c>
      <c r="H443" s="9" t="str">
        <f>"""Business Central"",""CRONUS JetCorp USA"",""25"",""1"",""2167"""</f>
        <v>"Business Central","CRONUS JetCorp USA","25","1","2167"</v>
      </c>
      <c r="I443" s="51"/>
      <c r="J443" s="52" t="str">
        <f>"Order PO102514"</f>
        <v>Order PO102514</v>
      </c>
      <c r="K443" s="52" t="str">
        <f>"PI_102513"</f>
        <v>PI_102513</v>
      </c>
      <c r="L443" s="53">
        <v>42735</v>
      </c>
      <c r="M443" s="53">
        <v>42705</v>
      </c>
      <c r="N443" s="57" t="str">
        <f>"EUR"</f>
        <v>EUR</v>
      </c>
      <c r="O443" s="75">
        <v>-24198.160000000003</v>
      </c>
      <c r="P443" s="76">
        <v>0</v>
      </c>
      <c r="Q443" s="77">
        <v>-32202.9</v>
      </c>
      <c r="R443" s="78">
        <v>0</v>
      </c>
    </row>
    <row r="444" spans="1:18" x14ac:dyDescent="0.3">
      <c r="A444" s="1" t="s">
        <v>78</v>
      </c>
      <c r="B444" s="1" t="str">
        <f t="shared" ref="B444" si="627">IF(H444="","Hide","Show")</f>
        <v>Show</v>
      </c>
      <c r="D444" s="1" t="str">
        <f t="shared" ref="D444" si="628">D443</f>
        <v>"Business Central","CRONUS JetCorp USA","25","1","2167"</v>
      </c>
      <c r="E444" s="1" t="str">
        <f t="shared" ref="E444" si="629">E443</f>
        <v>V100025</v>
      </c>
      <c r="F444" s="1">
        <v>2167</v>
      </c>
      <c r="H444" s="9" t="str">
        <f>"""Business Central"",""CRONUS JetCorp USA"",""380"",""1"",""191"""</f>
        <v>"Business Central","CRONUS JetCorp USA","380","1","191"</v>
      </c>
      <c r="I444" s="48"/>
      <c r="J444" s="41" t="str">
        <f>"Payment"</f>
        <v>Payment</v>
      </c>
      <c r="K444" s="41" t="str">
        <f>"GP100318"</f>
        <v>GP100318</v>
      </c>
      <c r="L444" s="54"/>
      <c r="M444" s="54">
        <v>42400</v>
      </c>
      <c r="N444" s="57" t="str">
        <f>"EUR"</f>
        <v>EUR</v>
      </c>
      <c r="O444" s="75">
        <v>24198.160000000003</v>
      </c>
      <c r="P444" s="76">
        <v>24198.160000000003</v>
      </c>
      <c r="Q444" s="77">
        <v>32202.9</v>
      </c>
      <c r="R444" s="78">
        <v>0</v>
      </c>
    </row>
    <row r="445" spans="1:18" ht="9" customHeight="1" x14ac:dyDescent="0.3">
      <c r="A445" s="1" t="s">
        <v>78</v>
      </c>
      <c r="I445" s="48"/>
      <c r="J445" s="41"/>
      <c r="K445" s="41"/>
      <c r="L445" s="54"/>
      <c r="M445" s="54"/>
      <c r="N445" s="61"/>
      <c r="O445" s="60"/>
      <c r="P445" s="58"/>
      <c r="Q445" s="59"/>
      <c r="R445" s="56"/>
    </row>
    <row r="446" spans="1:18" x14ac:dyDescent="0.3">
      <c r="A446" s="1" t="s">
        <v>78</v>
      </c>
      <c r="D446" s="1" t="str">
        <f t="shared" ref="D446" si="630">H446</f>
        <v>"Business Central","CRONUS JetCorp USA","25","1","2587"</v>
      </c>
      <c r="E446" s="1">
        <f t="shared" ref="E446" si="631">I441</f>
        <v>0</v>
      </c>
      <c r="G446" s="1">
        <v>2587</v>
      </c>
      <c r="H446" s="9" t="str">
        <f>"""Business Central"",""CRONUS JetCorp USA"",""25"",""1"",""2587"""</f>
        <v>"Business Central","CRONUS JetCorp USA","25","1","2587"</v>
      </c>
      <c r="I446" s="51"/>
      <c r="J446" s="52" t="str">
        <f>"Order PO102524"</f>
        <v>Order PO102524</v>
      </c>
      <c r="K446" s="52" t="str">
        <f>"PI_102523"</f>
        <v>PI_102523</v>
      </c>
      <c r="L446" s="53">
        <v>42735</v>
      </c>
      <c r="M446" s="53">
        <v>42705</v>
      </c>
      <c r="N446" s="57" t="str">
        <f>"EUR"</f>
        <v>EUR</v>
      </c>
      <c r="O446" s="75">
        <v>-20877.919999999998</v>
      </c>
      <c r="P446" s="76">
        <v>0</v>
      </c>
      <c r="Q446" s="77">
        <v>-27784.33</v>
      </c>
      <c r="R446" s="78">
        <v>0</v>
      </c>
    </row>
    <row r="447" spans="1:18" x14ac:dyDescent="0.3">
      <c r="A447" s="1" t="s">
        <v>78</v>
      </c>
      <c r="B447" s="1" t="str">
        <f t="shared" ref="B447" si="632">IF(H447="","Hide","Show")</f>
        <v>Show</v>
      </c>
      <c r="D447" s="1" t="str">
        <f t="shared" ref="D447" si="633">D446</f>
        <v>"Business Central","CRONUS JetCorp USA","25","1","2587"</v>
      </c>
      <c r="E447" s="1">
        <f t="shared" ref="E447" si="634">E446</f>
        <v>0</v>
      </c>
      <c r="F447" s="1">
        <v>2587</v>
      </c>
      <c r="H447" s="9" t="str">
        <f>"""Business Central"",""CRONUS JetCorp USA"",""380"",""1"",""193"""</f>
        <v>"Business Central","CRONUS JetCorp USA","380","1","193"</v>
      </c>
      <c r="I447" s="48"/>
      <c r="J447" s="41" t="str">
        <f>"Payment"</f>
        <v>Payment</v>
      </c>
      <c r="K447" s="41" t="str">
        <f>"GP100318"</f>
        <v>GP100318</v>
      </c>
      <c r="L447" s="54"/>
      <c r="M447" s="54">
        <v>42400</v>
      </c>
      <c r="N447" s="57" t="str">
        <f>"EUR"</f>
        <v>EUR</v>
      </c>
      <c r="O447" s="75">
        <v>20877.919999999998</v>
      </c>
      <c r="P447" s="76">
        <v>20877.919999999998</v>
      </c>
      <c r="Q447" s="77">
        <v>27784.33</v>
      </c>
      <c r="R447" s="78">
        <v>0</v>
      </c>
    </row>
    <row r="448" spans="1:18" ht="9" customHeight="1" x14ac:dyDescent="0.3">
      <c r="A448" s="1" t="s">
        <v>78</v>
      </c>
      <c r="I448" s="48"/>
      <c r="J448" s="41"/>
      <c r="K448" s="41"/>
      <c r="L448" s="54"/>
      <c r="M448" s="54"/>
      <c r="N448" s="61"/>
      <c r="O448" s="60"/>
      <c r="P448" s="58"/>
      <c r="Q448" s="59"/>
      <c r="R448" s="56"/>
    </row>
    <row r="449" spans="1:18" x14ac:dyDescent="0.3">
      <c r="A449" s="1" t="s">
        <v>78</v>
      </c>
      <c r="I449" s="48"/>
      <c r="J449" s="41"/>
      <c r="K449" s="41"/>
      <c r="L449" s="54"/>
      <c r="M449" s="54"/>
      <c r="N449" s="61"/>
      <c r="O449" s="62"/>
      <c r="P449" s="63"/>
      <c r="Q449" s="64"/>
      <c r="R449" s="65"/>
    </row>
    <row r="450" spans="1:18" ht="17.25" x14ac:dyDescent="0.3">
      <c r="A450" s="1" t="s">
        <v>78</v>
      </c>
      <c r="I450" s="24"/>
      <c r="J450" s="25"/>
      <c r="K450" s="26"/>
      <c r="L450" s="27"/>
      <c r="M450" s="26"/>
      <c r="N450" s="26"/>
      <c r="O450" s="26"/>
      <c r="P450" s="26"/>
      <c r="Q450" s="37" t="str">
        <f>CONCATENATE(I438," - ",I439,"      Remaining Amount  In Local Currency")</f>
        <v>V100025 - Club Euroamis      Remaining Amount  In Local Currency</v>
      </c>
      <c r="R450" s="39">
        <f>SUBTOTAL(9,R443:R449)</f>
        <v>0</v>
      </c>
    </row>
    <row r="451" spans="1:18" ht="17.25" x14ac:dyDescent="0.3">
      <c r="A451" s="1" t="s">
        <v>78</v>
      </c>
      <c r="H451" s="9" t="str">
        <f>"""Business Central"",""CRONUS JetCorp USA"",""23"",""1"",""V100040"""</f>
        <v>"Business Central","CRONUS JetCorp USA","23","1","V100040"</v>
      </c>
      <c r="I451" s="21" t="str">
        <f>"V100040"</f>
        <v>V100040</v>
      </c>
      <c r="J451" s="28"/>
      <c r="K451" s="29"/>
      <c r="L451" s="30"/>
      <c r="M451" s="29"/>
      <c r="N451" s="29"/>
      <c r="O451" s="20"/>
      <c r="P451" s="31"/>
      <c r="Q451" s="34"/>
      <c r="R451" s="38"/>
    </row>
    <row r="452" spans="1:18" ht="17.25" x14ac:dyDescent="0.3">
      <c r="A452" s="1" t="s">
        <v>78</v>
      </c>
      <c r="H452" s="1" t="str">
        <f>H451</f>
        <v>"Business Central","CRONUS JetCorp USA","23","1","V100040"</v>
      </c>
      <c r="I452" s="22" t="str">
        <f>"Technische Betriebe Rotkreuz"</f>
        <v>Technische Betriebe Rotkreuz</v>
      </c>
      <c r="J452" s="11"/>
      <c r="K452" s="11"/>
      <c r="L452" s="11"/>
      <c r="M452" s="11"/>
      <c r="N452" s="11"/>
      <c r="O452" s="11"/>
      <c r="P452" s="11"/>
      <c r="Q452" s="35"/>
      <c r="R452" s="23"/>
    </row>
    <row r="453" spans="1:18" ht="17.25" x14ac:dyDescent="0.3">
      <c r="A453" s="1" t="s">
        <v>78</v>
      </c>
      <c r="H453" s="1" t="str">
        <f>H452</f>
        <v>"Business Central","CRONUS JetCorp USA","23","1","V100040"</v>
      </c>
      <c r="I453" s="22" t="str">
        <f>"Herrn Michael Ruggiero"</f>
        <v>Herrn Michael Ruggiero</v>
      </c>
      <c r="J453" s="11"/>
      <c r="K453" s="11"/>
      <c r="L453" s="11"/>
      <c r="M453" s="11"/>
      <c r="N453" s="44" t="s">
        <v>22</v>
      </c>
      <c r="O453" s="44"/>
      <c r="P453" s="44"/>
      <c r="Q453" s="42" t="s">
        <v>23</v>
      </c>
      <c r="R453" s="43"/>
    </row>
    <row r="454" spans="1:18" x14ac:dyDescent="0.3">
      <c r="A454" s="1" t="s">
        <v>78</v>
      </c>
      <c r="I454" s="45"/>
      <c r="J454" s="46"/>
      <c r="K454" s="40"/>
      <c r="L454" s="47"/>
      <c r="M454" s="40"/>
      <c r="N454" s="66"/>
      <c r="O454" s="67"/>
      <c r="P454" s="67" t="s">
        <v>20</v>
      </c>
      <c r="Q454" s="68"/>
      <c r="R454" s="69" t="s">
        <v>20</v>
      </c>
    </row>
    <row r="455" spans="1:18" x14ac:dyDescent="0.3">
      <c r="A455" s="1" t="s">
        <v>78</v>
      </c>
      <c r="D455" s="1" t="s">
        <v>16</v>
      </c>
      <c r="E455" s="1" t="s">
        <v>32</v>
      </c>
      <c r="F455" s="1" t="s">
        <v>14</v>
      </c>
      <c r="G455" s="13" t="s">
        <v>14</v>
      </c>
      <c r="I455" s="48"/>
      <c r="J455" s="49" t="s">
        <v>7</v>
      </c>
      <c r="K455" s="49" t="s">
        <v>11</v>
      </c>
      <c r="L455" s="50" t="s">
        <v>2</v>
      </c>
      <c r="M455" s="50" t="s">
        <v>3</v>
      </c>
      <c r="N455" s="70" t="s">
        <v>21</v>
      </c>
      <c r="O455" s="71" t="s">
        <v>19</v>
      </c>
      <c r="P455" s="72" t="s">
        <v>16</v>
      </c>
      <c r="Q455" s="73" t="s">
        <v>12</v>
      </c>
      <c r="R455" s="74" t="s">
        <v>12</v>
      </c>
    </row>
    <row r="456" spans="1:18" x14ac:dyDescent="0.3">
      <c r="A456" s="1" t="s">
        <v>78</v>
      </c>
      <c r="D456" s="1" t="str">
        <f t="shared" ref="D456" si="635">H456</f>
        <v>"Business Central","CRONUS JetCorp USA","25","1","109"</v>
      </c>
      <c r="E456" s="1" t="str">
        <f t="shared" ref="E456" si="636">I451</f>
        <v>V100040</v>
      </c>
      <c r="G456" s="1">
        <v>109</v>
      </c>
      <c r="H456" s="9" t="str">
        <f>"""Business Central"",""CRONUS JetCorp USA"",""25"",""1"",""109"""</f>
        <v>"Business Central","CRONUS JetCorp USA","25","1","109"</v>
      </c>
      <c r="I456" s="51"/>
      <c r="J456" s="52" t="str">
        <f>"Order PO102465"</f>
        <v>Order PO102465</v>
      </c>
      <c r="K456" s="52" t="str">
        <f>"PI_102464"</f>
        <v>PI_102464</v>
      </c>
      <c r="L456" s="53">
        <v>42735</v>
      </c>
      <c r="M456" s="53">
        <v>42705</v>
      </c>
      <c r="N456" s="57" t="str">
        <f>"CHF"</f>
        <v>CHF</v>
      </c>
      <c r="O456" s="75">
        <v>-66301.119999999995</v>
      </c>
      <c r="P456" s="76">
        <v>0</v>
      </c>
      <c r="Q456" s="77">
        <v>-68246.13</v>
      </c>
      <c r="R456" s="78">
        <v>0</v>
      </c>
    </row>
    <row r="457" spans="1:18" x14ac:dyDescent="0.3">
      <c r="A457" s="1" t="s">
        <v>78</v>
      </c>
      <c r="B457" s="1" t="str">
        <f t="shared" ref="B457" si="637">IF(H457="","Hide","Show")</f>
        <v>Show</v>
      </c>
      <c r="D457" s="1" t="str">
        <f t="shared" ref="D457" si="638">D456</f>
        <v>"Business Central","CRONUS JetCorp USA","25","1","109"</v>
      </c>
      <c r="E457" s="1" t="str">
        <f t="shared" ref="E457" si="639">E456</f>
        <v>V100040</v>
      </c>
      <c r="F457" s="1">
        <v>109</v>
      </c>
      <c r="H457" s="9" t="str">
        <f>"""Business Central"",""CRONUS JetCorp USA"",""380"",""1"",""196"""</f>
        <v>"Business Central","CRONUS JetCorp USA","380","1","196"</v>
      </c>
      <c r="I457" s="48"/>
      <c r="J457" s="41" t="str">
        <f>"Payment"</f>
        <v>Payment</v>
      </c>
      <c r="K457" s="41" t="str">
        <f>"GP100319"</f>
        <v>GP100319</v>
      </c>
      <c r="L457" s="54"/>
      <c r="M457" s="54">
        <v>42374</v>
      </c>
      <c r="N457" s="57" t="str">
        <f>"CHF"</f>
        <v>CHF</v>
      </c>
      <c r="O457" s="75">
        <v>66301.119999999995</v>
      </c>
      <c r="P457" s="76">
        <v>66301.119999999995</v>
      </c>
      <c r="Q457" s="77">
        <v>68246.13</v>
      </c>
      <c r="R457" s="78">
        <v>0</v>
      </c>
    </row>
    <row r="458" spans="1:18" ht="9" customHeight="1" x14ac:dyDescent="0.3">
      <c r="A458" s="1" t="s">
        <v>78</v>
      </c>
      <c r="I458" s="48"/>
      <c r="J458" s="41"/>
      <c r="K458" s="41"/>
      <c r="L458" s="54"/>
      <c r="M458" s="54"/>
      <c r="N458" s="61"/>
      <c r="O458" s="60"/>
      <c r="P458" s="58"/>
      <c r="Q458" s="59"/>
      <c r="R458" s="56"/>
    </row>
    <row r="459" spans="1:18" x14ac:dyDescent="0.3">
      <c r="A459" s="1" t="s">
        <v>78</v>
      </c>
      <c r="D459" s="1" t="str">
        <f t="shared" ref="D459:D476" si="640">H459</f>
        <v>"Business Central","CRONUS JetCorp USA","25","1","571"</v>
      </c>
      <c r="E459" s="1">
        <f t="shared" ref="E459" si="641">I454</f>
        <v>0</v>
      </c>
      <c r="G459" s="1">
        <v>571</v>
      </c>
      <c r="H459" s="9" t="str">
        <f>"""Business Central"",""CRONUS JetCorp USA"",""25"",""1"",""571"""</f>
        <v>"Business Central","CRONUS JetCorp USA","25","1","571"</v>
      </c>
      <c r="I459" s="51"/>
      <c r="J459" s="52" t="str">
        <f>"Order PO102476"</f>
        <v>Order PO102476</v>
      </c>
      <c r="K459" s="52" t="str">
        <f>"PI_102475"</f>
        <v>PI_102475</v>
      </c>
      <c r="L459" s="53">
        <v>42735</v>
      </c>
      <c r="M459" s="53">
        <v>42705</v>
      </c>
      <c r="N459" s="57" t="str">
        <f>"CHF"</f>
        <v>CHF</v>
      </c>
      <c r="O459" s="75">
        <v>-121104.07</v>
      </c>
      <c r="P459" s="76">
        <v>0</v>
      </c>
      <c r="Q459" s="77">
        <v>-124656.79000000001</v>
      </c>
      <c r="R459" s="78">
        <v>0</v>
      </c>
    </row>
    <row r="460" spans="1:18" x14ac:dyDescent="0.3">
      <c r="A460" s="1" t="s">
        <v>78</v>
      </c>
      <c r="B460" s="1" t="str">
        <f t="shared" ref="B460:B476" si="642">IF(H460="","Hide","Show")</f>
        <v>Show</v>
      </c>
      <c r="D460" s="1" t="str">
        <f t="shared" ref="D460:D476" si="643">D459</f>
        <v>"Business Central","CRONUS JetCorp USA","25","1","571"</v>
      </c>
      <c r="E460" s="1">
        <f t="shared" ref="E460:E476" si="644">E459</f>
        <v>0</v>
      </c>
      <c r="F460" s="1">
        <v>571</v>
      </c>
      <c r="H460" s="9" t="str">
        <f>"""Business Central"",""CRONUS JetCorp USA"",""380"",""1"",""198"""</f>
        <v>"Business Central","CRONUS JetCorp USA","380","1","198"</v>
      </c>
      <c r="I460" s="48"/>
      <c r="J460" s="41" t="str">
        <f>"Payment"</f>
        <v>Payment</v>
      </c>
      <c r="K460" s="41" t="str">
        <f>"GP100319"</f>
        <v>GP100319</v>
      </c>
      <c r="L460" s="54"/>
      <c r="M460" s="54">
        <v>42374</v>
      </c>
      <c r="N460" s="57" t="str">
        <f>"CHF"</f>
        <v>CHF</v>
      </c>
      <c r="O460" s="75">
        <v>121104.07</v>
      </c>
      <c r="P460" s="76">
        <v>121104.07</v>
      </c>
      <c r="Q460" s="77">
        <v>124656.79000000001</v>
      </c>
      <c r="R460" s="78">
        <v>0</v>
      </c>
    </row>
    <row r="461" spans="1:18" ht="9" customHeight="1" x14ac:dyDescent="0.3">
      <c r="A461" s="1" t="s">
        <v>78</v>
      </c>
      <c r="I461" s="48"/>
      <c r="J461" s="41"/>
      <c r="K461" s="41"/>
      <c r="L461" s="54"/>
      <c r="M461" s="54"/>
      <c r="N461" s="61"/>
      <c r="O461" s="60"/>
      <c r="P461" s="58"/>
      <c r="Q461" s="59"/>
      <c r="R461" s="56"/>
    </row>
    <row r="462" spans="1:18" x14ac:dyDescent="0.3">
      <c r="A462" s="1" t="s">
        <v>78</v>
      </c>
      <c r="D462" s="1" t="str">
        <f t="shared" ref="D462:D476" si="645">H462</f>
        <v>"Business Central","CRONUS JetCorp USA","25","1","991"</v>
      </c>
      <c r="E462" s="1">
        <f t="shared" ref="E462" si="646">I457</f>
        <v>0</v>
      </c>
      <c r="G462" s="1">
        <v>991</v>
      </c>
      <c r="H462" s="9" t="str">
        <f>"""Business Central"",""CRONUS JetCorp USA"",""25"",""1"",""991"""</f>
        <v>"Business Central","CRONUS JetCorp USA","25","1","991"</v>
      </c>
      <c r="I462" s="51"/>
      <c r="J462" s="52" t="str">
        <f>"Order PO102486"</f>
        <v>Order PO102486</v>
      </c>
      <c r="K462" s="52" t="str">
        <f>"PI_102485"</f>
        <v>PI_102485</v>
      </c>
      <c r="L462" s="53">
        <v>42735</v>
      </c>
      <c r="M462" s="53">
        <v>42705</v>
      </c>
      <c r="N462" s="57" t="str">
        <f>"CHF"</f>
        <v>CHF</v>
      </c>
      <c r="O462" s="75">
        <v>-27567.399999999998</v>
      </c>
      <c r="P462" s="76">
        <v>0</v>
      </c>
      <c r="Q462" s="77">
        <v>-28376.12</v>
      </c>
      <c r="R462" s="78">
        <v>0</v>
      </c>
    </row>
    <row r="463" spans="1:18" x14ac:dyDescent="0.3">
      <c r="A463" s="1" t="s">
        <v>78</v>
      </c>
      <c r="B463" s="1" t="str">
        <f t="shared" ref="B463:B476" si="647">IF(H463="","Hide","Show")</f>
        <v>Show</v>
      </c>
      <c r="D463" s="1" t="str">
        <f t="shared" ref="D463:D476" si="648">D462</f>
        <v>"Business Central","CRONUS JetCorp USA","25","1","991"</v>
      </c>
      <c r="E463" s="1">
        <f t="shared" ref="E463:E476" si="649">E462</f>
        <v>0</v>
      </c>
      <c r="F463" s="1">
        <v>991</v>
      </c>
      <c r="H463" s="9" t="str">
        <f>"""Business Central"",""CRONUS JetCorp USA"",""380"",""1"",""199"""</f>
        <v>"Business Central","CRONUS JetCorp USA","380","1","199"</v>
      </c>
      <c r="I463" s="48"/>
      <c r="J463" s="41" t="str">
        <f>"Payment"</f>
        <v>Payment</v>
      </c>
      <c r="K463" s="41" t="str">
        <f>"GP100319"</f>
        <v>GP100319</v>
      </c>
      <c r="L463" s="54"/>
      <c r="M463" s="54">
        <v>42374</v>
      </c>
      <c r="N463" s="57" t="str">
        <f>"CHF"</f>
        <v>CHF</v>
      </c>
      <c r="O463" s="75">
        <v>27567.399999999998</v>
      </c>
      <c r="P463" s="76">
        <v>27567.399999999998</v>
      </c>
      <c r="Q463" s="77">
        <v>28376.12</v>
      </c>
      <c r="R463" s="78">
        <v>0</v>
      </c>
    </row>
    <row r="464" spans="1:18" ht="9" customHeight="1" x14ac:dyDescent="0.3">
      <c r="A464" s="1" t="s">
        <v>78</v>
      </c>
      <c r="I464" s="48"/>
      <c r="J464" s="41"/>
      <c r="K464" s="41"/>
      <c r="L464" s="54"/>
      <c r="M464" s="54"/>
      <c r="N464" s="61"/>
      <c r="O464" s="60"/>
      <c r="P464" s="58"/>
      <c r="Q464" s="59"/>
      <c r="R464" s="56"/>
    </row>
    <row r="465" spans="1:18" x14ac:dyDescent="0.3">
      <c r="A465" s="1" t="s">
        <v>78</v>
      </c>
      <c r="D465" s="1" t="str">
        <f t="shared" ref="D465:D476" si="650">H465</f>
        <v>"Business Central","CRONUS JetCorp USA","25","1","1453"</v>
      </c>
      <c r="E465" s="1">
        <f t="shared" ref="E465" si="651">I460</f>
        <v>0</v>
      </c>
      <c r="G465" s="1">
        <v>1453</v>
      </c>
      <c r="H465" s="9" t="str">
        <f>"""Business Central"",""CRONUS JetCorp USA"",""25"",""1"",""1453"""</f>
        <v>"Business Central","CRONUS JetCorp USA","25","1","1453"</v>
      </c>
      <c r="I465" s="51"/>
      <c r="J465" s="52" t="str">
        <f>"Order PO102497"</f>
        <v>Order PO102497</v>
      </c>
      <c r="K465" s="52" t="str">
        <f>"PI_102496"</f>
        <v>PI_102496</v>
      </c>
      <c r="L465" s="53">
        <v>42735</v>
      </c>
      <c r="M465" s="53">
        <v>42705</v>
      </c>
      <c r="N465" s="57" t="str">
        <f>"CHF"</f>
        <v>CHF</v>
      </c>
      <c r="O465" s="75">
        <v>-19437.099999999999</v>
      </c>
      <c r="P465" s="76">
        <v>0</v>
      </c>
      <c r="Q465" s="77">
        <v>-20007.310000000001</v>
      </c>
      <c r="R465" s="78">
        <v>0</v>
      </c>
    </row>
    <row r="466" spans="1:18" x14ac:dyDescent="0.3">
      <c r="A466" s="1" t="s">
        <v>78</v>
      </c>
      <c r="B466" s="1" t="str">
        <f t="shared" ref="B466:B476" si="652">IF(H466="","Hide","Show")</f>
        <v>Show</v>
      </c>
      <c r="D466" s="1" t="str">
        <f t="shared" ref="D466:D476" si="653">D465</f>
        <v>"Business Central","CRONUS JetCorp USA","25","1","1453"</v>
      </c>
      <c r="E466" s="1">
        <f t="shared" ref="E466:E476" si="654">E465</f>
        <v>0</v>
      </c>
      <c r="F466" s="1">
        <v>1453</v>
      </c>
      <c r="H466" s="9" t="str">
        <f>"""Business Central"",""CRONUS JetCorp USA"",""380"",""1"",""200"""</f>
        <v>"Business Central","CRONUS JetCorp USA","380","1","200"</v>
      </c>
      <c r="I466" s="48"/>
      <c r="J466" s="41" t="str">
        <f>"Payment"</f>
        <v>Payment</v>
      </c>
      <c r="K466" s="41" t="str">
        <f>"GP100319"</f>
        <v>GP100319</v>
      </c>
      <c r="L466" s="54"/>
      <c r="M466" s="54">
        <v>42374</v>
      </c>
      <c r="N466" s="57" t="str">
        <f>"CHF"</f>
        <v>CHF</v>
      </c>
      <c r="O466" s="75">
        <v>19437.099999999999</v>
      </c>
      <c r="P466" s="76">
        <v>19437.099999999999</v>
      </c>
      <c r="Q466" s="77">
        <v>20007.310000000001</v>
      </c>
      <c r="R466" s="78">
        <v>0</v>
      </c>
    </row>
    <row r="467" spans="1:18" ht="9" customHeight="1" x14ac:dyDescent="0.3">
      <c r="A467" s="1" t="s">
        <v>78</v>
      </c>
      <c r="I467" s="48"/>
      <c r="J467" s="41"/>
      <c r="K467" s="41"/>
      <c r="L467" s="54"/>
      <c r="M467" s="54"/>
      <c r="N467" s="61"/>
      <c r="O467" s="60"/>
      <c r="P467" s="58"/>
      <c r="Q467" s="59"/>
      <c r="R467" s="56"/>
    </row>
    <row r="468" spans="1:18" x14ac:dyDescent="0.3">
      <c r="A468" s="1" t="s">
        <v>78</v>
      </c>
      <c r="D468" s="1" t="str">
        <f t="shared" ref="D468:D476" si="655">H468</f>
        <v>"Business Central","CRONUS JetCorp USA","25","1","1873"</v>
      </c>
      <c r="E468" s="1">
        <f t="shared" ref="E468" si="656">I463</f>
        <v>0</v>
      </c>
      <c r="G468" s="1">
        <v>1873</v>
      </c>
      <c r="H468" s="9" t="str">
        <f>"""Business Central"",""CRONUS JetCorp USA"",""25"",""1"",""1873"""</f>
        <v>"Business Central","CRONUS JetCorp USA","25","1","1873"</v>
      </c>
      <c r="I468" s="51"/>
      <c r="J468" s="52" t="str">
        <f>"Order PO102507"</f>
        <v>Order PO102507</v>
      </c>
      <c r="K468" s="52" t="str">
        <f>"PI_102506"</f>
        <v>PI_102506</v>
      </c>
      <c r="L468" s="53">
        <v>42735</v>
      </c>
      <c r="M468" s="53">
        <v>42705</v>
      </c>
      <c r="N468" s="57" t="str">
        <f>"CHF"</f>
        <v>CHF</v>
      </c>
      <c r="O468" s="75">
        <v>-43749.55</v>
      </c>
      <c r="P468" s="76">
        <v>0</v>
      </c>
      <c r="Q468" s="77">
        <v>-45032.990000000005</v>
      </c>
      <c r="R468" s="78">
        <v>0</v>
      </c>
    </row>
    <row r="469" spans="1:18" x14ac:dyDescent="0.3">
      <c r="A469" s="1" t="s">
        <v>78</v>
      </c>
      <c r="B469" s="1" t="str">
        <f t="shared" ref="B469:B476" si="657">IF(H469="","Hide","Show")</f>
        <v>Show</v>
      </c>
      <c r="D469" s="1" t="str">
        <f t="shared" ref="D469:D476" si="658">D468</f>
        <v>"Business Central","CRONUS JetCorp USA","25","1","1873"</v>
      </c>
      <c r="E469" s="1">
        <f t="shared" ref="E469:E476" si="659">E468</f>
        <v>0</v>
      </c>
      <c r="F469" s="1">
        <v>1873</v>
      </c>
      <c r="H469" s="9" t="str">
        <f>"""Business Central"",""CRONUS JetCorp USA"",""380"",""1"",""201"""</f>
        <v>"Business Central","CRONUS JetCorp USA","380","1","201"</v>
      </c>
      <c r="I469" s="48"/>
      <c r="J469" s="41" t="str">
        <f>"Payment"</f>
        <v>Payment</v>
      </c>
      <c r="K469" s="41" t="str">
        <f>"GP100319"</f>
        <v>GP100319</v>
      </c>
      <c r="L469" s="54"/>
      <c r="M469" s="54">
        <v>42374</v>
      </c>
      <c r="N469" s="57" t="str">
        <f>"CHF"</f>
        <v>CHF</v>
      </c>
      <c r="O469" s="75">
        <v>43749.55</v>
      </c>
      <c r="P469" s="76">
        <v>43749.55</v>
      </c>
      <c r="Q469" s="77">
        <v>45032.990000000005</v>
      </c>
      <c r="R469" s="78">
        <v>0</v>
      </c>
    </row>
    <row r="470" spans="1:18" ht="9" customHeight="1" x14ac:dyDescent="0.3">
      <c r="A470" s="1" t="s">
        <v>78</v>
      </c>
      <c r="I470" s="48"/>
      <c r="J470" s="41"/>
      <c r="K470" s="41"/>
      <c r="L470" s="54"/>
      <c r="M470" s="54"/>
      <c r="N470" s="61"/>
      <c r="O470" s="60"/>
      <c r="P470" s="58"/>
      <c r="Q470" s="59"/>
      <c r="R470" s="56"/>
    </row>
    <row r="471" spans="1:18" x14ac:dyDescent="0.3">
      <c r="A471" s="1" t="s">
        <v>78</v>
      </c>
      <c r="D471" s="1" t="str">
        <f t="shared" ref="D471:D476" si="660">H471</f>
        <v>"Business Central","CRONUS JetCorp USA","25","1","2209"</v>
      </c>
      <c r="E471" s="1">
        <f t="shared" ref="E471" si="661">I466</f>
        <v>0</v>
      </c>
      <c r="G471" s="1">
        <v>2209</v>
      </c>
      <c r="H471" s="9" t="str">
        <f>"""Business Central"",""CRONUS JetCorp USA"",""25"",""1"",""2209"""</f>
        <v>"Business Central","CRONUS JetCorp USA","25","1","2209"</v>
      </c>
      <c r="I471" s="51"/>
      <c r="J471" s="52" t="str">
        <f>"Order PO102515"</f>
        <v>Order PO102515</v>
      </c>
      <c r="K471" s="52" t="str">
        <f>"PI_102514"</f>
        <v>PI_102514</v>
      </c>
      <c r="L471" s="53">
        <v>42735</v>
      </c>
      <c r="M471" s="53">
        <v>42705</v>
      </c>
      <c r="N471" s="57" t="str">
        <f>"CHF"</f>
        <v>CHF</v>
      </c>
      <c r="O471" s="75">
        <v>-31285.030000000002</v>
      </c>
      <c r="P471" s="76">
        <v>0</v>
      </c>
      <c r="Q471" s="77">
        <v>-32202.81</v>
      </c>
      <c r="R471" s="78">
        <v>0</v>
      </c>
    </row>
    <row r="472" spans="1:18" x14ac:dyDescent="0.3">
      <c r="A472" s="1" t="s">
        <v>78</v>
      </c>
      <c r="B472" s="1" t="str">
        <f t="shared" ref="B472:B476" si="662">IF(H472="","Hide","Show")</f>
        <v>Show</v>
      </c>
      <c r="D472" s="1" t="str">
        <f t="shared" ref="D472:D476" si="663">D471</f>
        <v>"Business Central","CRONUS JetCorp USA","25","1","2209"</v>
      </c>
      <c r="E472" s="1">
        <f t="shared" ref="E472:E476" si="664">E471</f>
        <v>0</v>
      </c>
      <c r="F472" s="1">
        <v>2209</v>
      </c>
      <c r="H472" s="9" t="str">
        <f>"""Business Central"",""CRONUS JetCorp USA"",""380"",""1"",""202"""</f>
        <v>"Business Central","CRONUS JetCorp USA","380","1","202"</v>
      </c>
      <c r="I472" s="48"/>
      <c r="J472" s="41" t="str">
        <f>"Payment"</f>
        <v>Payment</v>
      </c>
      <c r="K472" s="41" t="str">
        <f>"GP100319"</f>
        <v>GP100319</v>
      </c>
      <c r="L472" s="54"/>
      <c r="M472" s="54">
        <v>42374</v>
      </c>
      <c r="N472" s="57" t="str">
        <f>"CHF"</f>
        <v>CHF</v>
      </c>
      <c r="O472" s="75">
        <v>31285.030000000002</v>
      </c>
      <c r="P472" s="76">
        <v>31285.030000000002</v>
      </c>
      <c r="Q472" s="77">
        <v>32202.81</v>
      </c>
      <c r="R472" s="78">
        <v>0</v>
      </c>
    </row>
    <row r="473" spans="1:18" ht="9" customHeight="1" x14ac:dyDescent="0.3">
      <c r="A473" s="1" t="s">
        <v>78</v>
      </c>
      <c r="I473" s="48"/>
      <c r="J473" s="41"/>
      <c r="K473" s="41"/>
      <c r="L473" s="54"/>
      <c r="M473" s="54"/>
      <c r="N473" s="61"/>
      <c r="O473" s="60"/>
      <c r="P473" s="58"/>
      <c r="Q473" s="59"/>
      <c r="R473" s="56"/>
    </row>
    <row r="474" spans="1:18" x14ac:dyDescent="0.3">
      <c r="A474" s="1" t="s">
        <v>78</v>
      </c>
      <c r="D474" s="1" t="str">
        <f t="shared" ref="D474:D476" si="665">H474</f>
        <v>"Business Central","CRONUS JetCorp USA","25","1","2629"</v>
      </c>
      <c r="E474" s="1">
        <f t="shared" ref="E474" si="666">I469</f>
        <v>0</v>
      </c>
      <c r="G474" s="1">
        <v>2629</v>
      </c>
      <c r="H474" s="9" t="str">
        <f>"""Business Central"",""CRONUS JetCorp USA"",""25"",""1"",""2629"""</f>
        <v>"Business Central","CRONUS JetCorp USA","25","1","2629"</v>
      </c>
      <c r="I474" s="51"/>
      <c r="J474" s="52" t="str">
        <f>"Order PO102525"</f>
        <v>Order PO102525</v>
      </c>
      <c r="K474" s="52" t="str">
        <f>"PI_102524"</f>
        <v>PI_102524</v>
      </c>
      <c r="L474" s="53">
        <v>42735</v>
      </c>
      <c r="M474" s="53">
        <v>42705</v>
      </c>
      <c r="N474" s="57" t="str">
        <f>"CHF"</f>
        <v>CHF</v>
      </c>
      <c r="O474" s="75">
        <v>-26991.16</v>
      </c>
      <c r="P474" s="76">
        <v>0</v>
      </c>
      <c r="Q474" s="77">
        <v>-27782.969999999998</v>
      </c>
      <c r="R474" s="78">
        <v>0</v>
      </c>
    </row>
    <row r="475" spans="1:18" x14ac:dyDescent="0.3">
      <c r="A475" s="1" t="s">
        <v>78</v>
      </c>
      <c r="B475" s="1" t="str">
        <f t="shared" ref="B475:B476" si="667">IF(H475="","Hide","Show")</f>
        <v>Show</v>
      </c>
      <c r="D475" s="1" t="str">
        <f t="shared" ref="D475:D476" si="668">D474</f>
        <v>"Business Central","CRONUS JetCorp USA","25","1","2629"</v>
      </c>
      <c r="E475" s="1">
        <f t="shared" ref="E475:E476" si="669">E474</f>
        <v>0</v>
      </c>
      <c r="F475" s="1">
        <v>2629</v>
      </c>
      <c r="H475" s="9" t="str">
        <f>"""Business Central"",""CRONUS JetCorp USA"",""380"",""1"",""203"""</f>
        <v>"Business Central","CRONUS JetCorp USA","380","1","203"</v>
      </c>
      <c r="I475" s="48"/>
      <c r="J475" s="41" t="str">
        <f>"Payment"</f>
        <v>Payment</v>
      </c>
      <c r="K475" s="41" t="str">
        <f>"GP100319"</f>
        <v>GP100319</v>
      </c>
      <c r="L475" s="54"/>
      <c r="M475" s="54">
        <v>42374</v>
      </c>
      <c r="N475" s="57" t="str">
        <f>"CHF"</f>
        <v>CHF</v>
      </c>
      <c r="O475" s="75">
        <v>26991.16</v>
      </c>
      <c r="P475" s="76">
        <v>26991.16</v>
      </c>
      <c r="Q475" s="77">
        <v>27782.969999999998</v>
      </c>
      <c r="R475" s="78">
        <v>0</v>
      </c>
    </row>
    <row r="476" spans="1:18" ht="9" customHeight="1" x14ac:dyDescent="0.3">
      <c r="A476" s="1" t="s">
        <v>78</v>
      </c>
      <c r="I476" s="48"/>
      <c r="J476" s="41"/>
      <c r="K476" s="41"/>
      <c r="L476" s="54"/>
      <c r="M476" s="54"/>
      <c r="N476" s="61"/>
      <c r="O476" s="60"/>
      <c r="P476" s="58"/>
      <c r="Q476" s="59"/>
      <c r="R476" s="56"/>
    </row>
    <row r="477" spans="1:18" x14ac:dyDescent="0.3">
      <c r="A477" s="1" t="s">
        <v>78</v>
      </c>
      <c r="I477" s="48"/>
      <c r="J477" s="41"/>
      <c r="K477" s="41"/>
      <c r="L477" s="54"/>
      <c r="M477" s="54"/>
      <c r="N477" s="61"/>
      <c r="O477" s="62"/>
      <c r="P477" s="63"/>
      <c r="Q477" s="64"/>
      <c r="R477" s="65"/>
    </row>
    <row r="478" spans="1:18" ht="17.25" x14ac:dyDescent="0.3">
      <c r="A478" s="1" t="s">
        <v>78</v>
      </c>
      <c r="I478" s="24"/>
      <c r="J478" s="25"/>
      <c r="K478" s="26"/>
      <c r="L478" s="27"/>
      <c r="M478" s="26"/>
      <c r="N478" s="26"/>
      <c r="O478" s="26"/>
      <c r="P478" s="26"/>
      <c r="Q478" s="37" t="str">
        <f>CONCATENATE(I451," - ",I452,"      Remaining Amount  In Local Currency")</f>
        <v>V100040 - Technische Betriebe Rotkreuz      Remaining Amount  In Local Currency</v>
      </c>
      <c r="R478" s="39">
        <f>SUBTOTAL(9,R456:R477)</f>
        <v>0</v>
      </c>
    </row>
    <row r="479" spans="1:18" ht="17.25" x14ac:dyDescent="0.3">
      <c r="A479" s="1" t="s">
        <v>78</v>
      </c>
      <c r="H479" s="9" t="str">
        <f>"""Business Central"",""CRONUS JetCorp USA"",""23"",""1"",""V100047"""</f>
        <v>"Business Central","CRONUS JetCorp USA","23","1","V100047"</v>
      </c>
      <c r="I479" s="21" t="str">
        <f>"V100047"</f>
        <v>V100047</v>
      </c>
      <c r="J479" s="28"/>
      <c r="K479" s="29"/>
      <c r="L479" s="30"/>
      <c r="M479" s="29"/>
      <c r="N479" s="29"/>
      <c r="O479" s="20"/>
      <c r="P479" s="31"/>
      <c r="Q479" s="34"/>
      <c r="R479" s="38"/>
    </row>
    <row r="480" spans="1:18" ht="17.25" x14ac:dyDescent="0.3">
      <c r="A480" s="1" t="s">
        <v>78</v>
      </c>
      <c r="H480" s="1" t="str">
        <f>H479</f>
        <v>"Business Central","CRONUS JetCorp USA","23","1","V100047"</v>
      </c>
      <c r="I480" s="22" t="str">
        <f>"WoodMart Supply Co."</f>
        <v>WoodMart Supply Co.</v>
      </c>
      <c r="J480" s="11"/>
      <c r="K480" s="11"/>
      <c r="L480" s="11"/>
      <c r="M480" s="11"/>
      <c r="N480" s="11"/>
      <c r="O480" s="11"/>
      <c r="P480" s="11"/>
      <c r="Q480" s="35"/>
      <c r="R480" s="23"/>
    </row>
    <row r="481" spans="1:18" ht="17.25" x14ac:dyDescent="0.3">
      <c r="A481" s="1" t="s">
        <v>78</v>
      </c>
      <c r="H481" s="1" t="str">
        <f>H480</f>
        <v>"Business Central","CRONUS JetCorp USA","23","1","V100047"</v>
      </c>
      <c r="I481" s="22" t="str">
        <f>"Mr. Joseph Matthews"</f>
        <v>Mr. Joseph Matthews</v>
      </c>
      <c r="J481" s="11"/>
      <c r="K481" s="11"/>
      <c r="L481" s="11"/>
      <c r="M481" s="11"/>
      <c r="N481" s="44" t="s">
        <v>22</v>
      </c>
      <c r="O481" s="44"/>
      <c r="P481" s="44"/>
      <c r="Q481" s="42" t="s">
        <v>23</v>
      </c>
      <c r="R481" s="43"/>
    </row>
    <row r="482" spans="1:18" x14ac:dyDescent="0.3">
      <c r="A482" s="1" t="s">
        <v>78</v>
      </c>
      <c r="I482" s="45"/>
      <c r="J482" s="46"/>
      <c r="K482" s="40"/>
      <c r="L482" s="47"/>
      <c r="M482" s="40"/>
      <c r="N482" s="66"/>
      <c r="O482" s="67"/>
      <c r="P482" s="67" t="s">
        <v>20</v>
      </c>
      <c r="Q482" s="68"/>
      <c r="R482" s="69" t="s">
        <v>20</v>
      </c>
    </row>
    <row r="483" spans="1:18" x14ac:dyDescent="0.3">
      <c r="A483" s="1" t="s">
        <v>78</v>
      </c>
      <c r="D483" s="1" t="s">
        <v>16</v>
      </c>
      <c r="E483" s="1" t="s">
        <v>32</v>
      </c>
      <c r="F483" s="1" t="s">
        <v>14</v>
      </c>
      <c r="G483" s="13" t="s">
        <v>14</v>
      </c>
      <c r="I483" s="48"/>
      <c r="J483" s="49" t="s">
        <v>7</v>
      </c>
      <c r="K483" s="49" t="s">
        <v>11</v>
      </c>
      <c r="L483" s="50" t="s">
        <v>2</v>
      </c>
      <c r="M483" s="50" t="s">
        <v>3</v>
      </c>
      <c r="N483" s="70" t="s">
        <v>21</v>
      </c>
      <c r="O483" s="71" t="s">
        <v>19</v>
      </c>
      <c r="P483" s="72" t="s">
        <v>16</v>
      </c>
      <c r="Q483" s="73" t="s">
        <v>12</v>
      </c>
      <c r="R483" s="74" t="s">
        <v>12</v>
      </c>
    </row>
    <row r="484" spans="1:18" x14ac:dyDescent="0.3">
      <c r="A484" s="1" t="s">
        <v>78</v>
      </c>
      <c r="D484" s="1" t="str">
        <f t="shared" ref="D484" si="670">H484</f>
        <v>"Business Central","CRONUS JetCorp USA","25","1","277"</v>
      </c>
      <c r="E484" s="1" t="str">
        <f t="shared" ref="E484" si="671">I479</f>
        <v>V100047</v>
      </c>
      <c r="G484" s="1">
        <v>277</v>
      </c>
      <c r="H484" s="9" t="str">
        <f>"""Business Central"",""CRONUS JetCorp USA"",""25"",""1"",""277"""</f>
        <v>"Business Central","CRONUS JetCorp USA","25","1","277"</v>
      </c>
      <c r="I484" s="51"/>
      <c r="J484" s="52" t="str">
        <f>"Order PO102469"</f>
        <v>Order PO102469</v>
      </c>
      <c r="K484" s="52" t="str">
        <f>"PI_102468"</f>
        <v>PI_102468</v>
      </c>
      <c r="L484" s="53">
        <v>42735</v>
      </c>
      <c r="M484" s="53">
        <v>42705</v>
      </c>
      <c r="N484" s="57" t="str">
        <f>"GBP"</f>
        <v>GBP</v>
      </c>
      <c r="O484" s="75">
        <v>-42612.95</v>
      </c>
      <c r="P484" s="76">
        <v>0</v>
      </c>
      <c r="Q484" s="77">
        <v>-68246.239999999991</v>
      </c>
      <c r="R484" s="78">
        <v>0</v>
      </c>
    </row>
    <row r="485" spans="1:18" x14ac:dyDescent="0.3">
      <c r="A485" s="1" t="s">
        <v>78</v>
      </c>
      <c r="B485" s="1" t="str">
        <f t="shared" ref="B485" si="672">IF(H485="","Hide","Show")</f>
        <v>Show</v>
      </c>
      <c r="D485" s="1" t="str">
        <f t="shared" ref="D485" si="673">D484</f>
        <v>"Business Central","CRONUS JetCorp USA","25","1","277"</v>
      </c>
      <c r="E485" s="1" t="str">
        <f t="shared" ref="E485" si="674">E484</f>
        <v>V100047</v>
      </c>
      <c r="F485" s="1">
        <v>277</v>
      </c>
      <c r="H485" s="9" t="str">
        <f>"""Business Central"",""CRONUS JetCorp USA"",""380"",""1"",""179"""</f>
        <v>"Business Central","CRONUS JetCorp USA","380","1","179"</v>
      </c>
      <c r="I485" s="48"/>
      <c r="J485" s="41" t="str">
        <f>"Payment"</f>
        <v>Payment</v>
      </c>
      <c r="K485" s="41" t="str">
        <f>"GP100316"</f>
        <v>GP100316</v>
      </c>
      <c r="L485" s="54"/>
      <c r="M485" s="54">
        <v>42399</v>
      </c>
      <c r="N485" s="57" t="str">
        <f>"GBP"</f>
        <v>GBP</v>
      </c>
      <c r="O485" s="75">
        <v>42612.95</v>
      </c>
      <c r="P485" s="76">
        <v>42612.95</v>
      </c>
      <c r="Q485" s="77">
        <v>68246.239999999991</v>
      </c>
      <c r="R485" s="78">
        <v>0</v>
      </c>
    </row>
    <row r="486" spans="1:18" ht="9" customHeight="1" x14ac:dyDescent="0.3">
      <c r="A486" s="1" t="s">
        <v>78</v>
      </c>
      <c r="I486" s="48"/>
      <c r="J486" s="41"/>
      <c r="K486" s="41"/>
      <c r="L486" s="54"/>
      <c r="M486" s="54"/>
      <c r="N486" s="61"/>
      <c r="O486" s="60"/>
      <c r="P486" s="58"/>
      <c r="Q486" s="59"/>
      <c r="R486" s="56"/>
    </row>
    <row r="487" spans="1:18" x14ac:dyDescent="0.3">
      <c r="A487" s="1" t="s">
        <v>78</v>
      </c>
      <c r="D487" s="1" t="str">
        <f t="shared" ref="D487:D504" si="675">H487</f>
        <v>"Business Central","CRONUS JetCorp USA","25","1","739"</v>
      </c>
      <c r="E487" s="1">
        <f t="shared" ref="E487" si="676">I482</f>
        <v>0</v>
      </c>
      <c r="G487" s="1">
        <v>739</v>
      </c>
      <c r="H487" s="9" t="str">
        <f>"""Business Central"",""CRONUS JetCorp USA"",""25"",""1"",""739"""</f>
        <v>"Business Central","CRONUS JetCorp USA","25","1","739"</v>
      </c>
      <c r="I487" s="51"/>
      <c r="J487" s="52" t="str">
        <f>"Order PO102480"</f>
        <v>Order PO102480</v>
      </c>
      <c r="K487" s="52" t="str">
        <f>"PI_102479"</f>
        <v>PI_102479</v>
      </c>
      <c r="L487" s="53">
        <v>42735</v>
      </c>
      <c r="M487" s="53">
        <v>42705</v>
      </c>
      <c r="N487" s="57" t="str">
        <f>"GBP"</f>
        <v>GBP</v>
      </c>
      <c r="O487" s="75">
        <v>-77835.199999999997</v>
      </c>
      <c r="P487" s="76">
        <v>0</v>
      </c>
      <c r="Q487" s="77">
        <v>-124655.98999999999</v>
      </c>
      <c r="R487" s="78">
        <v>0</v>
      </c>
    </row>
    <row r="488" spans="1:18" x14ac:dyDescent="0.3">
      <c r="A488" s="1" t="s">
        <v>78</v>
      </c>
      <c r="B488" s="1" t="str">
        <f t="shared" ref="B488:B504" si="677">IF(H488="","Hide","Show")</f>
        <v>Show</v>
      </c>
      <c r="D488" s="1" t="str">
        <f t="shared" ref="D488:D504" si="678">D487</f>
        <v>"Business Central","CRONUS JetCorp USA","25","1","739"</v>
      </c>
      <c r="E488" s="1">
        <f t="shared" ref="E488:E504" si="679">E487</f>
        <v>0</v>
      </c>
      <c r="F488" s="1">
        <v>739</v>
      </c>
      <c r="H488" s="9" t="str">
        <f>"""Business Central"",""CRONUS JetCorp USA"",""380"",""1"",""181"""</f>
        <v>"Business Central","CRONUS JetCorp USA","380","1","181"</v>
      </c>
      <c r="I488" s="48"/>
      <c r="J488" s="41" t="str">
        <f>"Payment"</f>
        <v>Payment</v>
      </c>
      <c r="K488" s="41" t="str">
        <f>"GP100316"</f>
        <v>GP100316</v>
      </c>
      <c r="L488" s="54"/>
      <c r="M488" s="54">
        <v>42399</v>
      </c>
      <c r="N488" s="57" t="str">
        <f>"GBP"</f>
        <v>GBP</v>
      </c>
      <c r="O488" s="75">
        <v>77835.199999999997</v>
      </c>
      <c r="P488" s="76">
        <v>77835.199999999997</v>
      </c>
      <c r="Q488" s="77">
        <v>124655.98999999999</v>
      </c>
      <c r="R488" s="78">
        <v>0</v>
      </c>
    </row>
    <row r="489" spans="1:18" ht="9" customHeight="1" x14ac:dyDescent="0.3">
      <c r="A489" s="1" t="s">
        <v>78</v>
      </c>
      <c r="I489" s="48"/>
      <c r="J489" s="41"/>
      <c r="K489" s="41"/>
      <c r="L489" s="54"/>
      <c r="M489" s="54"/>
      <c r="N489" s="61"/>
      <c r="O489" s="60"/>
      <c r="P489" s="58"/>
      <c r="Q489" s="59"/>
      <c r="R489" s="56"/>
    </row>
    <row r="490" spans="1:18" x14ac:dyDescent="0.3">
      <c r="A490" s="1" t="s">
        <v>78</v>
      </c>
      <c r="D490" s="1" t="str">
        <f t="shared" ref="D490:D504" si="680">H490</f>
        <v>"Business Central","CRONUS JetCorp USA","25","1","1159"</v>
      </c>
      <c r="E490" s="1">
        <f t="shared" ref="E490" si="681">I485</f>
        <v>0</v>
      </c>
      <c r="G490" s="1">
        <v>1159</v>
      </c>
      <c r="H490" s="9" t="str">
        <f>"""Business Central"",""CRONUS JetCorp USA"",""25"",""1"",""1159"""</f>
        <v>"Business Central","CRONUS JetCorp USA","25","1","1159"</v>
      </c>
      <c r="I490" s="51"/>
      <c r="J490" s="52" t="str">
        <f>"Order PO102490"</f>
        <v>Order PO102490</v>
      </c>
      <c r="K490" s="52" t="str">
        <f>"PI_102489"</f>
        <v>PI_102489</v>
      </c>
      <c r="L490" s="53">
        <v>42735</v>
      </c>
      <c r="M490" s="53">
        <v>42705</v>
      </c>
      <c r="N490" s="57" t="str">
        <f>"GBP"</f>
        <v>GBP</v>
      </c>
      <c r="O490" s="75">
        <v>-17717.93</v>
      </c>
      <c r="P490" s="76">
        <v>0</v>
      </c>
      <c r="Q490" s="77">
        <v>-28375.93</v>
      </c>
      <c r="R490" s="78">
        <v>0</v>
      </c>
    </row>
    <row r="491" spans="1:18" x14ac:dyDescent="0.3">
      <c r="A491" s="1" t="s">
        <v>78</v>
      </c>
      <c r="B491" s="1" t="str">
        <f t="shared" ref="B491:B504" si="682">IF(H491="","Hide","Show")</f>
        <v>Show</v>
      </c>
      <c r="D491" s="1" t="str">
        <f t="shared" ref="D491:D504" si="683">D490</f>
        <v>"Business Central","CRONUS JetCorp USA","25","1","1159"</v>
      </c>
      <c r="E491" s="1">
        <f t="shared" ref="E491:E504" si="684">E490</f>
        <v>0</v>
      </c>
      <c r="F491" s="1">
        <v>1159</v>
      </c>
      <c r="H491" s="9" t="str">
        <f>"""Business Central"",""CRONUS JetCorp USA"",""380"",""1"",""182"""</f>
        <v>"Business Central","CRONUS JetCorp USA","380","1","182"</v>
      </c>
      <c r="I491" s="48"/>
      <c r="J491" s="41" t="str">
        <f>"Payment"</f>
        <v>Payment</v>
      </c>
      <c r="K491" s="41" t="str">
        <f>"GP100316"</f>
        <v>GP100316</v>
      </c>
      <c r="L491" s="54"/>
      <c r="M491" s="54">
        <v>42399</v>
      </c>
      <c r="N491" s="57" t="str">
        <f>"GBP"</f>
        <v>GBP</v>
      </c>
      <c r="O491" s="75">
        <v>17717.93</v>
      </c>
      <c r="P491" s="76">
        <v>17717.93</v>
      </c>
      <c r="Q491" s="77">
        <v>28375.93</v>
      </c>
      <c r="R491" s="78">
        <v>0</v>
      </c>
    </row>
    <row r="492" spans="1:18" ht="9" customHeight="1" x14ac:dyDescent="0.3">
      <c r="A492" s="1" t="s">
        <v>78</v>
      </c>
      <c r="I492" s="48"/>
      <c r="J492" s="41"/>
      <c r="K492" s="41"/>
      <c r="L492" s="54"/>
      <c r="M492" s="54"/>
      <c r="N492" s="61"/>
      <c r="O492" s="60"/>
      <c r="P492" s="58"/>
      <c r="Q492" s="59"/>
      <c r="R492" s="56"/>
    </row>
    <row r="493" spans="1:18" x14ac:dyDescent="0.3">
      <c r="A493" s="1" t="s">
        <v>78</v>
      </c>
      <c r="D493" s="1" t="str">
        <f t="shared" ref="D493:D504" si="685">H493</f>
        <v>"Business Central","CRONUS JetCorp USA","25","1","1621"</v>
      </c>
      <c r="E493" s="1">
        <f t="shared" ref="E493" si="686">I488</f>
        <v>0</v>
      </c>
      <c r="G493" s="1">
        <v>1621</v>
      </c>
      <c r="H493" s="9" t="str">
        <f>"""Business Central"",""CRONUS JetCorp USA"",""25"",""1"",""1621"""</f>
        <v>"Business Central","CRONUS JetCorp USA","25","1","1621"</v>
      </c>
      <c r="I493" s="51"/>
      <c r="J493" s="52" t="str">
        <f>"Order PO102501"</f>
        <v>Order PO102501</v>
      </c>
      <c r="K493" s="52" t="str">
        <f>"PI_102500"</f>
        <v>PI_102500</v>
      </c>
      <c r="L493" s="53">
        <v>42735</v>
      </c>
      <c r="M493" s="53">
        <v>42705</v>
      </c>
      <c r="N493" s="57" t="str">
        <f>"GBP"</f>
        <v>GBP</v>
      </c>
      <c r="O493" s="75">
        <v>-12492.490000000002</v>
      </c>
      <c r="P493" s="76">
        <v>0</v>
      </c>
      <c r="Q493" s="77">
        <v>-20007.189999999999</v>
      </c>
      <c r="R493" s="78">
        <v>0</v>
      </c>
    </row>
    <row r="494" spans="1:18" x14ac:dyDescent="0.3">
      <c r="A494" s="1" t="s">
        <v>78</v>
      </c>
      <c r="B494" s="1" t="str">
        <f t="shared" ref="B494:B504" si="687">IF(H494="","Hide","Show")</f>
        <v>Show</v>
      </c>
      <c r="D494" s="1" t="str">
        <f t="shared" ref="D494:D504" si="688">D493</f>
        <v>"Business Central","CRONUS JetCorp USA","25","1","1621"</v>
      </c>
      <c r="E494" s="1">
        <f t="shared" ref="E494:E504" si="689">E493</f>
        <v>0</v>
      </c>
      <c r="F494" s="1">
        <v>1621</v>
      </c>
      <c r="H494" s="9" t="str">
        <f>"""Business Central"",""CRONUS JetCorp USA"",""380"",""1"",""183"""</f>
        <v>"Business Central","CRONUS JetCorp USA","380","1","183"</v>
      </c>
      <c r="I494" s="48"/>
      <c r="J494" s="41" t="str">
        <f>"Payment"</f>
        <v>Payment</v>
      </c>
      <c r="K494" s="41" t="str">
        <f>"GP100316"</f>
        <v>GP100316</v>
      </c>
      <c r="L494" s="54"/>
      <c r="M494" s="54">
        <v>42399</v>
      </c>
      <c r="N494" s="57" t="str">
        <f>"GBP"</f>
        <v>GBP</v>
      </c>
      <c r="O494" s="75">
        <v>12492.490000000002</v>
      </c>
      <c r="P494" s="76">
        <v>12492.490000000002</v>
      </c>
      <c r="Q494" s="77">
        <v>20007.189999999999</v>
      </c>
      <c r="R494" s="78">
        <v>0</v>
      </c>
    </row>
    <row r="495" spans="1:18" ht="9" customHeight="1" x14ac:dyDescent="0.3">
      <c r="A495" s="1" t="s">
        <v>78</v>
      </c>
      <c r="I495" s="48"/>
      <c r="J495" s="41"/>
      <c r="K495" s="41"/>
      <c r="L495" s="54"/>
      <c r="M495" s="54"/>
      <c r="N495" s="61"/>
      <c r="O495" s="60"/>
      <c r="P495" s="58"/>
      <c r="Q495" s="59"/>
      <c r="R495" s="56"/>
    </row>
    <row r="496" spans="1:18" x14ac:dyDescent="0.3">
      <c r="A496" s="1" t="s">
        <v>78</v>
      </c>
      <c r="D496" s="1" t="str">
        <f t="shared" ref="D496:D504" si="690">H496</f>
        <v>"Business Central","CRONUS JetCorp USA","25","1","2041"</v>
      </c>
      <c r="E496" s="1">
        <f t="shared" ref="E496" si="691">I491</f>
        <v>0</v>
      </c>
      <c r="G496" s="1">
        <v>2041</v>
      </c>
      <c r="H496" s="9" t="str">
        <f>"""Business Central"",""CRONUS JetCorp USA"",""25"",""1"",""2041"""</f>
        <v>"Business Central","CRONUS JetCorp USA","25","1","2041"</v>
      </c>
      <c r="I496" s="51"/>
      <c r="J496" s="52" t="str">
        <f>"Order PO102511"</f>
        <v>Order PO102511</v>
      </c>
      <c r="K496" s="52" t="str">
        <f>"PI_102510"</f>
        <v>PI_102510</v>
      </c>
      <c r="L496" s="53">
        <v>42735</v>
      </c>
      <c r="M496" s="53">
        <v>42705</v>
      </c>
      <c r="N496" s="57" t="str">
        <f>"GBP"</f>
        <v>GBP</v>
      </c>
      <c r="O496" s="75">
        <v>-28118.57</v>
      </c>
      <c r="P496" s="76">
        <v>0</v>
      </c>
      <c r="Q496" s="77">
        <v>-45032.939999999995</v>
      </c>
      <c r="R496" s="78">
        <v>0</v>
      </c>
    </row>
    <row r="497" spans="1:18" x14ac:dyDescent="0.3">
      <c r="A497" s="1" t="s">
        <v>78</v>
      </c>
      <c r="B497" s="1" t="str">
        <f t="shared" ref="B497:B504" si="692">IF(H497="","Hide","Show")</f>
        <v>Show</v>
      </c>
      <c r="D497" s="1" t="str">
        <f t="shared" ref="D497:D504" si="693">D496</f>
        <v>"Business Central","CRONUS JetCorp USA","25","1","2041"</v>
      </c>
      <c r="E497" s="1">
        <f t="shared" ref="E497:E504" si="694">E496</f>
        <v>0</v>
      </c>
      <c r="F497" s="1">
        <v>2041</v>
      </c>
      <c r="H497" s="9" t="str">
        <f>"""Business Central"",""CRONUS JetCorp USA"",""380"",""1"",""184"""</f>
        <v>"Business Central","CRONUS JetCorp USA","380","1","184"</v>
      </c>
      <c r="I497" s="48"/>
      <c r="J497" s="41" t="str">
        <f>"Payment"</f>
        <v>Payment</v>
      </c>
      <c r="K497" s="41" t="str">
        <f>"GP100316"</f>
        <v>GP100316</v>
      </c>
      <c r="L497" s="54"/>
      <c r="M497" s="54">
        <v>42399</v>
      </c>
      <c r="N497" s="57" t="str">
        <f>"GBP"</f>
        <v>GBP</v>
      </c>
      <c r="O497" s="75">
        <v>28118.57</v>
      </c>
      <c r="P497" s="76">
        <v>28118.57</v>
      </c>
      <c r="Q497" s="77">
        <v>45032.939999999995</v>
      </c>
      <c r="R497" s="78">
        <v>0</v>
      </c>
    </row>
    <row r="498" spans="1:18" ht="9" customHeight="1" x14ac:dyDescent="0.3">
      <c r="A498" s="1" t="s">
        <v>78</v>
      </c>
      <c r="I498" s="48"/>
      <c r="J498" s="41"/>
      <c r="K498" s="41"/>
      <c r="L498" s="54"/>
      <c r="M498" s="54"/>
      <c r="N498" s="61"/>
      <c r="O498" s="60"/>
      <c r="P498" s="58"/>
      <c r="Q498" s="59"/>
      <c r="R498" s="56"/>
    </row>
    <row r="499" spans="1:18" x14ac:dyDescent="0.3">
      <c r="A499" s="1" t="s">
        <v>78</v>
      </c>
      <c r="D499" s="1" t="str">
        <f t="shared" ref="D499:D504" si="695">H499</f>
        <v>"Business Central","CRONUS JetCorp USA","25","1","2377"</v>
      </c>
      <c r="E499" s="1">
        <f t="shared" ref="E499" si="696">I494</f>
        <v>0</v>
      </c>
      <c r="G499" s="1">
        <v>2377</v>
      </c>
      <c r="H499" s="9" t="str">
        <f>"""Business Central"",""CRONUS JetCorp USA"",""25"",""1"",""2377"""</f>
        <v>"Business Central","CRONUS JetCorp USA","25","1","2377"</v>
      </c>
      <c r="I499" s="51"/>
      <c r="J499" s="52" t="str">
        <f>"Order PO102519"</f>
        <v>Order PO102519</v>
      </c>
      <c r="K499" s="52" t="str">
        <f>"PI_102518"</f>
        <v>PI_102518</v>
      </c>
      <c r="L499" s="53">
        <v>42735</v>
      </c>
      <c r="M499" s="53">
        <v>42705</v>
      </c>
      <c r="N499" s="57" t="str">
        <f>"GBP"</f>
        <v>GBP</v>
      </c>
      <c r="O499" s="75">
        <v>-20107.48</v>
      </c>
      <c r="P499" s="76">
        <v>0</v>
      </c>
      <c r="Q499" s="77">
        <v>-32202.879999999997</v>
      </c>
      <c r="R499" s="78">
        <v>0</v>
      </c>
    </row>
    <row r="500" spans="1:18" x14ac:dyDescent="0.3">
      <c r="A500" s="1" t="s">
        <v>78</v>
      </c>
      <c r="B500" s="1" t="str">
        <f t="shared" ref="B500:B504" si="697">IF(H500="","Hide","Show")</f>
        <v>Show</v>
      </c>
      <c r="D500" s="1" t="str">
        <f t="shared" ref="D500:D504" si="698">D499</f>
        <v>"Business Central","CRONUS JetCorp USA","25","1","2377"</v>
      </c>
      <c r="E500" s="1">
        <f t="shared" ref="E500:E504" si="699">E499</f>
        <v>0</v>
      </c>
      <c r="F500" s="1">
        <v>2377</v>
      </c>
      <c r="H500" s="9" t="str">
        <f>"""Business Central"",""CRONUS JetCorp USA"",""380"",""1"",""185"""</f>
        <v>"Business Central","CRONUS JetCorp USA","380","1","185"</v>
      </c>
      <c r="I500" s="48"/>
      <c r="J500" s="41" t="str">
        <f>"Payment"</f>
        <v>Payment</v>
      </c>
      <c r="K500" s="41" t="str">
        <f>"GP100316"</f>
        <v>GP100316</v>
      </c>
      <c r="L500" s="54"/>
      <c r="M500" s="54">
        <v>42399</v>
      </c>
      <c r="N500" s="57" t="str">
        <f>"GBP"</f>
        <v>GBP</v>
      </c>
      <c r="O500" s="75">
        <v>20107.48</v>
      </c>
      <c r="P500" s="76">
        <v>20107.48</v>
      </c>
      <c r="Q500" s="77">
        <v>32202.879999999997</v>
      </c>
      <c r="R500" s="78">
        <v>0</v>
      </c>
    </row>
    <row r="501" spans="1:18" ht="9" customHeight="1" x14ac:dyDescent="0.3">
      <c r="A501" s="1" t="s">
        <v>78</v>
      </c>
      <c r="I501" s="48"/>
      <c r="J501" s="41"/>
      <c r="K501" s="41"/>
      <c r="L501" s="54"/>
      <c r="M501" s="54"/>
      <c r="N501" s="61"/>
      <c r="O501" s="60"/>
      <c r="P501" s="58"/>
      <c r="Q501" s="59"/>
      <c r="R501" s="56"/>
    </row>
    <row r="502" spans="1:18" x14ac:dyDescent="0.3">
      <c r="A502" s="1" t="s">
        <v>78</v>
      </c>
      <c r="D502" s="1" t="str">
        <f t="shared" ref="D502:D504" si="700">H502</f>
        <v>"Business Central","CRONUS JetCorp USA","25","1","2797"</v>
      </c>
      <c r="E502" s="1">
        <f t="shared" ref="E502" si="701">I497</f>
        <v>0</v>
      </c>
      <c r="G502" s="1">
        <v>2797</v>
      </c>
      <c r="H502" s="9" t="str">
        <f>"""Business Central"",""CRONUS JetCorp USA"",""25"",""1"",""2797"""</f>
        <v>"Business Central","CRONUS JetCorp USA","25","1","2797"</v>
      </c>
      <c r="I502" s="51"/>
      <c r="J502" s="52" t="str">
        <f>"Order PO102529"</f>
        <v>Order PO102529</v>
      </c>
      <c r="K502" s="52" t="str">
        <f>"PI_102528"</f>
        <v>PI_102528</v>
      </c>
      <c r="L502" s="53">
        <v>42735</v>
      </c>
      <c r="M502" s="53">
        <v>42705</v>
      </c>
      <c r="N502" s="57" t="str">
        <f>"GBP"</f>
        <v>GBP</v>
      </c>
      <c r="O502" s="75">
        <v>-17347.7</v>
      </c>
      <c r="P502" s="76">
        <v>0</v>
      </c>
      <c r="Q502" s="77">
        <v>-27782.99</v>
      </c>
      <c r="R502" s="78">
        <v>0</v>
      </c>
    </row>
    <row r="503" spans="1:18" x14ac:dyDescent="0.3">
      <c r="A503" s="1" t="s">
        <v>78</v>
      </c>
      <c r="B503" s="1" t="str">
        <f t="shared" ref="B503:B504" si="702">IF(H503="","Hide","Show")</f>
        <v>Show</v>
      </c>
      <c r="D503" s="1" t="str">
        <f t="shared" ref="D503:D504" si="703">D502</f>
        <v>"Business Central","CRONUS JetCorp USA","25","1","2797"</v>
      </c>
      <c r="E503" s="1">
        <f t="shared" ref="E503:E504" si="704">E502</f>
        <v>0</v>
      </c>
      <c r="F503" s="1">
        <v>2797</v>
      </c>
      <c r="H503" s="9" t="str">
        <f>"""Business Central"",""CRONUS JetCorp USA"",""380"",""1"",""186"""</f>
        <v>"Business Central","CRONUS JetCorp USA","380","1","186"</v>
      </c>
      <c r="I503" s="48"/>
      <c r="J503" s="41" t="str">
        <f>"Payment"</f>
        <v>Payment</v>
      </c>
      <c r="K503" s="41" t="str">
        <f>"GP100316"</f>
        <v>GP100316</v>
      </c>
      <c r="L503" s="54"/>
      <c r="M503" s="54">
        <v>42399</v>
      </c>
      <c r="N503" s="57" t="str">
        <f>"GBP"</f>
        <v>GBP</v>
      </c>
      <c r="O503" s="75">
        <v>17347.7</v>
      </c>
      <c r="P503" s="76">
        <v>17347.7</v>
      </c>
      <c r="Q503" s="77">
        <v>27782.99</v>
      </c>
      <c r="R503" s="78">
        <v>0</v>
      </c>
    </row>
    <row r="504" spans="1:18" ht="9" customHeight="1" x14ac:dyDescent="0.3">
      <c r="A504" s="1" t="s">
        <v>78</v>
      </c>
      <c r="I504" s="48"/>
      <c r="J504" s="41"/>
      <c r="K504" s="41"/>
      <c r="L504" s="54"/>
      <c r="M504" s="54"/>
      <c r="N504" s="61"/>
      <c r="O504" s="60"/>
      <c r="P504" s="58"/>
      <c r="Q504" s="59"/>
      <c r="R504" s="56"/>
    </row>
    <row r="505" spans="1:18" x14ac:dyDescent="0.3">
      <c r="A505" s="1" t="s">
        <v>78</v>
      </c>
      <c r="I505" s="48"/>
      <c r="J505" s="41"/>
      <c r="K505" s="41"/>
      <c r="L505" s="54"/>
      <c r="M505" s="54"/>
      <c r="N505" s="61"/>
      <c r="O505" s="62"/>
      <c r="P505" s="63"/>
      <c r="Q505" s="64"/>
      <c r="R505" s="65"/>
    </row>
    <row r="506" spans="1:18" ht="17.25" x14ac:dyDescent="0.3">
      <c r="A506" s="1" t="s">
        <v>78</v>
      </c>
      <c r="I506" s="24"/>
      <c r="J506" s="25"/>
      <c r="K506" s="26"/>
      <c r="L506" s="27"/>
      <c r="M506" s="26"/>
      <c r="N506" s="26"/>
      <c r="O506" s="26"/>
      <c r="P506" s="26"/>
      <c r="Q506" s="37" t="str">
        <f>CONCATENATE(I479," - ",I480,"      Remaining Amount  In Local Currency")</f>
        <v>V100047 - WoodMart Supply Co.      Remaining Amount  In Local Currency</v>
      </c>
      <c r="R506" s="39">
        <f>SUBTOTAL(9,R484:R505)</f>
        <v>0</v>
      </c>
    </row>
    <row r="507" spans="1:18" ht="17.25" x14ac:dyDescent="0.3">
      <c r="A507" s="1" t="s">
        <v>78</v>
      </c>
      <c r="H507" s="9" t="str">
        <f>"""Business Central"",""CRONUS JetCorp USA"",""23"",""1"",""V101002"""</f>
        <v>"Business Central","CRONUS JetCorp USA","23","1","V101002"</v>
      </c>
      <c r="I507" s="21" t="str">
        <f>"V101002"</f>
        <v>V101002</v>
      </c>
      <c r="J507" s="28"/>
      <c r="K507" s="29"/>
      <c r="L507" s="30"/>
      <c r="M507" s="29"/>
      <c r="N507" s="29"/>
      <c r="O507" s="20"/>
      <c r="P507" s="31"/>
      <c r="Q507" s="34"/>
      <c r="R507" s="38"/>
    </row>
    <row r="508" spans="1:18" ht="17.25" x14ac:dyDescent="0.3">
      <c r="A508" s="1" t="s">
        <v>78</v>
      </c>
      <c r="H508" s="1" t="str">
        <f>H507</f>
        <v>"Business Central","CRONUS JetCorp USA","23","1","V101002"</v>
      </c>
      <c r="I508" s="22" t="str">
        <f>"Davis Supplies"</f>
        <v>Davis Supplies</v>
      </c>
      <c r="J508" s="11"/>
      <c r="K508" s="11"/>
      <c r="L508" s="11"/>
      <c r="M508" s="11"/>
      <c r="N508" s="11"/>
      <c r="O508" s="11"/>
      <c r="P508" s="11"/>
      <c r="Q508" s="35"/>
      <c r="R508" s="23"/>
    </row>
    <row r="509" spans="1:18" ht="17.25" x14ac:dyDescent="0.3">
      <c r="A509" s="1" t="s">
        <v>78</v>
      </c>
      <c r="H509" s="1" t="str">
        <f>H508</f>
        <v>"Business Central","CRONUS JetCorp USA","23","1","V101002"</v>
      </c>
      <c r="I509" s="22" t="str">
        <f>"Mr. Peter Haustan"</f>
        <v>Mr. Peter Haustan</v>
      </c>
      <c r="J509" s="11"/>
      <c r="K509" s="11"/>
      <c r="L509" s="11"/>
      <c r="M509" s="11"/>
      <c r="N509" s="44" t="s">
        <v>22</v>
      </c>
      <c r="O509" s="44"/>
      <c r="P509" s="44"/>
      <c r="Q509" s="42" t="s">
        <v>23</v>
      </c>
      <c r="R509" s="43"/>
    </row>
    <row r="510" spans="1:18" x14ac:dyDescent="0.3">
      <c r="A510" s="1" t="s">
        <v>78</v>
      </c>
      <c r="I510" s="45"/>
      <c r="J510" s="46"/>
      <c r="K510" s="40"/>
      <c r="L510" s="47"/>
      <c r="M510" s="40"/>
      <c r="N510" s="66"/>
      <c r="O510" s="67"/>
      <c r="P510" s="67" t="s">
        <v>20</v>
      </c>
      <c r="Q510" s="68"/>
      <c r="R510" s="69" t="s">
        <v>20</v>
      </c>
    </row>
    <row r="511" spans="1:18" x14ac:dyDescent="0.3">
      <c r="A511" s="1" t="s">
        <v>78</v>
      </c>
      <c r="D511" s="1" t="s">
        <v>16</v>
      </c>
      <c r="E511" s="1" t="s">
        <v>32</v>
      </c>
      <c r="F511" s="1" t="s">
        <v>14</v>
      </c>
      <c r="G511" s="13" t="s">
        <v>14</v>
      </c>
      <c r="I511" s="48"/>
      <c r="J511" s="49" t="s">
        <v>7</v>
      </c>
      <c r="K511" s="49" t="s">
        <v>11</v>
      </c>
      <c r="L511" s="50" t="s">
        <v>2</v>
      </c>
      <c r="M511" s="50" t="s">
        <v>3</v>
      </c>
      <c r="N511" s="70" t="s">
        <v>21</v>
      </c>
      <c r="O511" s="71" t="s">
        <v>19</v>
      </c>
      <c r="P511" s="72" t="s">
        <v>16</v>
      </c>
      <c r="Q511" s="73" t="s">
        <v>12</v>
      </c>
      <c r="R511" s="74" t="s">
        <v>12</v>
      </c>
    </row>
    <row r="512" spans="1:18" x14ac:dyDescent="0.3">
      <c r="A512" s="1" t="s">
        <v>78</v>
      </c>
      <c r="D512" s="1" t="str">
        <f t="shared" ref="D512" si="705">H512</f>
        <v>"Business Central","CRONUS JetCorp USA","25","1","247015"</v>
      </c>
      <c r="E512" s="1" t="str">
        <f t="shared" ref="E512" si="706">I507</f>
        <v>V101002</v>
      </c>
      <c r="G512" s="1">
        <v>247015</v>
      </c>
      <c r="H512" s="9" t="str">
        <f>"""Business Central"",""CRONUS JetCorp USA"",""25"",""1"",""247015"""</f>
        <v>"Business Central","CRONUS JetCorp USA","25","1","247015"</v>
      </c>
      <c r="I512" s="51"/>
      <c r="J512" s="52" t="str">
        <f>"Order PO102550"</f>
        <v>Order PO102550</v>
      </c>
      <c r="K512" s="52" t="str">
        <f>"PI_102549"</f>
        <v>PI_102549</v>
      </c>
      <c r="L512" s="53">
        <v>43677</v>
      </c>
      <c r="M512" s="53">
        <v>43647</v>
      </c>
      <c r="N512" s="57" t="str">
        <f>""</f>
        <v/>
      </c>
      <c r="O512" s="75">
        <v>0</v>
      </c>
      <c r="P512" s="76">
        <v>0</v>
      </c>
      <c r="Q512" s="77">
        <v>0</v>
      </c>
      <c r="R512" s="78">
        <v>0</v>
      </c>
    </row>
    <row r="513" spans="1:18" hidden="1" x14ac:dyDescent="0.3">
      <c r="A513" s="1" t="s">
        <v>78</v>
      </c>
      <c r="B513" s="1" t="str">
        <f t="shared" ref="B513" si="707">IF(H513="","Hide","Show")</f>
        <v>Hide</v>
      </c>
      <c r="D513" s="1" t="str">
        <f t="shared" ref="D513" si="708">D512</f>
        <v>"Business Central","CRONUS JetCorp USA","25","1","247015"</v>
      </c>
      <c r="E513" s="1" t="str">
        <f t="shared" ref="E513" si="709">E512</f>
        <v>V101002</v>
      </c>
      <c r="F513" s="1" t="str">
        <f>""</f>
        <v/>
      </c>
      <c r="H513" s="9" t="str">
        <f>""</f>
        <v/>
      </c>
      <c r="I513" s="48"/>
      <c r="J513" s="41" t="str">
        <f>""</f>
        <v/>
      </c>
      <c r="K513" s="41" t="str">
        <f>""</f>
        <v/>
      </c>
      <c r="L513" s="54"/>
      <c r="M513" s="54" t="str">
        <f>""</f>
        <v/>
      </c>
      <c r="N513" s="57" t="str">
        <f>""</f>
        <v/>
      </c>
      <c r="O513" s="75">
        <v>0</v>
      </c>
      <c r="P513" s="76" t="str">
        <f>""</f>
        <v/>
      </c>
      <c r="Q513" s="77" t="str">
        <f>""</f>
        <v/>
      </c>
      <c r="R513" s="78">
        <v>0</v>
      </c>
    </row>
    <row r="514" spans="1:18" ht="9" customHeight="1" x14ac:dyDescent="0.3">
      <c r="A514" s="1" t="s">
        <v>78</v>
      </c>
      <c r="I514" s="48"/>
      <c r="J514" s="41"/>
      <c r="K514" s="41"/>
      <c r="L514" s="54"/>
      <c r="M514" s="54"/>
      <c r="N514" s="61"/>
      <c r="O514" s="60"/>
      <c r="P514" s="58"/>
      <c r="Q514" s="59"/>
      <c r="R514" s="56"/>
    </row>
    <row r="515" spans="1:18" x14ac:dyDescent="0.3">
      <c r="A515" s="1" t="s">
        <v>78</v>
      </c>
      <c r="D515" s="1" t="str">
        <f t="shared" ref="D515:D578" si="710">H515</f>
        <v>"Business Central","CRONUS JetCorp USA","25","1","247052"</v>
      </c>
      <c r="E515" s="1">
        <f t="shared" ref="E515" si="711">I510</f>
        <v>0</v>
      </c>
      <c r="G515" s="1">
        <v>247052</v>
      </c>
      <c r="H515" s="9" t="str">
        <f>"""Business Central"",""CRONUS JetCorp USA"",""25"",""1"",""247052"""</f>
        <v>"Business Central","CRONUS JetCorp USA","25","1","247052"</v>
      </c>
      <c r="I515" s="51"/>
      <c r="J515" s="52" t="str">
        <f>"Order PO102551"</f>
        <v>Order PO102551</v>
      </c>
      <c r="K515" s="52" t="str">
        <f>"PI_102550"</f>
        <v>PI_102550</v>
      </c>
      <c r="L515" s="53">
        <v>43738</v>
      </c>
      <c r="M515" s="53">
        <v>43709</v>
      </c>
      <c r="N515" s="57" t="str">
        <f>""</f>
        <v/>
      </c>
      <c r="O515" s="75">
        <v>0</v>
      </c>
      <c r="P515" s="76">
        <v>0</v>
      </c>
      <c r="Q515" s="77">
        <v>0</v>
      </c>
      <c r="R515" s="78">
        <v>0</v>
      </c>
    </row>
    <row r="516" spans="1:18" hidden="1" x14ac:dyDescent="0.3">
      <c r="A516" s="1" t="s">
        <v>78</v>
      </c>
      <c r="B516" s="1" t="str">
        <f t="shared" ref="B516:B579" si="712">IF(H516="","Hide","Show")</f>
        <v>Hide</v>
      </c>
      <c r="D516" s="1" t="str">
        <f t="shared" ref="D516:D579" si="713">D515</f>
        <v>"Business Central","CRONUS JetCorp USA","25","1","247052"</v>
      </c>
      <c r="E516" s="1">
        <f t="shared" ref="E516:E579" si="714">E515</f>
        <v>0</v>
      </c>
      <c r="F516" s="1" t="str">
        <f>""</f>
        <v/>
      </c>
      <c r="H516" s="9" t="str">
        <f>""</f>
        <v/>
      </c>
      <c r="I516" s="48"/>
      <c r="J516" s="41" t="str">
        <f>""</f>
        <v/>
      </c>
      <c r="K516" s="41" t="str">
        <f>""</f>
        <v/>
      </c>
      <c r="L516" s="54"/>
      <c r="M516" s="54" t="str">
        <f>""</f>
        <v/>
      </c>
      <c r="N516" s="57" t="str">
        <f>""</f>
        <v/>
      </c>
      <c r="O516" s="75">
        <v>0</v>
      </c>
      <c r="P516" s="76" t="str">
        <f>""</f>
        <v/>
      </c>
      <c r="Q516" s="77" t="str">
        <f>""</f>
        <v/>
      </c>
      <c r="R516" s="78">
        <v>0</v>
      </c>
    </row>
    <row r="517" spans="1:18" ht="9" customHeight="1" x14ac:dyDescent="0.3">
      <c r="A517" s="1" t="s">
        <v>78</v>
      </c>
      <c r="I517" s="48"/>
      <c r="J517" s="41"/>
      <c r="K517" s="41"/>
      <c r="L517" s="54"/>
      <c r="M517" s="54"/>
      <c r="N517" s="61"/>
      <c r="O517" s="60"/>
      <c r="P517" s="58"/>
      <c r="Q517" s="59"/>
      <c r="R517" s="56"/>
    </row>
    <row r="518" spans="1:18" x14ac:dyDescent="0.3">
      <c r="A518" s="1" t="s">
        <v>78</v>
      </c>
      <c r="D518" s="1" t="str">
        <f t="shared" ref="D518:D581" si="715">H518</f>
        <v>"Business Central","CRONUS JetCorp USA","25","1","247083"</v>
      </c>
      <c r="E518" s="1">
        <f t="shared" ref="E518" si="716">I513</f>
        <v>0</v>
      </c>
      <c r="G518" s="1">
        <v>247083</v>
      </c>
      <c r="H518" s="9" t="str">
        <f>"""Business Central"",""CRONUS JetCorp USA"",""25"",""1"",""247083"""</f>
        <v>"Business Central","CRONUS JetCorp USA","25","1","247083"</v>
      </c>
      <c r="I518" s="51"/>
      <c r="J518" s="52" t="str">
        <f>"Order PO102552"</f>
        <v>Order PO102552</v>
      </c>
      <c r="K518" s="52" t="str">
        <f>"PI_102551"</f>
        <v>PI_102551</v>
      </c>
      <c r="L518" s="53">
        <v>43769</v>
      </c>
      <c r="M518" s="53">
        <v>43739</v>
      </c>
      <c r="N518" s="57" t="str">
        <f>""</f>
        <v/>
      </c>
      <c r="O518" s="75">
        <v>0</v>
      </c>
      <c r="P518" s="76">
        <v>0</v>
      </c>
      <c r="Q518" s="77">
        <v>0</v>
      </c>
      <c r="R518" s="78">
        <v>0</v>
      </c>
    </row>
    <row r="519" spans="1:18" hidden="1" x14ac:dyDescent="0.3">
      <c r="A519" s="1" t="s">
        <v>78</v>
      </c>
      <c r="B519" s="1" t="str">
        <f t="shared" ref="B519:B582" si="717">IF(H519="","Hide","Show")</f>
        <v>Hide</v>
      </c>
      <c r="D519" s="1" t="str">
        <f t="shared" ref="D519:D582" si="718">D518</f>
        <v>"Business Central","CRONUS JetCorp USA","25","1","247083"</v>
      </c>
      <c r="E519" s="1">
        <f t="shared" ref="E519:E582" si="719">E518</f>
        <v>0</v>
      </c>
      <c r="F519" s="1" t="str">
        <f>""</f>
        <v/>
      </c>
      <c r="H519" s="9" t="str">
        <f>""</f>
        <v/>
      </c>
      <c r="I519" s="48"/>
      <c r="J519" s="41" t="str">
        <f>""</f>
        <v/>
      </c>
      <c r="K519" s="41" t="str">
        <f>""</f>
        <v/>
      </c>
      <c r="L519" s="54"/>
      <c r="M519" s="54" t="str">
        <f>""</f>
        <v/>
      </c>
      <c r="N519" s="57" t="str">
        <f>""</f>
        <v/>
      </c>
      <c r="O519" s="75">
        <v>0</v>
      </c>
      <c r="P519" s="76" t="str">
        <f>""</f>
        <v/>
      </c>
      <c r="Q519" s="77" t="str">
        <f>""</f>
        <v/>
      </c>
      <c r="R519" s="78">
        <v>0</v>
      </c>
    </row>
    <row r="520" spans="1:18" ht="9" customHeight="1" x14ac:dyDescent="0.3">
      <c r="A520" s="1" t="s">
        <v>78</v>
      </c>
      <c r="I520" s="48"/>
      <c r="J520" s="41"/>
      <c r="K520" s="41"/>
      <c r="L520" s="54"/>
      <c r="M520" s="54"/>
      <c r="N520" s="61"/>
      <c r="O520" s="60"/>
      <c r="P520" s="58"/>
      <c r="Q520" s="59"/>
      <c r="R520" s="56"/>
    </row>
    <row r="521" spans="1:18" x14ac:dyDescent="0.3">
      <c r="A521" s="1" t="s">
        <v>78</v>
      </c>
      <c r="D521" s="1" t="str">
        <f t="shared" ref="D521:D584" si="720">H521</f>
        <v>"Business Central","CRONUS JetCorp USA","25","1","247124"</v>
      </c>
      <c r="E521" s="1">
        <f t="shared" ref="E521" si="721">I516</f>
        <v>0</v>
      </c>
      <c r="G521" s="1">
        <v>247124</v>
      </c>
      <c r="H521" s="9" t="str">
        <f>"""Business Central"",""CRONUS JetCorp USA"",""25"",""1"",""247124"""</f>
        <v>"Business Central","CRONUS JetCorp USA","25","1","247124"</v>
      </c>
      <c r="I521" s="51"/>
      <c r="J521" s="52" t="str">
        <f>"Order PO102553"</f>
        <v>Order PO102553</v>
      </c>
      <c r="K521" s="52" t="str">
        <f>"PI_102552"</f>
        <v>PI_102552</v>
      </c>
      <c r="L521" s="53">
        <v>42035</v>
      </c>
      <c r="M521" s="53">
        <v>43831</v>
      </c>
      <c r="N521" s="57" t="str">
        <f>""</f>
        <v/>
      </c>
      <c r="O521" s="75">
        <v>0</v>
      </c>
      <c r="P521" s="76">
        <v>0</v>
      </c>
      <c r="Q521" s="77">
        <v>0</v>
      </c>
      <c r="R521" s="78">
        <v>0</v>
      </c>
    </row>
    <row r="522" spans="1:18" hidden="1" x14ac:dyDescent="0.3">
      <c r="A522" s="1" t="s">
        <v>78</v>
      </c>
      <c r="B522" s="1" t="str">
        <f t="shared" ref="B522:B585" si="722">IF(H522="","Hide","Show")</f>
        <v>Hide</v>
      </c>
      <c r="D522" s="1" t="str">
        <f t="shared" ref="D522:D585" si="723">D521</f>
        <v>"Business Central","CRONUS JetCorp USA","25","1","247124"</v>
      </c>
      <c r="E522" s="1">
        <f t="shared" ref="E522:E585" si="724">E521</f>
        <v>0</v>
      </c>
      <c r="F522" s="1" t="str">
        <f>""</f>
        <v/>
      </c>
      <c r="H522" s="9" t="str">
        <f>""</f>
        <v/>
      </c>
      <c r="I522" s="48"/>
      <c r="J522" s="41" t="str">
        <f>""</f>
        <v/>
      </c>
      <c r="K522" s="41" t="str">
        <f>""</f>
        <v/>
      </c>
      <c r="L522" s="54"/>
      <c r="M522" s="54" t="str">
        <f>""</f>
        <v/>
      </c>
      <c r="N522" s="57" t="str">
        <f>""</f>
        <v/>
      </c>
      <c r="O522" s="75">
        <v>0</v>
      </c>
      <c r="P522" s="76" t="str">
        <f>""</f>
        <v/>
      </c>
      <c r="Q522" s="77" t="str">
        <f>""</f>
        <v/>
      </c>
      <c r="R522" s="78">
        <v>0</v>
      </c>
    </row>
    <row r="523" spans="1:18" ht="9" customHeight="1" x14ac:dyDescent="0.3">
      <c r="A523" s="1" t="s">
        <v>78</v>
      </c>
      <c r="I523" s="48"/>
      <c r="J523" s="41"/>
      <c r="K523" s="41"/>
      <c r="L523" s="54"/>
      <c r="M523" s="54"/>
      <c r="N523" s="61"/>
      <c r="O523" s="60"/>
      <c r="P523" s="58"/>
      <c r="Q523" s="59"/>
      <c r="R523" s="56"/>
    </row>
    <row r="524" spans="1:18" x14ac:dyDescent="0.3">
      <c r="A524" s="1" t="s">
        <v>78</v>
      </c>
      <c r="D524" s="1" t="str">
        <f t="shared" ref="D524:D587" si="725">H524</f>
        <v>"Business Central","CRONUS JetCorp USA","25","1","247149"</v>
      </c>
      <c r="E524" s="1">
        <f t="shared" ref="E524" si="726">I519</f>
        <v>0</v>
      </c>
      <c r="G524" s="1">
        <v>247149</v>
      </c>
      <c r="H524" s="9" t="str">
        <f>"""Business Central"",""CRONUS JetCorp USA"",""25"",""1"",""247149"""</f>
        <v>"Business Central","CRONUS JetCorp USA","25","1","247149"</v>
      </c>
      <c r="I524" s="51"/>
      <c r="J524" s="52" t="str">
        <f>"Order PO102554"</f>
        <v>Order PO102554</v>
      </c>
      <c r="K524" s="52" t="str">
        <f>"PI_102553"</f>
        <v>PI_102553</v>
      </c>
      <c r="L524" s="53">
        <v>42063</v>
      </c>
      <c r="M524" s="53">
        <v>43862</v>
      </c>
      <c r="N524" s="57" t="str">
        <f>""</f>
        <v/>
      </c>
      <c r="O524" s="75">
        <v>0</v>
      </c>
      <c r="P524" s="76">
        <v>0</v>
      </c>
      <c r="Q524" s="77">
        <v>0</v>
      </c>
      <c r="R524" s="78">
        <v>0</v>
      </c>
    </row>
    <row r="525" spans="1:18" hidden="1" x14ac:dyDescent="0.3">
      <c r="A525" s="1" t="s">
        <v>78</v>
      </c>
      <c r="B525" s="1" t="str">
        <f t="shared" ref="B525:B588" si="727">IF(H525="","Hide","Show")</f>
        <v>Hide</v>
      </c>
      <c r="D525" s="1" t="str">
        <f t="shared" ref="D525:D588" si="728">D524</f>
        <v>"Business Central","CRONUS JetCorp USA","25","1","247149"</v>
      </c>
      <c r="E525" s="1">
        <f t="shared" ref="E525:E588" si="729">E524</f>
        <v>0</v>
      </c>
      <c r="F525" s="1" t="str">
        <f>""</f>
        <v/>
      </c>
      <c r="H525" s="9" t="str">
        <f>""</f>
        <v/>
      </c>
      <c r="I525" s="48"/>
      <c r="J525" s="41" t="str">
        <f>""</f>
        <v/>
      </c>
      <c r="K525" s="41" t="str">
        <f>""</f>
        <v/>
      </c>
      <c r="L525" s="54"/>
      <c r="M525" s="54" t="str">
        <f>""</f>
        <v/>
      </c>
      <c r="N525" s="57" t="str">
        <f>""</f>
        <v/>
      </c>
      <c r="O525" s="75">
        <v>0</v>
      </c>
      <c r="P525" s="76" t="str">
        <f>""</f>
        <v/>
      </c>
      <c r="Q525" s="77" t="str">
        <f>""</f>
        <v/>
      </c>
      <c r="R525" s="78">
        <v>0</v>
      </c>
    </row>
    <row r="526" spans="1:18" ht="9" customHeight="1" x14ac:dyDescent="0.3">
      <c r="A526" s="1" t="s">
        <v>78</v>
      </c>
      <c r="I526" s="48"/>
      <c r="J526" s="41"/>
      <c r="K526" s="41"/>
      <c r="L526" s="54"/>
      <c r="M526" s="54"/>
      <c r="N526" s="61"/>
      <c r="O526" s="60"/>
      <c r="P526" s="58"/>
      <c r="Q526" s="59"/>
      <c r="R526" s="56"/>
    </row>
    <row r="527" spans="1:18" x14ac:dyDescent="0.3">
      <c r="A527" s="1" t="s">
        <v>78</v>
      </c>
      <c r="D527" s="1" t="str">
        <f t="shared" ref="D527:D590" si="730">H527</f>
        <v>"Business Central","CRONUS JetCorp USA","25","1","247186"</v>
      </c>
      <c r="E527" s="1">
        <f t="shared" ref="E527" si="731">I522</f>
        <v>0</v>
      </c>
      <c r="G527" s="1">
        <v>247186</v>
      </c>
      <c r="H527" s="9" t="str">
        <f>"""Business Central"",""CRONUS JetCorp USA"",""25"",""1"",""247186"""</f>
        <v>"Business Central","CRONUS JetCorp USA","25","1","247186"</v>
      </c>
      <c r="I527" s="51"/>
      <c r="J527" s="52" t="str">
        <f>"Order PO102555"</f>
        <v>Order PO102555</v>
      </c>
      <c r="K527" s="52" t="str">
        <f>"PI_102554"</f>
        <v>PI_102554</v>
      </c>
      <c r="L527" s="53">
        <v>42094</v>
      </c>
      <c r="M527" s="53">
        <v>43891</v>
      </c>
      <c r="N527" s="57" t="str">
        <f>""</f>
        <v/>
      </c>
      <c r="O527" s="75">
        <v>0</v>
      </c>
      <c r="P527" s="76">
        <v>0</v>
      </c>
      <c r="Q527" s="77">
        <v>0</v>
      </c>
      <c r="R527" s="78">
        <v>0</v>
      </c>
    </row>
    <row r="528" spans="1:18" hidden="1" x14ac:dyDescent="0.3">
      <c r="A528" s="1" t="s">
        <v>78</v>
      </c>
      <c r="B528" s="1" t="str">
        <f t="shared" ref="B528:B591" si="732">IF(H528="","Hide","Show")</f>
        <v>Hide</v>
      </c>
      <c r="D528" s="1" t="str">
        <f t="shared" ref="D528:D591" si="733">D527</f>
        <v>"Business Central","CRONUS JetCorp USA","25","1","247186"</v>
      </c>
      <c r="E528" s="1">
        <f t="shared" ref="E528:E591" si="734">E527</f>
        <v>0</v>
      </c>
      <c r="F528" s="1" t="str">
        <f>""</f>
        <v/>
      </c>
      <c r="H528" s="9" t="str">
        <f>""</f>
        <v/>
      </c>
      <c r="I528" s="48"/>
      <c r="J528" s="41" t="str">
        <f>""</f>
        <v/>
      </c>
      <c r="K528" s="41" t="str">
        <f>""</f>
        <v/>
      </c>
      <c r="L528" s="54"/>
      <c r="M528" s="54" t="str">
        <f>""</f>
        <v/>
      </c>
      <c r="N528" s="57" t="str">
        <f>""</f>
        <v/>
      </c>
      <c r="O528" s="75">
        <v>0</v>
      </c>
      <c r="P528" s="76" t="str">
        <f>""</f>
        <v/>
      </c>
      <c r="Q528" s="77" t="str">
        <f>""</f>
        <v/>
      </c>
      <c r="R528" s="78">
        <v>0</v>
      </c>
    </row>
    <row r="529" spans="1:18" ht="9" customHeight="1" x14ac:dyDescent="0.3">
      <c r="A529" s="1" t="s">
        <v>78</v>
      </c>
      <c r="I529" s="48"/>
      <c r="J529" s="41"/>
      <c r="K529" s="41"/>
      <c r="L529" s="54"/>
      <c r="M529" s="54"/>
      <c r="N529" s="61"/>
      <c r="O529" s="60"/>
      <c r="P529" s="58"/>
      <c r="Q529" s="59"/>
      <c r="R529" s="56"/>
    </row>
    <row r="530" spans="1:18" x14ac:dyDescent="0.3">
      <c r="A530" s="1" t="s">
        <v>78</v>
      </c>
      <c r="D530" s="1" t="str">
        <f t="shared" ref="D530:D593" si="735">H530</f>
        <v>"Business Central","CRONUS JetCorp USA","25","1","247223"</v>
      </c>
      <c r="E530" s="1">
        <f t="shared" ref="E530" si="736">I525</f>
        <v>0</v>
      </c>
      <c r="G530" s="1">
        <v>247223</v>
      </c>
      <c r="H530" s="9" t="str">
        <f>"""Business Central"",""CRONUS JetCorp USA"",""25"",""1"",""247223"""</f>
        <v>"Business Central","CRONUS JetCorp USA","25","1","247223"</v>
      </c>
      <c r="I530" s="51"/>
      <c r="J530" s="52" t="str">
        <f>"Order PO102556"</f>
        <v>Order PO102556</v>
      </c>
      <c r="K530" s="52" t="str">
        <f>"PI_102555"</f>
        <v>PI_102555</v>
      </c>
      <c r="L530" s="53">
        <v>42124</v>
      </c>
      <c r="M530" s="53">
        <v>43922</v>
      </c>
      <c r="N530" s="57" t="str">
        <f>""</f>
        <v/>
      </c>
      <c r="O530" s="75">
        <v>0</v>
      </c>
      <c r="P530" s="76">
        <v>0</v>
      </c>
      <c r="Q530" s="77">
        <v>0</v>
      </c>
      <c r="R530" s="78">
        <v>0</v>
      </c>
    </row>
    <row r="531" spans="1:18" hidden="1" x14ac:dyDescent="0.3">
      <c r="A531" s="1" t="s">
        <v>78</v>
      </c>
      <c r="B531" s="1" t="str">
        <f t="shared" ref="B531:B594" si="737">IF(H531="","Hide","Show")</f>
        <v>Hide</v>
      </c>
      <c r="D531" s="1" t="str">
        <f t="shared" ref="D531:D594" si="738">D530</f>
        <v>"Business Central","CRONUS JetCorp USA","25","1","247223"</v>
      </c>
      <c r="E531" s="1">
        <f t="shared" ref="E531:E594" si="739">E530</f>
        <v>0</v>
      </c>
      <c r="F531" s="1" t="str">
        <f>""</f>
        <v/>
      </c>
      <c r="H531" s="9" t="str">
        <f>""</f>
        <v/>
      </c>
      <c r="I531" s="48"/>
      <c r="J531" s="41" t="str">
        <f>""</f>
        <v/>
      </c>
      <c r="K531" s="41" t="str">
        <f>""</f>
        <v/>
      </c>
      <c r="L531" s="54"/>
      <c r="M531" s="54" t="str">
        <f>""</f>
        <v/>
      </c>
      <c r="N531" s="57" t="str">
        <f>""</f>
        <v/>
      </c>
      <c r="O531" s="75">
        <v>0</v>
      </c>
      <c r="P531" s="76" t="str">
        <f>""</f>
        <v/>
      </c>
      <c r="Q531" s="77" t="str">
        <f>""</f>
        <v/>
      </c>
      <c r="R531" s="78">
        <v>0</v>
      </c>
    </row>
    <row r="532" spans="1:18" ht="9" customHeight="1" x14ac:dyDescent="0.3">
      <c r="A532" s="1" t="s">
        <v>78</v>
      </c>
      <c r="I532" s="48"/>
      <c r="J532" s="41"/>
      <c r="K532" s="41"/>
      <c r="L532" s="54"/>
      <c r="M532" s="54"/>
      <c r="N532" s="61"/>
      <c r="O532" s="60"/>
      <c r="P532" s="58"/>
      <c r="Q532" s="59"/>
      <c r="R532" s="56"/>
    </row>
    <row r="533" spans="1:18" x14ac:dyDescent="0.3">
      <c r="A533" s="1" t="s">
        <v>78</v>
      </c>
      <c r="D533" s="1" t="str">
        <f t="shared" ref="D533:D596" si="740">H533</f>
        <v>"Business Central","CRONUS JetCorp USA","25","1","247256"</v>
      </c>
      <c r="E533" s="1">
        <f t="shared" ref="E533" si="741">I528</f>
        <v>0</v>
      </c>
      <c r="G533" s="1">
        <v>247256</v>
      </c>
      <c r="H533" s="9" t="str">
        <f>"""Business Central"",""CRONUS JetCorp USA"",""25"",""1"",""247256"""</f>
        <v>"Business Central","CRONUS JetCorp USA","25","1","247256"</v>
      </c>
      <c r="I533" s="51"/>
      <c r="J533" s="52" t="str">
        <f>"Order PO102557"</f>
        <v>Order PO102557</v>
      </c>
      <c r="K533" s="52" t="str">
        <f>"PI_102556"</f>
        <v>PI_102556</v>
      </c>
      <c r="L533" s="53">
        <v>42185</v>
      </c>
      <c r="M533" s="53">
        <v>43983</v>
      </c>
      <c r="N533" s="57" t="str">
        <f>""</f>
        <v/>
      </c>
      <c r="O533" s="75">
        <v>0</v>
      </c>
      <c r="P533" s="76">
        <v>0</v>
      </c>
      <c r="Q533" s="77">
        <v>0</v>
      </c>
      <c r="R533" s="78">
        <v>0</v>
      </c>
    </row>
    <row r="534" spans="1:18" hidden="1" x14ac:dyDescent="0.3">
      <c r="A534" s="1" t="s">
        <v>78</v>
      </c>
      <c r="B534" s="1" t="str">
        <f t="shared" ref="B534:B597" si="742">IF(H534="","Hide","Show")</f>
        <v>Hide</v>
      </c>
      <c r="D534" s="1" t="str">
        <f t="shared" ref="D534:D597" si="743">D533</f>
        <v>"Business Central","CRONUS JetCorp USA","25","1","247256"</v>
      </c>
      <c r="E534" s="1">
        <f t="shared" ref="E534:E597" si="744">E533</f>
        <v>0</v>
      </c>
      <c r="F534" s="1" t="str">
        <f>""</f>
        <v/>
      </c>
      <c r="H534" s="9" t="str">
        <f>""</f>
        <v/>
      </c>
      <c r="I534" s="48"/>
      <c r="J534" s="41" t="str">
        <f>""</f>
        <v/>
      </c>
      <c r="K534" s="41" t="str">
        <f>""</f>
        <v/>
      </c>
      <c r="L534" s="54"/>
      <c r="M534" s="54" t="str">
        <f>""</f>
        <v/>
      </c>
      <c r="N534" s="57" t="str">
        <f>""</f>
        <v/>
      </c>
      <c r="O534" s="75">
        <v>0</v>
      </c>
      <c r="P534" s="76" t="str">
        <f>""</f>
        <v/>
      </c>
      <c r="Q534" s="77" t="str">
        <f>""</f>
        <v/>
      </c>
      <c r="R534" s="78">
        <v>0</v>
      </c>
    </row>
    <row r="535" spans="1:18" ht="9" customHeight="1" x14ac:dyDescent="0.3">
      <c r="A535" s="1" t="s">
        <v>78</v>
      </c>
      <c r="I535" s="48"/>
      <c r="J535" s="41"/>
      <c r="K535" s="41"/>
      <c r="L535" s="54"/>
      <c r="M535" s="54"/>
      <c r="N535" s="61"/>
      <c r="O535" s="60"/>
      <c r="P535" s="58"/>
      <c r="Q535" s="59"/>
      <c r="R535" s="56"/>
    </row>
    <row r="536" spans="1:18" x14ac:dyDescent="0.3">
      <c r="A536" s="1" t="s">
        <v>78</v>
      </c>
      <c r="D536" s="1" t="str">
        <f t="shared" ref="D536:D599" si="745">H536</f>
        <v>"Business Central","CRONUS JetCorp USA","25","1","247297"</v>
      </c>
      <c r="E536" s="1">
        <f t="shared" ref="E536" si="746">I531</f>
        <v>0</v>
      </c>
      <c r="G536" s="1">
        <v>247297</v>
      </c>
      <c r="H536" s="9" t="str">
        <f>"""Business Central"",""CRONUS JetCorp USA"",""25"",""1"",""247297"""</f>
        <v>"Business Central","CRONUS JetCorp USA","25","1","247297"</v>
      </c>
      <c r="I536" s="51"/>
      <c r="J536" s="52" t="str">
        <f>"Order PO102558"</f>
        <v>Order PO102558</v>
      </c>
      <c r="K536" s="52" t="str">
        <f>"PI_102557"</f>
        <v>PI_102557</v>
      </c>
      <c r="L536" s="53">
        <v>42216</v>
      </c>
      <c r="M536" s="53">
        <v>44013</v>
      </c>
      <c r="N536" s="57" t="str">
        <f>""</f>
        <v/>
      </c>
      <c r="O536" s="75">
        <v>0</v>
      </c>
      <c r="P536" s="76">
        <v>0</v>
      </c>
      <c r="Q536" s="77">
        <v>0</v>
      </c>
      <c r="R536" s="78">
        <v>0</v>
      </c>
    </row>
    <row r="537" spans="1:18" hidden="1" x14ac:dyDescent="0.3">
      <c r="A537" s="1" t="s">
        <v>78</v>
      </c>
      <c r="B537" s="1" t="str">
        <f t="shared" ref="B537:B600" si="747">IF(H537="","Hide","Show")</f>
        <v>Hide</v>
      </c>
      <c r="D537" s="1" t="str">
        <f t="shared" ref="D537:D600" si="748">D536</f>
        <v>"Business Central","CRONUS JetCorp USA","25","1","247297"</v>
      </c>
      <c r="E537" s="1">
        <f t="shared" ref="E537:E600" si="749">E536</f>
        <v>0</v>
      </c>
      <c r="F537" s="1" t="str">
        <f>""</f>
        <v/>
      </c>
      <c r="H537" s="9" t="str">
        <f>""</f>
        <v/>
      </c>
      <c r="I537" s="48"/>
      <c r="J537" s="41" t="str">
        <f>""</f>
        <v/>
      </c>
      <c r="K537" s="41" t="str">
        <f>""</f>
        <v/>
      </c>
      <c r="L537" s="54"/>
      <c r="M537" s="54" t="str">
        <f>""</f>
        <v/>
      </c>
      <c r="N537" s="57" t="str">
        <f>""</f>
        <v/>
      </c>
      <c r="O537" s="75">
        <v>0</v>
      </c>
      <c r="P537" s="76" t="str">
        <f>""</f>
        <v/>
      </c>
      <c r="Q537" s="77" t="str">
        <f>""</f>
        <v/>
      </c>
      <c r="R537" s="78">
        <v>0</v>
      </c>
    </row>
    <row r="538" spans="1:18" ht="9" customHeight="1" x14ac:dyDescent="0.3">
      <c r="A538" s="1" t="s">
        <v>78</v>
      </c>
      <c r="I538" s="48"/>
      <c r="J538" s="41"/>
      <c r="K538" s="41"/>
      <c r="L538" s="54"/>
      <c r="M538" s="54"/>
      <c r="N538" s="61"/>
      <c r="O538" s="60"/>
      <c r="P538" s="58"/>
      <c r="Q538" s="59"/>
      <c r="R538" s="56"/>
    </row>
    <row r="539" spans="1:18" x14ac:dyDescent="0.3">
      <c r="A539" s="1" t="s">
        <v>78</v>
      </c>
      <c r="D539" s="1" t="str">
        <f t="shared" ref="D539:D602" si="750">H539</f>
        <v>"Business Central","CRONUS JetCorp USA","25","1","247326"</v>
      </c>
      <c r="E539" s="1">
        <f t="shared" ref="E539" si="751">I534</f>
        <v>0</v>
      </c>
      <c r="G539" s="1">
        <v>247326</v>
      </c>
      <c r="H539" s="9" t="str">
        <f>"""Business Central"",""CRONUS JetCorp USA"",""25"",""1"",""247326"""</f>
        <v>"Business Central","CRONUS JetCorp USA","25","1","247326"</v>
      </c>
      <c r="I539" s="51"/>
      <c r="J539" s="52" t="str">
        <f>"Order PO102559"</f>
        <v>Order PO102559</v>
      </c>
      <c r="K539" s="52" t="str">
        <f>"PI_102558"</f>
        <v>PI_102558</v>
      </c>
      <c r="L539" s="53">
        <v>42277</v>
      </c>
      <c r="M539" s="53">
        <v>44075</v>
      </c>
      <c r="N539" s="57" t="str">
        <f>""</f>
        <v/>
      </c>
      <c r="O539" s="75">
        <v>0</v>
      </c>
      <c r="P539" s="76">
        <v>0</v>
      </c>
      <c r="Q539" s="77">
        <v>0</v>
      </c>
      <c r="R539" s="78">
        <v>0</v>
      </c>
    </row>
    <row r="540" spans="1:18" hidden="1" x14ac:dyDescent="0.3">
      <c r="A540" s="1" t="s">
        <v>78</v>
      </c>
      <c r="B540" s="1" t="str">
        <f t="shared" ref="B540:B603" si="752">IF(H540="","Hide","Show")</f>
        <v>Hide</v>
      </c>
      <c r="D540" s="1" t="str">
        <f t="shared" ref="D540:D603" si="753">D539</f>
        <v>"Business Central","CRONUS JetCorp USA","25","1","247326"</v>
      </c>
      <c r="E540" s="1">
        <f t="shared" ref="E540:E603" si="754">E539</f>
        <v>0</v>
      </c>
      <c r="F540" s="1" t="str">
        <f>""</f>
        <v/>
      </c>
      <c r="H540" s="9" t="str">
        <f>""</f>
        <v/>
      </c>
      <c r="I540" s="48"/>
      <c r="J540" s="41" t="str">
        <f>""</f>
        <v/>
      </c>
      <c r="K540" s="41" t="str">
        <f>""</f>
        <v/>
      </c>
      <c r="L540" s="54"/>
      <c r="M540" s="54" t="str">
        <f>""</f>
        <v/>
      </c>
      <c r="N540" s="57" t="str">
        <f>""</f>
        <v/>
      </c>
      <c r="O540" s="75">
        <v>0</v>
      </c>
      <c r="P540" s="76" t="str">
        <f>""</f>
        <v/>
      </c>
      <c r="Q540" s="77" t="str">
        <f>""</f>
        <v/>
      </c>
      <c r="R540" s="78">
        <v>0</v>
      </c>
    </row>
    <row r="541" spans="1:18" ht="9" customHeight="1" x14ac:dyDescent="0.3">
      <c r="A541" s="1" t="s">
        <v>78</v>
      </c>
      <c r="I541" s="48"/>
      <c r="J541" s="41"/>
      <c r="K541" s="41"/>
      <c r="L541" s="54"/>
      <c r="M541" s="54"/>
      <c r="N541" s="61"/>
      <c r="O541" s="60"/>
      <c r="P541" s="58"/>
      <c r="Q541" s="59"/>
      <c r="R541" s="56"/>
    </row>
    <row r="542" spans="1:18" x14ac:dyDescent="0.3">
      <c r="A542" s="1" t="s">
        <v>78</v>
      </c>
      <c r="D542" s="1" t="str">
        <f t="shared" ref="D542:D605" si="755">H542</f>
        <v>"Business Central","CRONUS JetCorp USA","25","1","247365"</v>
      </c>
      <c r="E542" s="1">
        <f t="shared" ref="E542" si="756">I537</f>
        <v>0</v>
      </c>
      <c r="G542" s="1">
        <v>247365</v>
      </c>
      <c r="H542" s="9" t="str">
        <f>"""Business Central"",""CRONUS JetCorp USA"",""25"",""1"",""247365"""</f>
        <v>"Business Central","CRONUS JetCorp USA","25","1","247365"</v>
      </c>
      <c r="I542" s="51"/>
      <c r="J542" s="52" t="str">
        <f>"Order PO102560"</f>
        <v>Order PO102560</v>
      </c>
      <c r="K542" s="52" t="str">
        <f>"PI_102559"</f>
        <v>PI_102559</v>
      </c>
      <c r="L542" s="53">
        <v>42308</v>
      </c>
      <c r="M542" s="53">
        <v>44105</v>
      </c>
      <c r="N542" s="57" t="str">
        <f>""</f>
        <v/>
      </c>
      <c r="O542" s="75">
        <v>0</v>
      </c>
      <c r="P542" s="76">
        <v>0</v>
      </c>
      <c r="Q542" s="77">
        <v>0</v>
      </c>
      <c r="R542" s="78">
        <v>0</v>
      </c>
    </row>
    <row r="543" spans="1:18" hidden="1" x14ac:dyDescent="0.3">
      <c r="A543" s="1" t="s">
        <v>78</v>
      </c>
      <c r="B543" s="1" t="str">
        <f t="shared" ref="B543:B606" si="757">IF(H543="","Hide","Show")</f>
        <v>Hide</v>
      </c>
      <c r="D543" s="1" t="str">
        <f t="shared" ref="D543:D606" si="758">D542</f>
        <v>"Business Central","CRONUS JetCorp USA","25","1","247365"</v>
      </c>
      <c r="E543" s="1">
        <f t="shared" ref="E543:E606" si="759">E542</f>
        <v>0</v>
      </c>
      <c r="F543" s="1" t="str">
        <f>""</f>
        <v/>
      </c>
      <c r="H543" s="9" t="str">
        <f>""</f>
        <v/>
      </c>
      <c r="I543" s="48"/>
      <c r="J543" s="41" t="str">
        <f>""</f>
        <v/>
      </c>
      <c r="K543" s="41" t="str">
        <f>""</f>
        <v/>
      </c>
      <c r="L543" s="54"/>
      <c r="M543" s="54" t="str">
        <f>""</f>
        <v/>
      </c>
      <c r="N543" s="57" t="str">
        <f>""</f>
        <v/>
      </c>
      <c r="O543" s="75">
        <v>0</v>
      </c>
      <c r="P543" s="76" t="str">
        <f>""</f>
        <v/>
      </c>
      <c r="Q543" s="77" t="str">
        <f>""</f>
        <v/>
      </c>
      <c r="R543" s="78">
        <v>0</v>
      </c>
    </row>
    <row r="544" spans="1:18" ht="9" customHeight="1" x14ac:dyDescent="0.3">
      <c r="A544" s="1" t="s">
        <v>78</v>
      </c>
      <c r="I544" s="48"/>
      <c r="J544" s="41"/>
      <c r="K544" s="41"/>
      <c r="L544" s="54"/>
      <c r="M544" s="54"/>
      <c r="N544" s="61"/>
      <c r="O544" s="60"/>
      <c r="P544" s="58"/>
      <c r="Q544" s="59"/>
      <c r="R544" s="56"/>
    </row>
    <row r="545" spans="1:18" x14ac:dyDescent="0.3">
      <c r="A545" s="1" t="s">
        <v>78</v>
      </c>
      <c r="D545" s="1" t="str">
        <f t="shared" ref="D545:D608" si="760">H545</f>
        <v>"Business Central","CRONUS JetCorp USA","25","1","247400"</v>
      </c>
      <c r="E545" s="1">
        <f t="shared" ref="E545" si="761">I540</f>
        <v>0</v>
      </c>
      <c r="G545" s="1">
        <v>247400</v>
      </c>
      <c r="H545" s="9" t="str">
        <f>"""Business Central"",""CRONUS JetCorp USA"",""25"",""1"",""247400"""</f>
        <v>"Business Central","CRONUS JetCorp USA","25","1","247400"</v>
      </c>
      <c r="I545" s="51"/>
      <c r="J545" s="52" t="str">
        <f>"Order PO102561"</f>
        <v>Order PO102561</v>
      </c>
      <c r="K545" s="52" t="str">
        <f>"PI_102560"</f>
        <v>PI_102560</v>
      </c>
      <c r="L545" s="53">
        <v>42369</v>
      </c>
      <c r="M545" s="53">
        <v>44166</v>
      </c>
      <c r="N545" s="57" t="str">
        <f>""</f>
        <v/>
      </c>
      <c r="O545" s="75">
        <v>0</v>
      </c>
      <c r="P545" s="76">
        <v>0</v>
      </c>
      <c r="Q545" s="77">
        <v>0</v>
      </c>
      <c r="R545" s="78">
        <v>0</v>
      </c>
    </row>
    <row r="546" spans="1:18" hidden="1" x14ac:dyDescent="0.3">
      <c r="A546" s="1" t="s">
        <v>78</v>
      </c>
      <c r="B546" s="1" t="str">
        <f t="shared" ref="B546:B609" si="762">IF(H546="","Hide","Show")</f>
        <v>Hide</v>
      </c>
      <c r="D546" s="1" t="str">
        <f t="shared" ref="D546:D609" si="763">D545</f>
        <v>"Business Central","CRONUS JetCorp USA","25","1","247400"</v>
      </c>
      <c r="E546" s="1">
        <f t="shared" ref="E546:E609" si="764">E545</f>
        <v>0</v>
      </c>
      <c r="F546" s="1" t="str">
        <f>""</f>
        <v/>
      </c>
      <c r="H546" s="9" t="str">
        <f>""</f>
        <v/>
      </c>
      <c r="I546" s="48"/>
      <c r="J546" s="41" t="str">
        <f>""</f>
        <v/>
      </c>
      <c r="K546" s="41" t="str">
        <f>""</f>
        <v/>
      </c>
      <c r="L546" s="54"/>
      <c r="M546" s="54" t="str">
        <f>""</f>
        <v/>
      </c>
      <c r="N546" s="57" t="str">
        <f>""</f>
        <v/>
      </c>
      <c r="O546" s="75">
        <v>0</v>
      </c>
      <c r="P546" s="76" t="str">
        <f>""</f>
        <v/>
      </c>
      <c r="Q546" s="77" t="str">
        <f>""</f>
        <v/>
      </c>
      <c r="R546" s="78">
        <v>0</v>
      </c>
    </row>
    <row r="547" spans="1:18" ht="9" customHeight="1" x14ac:dyDescent="0.3">
      <c r="A547" s="1" t="s">
        <v>78</v>
      </c>
      <c r="I547" s="48"/>
      <c r="J547" s="41"/>
      <c r="K547" s="41"/>
      <c r="L547" s="54"/>
      <c r="M547" s="54"/>
      <c r="N547" s="61"/>
      <c r="O547" s="60"/>
      <c r="P547" s="58"/>
      <c r="Q547" s="59"/>
      <c r="R547" s="56"/>
    </row>
    <row r="548" spans="1:18" x14ac:dyDescent="0.3">
      <c r="A548" s="1" t="s">
        <v>78</v>
      </c>
      <c r="D548" s="1" t="str">
        <f t="shared" ref="D548:D611" si="765">H548</f>
        <v>"Business Central","CRONUS JetCorp USA","25","1","247441"</v>
      </c>
      <c r="E548" s="1">
        <f t="shared" ref="E548" si="766">I543</f>
        <v>0</v>
      </c>
      <c r="G548" s="1">
        <v>247441</v>
      </c>
      <c r="H548" s="9" t="str">
        <f>"""Business Central"",""CRONUS JetCorp USA"",""25"",""1"",""247441"""</f>
        <v>"Business Central","CRONUS JetCorp USA","25","1","247441"</v>
      </c>
      <c r="I548" s="51"/>
      <c r="J548" s="52" t="str">
        <f>"Order PO102562"</f>
        <v>Order PO102562</v>
      </c>
      <c r="K548" s="52" t="str">
        <f>"PI_102561"</f>
        <v>PI_102561</v>
      </c>
      <c r="L548" s="53">
        <v>42766</v>
      </c>
      <c r="M548" s="53">
        <v>42736</v>
      </c>
      <c r="N548" s="57" t="str">
        <f>""</f>
        <v/>
      </c>
      <c r="O548" s="75">
        <v>0</v>
      </c>
      <c r="P548" s="76">
        <v>0</v>
      </c>
      <c r="Q548" s="77">
        <v>0</v>
      </c>
      <c r="R548" s="78">
        <v>0</v>
      </c>
    </row>
    <row r="549" spans="1:18" hidden="1" x14ac:dyDescent="0.3">
      <c r="A549" s="1" t="s">
        <v>78</v>
      </c>
      <c r="B549" s="1" t="str">
        <f t="shared" ref="B549:B612" si="767">IF(H549="","Hide","Show")</f>
        <v>Hide</v>
      </c>
      <c r="D549" s="1" t="str">
        <f t="shared" ref="D549:D612" si="768">D548</f>
        <v>"Business Central","CRONUS JetCorp USA","25","1","247441"</v>
      </c>
      <c r="E549" s="1">
        <f t="shared" ref="E549:E612" si="769">E548</f>
        <v>0</v>
      </c>
      <c r="F549" s="1" t="str">
        <f>""</f>
        <v/>
      </c>
      <c r="H549" s="9" t="str">
        <f>""</f>
        <v/>
      </c>
      <c r="I549" s="48"/>
      <c r="J549" s="41" t="str">
        <f>""</f>
        <v/>
      </c>
      <c r="K549" s="41" t="str">
        <f>""</f>
        <v/>
      </c>
      <c r="L549" s="54"/>
      <c r="M549" s="54" t="str">
        <f>""</f>
        <v/>
      </c>
      <c r="N549" s="57" t="str">
        <f>""</f>
        <v/>
      </c>
      <c r="O549" s="75">
        <v>0</v>
      </c>
      <c r="P549" s="76" t="str">
        <f>""</f>
        <v/>
      </c>
      <c r="Q549" s="77" t="str">
        <f>""</f>
        <v/>
      </c>
      <c r="R549" s="78">
        <v>0</v>
      </c>
    </row>
    <row r="550" spans="1:18" ht="9" customHeight="1" x14ac:dyDescent="0.3">
      <c r="A550" s="1" t="s">
        <v>78</v>
      </c>
      <c r="I550" s="48"/>
      <c r="J550" s="41"/>
      <c r="K550" s="41"/>
      <c r="L550" s="54"/>
      <c r="M550" s="54"/>
      <c r="N550" s="61"/>
      <c r="O550" s="60"/>
      <c r="P550" s="58"/>
      <c r="Q550" s="59"/>
      <c r="R550" s="56"/>
    </row>
    <row r="551" spans="1:18" x14ac:dyDescent="0.3">
      <c r="A551" s="1" t="s">
        <v>78</v>
      </c>
      <c r="D551" s="1" t="str">
        <f t="shared" ref="D551:D614" si="770">H551</f>
        <v>"Business Central","CRONUS JetCorp USA","25","1","247482"</v>
      </c>
      <c r="E551" s="1">
        <f t="shared" ref="E551" si="771">I546</f>
        <v>0</v>
      </c>
      <c r="G551" s="1">
        <v>247482</v>
      </c>
      <c r="H551" s="9" t="str">
        <f>"""Business Central"",""CRONUS JetCorp USA"",""25"",""1"",""247482"""</f>
        <v>"Business Central","CRONUS JetCorp USA","25","1","247482"</v>
      </c>
      <c r="I551" s="51"/>
      <c r="J551" s="52" t="str">
        <f>"Order PO102563"</f>
        <v>Order PO102563</v>
      </c>
      <c r="K551" s="52" t="str">
        <f>"PI_102562"</f>
        <v>PI_102562</v>
      </c>
      <c r="L551" s="53">
        <v>42794</v>
      </c>
      <c r="M551" s="53">
        <v>42767</v>
      </c>
      <c r="N551" s="57" t="str">
        <f>""</f>
        <v/>
      </c>
      <c r="O551" s="75">
        <v>0</v>
      </c>
      <c r="P551" s="76">
        <v>0</v>
      </c>
      <c r="Q551" s="77">
        <v>0</v>
      </c>
      <c r="R551" s="78">
        <v>0</v>
      </c>
    </row>
    <row r="552" spans="1:18" hidden="1" x14ac:dyDescent="0.3">
      <c r="A552" s="1" t="s">
        <v>78</v>
      </c>
      <c r="B552" s="1" t="str">
        <f t="shared" ref="B552:B615" si="772">IF(H552="","Hide","Show")</f>
        <v>Hide</v>
      </c>
      <c r="D552" s="1" t="str">
        <f t="shared" ref="D552:D615" si="773">D551</f>
        <v>"Business Central","CRONUS JetCorp USA","25","1","247482"</v>
      </c>
      <c r="E552" s="1">
        <f t="shared" ref="E552:E615" si="774">E551</f>
        <v>0</v>
      </c>
      <c r="F552" s="1" t="str">
        <f>""</f>
        <v/>
      </c>
      <c r="H552" s="9" t="str">
        <f>""</f>
        <v/>
      </c>
      <c r="I552" s="48"/>
      <c r="J552" s="41" t="str">
        <f>""</f>
        <v/>
      </c>
      <c r="K552" s="41" t="str">
        <f>""</f>
        <v/>
      </c>
      <c r="L552" s="54"/>
      <c r="M552" s="54" t="str">
        <f>""</f>
        <v/>
      </c>
      <c r="N552" s="57" t="str">
        <f>""</f>
        <v/>
      </c>
      <c r="O552" s="75">
        <v>0</v>
      </c>
      <c r="P552" s="76" t="str">
        <f>""</f>
        <v/>
      </c>
      <c r="Q552" s="77" t="str">
        <f>""</f>
        <v/>
      </c>
      <c r="R552" s="78">
        <v>0</v>
      </c>
    </row>
    <row r="553" spans="1:18" ht="9" customHeight="1" x14ac:dyDescent="0.3">
      <c r="A553" s="1" t="s">
        <v>78</v>
      </c>
      <c r="I553" s="48"/>
      <c r="J553" s="41"/>
      <c r="K553" s="41"/>
      <c r="L553" s="54"/>
      <c r="M553" s="54"/>
      <c r="N553" s="61"/>
      <c r="O553" s="60"/>
      <c r="P553" s="58"/>
      <c r="Q553" s="59"/>
      <c r="R553" s="56"/>
    </row>
    <row r="554" spans="1:18" x14ac:dyDescent="0.3">
      <c r="A554" s="1" t="s">
        <v>78</v>
      </c>
      <c r="D554" s="1" t="str">
        <f t="shared" ref="D554:D617" si="775">H554</f>
        <v>"Business Central","CRONUS JetCorp USA","25","1","247523"</v>
      </c>
      <c r="E554" s="1">
        <f t="shared" ref="E554" si="776">I549</f>
        <v>0</v>
      </c>
      <c r="G554" s="1">
        <v>247523</v>
      </c>
      <c r="H554" s="9" t="str">
        <f>"""Business Central"",""CRONUS JetCorp USA"",""25"",""1"",""247523"""</f>
        <v>"Business Central","CRONUS JetCorp USA","25","1","247523"</v>
      </c>
      <c r="I554" s="51"/>
      <c r="J554" s="52" t="str">
        <f>"Order PO102564"</f>
        <v>Order PO102564</v>
      </c>
      <c r="K554" s="52" t="str">
        <f>"PI_102563"</f>
        <v>PI_102563</v>
      </c>
      <c r="L554" s="53">
        <v>42825</v>
      </c>
      <c r="M554" s="53">
        <v>42795</v>
      </c>
      <c r="N554" s="57" t="str">
        <f>""</f>
        <v/>
      </c>
      <c r="O554" s="75">
        <v>0</v>
      </c>
      <c r="P554" s="76">
        <v>0</v>
      </c>
      <c r="Q554" s="77">
        <v>0</v>
      </c>
      <c r="R554" s="78">
        <v>0</v>
      </c>
    </row>
    <row r="555" spans="1:18" hidden="1" x14ac:dyDescent="0.3">
      <c r="A555" s="1" t="s">
        <v>78</v>
      </c>
      <c r="B555" s="1" t="str">
        <f t="shared" ref="B555:B618" si="777">IF(H555="","Hide","Show")</f>
        <v>Hide</v>
      </c>
      <c r="D555" s="1" t="str">
        <f t="shared" ref="D555:D618" si="778">D554</f>
        <v>"Business Central","CRONUS JetCorp USA","25","1","247523"</v>
      </c>
      <c r="E555" s="1">
        <f t="shared" ref="E555:E618" si="779">E554</f>
        <v>0</v>
      </c>
      <c r="F555" s="1" t="str">
        <f>""</f>
        <v/>
      </c>
      <c r="H555" s="9" t="str">
        <f>""</f>
        <v/>
      </c>
      <c r="I555" s="48"/>
      <c r="J555" s="41" t="str">
        <f>""</f>
        <v/>
      </c>
      <c r="K555" s="41" t="str">
        <f>""</f>
        <v/>
      </c>
      <c r="L555" s="54"/>
      <c r="M555" s="54" t="str">
        <f>""</f>
        <v/>
      </c>
      <c r="N555" s="57" t="str">
        <f>""</f>
        <v/>
      </c>
      <c r="O555" s="75">
        <v>0</v>
      </c>
      <c r="P555" s="76" t="str">
        <f>""</f>
        <v/>
      </c>
      <c r="Q555" s="77" t="str">
        <f>""</f>
        <v/>
      </c>
      <c r="R555" s="78">
        <v>0</v>
      </c>
    </row>
    <row r="556" spans="1:18" ht="9" customHeight="1" x14ac:dyDescent="0.3">
      <c r="A556" s="1" t="s">
        <v>78</v>
      </c>
      <c r="I556" s="48"/>
      <c r="J556" s="41"/>
      <c r="K556" s="41"/>
      <c r="L556" s="54"/>
      <c r="M556" s="54"/>
      <c r="N556" s="61"/>
      <c r="O556" s="60"/>
      <c r="P556" s="58"/>
      <c r="Q556" s="59"/>
      <c r="R556" s="56"/>
    </row>
    <row r="557" spans="1:18" x14ac:dyDescent="0.3">
      <c r="A557" s="1" t="s">
        <v>78</v>
      </c>
      <c r="D557" s="1" t="str">
        <f t="shared" ref="D557:D620" si="780">H557</f>
        <v>"Business Central","CRONUS JetCorp USA","25","1","247562"</v>
      </c>
      <c r="E557" s="1">
        <f t="shared" ref="E557" si="781">I552</f>
        <v>0</v>
      </c>
      <c r="G557" s="1">
        <v>247562</v>
      </c>
      <c r="H557" s="9" t="str">
        <f>"""Business Central"",""CRONUS JetCorp USA"",""25"",""1"",""247562"""</f>
        <v>"Business Central","CRONUS JetCorp USA","25","1","247562"</v>
      </c>
      <c r="I557" s="51"/>
      <c r="J557" s="52" t="str">
        <f>"Order PO102565"</f>
        <v>Order PO102565</v>
      </c>
      <c r="K557" s="52" t="str">
        <f>"PI_102564"</f>
        <v>PI_102564</v>
      </c>
      <c r="L557" s="53">
        <v>42855</v>
      </c>
      <c r="M557" s="53">
        <v>42826</v>
      </c>
      <c r="N557" s="57" t="str">
        <f>""</f>
        <v/>
      </c>
      <c r="O557" s="75">
        <v>0</v>
      </c>
      <c r="P557" s="76">
        <v>0</v>
      </c>
      <c r="Q557" s="77">
        <v>0</v>
      </c>
      <c r="R557" s="78">
        <v>0</v>
      </c>
    </row>
    <row r="558" spans="1:18" hidden="1" x14ac:dyDescent="0.3">
      <c r="A558" s="1" t="s">
        <v>78</v>
      </c>
      <c r="B558" s="1" t="str">
        <f t="shared" ref="B558:B621" si="782">IF(H558="","Hide","Show")</f>
        <v>Hide</v>
      </c>
      <c r="D558" s="1" t="str">
        <f t="shared" ref="D558:D621" si="783">D557</f>
        <v>"Business Central","CRONUS JetCorp USA","25","1","247562"</v>
      </c>
      <c r="E558" s="1">
        <f t="shared" ref="E558:E621" si="784">E557</f>
        <v>0</v>
      </c>
      <c r="F558" s="1" t="str">
        <f>""</f>
        <v/>
      </c>
      <c r="H558" s="9" t="str">
        <f>""</f>
        <v/>
      </c>
      <c r="I558" s="48"/>
      <c r="J558" s="41" t="str">
        <f>""</f>
        <v/>
      </c>
      <c r="K558" s="41" t="str">
        <f>""</f>
        <v/>
      </c>
      <c r="L558" s="54"/>
      <c r="M558" s="54" t="str">
        <f>""</f>
        <v/>
      </c>
      <c r="N558" s="57" t="str">
        <f>""</f>
        <v/>
      </c>
      <c r="O558" s="75">
        <v>0</v>
      </c>
      <c r="P558" s="76" t="str">
        <f>""</f>
        <v/>
      </c>
      <c r="Q558" s="77" t="str">
        <f>""</f>
        <v/>
      </c>
      <c r="R558" s="78">
        <v>0</v>
      </c>
    </row>
    <row r="559" spans="1:18" ht="9" customHeight="1" x14ac:dyDescent="0.3">
      <c r="A559" s="1" t="s">
        <v>78</v>
      </c>
      <c r="I559" s="48"/>
      <c r="J559" s="41"/>
      <c r="K559" s="41"/>
      <c r="L559" s="54"/>
      <c r="M559" s="54"/>
      <c r="N559" s="61"/>
      <c r="O559" s="60"/>
      <c r="P559" s="58"/>
      <c r="Q559" s="59"/>
      <c r="R559" s="56"/>
    </row>
    <row r="560" spans="1:18" x14ac:dyDescent="0.3">
      <c r="A560" s="1" t="s">
        <v>78</v>
      </c>
      <c r="D560" s="1" t="str">
        <f t="shared" ref="D560:D623" si="785">H560</f>
        <v>"Business Central","CRONUS JetCorp USA","25","1","247593"</v>
      </c>
      <c r="E560" s="1">
        <f t="shared" ref="E560" si="786">I555</f>
        <v>0</v>
      </c>
      <c r="G560" s="1">
        <v>247593</v>
      </c>
      <c r="H560" s="9" t="str">
        <f>"""Business Central"",""CRONUS JetCorp USA"",""25"",""1"",""247593"""</f>
        <v>"Business Central","CRONUS JetCorp USA","25","1","247593"</v>
      </c>
      <c r="I560" s="51"/>
      <c r="J560" s="52" t="str">
        <f>"Order PO102566"</f>
        <v>Order PO102566</v>
      </c>
      <c r="K560" s="52" t="str">
        <f>"PI_102565"</f>
        <v>PI_102565</v>
      </c>
      <c r="L560" s="53">
        <v>42886</v>
      </c>
      <c r="M560" s="53">
        <v>42856</v>
      </c>
      <c r="N560" s="57" t="str">
        <f>""</f>
        <v/>
      </c>
      <c r="O560" s="75">
        <v>0</v>
      </c>
      <c r="P560" s="76">
        <v>0</v>
      </c>
      <c r="Q560" s="77">
        <v>0</v>
      </c>
      <c r="R560" s="78">
        <v>0</v>
      </c>
    </row>
    <row r="561" spans="1:18" hidden="1" x14ac:dyDescent="0.3">
      <c r="A561" s="1" t="s">
        <v>78</v>
      </c>
      <c r="B561" s="1" t="str">
        <f t="shared" ref="B561:B624" si="787">IF(H561="","Hide","Show")</f>
        <v>Hide</v>
      </c>
      <c r="D561" s="1" t="str">
        <f t="shared" ref="D561:D624" si="788">D560</f>
        <v>"Business Central","CRONUS JetCorp USA","25","1","247593"</v>
      </c>
      <c r="E561" s="1">
        <f t="shared" ref="E561:E624" si="789">E560</f>
        <v>0</v>
      </c>
      <c r="F561" s="1" t="str">
        <f>""</f>
        <v/>
      </c>
      <c r="H561" s="9" t="str">
        <f>""</f>
        <v/>
      </c>
      <c r="I561" s="48"/>
      <c r="J561" s="41" t="str">
        <f>""</f>
        <v/>
      </c>
      <c r="K561" s="41" t="str">
        <f>""</f>
        <v/>
      </c>
      <c r="L561" s="54"/>
      <c r="M561" s="54" t="str">
        <f>""</f>
        <v/>
      </c>
      <c r="N561" s="57" t="str">
        <f>""</f>
        <v/>
      </c>
      <c r="O561" s="75">
        <v>0</v>
      </c>
      <c r="P561" s="76" t="str">
        <f>""</f>
        <v/>
      </c>
      <c r="Q561" s="77" t="str">
        <f>""</f>
        <v/>
      </c>
      <c r="R561" s="78">
        <v>0</v>
      </c>
    </row>
    <row r="562" spans="1:18" ht="9" customHeight="1" x14ac:dyDescent="0.3">
      <c r="A562" s="1" t="s">
        <v>78</v>
      </c>
      <c r="I562" s="48"/>
      <c r="J562" s="41"/>
      <c r="K562" s="41"/>
      <c r="L562" s="54"/>
      <c r="M562" s="54"/>
      <c r="N562" s="61"/>
      <c r="O562" s="60"/>
      <c r="P562" s="58"/>
      <c r="Q562" s="59"/>
      <c r="R562" s="56"/>
    </row>
    <row r="563" spans="1:18" x14ac:dyDescent="0.3">
      <c r="A563" s="1" t="s">
        <v>78</v>
      </c>
      <c r="D563" s="1" t="str">
        <f t="shared" ref="D563:D626" si="790">H563</f>
        <v>"Business Central","CRONUS JetCorp USA","25","1","247626"</v>
      </c>
      <c r="E563" s="1">
        <f t="shared" ref="E563" si="791">I558</f>
        <v>0</v>
      </c>
      <c r="G563" s="1">
        <v>247626</v>
      </c>
      <c r="H563" s="9" t="str">
        <f>"""Business Central"",""CRONUS JetCorp USA"",""25"",""1"",""247626"""</f>
        <v>"Business Central","CRONUS JetCorp USA","25","1","247626"</v>
      </c>
      <c r="I563" s="51"/>
      <c r="J563" s="52" t="str">
        <f>"Order PO102567"</f>
        <v>Order PO102567</v>
      </c>
      <c r="K563" s="52" t="str">
        <f>"PI_102566"</f>
        <v>PI_102566</v>
      </c>
      <c r="L563" s="53">
        <v>42916</v>
      </c>
      <c r="M563" s="53">
        <v>42887</v>
      </c>
      <c r="N563" s="57" t="str">
        <f>""</f>
        <v/>
      </c>
      <c r="O563" s="75">
        <v>0</v>
      </c>
      <c r="P563" s="76">
        <v>0</v>
      </c>
      <c r="Q563" s="77">
        <v>0</v>
      </c>
      <c r="R563" s="78">
        <v>0</v>
      </c>
    </row>
    <row r="564" spans="1:18" hidden="1" x14ac:dyDescent="0.3">
      <c r="A564" s="1" t="s">
        <v>78</v>
      </c>
      <c r="B564" s="1" t="str">
        <f t="shared" ref="B564:B627" si="792">IF(H564="","Hide","Show")</f>
        <v>Hide</v>
      </c>
      <c r="D564" s="1" t="str">
        <f t="shared" ref="D564:D627" si="793">D563</f>
        <v>"Business Central","CRONUS JetCorp USA","25","1","247626"</v>
      </c>
      <c r="E564" s="1">
        <f t="shared" ref="E564:E627" si="794">E563</f>
        <v>0</v>
      </c>
      <c r="F564" s="1" t="str">
        <f>""</f>
        <v/>
      </c>
      <c r="H564" s="9" t="str">
        <f>""</f>
        <v/>
      </c>
      <c r="I564" s="48"/>
      <c r="J564" s="41" t="str">
        <f>""</f>
        <v/>
      </c>
      <c r="K564" s="41" t="str">
        <f>""</f>
        <v/>
      </c>
      <c r="L564" s="54"/>
      <c r="M564" s="54" t="str">
        <f>""</f>
        <v/>
      </c>
      <c r="N564" s="57" t="str">
        <f>""</f>
        <v/>
      </c>
      <c r="O564" s="75">
        <v>0</v>
      </c>
      <c r="P564" s="76" t="str">
        <f>""</f>
        <v/>
      </c>
      <c r="Q564" s="77" t="str">
        <f>""</f>
        <v/>
      </c>
      <c r="R564" s="78">
        <v>0</v>
      </c>
    </row>
    <row r="565" spans="1:18" ht="9" customHeight="1" x14ac:dyDescent="0.3">
      <c r="A565" s="1" t="s">
        <v>78</v>
      </c>
      <c r="I565" s="48"/>
      <c r="J565" s="41"/>
      <c r="K565" s="41"/>
      <c r="L565" s="54"/>
      <c r="M565" s="54"/>
      <c r="N565" s="61"/>
      <c r="O565" s="60"/>
      <c r="P565" s="58"/>
      <c r="Q565" s="59"/>
      <c r="R565" s="56"/>
    </row>
    <row r="566" spans="1:18" x14ac:dyDescent="0.3">
      <c r="A566" s="1" t="s">
        <v>78</v>
      </c>
      <c r="D566" s="1" t="str">
        <f t="shared" ref="D566:D629" si="795">H566</f>
        <v>"Business Central","CRONUS JetCorp USA","25","1","247667"</v>
      </c>
      <c r="E566" s="1">
        <f t="shared" ref="E566" si="796">I561</f>
        <v>0</v>
      </c>
      <c r="G566" s="1">
        <v>247667</v>
      </c>
      <c r="H566" s="9" t="str">
        <f>"""Business Central"",""CRONUS JetCorp USA"",""25"",""1"",""247667"""</f>
        <v>"Business Central","CRONUS JetCorp USA","25","1","247667"</v>
      </c>
      <c r="I566" s="51"/>
      <c r="J566" s="52" t="str">
        <f>"Order PO102568"</f>
        <v>Order PO102568</v>
      </c>
      <c r="K566" s="52" t="str">
        <f>"PI_102567"</f>
        <v>PI_102567</v>
      </c>
      <c r="L566" s="53">
        <v>42947</v>
      </c>
      <c r="M566" s="53">
        <v>42917</v>
      </c>
      <c r="N566" s="57" t="str">
        <f>""</f>
        <v/>
      </c>
      <c r="O566" s="75">
        <v>0</v>
      </c>
      <c r="P566" s="76">
        <v>0</v>
      </c>
      <c r="Q566" s="77">
        <v>0</v>
      </c>
      <c r="R566" s="78">
        <v>0</v>
      </c>
    </row>
    <row r="567" spans="1:18" hidden="1" x14ac:dyDescent="0.3">
      <c r="A567" s="1" t="s">
        <v>78</v>
      </c>
      <c r="B567" s="1" t="str">
        <f t="shared" ref="B567:B630" si="797">IF(H567="","Hide","Show")</f>
        <v>Hide</v>
      </c>
      <c r="D567" s="1" t="str">
        <f t="shared" ref="D567:D630" si="798">D566</f>
        <v>"Business Central","CRONUS JetCorp USA","25","1","247667"</v>
      </c>
      <c r="E567" s="1">
        <f t="shared" ref="E567:E630" si="799">E566</f>
        <v>0</v>
      </c>
      <c r="F567" s="1" t="str">
        <f>""</f>
        <v/>
      </c>
      <c r="H567" s="9" t="str">
        <f>""</f>
        <v/>
      </c>
      <c r="I567" s="48"/>
      <c r="J567" s="41" t="str">
        <f>""</f>
        <v/>
      </c>
      <c r="K567" s="41" t="str">
        <f>""</f>
        <v/>
      </c>
      <c r="L567" s="54"/>
      <c r="M567" s="54" t="str">
        <f>""</f>
        <v/>
      </c>
      <c r="N567" s="57" t="str">
        <f>""</f>
        <v/>
      </c>
      <c r="O567" s="75">
        <v>0</v>
      </c>
      <c r="P567" s="76" t="str">
        <f>""</f>
        <v/>
      </c>
      <c r="Q567" s="77" t="str">
        <f>""</f>
        <v/>
      </c>
      <c r="R567" s="78">
        <v>0</v>
      </c>
    </row>
    <row r="568" spans="1:18" ht="9" customHeight="1" x14ac:dyDescent="0.3">
      <c r="A568" s="1" t="s">
        <v>78</v>
      </c>
      <c r="I568" s="48"/>
      <c r="J568" s="41"/>
      <c r="K568" s="41"/>
      <c r="L568" s="54"/>
      <c r="M568" s="54"/>
      <c r="N568" s="61"/>
      <c r="O568" s="60"/>
      <c r="P568" s="58"/>
      <c r="Q568" s="59"/>
      <c r="R568" s="56"/>
    </row>
    <row r="569" spans="1:18" x14ac:dyDescent="0.3">
      <c r="A569" s="1" t="s">
        <v>78</v>
      </c>
      <c r="D569" s="1" t="str">
        <f t="shared" ref="D569:D632" si="800">H569</f>
        <v>"Business Central","CRONUS JetCorp USA","25","1","247698"</v>
      </c>
      <c r="E569" s="1">
        <f t="shared" ref="E569" si="801">I564</f>
        <v>0</v>
      </c>
      <c r="G569" s="1">
        <v>247698</v>
      </c>
      <c r="H569" s="9" t="str">
        <f>"""Business Central"",""CRONUS JetCorp USA"",""25"",""1"",""247698"""</f>
        <v>"Business Central","CRONUS JetCorp USA","25","1","247698"</v>
      </c>
      <c r="I569" s="51"/>
      <c r="J569" s="52" t="str">
        <f>"Order PO102569"</f>
        <v>Order PO102569</v>
      </c>
      <c r="K569" s="52" t="str">
        <f>"PI_102568"</f>
        <v>PI_102568</v>
      </c>
      <c r="L569" s="53">
        <v>42978</v>
      </c>
      <c r="M569" s="53">
        <v>42948</v>
      </c>
      <c r="N569" s="57" t="str">
        <f>""</f>
        <v/>
      </c>
      <c r="O569" s="75">
        <v>0</v>
      </c>
      <c r="P569" s="76">
        <v>0</v>
      </c>
      <c r="Q569" s="77">
        <v>0</v>
      </c>
      <c r="R569" s="78">
        <v>0</v>
      </c>
    </row>
    <row r="570" spans="1:18" hidden="1" x14ac:dyDescent="0.3">
      <c r="A570" s="1" t="s">
        <v>78</v>
      </c>
      <c r="B570" s="1" t="str">
        <f t="shared" ref="B570:B633" si="802">IF(H570="","Hide","Show")</f>
        <v>Hide</v>
      </c>
      <c r="D570" s="1" t="str">
        <f t="shared" ref="D570:D633" si="803">D569</f>
        <v>"Business Central","CRONUS JetCorp USA","25","1","247698"</v>
      </c>
      <c r="E570" s="1">
        <f t="shared" ref="E570:E633" si="804">E569</f>
        <v>0</v>
      </c>
      <c r="F570" s="1" t="str">
        <f>""</f>
        <v/>
      </c>
      <c r="H570" s="9" t="str">
        <f>""</f>
        <v/>
      </c>
      <c r="I570" s="48"/>
      <c r="J570" s="41" t="str">
        <f>""</f>
        <v/>
      </c>
      <c r="K570" s="41" t="str">
        <f>""</f>
        <v/>
      </c>
      <c r="L570" s="54"/>
      <c r="M570" s="54" t="str">
        <f>""</f>
        <v/>
      </c>
      <c r="N570" s="57" t="str">
        <f>""</f>
        <v/>
      </c>
      <c r="O570" s="75">
        <v>0</v>
      </c>
      <c r="P570" s="76" t="str">
        <f>""</f>
        <v/>
      </c>
      <c r="Q570" s="77" t="str">
        <f>""</f>
        <v/>
      </c>
      <c r="R570" s="78">
        <v>0</v>
      </c>
    </row>
    <row r="571" spans="1:18" ht="9" customHeight="1" x14ac:dyDescent="0.3">
      <c r="A571" s="1" t="s">
        <v>78</v>
      </c>
      <c r="I571" s="48"/>
      <c r="J571" s="41"/>
      <c r="K571" s="41"/>
      <c r="L571" s="54"/>
      <c r="M571" s="54"/>
      <c r="N571" s="61"/>
      <c r="O571" s="60"/>
      <c r="P571" s="58"/>
      <c r="Q571" s="59"/>
      <c r="R571" s="56"/>
    </row>
    <row r="572" spans="1:18" x14ac:dyDescent="0.3">
      <c r="A572" s="1" t="s">
        <v>78</v>
      </c>
      <c r="D572" s="1" t="str">
        <f t="shared" ref="D572:D635" si="805">H572</f>
        <v>"Business Central","CRONUS JetCorp USA","25","1","247737"</v>
      </c>
      <c r="E572" s="1">
        <f t="shared" ref="E572" si="806">I567</f>
        <v>0</v>
      </c>
      <c r="G572" s="1">
        <v>247737</v>
      </c>
      <c r="H572" s="9" t="str">
        <f>"""Business Central"",""CRONUS JetCorp USA"",""25"",""1"",""247737"""</f>
        <v>"Business Central","CRONUS JetCorp USA","25","1","247737"</v>
      </c>
      <c r="I572" s="51"/>
      <c r="J572" s="52" t="str">
        <f>"Order PO102570"</f>
        <v>Order PO102570</v>
      </c>
      <c r="K572" s="52" t="str">
        <f>"PI_102569"</f>
        <v>PI_102569</v>
      </c>
      <c r="L572" s="53">
        <v>43008</v>
      </c>
      <c r="M572" s="53">
        <v>42979</v>
      </c>
      <c r="N572" s="57" t="str">
        <f>""</f>
        <v/>
      </c>
      <c r="O572" s="75">
        <v>0</v>
      </c>
      <c r="P572" s="76">
        <v>0</v>
      </c>
      <c r="Q572" s="77">
        <v>0</v>
      </c>
      <c r="R572" s="78">
        <v>0</v>
      </c>
    </row>
    <row r="573" spans="1:18" hidden="1" x14ac:dyDescent="0.3">
      <c r="A573" s="1" t="s">
        <v>78</v>
      </c>
      <c r="B573" s="1" t="str">
        <f t="shared" ref="B573:B636" si="807">IF(H573="","Hide","Show")</f>
        <v>Hide</v>
      </c>
      <c r="D573" s="1" t="str">
        <f t="shared" ref="D573:D636" si="808">D572</f>
        <v>"Business Central","CRONUS JetCorp USA","25","1","247737"</v>
      </c>
      <c r="E573" s="1">
        <f t="shared" ref="E573:E636" si="809">E572</f>
        <v>0</v>
      </c>
      <c r="F573" s="1" t="str">
        <f>""</f>
        <v/>
      </c>
      <c r="H573" s="9" t="str">
        <f>""</f>
        <v/>
      </c>
      <c r="I573" s="48"/>
      <c r="J573" s="41" t="str">
        <f>""</f>
        <v/>
      </c>
      <c r="K573" s="41" t="str">
        <f>""</f>
        <v/>
      </c>
      <c r="L573" s="54"/>
      <c r="M573" s="54" t="str">
        <f>""</f>
        <v/>
      </c>
      <c r="N573" s="57" t="str">
        <f>""</f>
        <v/>
      </c>
      <c r="O573" s="75">
        <v>0</v>
      </c>
      <c r="P573" s="76" t="str">
        <f>""</f>
        <v/>
      </c>
      <c r="Q573" s="77" t="str">
        <f>""</f>
        <v/>
      </c>
      <c r="R573" s="78">
        <v>0</v>
      </c>
    </row>
    <row r="574" spans="1:18" ht="9" customHeight="1" x14ac:dyDescent="0.3">
      <c r="A574" s="1" t="s">
        <v>78</v>
      </c>
      <c r="I574" s="48"/>
      <c r="J574" s="41"/>
      <c r="K574" s="41"/>
      <c r="L574" s="54"/>
      <c r="M574" s="54"/>
      <c r="N574" s="61"/>
      <c r="O574" s="60"/>
      <c r="P574" s="58"/>
      <c r="Q574" s="59"/>
      <c r="R574" s="56"/>
    </row>
    <row r="575" spans="1:18" x14ac:dyDescent="0.3">
      <c r="A575" s="1" t="s">
        <v>78</v>
      </c>
      <c r="D575" s="1" t="str">
        <f t="shared" ref="D575:D638" si="810">H575</f>
        <v>"Business Central","CRONUS JetCorp USA","25","1","247778"</v>
      </c>
      <c r="E575" s="1">
        <f t="shared" ref="E575" si="811">I570</f>
        <v>0</v>
      </c>
      <c r="G575" s="1">
        <v>247778</v>
      </c>
      <c r="H575" s="9" t="str">
        <f>"""Business Central"",""CRONUS JetCorp USA"",""25"",""1"",""247778"""</f>
        <v>"Business Central","CRONUS JetCorp USA","25","1","247778"</v>
      </c>
      <c r="I575" s="51"/>
      <c r="J575" s="52" t="str">
        <f>"Order PO102571"</f>
        <v>Order PO102571</v>
      </c>
      <c r="K575" s="52" t="str">
        <f>"PI_102570"</f>
        <v>PI_102570</v>
      </c>
      <c r="L575" s="53">
        <v>43039</v>
      </c>
      <c r="M575" s="53">
        <v>43009</v>
      </c>
      <c r="N575" s="57" t="str">
        <f>""</f>
        <v/>
      </c>
      <c r="O575" s="75">
        <v>0</v>
      </c>
      <c r="P575" s="76">
        <v>0</v>
      </c>
      <c r="Q575" s="77">
        <v>0</v>
      </c>
      <c r="R575" s="78">
        <v>0</v>
      </c>
    </row>
    <row r="576" spans="1:18" hidden="1" x14ac:dyDescent="0.3">
      <c r="A576" s="1" t="s">
        <v>78</v>
      </c>
      <c r="B576" s="1" t="str">
        <f t="shared" ref="B576:B639" si="812">IF(H576="","Hide","Show")</f>
        <v>Hide</v>
      </c>
      <c r="D576" s="1" t="str">
        <f t="shared" ref="D576:D639" si="813">D575</f>
        <v>"Business Central","CRONUS JetCorp USA","25","1","247778"</v>
      </c>
      <c r="E576" s="1">
        <f t="shared" ref="E576:E639" si="814">E575</f>
        <v>0</v>
      </c>
      <c r="F576" s="1" t="str">
        <f>""</f>
        <v/>
      </c>
      <c r="H576" s="9" t="str">
        <f>""</f>
        <v/>
      </c>
      <c r="I576" s="48"/>
      <c r="J576" s="41" t="str">
        <f>""</f>
        <v/>
      </c>
      <c r="K576" s="41" t="str">
        <f>""</f>
        <v/>
      </c>
      <c r="L576" s="54"/>
      <c r="M576" s="54" t="str">
        <f>""</f>
        <v/>
      </c>
      <c r="N576" s="57" t="str">
        <f>""</f>
        <v/>
      </c>
      <c r="O576" s="75">
        <v>0</v>
      </c>
      <c r="P576" s="76" t="str">
        <f>""</f>
        <v/>
      </c>
      <c r="Q576" s="77" t="str">
        <f>""</f>
        <v/>
      </c>
      <c r="R576" s="78">
        <v>0</v>
      </c>
    </row>
    <row r="577" spans="1:18" ht="9" customHeight="1" x14ac:dyDescent="0.3">
      <c r="A577" s="1" t="s">
        <v>78</v>
      </c>
      <c r="I577" s="48"/>
      <c r="J577" s="41"/>
      <c r="K577" s="41"/>
      <c r="L577" s="54"/>
      <c r="M577" s="54"/>
      <c r="N577" s="61"/>
      <c r="O577" s="60"/>
      <c r="P577" s="58"/>
      <c r="Q577" s="59"/>
      <c r="R577" s="56"/>
    </row>
    <row r="578" spans="1:18" x14ac:dyDescent="0.3">
      <c r="A578" s="1" t="s">
        <v>78</v>
      </c>
      <c r="D578" s="1" t="str">
        <f t="shared" ref="D578:D641" si="815">H578</f>
        <v>"Business Central","CRONUS JetCorp USA","25","1","247815"</v>
      </c>
      <c r="E578" s="1">
        <f t="shared" ref="E578" si="816">I573</f>
        <v>0</v>
      </c>
      <c r="G578" s="1">
        <v>247815</v>
      </c>
      <c r="H578" s="9" t="str">
        <f>"""Business Central"",""CRONUS JetCorp USA"",""25"",""1"",""247815"""</f>
        <v>"Business Central","CRONUS JetCorp USA","25","1","247815"</v>
      </c>
      <c r="I578" s="51"/>
      <c r="J578" s="52" t="str">
        <f>"Order PO102572"</f>
        <v>Order PO102572</v>
      </c>
      <c r="K578" s="52" t="str">
        <f>"PI_102571"</f>
        <v>PI_102571</v>
      </c>
      <c r="L578" s="53">
        <v>43069</v>
      </c>
      <c r="M578" s="53">
        <v>43040</v>
      </c>
      <c r="N578" s="57" t="str">
        <f>""</f>
        <v/>
      </c>
      <c r="O578" s="75">
        <v>0</v>
      </c>
      <c r="P578" s="76">
        <v>0</v>
      </c>
      <c r="Q578" s="77">
        <v>0</v>
      </c>
      <c r="R578" s="78">
        <v>0</v>
      </c>
    </row>
    <row r="579" spans="1:18" hidden="1" x14ac:dyDescent="0.3">
      <c r="A579" s="1" t="s">
        <v>78</v>
      </c>
      <c r="B579" s="1" t="str">
        <f t="shared" ref="B579:B642" si="817">IF(H579="","Hide","Show")</f>
        <v>Hide</v>
      </c>
      <c r="D579" s="1" t="str">
        <f t="shared" ref="D579:D642" si="818">D578</f>
        <v>"Business Central","CRONUS JetCorp USA","25","1","247815"</v>
      </c>
      <c r="E579" s="1">
        <f t="shared" ref="E579:E642" si="819">E578</f>
        <v>0</v>
      </c>
      <c r="F579" s="1" t="str">
        <f>""</f>
        <v/>
      </c>
      <c r="H579" s="9" t="str">
        <f>""</f>
        <v/>
      </c>
      <c r="I579" s="48"/>
      <c r="J579" s="41" t="str">
        <f>""</f>
        <v/>
      </c>
      <c r="K579" s="41" t="str">
        <f>""</f>
        <v/>
      </c>
      <c r="L579" s="54"/>
      <c r="M579" s="54" t="str">
        <f>""</f>
        <v/>
      </c>
      <c r="N579" s="57" t="str">
        <f>""</f>
        <v/>
      </c>
      <c r="O579" s="75">
        <v>0</v>
      </c>
      <c r="P579" s="76" t="str">
        <f>""</f>
        <v/>
      </c>
      <c r="Q579" s="77" t="str">
        <f>""</f>
        <v/>
      </c>
      <c r="R579" s="78">
        <v>0</v>
      </c>
    </row>
    <row r="580" spans="1:18" ht="9" customHeight="1" x14ac:dyDescent="0.3">
      <c r="A580" s="1" t="s">
        <v>78</v>
      </c>
      <c r="I580" s="48"/>
      <c r="J580" s="41"/>
      <c r="K580" s="41"/>
      <c r="L580" s="54"/>
      <c r="M580" s="54"/>
      <c r="N580" s="61"/>
      <c r="O580" s="60"/>
      <c r="P580" s="58"/>
      <c r="Q580" s="59"/>
      <c r="R580" s="56"/>
    </row>
    <row r="581" spans="1:18" x14ac:dyDescent="0.3">
      <c r="A581" s="1" t="s">
        <v>78</v>
      </c>
      <c r="D581" s="1" t="str">
        <f t="shared" ref="D581:D644" si="820">H581</f>
        <v>"Business Central","CRONUS JetCorp USA","25","1","247850"</v>
      </c>
      <c r="E581" s="1">
        <f t="shared" ref="E581" si="821">I576</f>
        <v>0</v>
      </c>
      <c r="G581" s="1">
        <v>247850</v>
      </c>
      <c r="H581" s="9" t="str">
        <f>"""Business Central"",""CRONUS JetCorp USA"",""25"",""1"",""247850"""</f>
        <v>"Business Central","CRONUS JetCorp USA","25","1","247850"</v>
      </c>
      <c r="I581" s="51"/>
      <c r="J581" s="52" t="str">
        <f>"Order PO102573"</f>
        <v>Order PO102573</v>
      </c>
      <c r="K581" s="52" t="str">
        <f>"PI_102572"</f>
        <v>PI_102572</v>
      </c>
      <c r="L581" s="53">
        <v>43100</v>
      </c>
      <c r="M581" s="53">
        <v>43070</v>
      </c>
      <c r="N581" s="57" t="str">
        <f>""</f>
        <v/>
      </c>
      <c r="O581" s="75">
        <v>0</v>
      </c>
      <c r="P581" s="76">
        <v>0</v>
      </c>
      <c r="Q581" s="77">
        <v>0</v>
      </c>
      <c r="R581" s="78">
        <v>0</v>
      </c>
    </row>
    <row r="582" spans="1:18" hidden="1" x14ac:dyDescent="0.3">
      <c r="A582" s="1" t="s">
        <v>78</v>
      </c>
      <c r="B582" s="1" t="str">
        <f t="shared" ref="B582:B645" si="822">IF(H582="","Hide","Show")</f>
        <v>Hide</v>
      </c>
      <c r="D582" s="1" t="str">
        <f t="shared" ref="D582:D645" si="823">D581</f>
        <v>"Business Central","CRONUS JetCorp USA","25","1","247850"</v>
      </c>
      <c r="E582" s="1">
        <f t="shared" ref="E582:E645" si="824">E581</f>
        <v>0</v>
      </c>
      <c r="F582" s="1" t="str">
        <f>""</f>
        <v/>
      </c>
      <c r="H582" s="9" t="str">
        <f>""</f>
        <v/>
      </c>
      <c r="I582" s="48"/>
      <c r="J582" s="41" t="str">
        <f>""</f>
        <v/>
      </c>
      <c r="K582" s="41" t="str">
        <f>""</f>
        <v/>
      </c>
      <c r="L582" s="54"/>
      <c r="M582" s="54" t="str">
        <f>""</f>
        <v/>
      </c>
      <c r="N582" s="57" t="str">
        <f>""</f>
        <v/>
      </c>
      <c r="O582" s="75">
        <v>0</v>
      </c>
      <c r="P582" s="76" t="str">
        <f>""</f>
        <v/>
      </c>
      <c r="Q582" s="77" t="str">
        <f>""</f>
        <v/>
      </c>
      <c r="R582" s="78">
        <v>0</v>
      </c>
    </row>
    <row r="583" spans="1:18" ht="9" customHeight="1" x14ac:dyDescent="0.3">
      <c r="A583" s="1" t="s">
        <v>78</v>
      </c>
      <c r="I583" s="48"/>
      <c r="J583" s="41"/>
      <c r="K583" s="41"/>
      <c r="L583" s="54"/>
      <c r="M583" s="54"/>
      <c r="N583" s="61"/>
      <c r="O583" s="60"/>
      <c r="P583" s="58"/>
      <c r="Q583" s="59"/>
      <c r="R583" s="56"/>
    </row>
    <row r="584" spans="1:18" x14ac:dyDescent="0.3">
      <c r="A584" s="1" t="s">
        <v>78</v>
      </c>
      <c r="D584" s="1" t="str">
        <f t="shared" ref="D584:D647" si="825">H584</f>
        <v>"Business Central","CRONUS JetCorp USA","25","1","247891"</v>
      </c>
      <c r="E584" s="1">
        <f t="shared" ref="E584" si="826">I579</f>
        <v>0</v>
      </c>
      <c r="G584" s="1">
        <v>247891</v>
      </c>
      <c r="H584" s="9" t="str">
        <f>"""Business Central"",""CRONUS JetCorp USA"",""25"",""1"",""247891"""</f>
        <v>"Business Central","CRONUS JetCorp USA","25","1","247891"</v>
      </c>
      <c r="I584" s="51"/>
      <c r="J584" s="52" t="str">
        <f>"Order PO102574"</f>
        <v>Order PO102574</v>
      </c>
      <c r="K584" s="52" t="str">
        <f>"PI_102573"</f>
        <v>PI_102573</v>
      </c>
      <c r="L584" s="53">
        <v>43131</v>
      </c>
      <c r="M584" s="53">
        <v>43101</v>
      </c>
      <c r="N584" s="57" t="str">
        <f>""</f>
        <v/>
      </c>
      <c r="O584" s="75">
        <v>0</v>
      </c>
      <c r="P584" s="76">
        <v>0</v>
      </c>
      <c r="Q584" s="77">
        <v>0</v>
      </c>
      <c r="R584" s="78">
        <v>0</v>
      </c>
    </row>
    <row r="585" spans="1:18" hidden="1" x14ac:dyDescent="0.3">
      <c r="A585" s="1" t="s">
        <v>78</v>
      </c>
      <c r="B585" s="1" t="str">
        <f t="shared" ref="B585:B648" si="827">IF(H585="","Hide","Show")</f>
        <v>Hide</v>
      </c>
      <c r="D585" s="1" t="str">
        <f t="shared" ref="D585:D648" si="828">D584</f>
        <v>"Business Central","CRONUS JetCorp USA","25","1","247891"</v>
      </c>
      <c r="E585" s="1">
        <f t="shared" ref="E585:E648" si="829">E584</f>
        <v>0</v>
      </c>
      <c r="F585" s="1" t="str">
        <f>""</f>
        <v/>
      </c>
      <c r="H585" s="9" t="str">
        <f>""</f>
        <v/>
      </c>
      <c r="I585" s="48"/>
      <c r="J585" s="41" t="str">
        <f>""</f>
        <v/>
      </c>
      <c r="K585" s="41" t="str">
        <f>""</f>
        <v/>
      </c>
      <c r="L585" s="54"/>
      <c r="M585" s="54" t="str">
        <f>""</f>
        <v/>
      </c>
      <c r="N585" s="57" t="str">
        <f>""</f>
        <v/>
      </c>
      <c r="O585" s="75">
        <v>0</v>
      </c>
      <c r="P585" s="76" t="str">
        <f>""</f>
        <v/>
      </c>
      <c r="Q585" s="77" t="str">
        <f>""</f>
        <v/>
      </c>
      <c r="R585" s="78">
        <v>0</v>
      </c>
    </row>
    <row r="586" spans="1:18" ht="9" customHeight="1" x14ac:dyDescent="0.3">
      <c r="A586" s="1" t="s">
        <v>78</v>
      </c>
      <c r="I586" s="48"/>
      <c r="J586" s="41"/>
      <c r="K586" s="41"/>
      <c r="L586" s="54"/>
      <c r="M586" s="54"/>
      <c r="N586" s="61"/>
      <c r="O586" s="60"/>
      <c r="P586" s="58"/>
      <c r="Q586" s="59"/>
      <c r="R586" s="56"/>
    </row>
    <row r="587" spans="1:18" x14ac:dyDescent="0.3">
      <c r="A587" s="1" t="s">
        <v>78</v>
      </c>
      <c r="D587" s="1" t="str">
        <f t="shared" ref="D587:D650" si="830">H587</f>
        <v>"Business Central","CRONUS JetCorp USA","25","1","247930"</v>
      </c>
      <c r="E587" s="1">
        <f t="shared" ref="E587" si="831">I582</f>
        <v>0</v>
      </c>
      <c r="G587" s="1">
        <v>247930</v>
      </c>
      <c r="H587" s="9" t="str">
        <f>"""Business Central"",""CRONUS JetCorp USA"",""25"",""1"",""247930"""</f>
        <v>"Business Central","CRONUS JetCorp USA","25","1","247930"</v>
      </c>
      <c r="I587" s="51"/>
      <c r="J587" s="52" t="str">
        <f>"Order PO102575"</f>
        <v>Order PO102575</v>
      </c>
      <c r="K587" s="52" t="str">
        <f>"PI_102574"</f>
        <v>PI_102574</v>
      </c>
      <c r="L587" s="53">
        <v>43159</v>
      </c>
      <c r="M587" s="53">
        <v>43132</v>
      </c>
      <c r="N587" s="57" t="str">
        <f>""</f>
        <v/>
      </c>
      <c r="O587" s="75">
        <v>0</v>
      </c>
      <c r="P587" s="76">
        <v>0</v>
      </c>
      <c r="Q587" s="77">
        <v>0</v>
      </c>
      <c r="R587" s="78">
        <v>0</v>
      </c>
    </row>
    <row r="588" spans="1:18" hidden="1" x14ac:dyDescent="0.3">
      <c r="A588" s="1" t="s">
        <v>78</v>
      </c>
      <c r="B588" s="1" t="str">
        <f t="shared" ref="B588:B651" si="832">IF(H588="","Hide","Show")</f>
        <v>Hide</v>
      </c>
      <c r="D588" s="1" t="str">
        <f t="shared" ref="D588:D651" si="833">D587</f>
        <v>"Business Central","CRONUS JetCorp USA","25","1","247930"</v>
      </c>
      <c r="E588" s="1">
        <f t="shared" ref="E588:E651" si="834">E587</f>
        <v>0</v>
      </c>
      <c r="F588" s="1" t="str">
        <f>""</f>
        <v/>
      </c>
      <c r="H588" s="9" t="str">
        <f>""</f>
        <v/>
      </c>
      <c r="I588" s="48"/>
      <c r="J588" s="41" t="str">
        <f>""</f>
        <v/>
      </c>
      <c r="K588" s="41" t="str">
        <f>""</f>
        <v/>
      </c>
      <c r="L588" s="54"/>
      <c r="M588" s="54" t="str">
        <f>""</f>
        <v/>
      </c>
      <c r="N588" s="57" t="str">
        <f>""</f>
        <v/>
      </c>
      <c r="O588" s="75">
        <v>0</v>
      </c>
      <c r="P588" s="76" t="str">
        <f>""</f>
        <v/>
      </c>
      <c r="Q588" s="77" t="str">
        <f>""</f>
        <v/>
      </c>
      <c r="R588" s="78">
        <v>0</v>
      </c>
    </row>
    <row r="589" spans="1:18" ht="9" customHeight="1" x14ac:dyDescent="0.3">
      <c r="A589" s="1" t="s">
        <v>78</v>
      </c>
      <c r="I589" s="48"/>
      <c r="J589" s="41"/>
      <c r="K589" s="41"/>
      <c r="L589" s="54"/>
      <c r="M589" s="54"/>
      <c r="N589" s="61"/>
      <c r="O589" s="60"/>
      <c r="P589" s="58"/>
      <c r="Q589" s="59"/>
      <c r="R589" s="56"/>
    </row>
    <row r="590" spans="1:18" x14ac:dyDescent="0.3">
      <c r="A590" s="1" t="s">
        <v>78</v>
      </c>
      <c r="D590" s="1" t="str">
        <f t="shared" ref="D590:D653" si="835">H590</f>
        <v>"Business Central","CRONUS JetCorp USA","25","1","247969"</v>
      </c>
      <c r="E590" s="1">
        <f t="shared" ref="E590" si="836">I585</f>
        <v>0</v>
      </c>
      <c r="G590" s="1">
        <v>247969</v>
      </c>
      <c r="H590" s="9" t="str">
        <f>"""Business Central"",""CRONUS JetCorp USA"",""25"",""1"",""247969"""</f>
        <v>"Business Central","CRONUS JetCorp USA","25","1","247969"</v>
      </c>
      <c r="I590" s="51"/>
      <c r="J590" s="52" t="str">
        <f>"Order PO102576"</f>
        <v>Order PO102576</v>
      </c>
      <c r="K590" s="52" t="str">
        <f>"PI_102575"</f>
        <v>PI_102575</v>
      </c>
      <c r="L590" s="53">
        <v>43190</v>
      </c>
      <c r="M590" s="53">
        <v>43160</v>
      </c>
      <c r="N590" s="57" t="str">
        <f>""</f>
        <v/>
      </c>
      <c r="O590" s="75">
        <v>0</v>
      </c>
      <c r="P590" s="76">
        <v>0</v>
      </c>
      <c r="Q590" s="77">
        <v>0</v>
      </c>
      <c r="R590" s="78">
        <v>0</v>
      </c>
    </row>
    <row r="591" spans="1:18" hidden="1" x14ac:dyDescent="0.3">
      <c r="A591" s="1" t="s">
        <v>78</v>
      </c>
      <c r="B591" s="1" t="str">
        <f t="shared" ref="B591:B654" si="837">IF(H591="","Hide","Show")</f>
        <v>Hide</v>
      </c>
      <c r="D591" s="1" t="str">
        <f t="shared" ref="D591:D654" si="838">D590</f>
        <v>"Business Central","CRONUS JetCorp USA","25","1","247969"</v>
      </c>
      <c r="E591" s="1">
        <f t="shared" ref="E591:E654" si="839">E590</f>
        <v>0</v>
      </c>
      <c r="F591" s="1" t="str">
        <f>""</f>
        <v/>
      </c>
      <c r="H591" s="9" t="str">
        <f>""</f>
        <v/>
      </c>
      <c r="I591" s="48"/>
      <c r="J591" s="41" t="str">
        <f>""</f>
        <v/>
      </c>
      <c r="K591" s="41" t="str">
        <f>""</f>
        <v/>
      </c>
      <c r="L591" s="54"/>
      <c r="M591" s="54" t="str">
        <f>""</f>
        <v/>
      </c>
      <c r="N591" s="57" t="str">
        <f>""</f>
        <v/>
      </c>
      <c r="O591" s="75">
        <v>0</v>
      </c>
      <c r="P591" s="76" t="str">
        <f>""</f>
        <v/>
      </c>
      <c r="Q591" s="77" t="str">
        <f>""</f>
        <v/>
      </c>
      <c r="R591" s="78">
        <v>0</v>
      </c>
    </row>
    <row r="592" spans="1:18" ht="9" customHeight="1" x14ac:dyDescent="0.3">
      <c r="A592" s="1" t="s">
        <v>78</v>
      </c>
      <c r="I592" s="48"/>
      <c r="J592" s="41"/>
      <c r="K592" s="41"/>
      <c r="L592" s="54"/>
      <c r="M592" s="54"/>
      <c r="N592" s="61"/>
      <c r="O592" s="60"/>
      <c r="P592" s="58"/>
      <c r="Q592" s="59"/>
      <c r="R592" s="56"/>
    </row>
    <row r="593" spans="1:18" x14ac:dyDescent="0.3">
      <c r="A593" s="1" t="s">
        <v>78</v>
      </c>
      <c r="D593" s="1" t="str">
        <f t="shared" ref="D593:D656" si="840">H593</f>
        <v>"Business Central","CRONUS JetCorp USA","25","1","248010"</v>
      </c>
      <c r="E593" s="1">
        <f t="shared" ref="E593" si="841">I588</f>
        <v>0</v>
      </c>
      <c r="G593" s="1">
        <v>248010</v>
      </c>
      <c r="H593" s="9" t="str">
        <f>"""Business Central"",""CRONUS JetCorp USA"",""25"",""1"",""248010"""</f>
        <v>"Business Central","CRONUS JetCorp USA","25","1","248010"</v>
      </c>
      <c r="I593" s="51"/>
      <c r="J593" s="52" t="str">
        <f>"Order PO102577"</f>
        <v>Order PO102577</v>
      </c>
      <c r="K593" s="52" t="str">
        <f>"PI_102576"</f>
        <v>PI_102576</v>
      </c>
      <c r="L593" s="53">
        <v>43220</v>
      </c>
      <c r="M593" s="53">
        <v>43191</v>
      </c>
      <c r="N593" s="57" t="str">
        <f>""</f>
        <v/>
      </c>
      <c r="O593" s="75">
        <v>0</v>
      </c>
      <c r="P593" s="76">
        <v>0</v>
      </c>
      <c r="Q593" s="77">
        <v>0</v>
      </c>
      <c r="R593" s="78">
        <v>0</v>
      </c>
    </row>
    <row r="594" spans="1:18" hidden="1" x14ac:dyDescent="0.3">
      <c r="A594" s="1" t="s">
        <v>78</v>
      </c>
      <c r="B594" s="1" t="str">
        <f t="shared" ref="B594:B657" si="842">IF(H594="","Hide","Show")</f>
        <v>Hide</v>
      </c>
      <c r="D594" s="1" t="str">
        <f t="shared" ref="D594:D657" si="843">D593</f>
        <v>"Business Central","CRONUS JetCorp USA","25","1","248010"</v>
      </c>
      <c r="E594" s="1">
        <f t="shared" ref="E594:E657" si="844">E593</f>
        <v>0</v>
      </c>
      <c r="F594" s="1" t="str">
        <f>""</f>
        <v/>
      </c>
      <c r="H594" s="9" t="str">
        <f>""</f>
        <v/>
      </c>
      <c r="I594" s="48"/>
      <c r="J594" s="41" t="str">
        <f>""</f>
        <v/>
      </c>
      <c r="K594" s="41" t="str">
        <f>""</f>
        <v/>
      </c>
      <c r="L594" s="54"/>
      <c r="M594" s="54" t="str">
        <f>""</f>
        <v/>
      </c>
      <c r="N594" s="57" t="str">
        <f>""</f>
        <v/>
      </c>
      <c r="O594" s="75">
        <v>0</v>
      </c>
      <c r="P594" s="76" t="str">
        <f>""</f>
        <v/>
      </c>
      <c r="Q594" s="77" t="str">
        <f>""</f>
        <v/>
      </c>
      <c r="R594" s="78">
        <v>0</v>
      </c>
    </row>
    <row r="595" spans="1:18" ht="9" customHeight="1" x14ac:dyDescent="0.3">
      <c r="A595" s="1" t="s">
        <v>78</v>
      </c>
      <c r="I595" s="48"/>
      <c r="J595" s="41"/>
      <c r="K595" s="41"/>
      <c r="L595" s="54"/>
      <c r="M595" s="54"/>
      <c r="N595" s="61"/>
      <c r="O595" s="60"/>
      <c r="P595" s="58"/>
      <c r="Q595" s="59"/>
      <c r="R595" s="56"/>
    </row>
    <row r="596" spans="1:18" x14ac:dyDescent="0.3">
      <c r="A596" s="1" t="s">
        <v>78</v>
      </c>
      <c r="D596" s="1" t="str">
        <f t="shared" ref="D596:D659" si="845">H596</f>
        <v>"Business Central","CRONUS JetCorp USA","25","1","248051"</v>
      </c>
      <c r="E596" s="1">
        <f t="shared" ref="E596" si="846">I591</f>
        <v>0</v>
      </c>
      <c r="G596" s="1">
        <v>248051</v>
      </c>
      <c r="H596" s="9" t="str">
        <f>"""Business Central"",""CRONUS JetCorp USA"",""25"",""1"",""248051"""</f>
        <v>"Business Central","CRONUS JetCorp USA","25","1","248051"</v>
      </c>
      <c r="I596" s="51"/>
      <c r="J596" s="52" t="str">
        <f>"Order PO102578"</f>
        <v>Order PO102578</v>
      </c>
      <c r="K596" s="52" t="str">
        <f>"PI_102577"</f>
        <v>PI_102577</v>
      </c>
      <c r="L596" s="53">
        <v>43251</v>
      </c>
      <c r="M596" s="53">
        <v>43221</v>
      </c>
      <c r="N596" s="57" t="str">
        <f>""</f>
        <v/>
      </c>
      <c r="O596" s="75">
        <v>0</v>
      </c>
      <c r="P596" s="76">
        <v>0</v>
      </c>
      <c r="Q596" s="77">
        <v>0</v>
      </c>
      <c r="R596" s="78">
        <v>0</v>
      </c>
    </row>
    <row r="597" spans="1:18" hidden="1" x14ac:dyDescent="0.3">
      <c r="A597" s="1" t="s">
        <v>78</v>
      </c>
      <c r="B597" s="1" t="str">
        <f t="shared" ref="B597:B660" si="847">IF(H597="","Hide","Show")</f>
        <v>Hide</v>
      </c>
      <c r="D597" s="1" t="str">
        <f t="shared" ref="D597:D660" si="848">D596</f>
        <v>"Business Central","CRONUS JetCorp USA","25","1","248051"</v>
      </c>
      <c r="E597" s="1">
        <f t="shared" ref="E597:E660" si="849">E596</f>
        <v>0</v>
      </c>
      <c r="F597" s="1" t="str">
        <f>""</f>
        <v/>
      </c>
      <c r="H597" s="9" t="str">
        <f>""</f>
        <v/>
      </c>
      <c r="I597" s="48"/>
      <c r="J597" s="41" t="str">
        <f>""</f>
        <v/>
      </c>
      <c r="K597" s="41" t="str">
        <f>""</f>
        <v/>
      </c>
      <c r="L597" s="54"/>
      <c r="M597" s="54" t="str">
        <f>""</f>
        <v/>
      </c>
      <c r="N597" s="57" t="str">
        <f>""</f>
        <v/>
      </c>
      <c r="O597" s="75">
        <v>0</v>
      </c>
      <c r="P597" s="76" t="str">
        <f>""</f>
        <v/>
      </c>
      <c r="Q597" s="77" t="str">
        <f>""</f>
        <v/>
      </c>
      <c r="R597" s="78">
        <v>0</v>
      </c>
    </row>
    <row r="598" spans="1:18" ht="9" customHeight="1" x14ac:dyDescent="0.3">
      <c r="A598" s="1" t="s">
        <v>78</v>
      </c>
      <c r="I598" s="48"/>
      <c r="J598" s="41"/>
      <c r="K598" s="41"/>
      <c r="L598" s="54"/>
      <c r="M598" s="54"/>
      <c r="N598" s="61"/>
      <c r="O598" s="60"/>
      <c r="P598" s="58"/>
      <c r="Q598" s="59"/>
      <c r="R598" s="56"/>
    </row>
    <row r="599" spans="1:18" x14ac:dyDescent="0.3">
      <c r="A599" s="1" t="s">
        <v>78</v>
      </c>
      <c r="D599" s="1" t="str">
        <f t="shared" ref="D599:D662" si="850">H599</f>
        <v>"Business Central","CRONUS JetCorp USA","25","1","248088"</v>
      </c>
      <c r="E599" s="1">
        <f t="shared" ref="E599" si="851">I594</f>
        <v>0</v>
      </c>
      <c r="G599" s="1">
        <v>248088</v>
      </c>
      <c r="H599" s="9" t="str">
        <f>"""Business Central"",""CRONUS JetCorp USA"",""25"",""1"",""248088"""</f>
        <v>"Business Central","CRONUS JetCorp USA","25","1","248088"</v>
      </c>
      <c r="I599" s="51"/>
      <c r="J599" s="52" t="str">
        <f>"Order PO102579"</f>
        <v>Order PO102579</v>
      </c>
      <c r="K599" s="52" t="str">
        <f>"PI_102578"</f>
        <v>PI_102578</v>
      </c>
      <c r="L599" s="53">
        <v>43281</v>
      </c>
      <c r="M599" s="53">
        <v>43252</v>
      </c>
      <c r="N599" s="57" t="str">
        <f>""</f>
        <v/>
      </c>
      <c r="O599" s="75">
        <v>0</v>
      </c>
      <c r="P599" s="76">
        <v>0</v>
      </c>
      <c r="Q599" s="77">
        <v>0</v>
      </c>
      <c r="R599" s="78">
        <v>0</v>
      </c>
    </row>
    <row r="600" spans="1:18" hidden="1" x14ac:dyDescent="0.3">
      <c r="A600" s="1" t="s">
        <v>78</v>
      </c>
      <c r="B600" s="1" t="str">
        <f t="shared" ref="B600:B663" si="852">IF(H600="","Hide","Show")</f>
        <v>Hide</v>
      </c>
      <c r="D600" s="1" t="str">
        <f t="shared" ref="D600:D663" si="853">D599</f>
        <v>"Business Central","CRONUS JetCorp USA","25","1","248088"</v>
      </c>
      <c r="E600" s="1">
        <f t="shared" ref="E600:E663" si="854">E599</f>
        <v>0</v>
      </c>
      <c r="F600" s="1" t="str">
        <f>""</f>
        <v/>
      </c>
      <c r="H600" s="9" t="str">
        <f>""</f>
        <v/>
      </c>
      <c r="I600" s="48"/>
      <c r="J600" s="41" t="str">
        <f>""</f>
        <v/>
      </c>
      <c r="K600" s="41" t="str">
        <f>""</f>
        <v/>
      </c>
      <c r="L600" s="54"/>
      <c r="M600" s="54" t="str">
        <f>""</f>
        <v/>
      </c>
      <c r="N600" s="57" t="str">
        <f>""</f>
        <v/>
      </c>
      <c r="O600" s="75">
        <v>0</v>
      </c>
      <c r="P600" s="76" t="str">
        <f>""</f>
        <v/>
      </c>
      <c r="Q600" s="77" t="str">
        <f>""</f>
        <v/>
      </c>
      <c r="R600" s="78">
        <v>0</v>
      </c>
    </row>
    <row r="601" spans="1:18" ht="9" customHeight="1" x14ac:dyDescent="0.3">
      <c r="A601" s="1" t="s">
        <v>78</v>
      </c>
      <c r="I601" s="48"/>
      <c r="J601" s="41"/>
      <c r="K601" s="41"/>
      <c r="L601" s="54"/>
      <c r="M601" s="54"/>
      <c r="N601" s="61"/>
      <c r="O601" s="60"/>
      <c r="P601" s="58"/>
      <c r="Q601" s="59"/>
      <c r="R601" s="56"/>
    </row>
    <row r="602" spans="1:18" x14ac:dyDescent="0.3">
      <c r="A602" s="1" t="s">
        <v>78</v>
      </c>
      <c r="D602" s="1" t="str">
        <f t="shared" ref="D602:D665" si="855">H602</f>
        <v>"Business Central","CRONUS JetCorp USA","25","1","248129"</v>
      </c>
      <c r="E602" s="1">
        <f t="shared" ref="E602" si="856">I597</f>
        <v>0</v>
      </c>
      <c r="G602" s="1">
        <v>248129</v>
      </c>
      <c r="H602" s="9" t="str">
        <f>"""Business Central"",""CRONUS JetCorp USA"",""25"",""1"",""248129"""</f>
        <v>"Business Central","CRONUS JetCorp USA","25","1","248129"</v>
      </c>
      <c r="I602" s="51"/>
      <c r="J602" s="52" t="str">
        <f>"Order PO102580"</f>
        <v>Order PO102580</v>
      </c>
      <c r="K602" s="52" t="str">
        <f>"PI_102579"</f>
        <v>PI_102579</v>
      </c>
      <c r="L602" s="53">
        <v>43312</v>
      </c>
      <c r="M602" s="53">
        <v>43282</v>
      </c>
      <c r="N602" s="57" t="str">
        <f>""</f>
        <v/>
      </c>
      <c r="O602" s="75">
        <v>0</v>
      </c>
      <c r="P602" s="76">
        <v>0</v>
      </c>
      <c r="Q602" s="77">
        <v>0</v>
      </c>
      <c r="R602" s="78">
        <v>0</v>
      </c>
    </row>
    <row r="603" spans="1:18" hidden="1" x14ac:dyDescent="0.3">
      <c r="A603" s="1" t="s">
        <v>78</v>
      </c>
      <c r="B603" s="1" t="str">
        <f t="shared" ref="B603:B666" si="857">IF(H603="","Hide","Show")</f>
        <v>Hide</v>
      </c>
      <c r="D603" s="1" t="str">
        <f t="shared" ref="D603:D666" si="858">D602</f>
        <v>"Business Central","CRONUS JetCorp USA","25","1","248129"</v>
      </c>
      <c r="E603" s="1">
        <f t="shared" ref="E603:E666" si="859">E602</f>
        <v>0</v>
      </c>
      <c r="F603" s="1" t="str">
        <f>""</f>
        <v/>
      </c>
      <c r="H603" s="9" t="str">
        <f>""</f>
        <v/>
      </c>
      <c r="I603" s="48"/>
      <c r="J603" s="41" t="str">
        <f>""</f>
        <v/>
      </c>
      <c r="K603" s="41" t="str">
        <f>""</f>
        <v/>
      </c>
      <c r="L603" s="54"/>
      <c r="M603" s="54" t="str">
        <f>""</f>
        <v/>
      </c>
      <c r="N603" s="57" t="str">
        <f>""</f>
        <v/>
      </c>
      <c r="O603" s="75">
        <v>0</v>
      </c>
      <c r="P603" s="76" t="str">
        <f>""</f>
        <v/>
      </c>
      <c r="Q603" s="77" t="str">
        <f>""</f>
        <v/>
      </c>
      <c r="R603" s="78">
        <v>0</v>
      </c>
    </row>
    <row r="604" spans="1:18" ht="9" customHeight="1" x14ac:dyDescent="0.3">
      <c r="A604" s="1" t="s">
        <v>78</v>
      </c>
      <c r="I604" s="48"/>
      <c r="J604" s="41"/>
      <c r="K604" s="41"/>
      <c r="L604" s="54"/>
      <c r="M604" s="54"/>
      <c r="N604" s="61"/>
      <c r="O604" s="60"/>
      <c r="P604" s="58"/>
      <c r="Q604" s="59"/>
      <c r="R604" s="56"/>
    </row>
    <row r="605" spans="1:18" x14ac:dyDescent="0.3">
      <c r="A605" s="1" t="s">
        <v>78</v>
      </c>
      <c r="D605" s="1" t="str">
        <f t="shared" ref="D605:D668" si="860">H605</f>
        <v>"Business Central","CRONUS JetCorp USA","25","1","248170"</v>
      </c>
      <c r="E605" s="1">
        <f t="shared" ref="E605" si="861">I600</f>
        <v>0</v>
      </c>
      <c r="G605" s="1">
        <v>248170</v>
      </c>
      <c r="H605" s="9" t="str">
        <f>"""Business Central"",""CRONUS JetCorp USA"",""25"",""1"",""248170"""</f>
        <v>"Business Central","CRONUS JetCorp USA","25","1","248170"</v>
      </c>
      <c r="I605" s="51"/>
      <c r="J605" s="52" t="str">
        <f>"Order PO102581"</f>
        <v>Order PO102581</v>
      </c>
      <c r="K605" s="52" t="str">
        <f>"PI_102580"</f>
        <v>PI_102580</v>
      </c>
      <c r="L605" s="53">
        <v>43343</v>
      </c>
      <c r="M605" s="53">
        <v>43313</v>
      </c>
      <c r="N605" s="57" t="str">
        <f>""</f>
        <v/>
      </c>
      <c r="O605" s="75">
        <v>0</v>
      </c>
      <c r="P605" s="76">
        <v>0</v>
      </c>
      <c r="Q605" s="77">
        <v>0</v>
      </c>
      <c r="R605" s="78">
        <v>0</v>
      </c>
    </row>
    <row r="606" spans="1:18" hidden="1" x14ac:dyDescent="0.3">
      <c r="A606" s="1" t="s">
        <v>78</v>
      </c>
      <c r="B606" s="1" t="str">
        <f t="shared" ref="B606:B669" si="862">IF(H606="","Hide","Show")</f>
        <v>Hide</v>
      </c>
      <c r="D606" s="1" t="str">
        <f t="shared" ref="D606:D669" si="863">D605</f>
        <v>"Business Central","CRONUS JetCorp USA","25","1","248170"</v>
      </c>
      <c r="E606" s="1">
        <f t="shared" ref="E606:E669" si="864">E605</f>
        <v>0</v>
      </c>
      <c r="F606" s="1" t="str">
        <f>""</f>
        <v/>
      </c>
      <c r="H606" s="9" t="str">
        <f>""</f>
        <v/>
      </c>
      <c r="I606" s="48"/>
      <c r="J606" s="41" t="str">
        <f>""</f>
        <v/>
      </c>
      <c r="K606" s="41" t="str">
        <f>""</f>
        <v/>
      </c>
      <c r="L606" s="54"/>
      <c r="M606" s="54" t="str">
        <f>""</f>
        <v/>
      </c>
      <c r="N606" s="57" t="str">
        <f>""</f>
        <v/>
      </c>
      <c r="O606" s="75">
        <v>0</v>
      </c>
      <c r="P606" s="76" t="str">
        <f>""</f>
        <v/>
      </c>
      <c r="Q606" s="77" t="str">
        <f>""</f>
        <v/>
      </c>
      <c r="R606" s="78">
        <v>0</v>
      </c>
    </row>
    <row r="607" spans="1:18" ht="9" customHeight="1" x14ac:dyDescent="0.3">
      <c r="A607" s="1" t="s">
        <v>78</v>
      </c>
      <c r="I607" s="48"/>
      <c r="J607" s="41"/>
      <c r="K607" s="41"/>
      <c r="L607" s="54"/>
      <c r="M607" s="54"/>
      <c r="N607" s="61"/>
      <c r="O607" s="60"/>
      <c r="P607" s="58"/>
      <c r="Q607" s="59"/>
      <c r="R607" s="56"/>
    </row>
    <row r="608" spans="1:18" x14ac:dyDescent="0.3">
      <c r="A608" s="1" t="s">
        <v>78</v>
      </c>
      <c r="D608" s="1" t="str">
        <f t="shared" ref="D608:D671" si="865">H608</f>
        <v>"Business Central","CRONUS JetCorp USA","25","1","248207"</v>
      </c>
      <c r="E608" s="1">
        <f t="shared" ref="E608" si="866">I603</f>
        <v>0</v>
      </c>
      <c r="G608" s="1">
        <v>248207</v>
      </c>
      <c r="H608" s="9" t="str">
        <f>"""Business Central"",""CRONUS JetCorp USA"",""25"",""1"",""248207"""</f>
        <v>"Business Central","CRONUS JetCorp USA","25","1","248207"</v>
      </c>
      <c r="I608" s="51"/>
      <c r="J608" s="52" t="str">
        <f>"Order PO102582"</f>
        <v>Order PO102582</v>
      </c>
      <c r="K608" s="52" t="str">
        <f>"PI_102581"</f>
        <v>PI_102581</v>
      </c>
      <c r="L608" s="53">
        <v>43373</v>
      </c>
      <c r="M608" s="53">
        <v>43344</v>
      </c>
      <c r="N608" s="57" t="str">
        <f>""</f>
        <v/>
      </c>
      <c r="O608" s="75">
        <v>0</v>
      </c>
      <c r="P608" s="76">
        <v>0</v>
      </c>
      <c r="Q608" s="77">
        <v>0</v>
      </c>
      <c r="R608" s="78">
        <v>0</v>
      </c>
    </row>
    <row r="609" spans="1:18" hidden="1" x14ac:dyDescent="0.3">
      <c r="A609" s="1" t="s">
        <v>78</v>
      </c>
      <c r="B609" s="1" t="str">
        <f t="shared" ref="B609:B672" si="867">IF(H609="","Hide","Show")</f>
        <v>Hide</v>
      </c>
      <c r="D609" s="1" t="str">
        <f t="shared" ref="D609:D672" si="868">D608</f>
        <v>"Business Central","CRONUS JetCorp USA","25","1","248207"</v>
      </c>
      <c r="E609" s="1">
        <f t="shared" ref="E609:E672" si="869">E608</f>
        <v>0</v>
      </c>
      <c r="F609" s="1" t="str">
        <f>""</f>
        <v/>
      </c>
      <c r="H609" s="9" t="str">
        <f>""</f>
        <v/>
      </c>
      <c r="I609" s="48"/>
      <c r="J609" s="41" t="str">
        <f>""</f>
        <v/>
      </c>
      <c r="K609" s="41" t="str">
        <f>""</f>
        <v/>
      </c>
      <c r="L609" s="54"/>
      <c r="M609" s="54" t="str">
        <f>""</f>
        <v/>
      </c>
      <c r="N609" s="57" t="str">
        <f>""</f>
        <v/>
      </c>
      <c r="O609" s="75">
        <v>0</v>
      </c>
      <c r="P609" s="76" t="str">
        <f>""</f>
        <v/>
      </c>
      <c r="Q609" s="77" t="str">
        <f>""</f>
        <v/>
      </c>
      <c r="R609" s="78">
        <v>0</v>
      </c>
    </row>
    <row r="610" spans="1:18" ht="9" customHeight="1" x14ac:dyDescent="0.3">
      <c r="A610" s="1" t="s">
        <v>78</v>
      </c>
      <c r="I610" s="48"/>
      <c r="J610" s="41"/>
      <c r="K610" s="41"/>
      <c r="L610" s="54"/>
      <c r="M610" s="54"/>
      <c r="N610" s="61"/>
      <c r="O610" s="60"/>
      <c r="P610" s="58"/>
      <c r="Q610" s="59"/>
      <c r="R610" s="56"/>
    </row>
    <row r="611" spans="1:18" x14ac:dyDescent="0.3">
      <c r="A611" s="1" t="s">
        <v>78</v>
      </c>
      <c r="D611" s="1" t="str">
        <f t="shared" ref="D611:D674" si="870">H611</f>
        <v>"Business Central","CRONUS JetCorp USA","25","1","248248"</v>
      </c>
      <c r="E611" s="1">
        <f t="shared" ref="E611" si="871">I606</f>
        <v>0</v>
      </c>
      <c r="G611" s="1">
        <v>248248</v>
      </c>
      <c r="H611" s="9" t="str">
        <f>"""Business Central"",""CRONUS JetCorp USA"",""25"",""1"",""248248"""</f>
        <v>"Business Central","CRONUS JetCorp USA","25","1","248248"</v>
      </c>
      <c r="I611" s="51"/>
      <c r="J611" s="52" t="str">
        <f>"Order PO102583"</f>
        <v>Order PO102583</v>
      </c>
      <c r="K611" s="52" t="str">
        <f>"PI_102582"</f>
        <v>PI_102582</v>
      </c>
      <c r="L611" s="53">
        <v>43404</v>
      </c>
      <c r="M611" s="53">
        <v>43374</v>
      </c>
      <c r="N611" s="57" t="str">
        <f>""</f>
        <v/>
      </c>
      <c r="O611" s="75">
        <v>0</v>
      </c>
      <c r="P611" s="76">
        <v>0</v>
      </c>
      <c r="Q611" s="77">
        <v>0</v>
      </c>
      <c r="R611" s="78">
        <v>0</v>
      </c>
    </row>
    <row r="612" spans="1:18" hidden="1" x14ac:dyDescent="0.3">
      <c r="A612" s="1" t="s">
        <v>78</v>
      </c>
      <c r="B612" s="1" t="str">
        <f t="shared" ref="B612:B675" si="872">IF(H612="","Hide","Show")</f>
        <v>Hide</v>
      </c>
      <c r="D612" s="1" t="str">
        <f t="shared" ref="D612:D675" si="873">D611</f>
        <v>"Business Central","CRONUS JetCorp USA","25","1","248248"</v>
      </c>
      <c r="E612" s="1">
        <f t="shared" ref="E612:E675" si="874">E611</f>
        <v>0</v>
      </c>
      <c r="F612" s="1" t="str">
        <f>""</f>
        <v/>
      </c>
      <c r="H612" s="9" t="str">
        <f>""</f>
        <v/>
      </c>
      <c r="I612" s="48"/>
      <c r="J612" s="41" t="str">
        <f>""</f>
        <v/>
      </c>
      <c r="K612" s="41" t="str">
        <f>""</f>
        <v/>
      </c>
      <c r="L612" s="54"/>
      <c r="M612" s="54" t="str">
        <f>""</f>
        <v/>
      </c>
      <c r="N612" s="57" t="str">
        <f>""</f>
        <v/>
      </c>
      <c r="O612" s="75">
        <v>0</v>
      </c>
      <c r="P612" s="76" t="str">
        <f>""</f>
        <v/>
      </c>
      <c r="Q612" s="77" t="str">
        <f>""</f>
        <v/>
      </c>
      <c r="R612" s="78">
        <v>0</v>
      </c>
    </row>
    <row r="613" spans="1:18" ht="9" customHeight="1" x14ac:dyDescent="0.3">
      <c r="A613" s="1" t="s">
        <v>78</v>
      </c>
      <c r="I613" s="48"/>
      <c r="J613" s="41"/>
      <c r="K613" s="41"/>
      <c r="L613" s="54"/>
      <c r="M613" s="54"/>
      <c r="N613" s="61"/>
      <c r="O613" s="60"/>
      <c r="P613" s="58"/>
      <c r="Q613" s="59"/>
      <c r="R613" s="56"/>
    </row>
    <row r="614" spans="1:18" x14ac:dyDescent="0.3">
      <c r="A614" s="1" t="s">
        <v>78</v>
      </c>
      <c r="D614" s="1" t="str">
        <f t="shared" ref="D614:D677" si="875">H614</f>
        <v>"Business Central","CRONUS JetCorp USA","25","1","248289"</v>
      </c>
      <c r="E614" s="1">
        <f t="shared" ref="E614" si="876">I609</f>
        <v>0</v>
      </c>
      <c r="G614" s="1">
        <v>248289</v>
      </c>
      <c r="H614" s="9" t="str">
        <f>"""Business Central"",""CRONUS JetCorp USA"",""25"",""1"",""248289"""</f>
        <v>"Business Central","CRONUS JetCorp USA","25","1","248289"</v>
      </c>
      <c r="I614" s="51"/>
      <c r="J614" s="52" t="str">
        <f>"Order PO102584"</f>
        <v>Order PO102584</v>
      </c>
      <c r="K614" s="52" t="str">
        <f>"PI_102583"</f>
        <v>PI_102583</v>
      </c>
      <c r="L614" s="53">
        <v>43434</v>
      </c>
      <c r="M614" s="53">
        <v>43405</v>
      </c>
      <c r="N614" s="57" t="str">
        <f>""</f>
        <v/>
      </c>
      <c r="O614" s="75">
        <v>0</v>
      </c>
      <c r="P614" s="76">
        <v>0</v>
      </c>
      <c r="Q614" s="77">
        <v>0</v>
      </c>
      <c r="R614" s="78">
        <v>0</v>
      </c>
    </row>
    <row r="615" spans="1:18" hidden="1" x14ac:dyDescent="0.3">
      <c r="A615" s="1" t="s">
        <v>78</v>
      </c>
      <c r="B615" s="1" t="str">
        <f t="shared" ref="B615:B678" si="877">IF(H615="","Hide","Show")</f>
        <v>Hide</v>
      </c>
      <c r="D615" s="1" t="str">
        <f t="shared" ref="D615:D678" si="878">D614</f>
        <v>"Business Central","CRONUS JetCorp USA","25","1","248289"</v>
      </c>
      <c r="E615" s="1">
        <f t="shared" ref="E615:E678" si="879">E614</f>
        <v>0</v>
      </c>
      <c r="F615" s="1" t="str">
        <f>""</f>
        <v/>
      </c>
      <c r="H615" s="9" t="str">
        <f>""</f>
        <v/>
      </c>
      <c r="I615" s="48"/>
      <c r="J615" s="41" t="str">
        <f>""</f>
        <v/>
      </c>
      <c r="K615" s="41" t="str">
        <f>""</f>
        <v/>
      </c>
      <c r="L615" s="54"/>
      <c r="M615" s="54" t="str">
        <f>""</f>
        <v/>
      </c>
      <c r="N615" s="57" t="str">
        <f>""</f>
        <v/>
      </c>
      <c r="O615" s="75">
        <v>0</v>
      </c>
      <c r="P615" s="76" t="str">
        <f>""</f>
        <v/>
      </c>
      <c r="Q615" s="77" t="str">
        <f>""</f>
        <v/>
      </c>
      <c r="R615" s="78">
        <v>0</v>
      </c>
    </row>
    <row r="616" spans="1:18" ht="9" customHeight="1" x14ac:dyDescent="0.3">
      <c r="A616" s="1" t="s">
        <v>78</v>
      </c>
      <c r="I616" s="48"/>
      <c r="J616" s="41"/>
      <c r="K616" s="41"/>
      <c r="L616" s="54"/>
      <c r="M616" s="54"/>
      <c r="N616" s="61"/>
      <c r="O616" s="60"/>
      <c r="P616" s="58"/>
      <c r="Q616" s="59"/>
      <c r="R616" s="56"/>
    </row>
    <row r="617" spans="1:18" x14ac:dyDescent="0.3">
      <c r="A617" s="1" t="s">
        <v>78</v>
      </c>
      <c r="D617" s="1" t="str">
        <f t="shared" ref="D617:D680" si="880">H617</f>
        <v>"Business Central","CRONUS JetCorp USA","25","1","248328"</v>
      </c>
      <c r="E617" s="1">
        <f t="shared" ref="E617" si="881">I612</f>
        <v>0</v>
      </c>
      <c r="G617" s="1">
        <v>248328</v>
      </c>
      <c r="H617" s="9" t="str">
        <f>"""Business Central"",""CRONUS JetCorp USA"",""25"",""1"",""248328"""</f>
        <v>"Business Central","CRONUS JetCorp USA","25","1","248328"</v>
      </c>
      <c r="I617" s="51"/>
      <c r="J617" s="52" t="str">
        <f>"Order PO102585"</f>
        <v>Order PO102585</v>
      </c>
      <c r="K617" s="52" t="str">
        <f>"PI_102584"</f>
        <v>PI_102584</v>
      </c>
      <c r="L617" s="53">
        <v>43465</v>
      </c>
      <c r="M617" s="53">
        <v>43435</v>
      </c>
      <c r="N617" s="57" t="str">
        <f>""</f>
        <v/>
      </c>
      <c r="O617" s="75">
        <v>0</v>
      </c>
      <c r="P617" s="76">
        <v>0</v>
      </c>
      <c r="Q617" s="77">
        <v>0</v>
      </c>
      <c r="R617" s="78">
        <v>0</v>
      </c>
    </row>
    <row r="618" spans="1:18" hidden="1" x14ac:dyDescent="0.3">
      <c r="A618" s="1" t="s">
        <v>78</v>
      </c>
      <c r="B618" s="1" t="str">
        <f t="shared" ref="B618:B681" si="882">IF(H618="","Hide","Show")</f>
        <v>Hide</v>
      </c>
      <c r="D618" s="1" t="str">
        <f t="shared" ref="D618:D681" si="883">D617</f>
        <v>"Business Central","CRONUS JetCorp USA","25","1","248328"</v>
      </c>
      <c r="E618" s="1">
        <f t="shared" ref="E618:E681" si="884">E617</f>
        <v>0</v>
      </c>
      <c r="F618" s="1" t="str">
        <f>""</f>
        <v/>
      </c>
      <c r="H618" s="9" t="str">
        <f>""</f>
        <v/>
      </c>
      <c r="I618" s="48"/>
      <c r="J618" s="41" t="str">
        <f>""</f>
        <v/>
      </c>
      <c r="K618" s="41" t="str">
        <f>""</f>
        <v/>
      </c>
      <c r="L618" s="54"/>
      <c r="M618" s="54" t="str">
        <f>""</f>
        <v/>
      </c>
      <c r="N618" s="57" t="str">
        <f>""</f>
        <v/>
      </c>
      <c r="O618" s="75">
        <v>0</v>
      </c>
      <c r="P618" s="76" t="str">
        <f>""</f>
        <v/>
      </c>
      <c r="Q618" s="77" t="str">
        <f>""</f>
        <v/>
      </c>
      <c r="R618" s="78">
        <v>0</v>
      </c>
    </row>
    <row r="619" spans="1:18" ht="9" customHeight="1" x14ac:dyDescent="0.3">
      <c r="A619" s="1" t="s">
        <v>78</v>
      </c>
      <c r="I619" s="48"/>
      <c r="J619" s="41"/>
      <c r="K619" s="41"/>
      <c r="L619" s="54"/>
      <c r="M619" s="54"/>
      <c r="N619" s="61"/>
      <c r="O619" s="60"/>
      <c r="P619" s="58"/>
      <c r="Q619" s="59"/>
      <c r="R619" s="56"/>
    </row>
    <row r="620" spans="1:18" x14ac:dyDescent="0.3">
      <c r="A620" s="1" t="s">
        <v>78</v>
      </c>
      <c r="D620" s="1" t="str">
        <f t="shared" ref="D620:D683" si="885">H620</f>
        <v>"Business Central","CRONUS JetCorp USA","25","1","248369"</v>
      </c>
      <c r="E620" s="1">
        <f t="shared" ref="E620" si="886">I615</f>
        <v>0</v>
      </c>
      <c r="G620" s="1">
        <v>248369</v>
      </c>
      <c r="H620" s="9" t="str">
        <f>"""Business Central"",""CRONUS JetCorp USA"",""25"",""1"",""248369"""</f>
        <v>"Business Central","CRONUS JetCorp USA","25","1","248369"</v>
      </c>
      <c r="I620" s="51"/>
      <c r="J620" s="52" t="str">
        <f>"Order PO102586"</f>
        <v>Order PO102586</v>
      </c>
      <c r="K620" s="52" t="str">
        <f>"PI_102585"</f>
        <v>PI_102585</v>
      </c>
      <c r="L620" s="53">
        <v>43496</v>
      </c>
      <c r="M620" s="53">
        <v>43466</v>
      </c>
      <c r="N620" s="57" t="str">
        <f>""</f>
        <v/>
      </c>
      <c r="O620" s="75">
        <v>0</v>
      </c>
      <c r="P620" s="76">
        <v>0</v>
      </c>
      <c r="Q620" s="77">
        <v>0</v>
      </c>
      <c r="R620" s="78">
        <v>0</v>
      </c>
    </row>
    <row r="621" spans="1:18" hidden="1" x14ac:dyDescent="0.3">
      <c r="A621" s="1" t="s">
        <v>78</v>
      </c>
      <c r="B621" s="1" t="str">
        <f t="shared" ref="B621:B684" si="887">IF(H621="","Hide","Show")</f>
        <v>Hide</v>
      </c>
      <c r="D621" s="1" t="str">
        <f t="shared" ref="D621:D684" si="888">D620</f>
        <v>"Business Central","CRONUS JetCorp USA","25","1","248369"</v>
      </c>
      <c r="E621" s="1">
        <f t="shared" ref="E621:E684" si="889">E620</f>
        <v>0</v>
      </c>
      <c r="F621" s="1" t="str">
        <f>""</f>
        <v/>
      </c>
      <c r="H621" s="9" t="str">
        <f>""</f>
        <v/>
      </c>
      <c r="I621" s="48"/>
      <c r="J621" s="41" t="str">
        <f>""</f>
        <v/>
      </c>
      <c r="K621" s="41" t="str">
        <f>""</f>
        <v/>
      </c>
      <c r="L621" s="54"/>
      <c r="M621" s="54" t="str">
        <f>""</f>
        <v/>
      </c>
      <c r="N621" s="57" t="str">
        <f>""</f>
        <v/>
      </c>
      <c r="O621" s="75">
        <v>0</v>
      </c>
      <c r="P621" s="76" t="str">
        <f>""</f>
        <v/>
      </c>
      <c r="Q621" s="77" t="str">
        <f>""</f>
        <v/>
      </c>
      <c r="R621" s="78">
        <v>0</v>
      </c>
    </row>
    <row r="622" spans="1:18" ht="9" customHeight="1" x14ac:dyDescent="0.3">
      <c r="A622" s="1" t="s">
        <v>78</v>
      </c>
      <c r="I622" s="48"/>
      <c r="J622" s="41"/>
      <c r="K622" s="41"/>
      <c r="L622" s="54"/>
      <c r="M622" s="54"/>
      <c r="N622" s="61"/>
      <c r="O622" s="60"/>
      <c r="P622" s="58"/>
      <c r="Q622" s="59"/>
      <c r="R622" s="56"/>
    </row>
    <row r="623" spans="1:18" x14ac:dyDescent="0.3">
      <c r="A623" s="1" t="s">
        <v>78</v>
      </c>
      <c r="D623" s="1" t="str">
        <f t="shared" ref="D623:D686" si="890">H623</f>
        <v>"Business Central","CRONUS JetCorp USA","25","1","248410"</v>
      </c>
      <c r="E623" s="1">
        <f t="shared" ref="E623" si="891">I618</f>
        <v>0</v>
      </c>
      <c r="G623" s="1">
        <v>248410</v>
      </c>
      <c r="H623" s="9" t="str">
        <f>"""Business Central"",""CRONUS JetCorp USA"",""25"",""1"",""248410"""</f>
        <v>"Business Central","CRONUS JetCorp USA","25","1","248410"</v>
      </c>
      <c r="I623" s="51"/>
      <c r="J623" s="52" t="str">
        <f>"Order PO102587"</f>
        <v>Order PO102587</v>
      </c>
      <c r="K623" s="52" t="str">
        <f>"PI_102586"</f>
        <v>PI_102586</v>
      </c>
      <c r="L623" s="53">
        <v>43524</v>
      </c>
      <c r="M623" s="53">
        <v>43497</v>
      </c>
      <c r="N623" s="57" t="str">
        <f>""</f>
        <v/>
      </c>
      <c r="O623" s="75">
        <v>0</v>
      </c>
      <c r="P623" s="76">
        <v>0</v>
      </c>
      <c r="Q623" s="77">
        <v>0</v>
      </c>
      <c r="R623" s="78">
        <v>0</v>
      </c>
    </row>
    <row r="624" spans="1:18" hidden="1" x14ac:dyDescent="0.3">
      <c r="A624" s="1" t="s">
        <v>78</v>
      </c>
      <c r="B624" s="1" t="str">
        <f t="shared" ref="B624:B687" si="892">IF(H624="","Hide","Show")</f>
        <v>Hide</v>
      </c>
      <c r="D624" s="1" t="str">
        <f t="shared" ref="D624:D687" si="893">D623</f>
        <v>"Business Central","CRONUS JetCorp USA","25","1","248410"</v>
      </c>
      <c r="E624" s="1">
        <f t="shared" ref="E624:E687" si="894">E623</f>
        <v>0</v>
      </c>
      <c r="F624" s="1" t="str">
        <f>""</f>
        <v/>
      </c>
      <c r="H624" s="9" t="str">
        <f>""</f>
        <v/>
      </c>
      <c r="I624" s="48"/>
      <c r="J624" s="41" t="str">
        <f>""</f>
        <v/>
      </c>
      <c r="K624" s="41" t="str">
        <f>""</f>
        <v/>
      </c>
      <c r="L624" s="54"/>
      <c r="M624" s="54" t="str">
        <f>""</f>
        <v/>
      </c>
      <c r="N624" s="57" t="str">
        <f>""</f>
        <v/>
      </c>
      <c r="O624" s="75">
        <v>0</v>
      </c>
      <c r="P624" s="76" t="str">
        <f>""</f>
        <v/>
      </c>
      <c r="Q624" s="77" t="str">
        <f>""</f>
        <v/>
      </c>
      <c r="R624" s="78">
        <v>0</v>
      </c>
    </row>
    <row r="625" spans="1:18" ht="9" customHeight="1" x14ac:dyDescent="0.3">
      <c r="A625" s="1" t="s">
        <v>78</v>
      </c>
      <c r="I625" s="48"/>
      <c r="J625" s="41"/>
      <c r="K625" s="41"/>
      <c r="L625" s="54"/>
      <c r="M625" s="54"/>
      <c r="N625" s="61"/>
      <c r="O625" s="60"/>
      <c r="P625" s="58"/>
      <c r="Q625" s="59"/>
      <c r="R625" s="56"/>
    </row>
    <row r="626" spans="1:18" x14ac:dyDescent="0.3">
      <c r="A626" s="1" t="s">
        <v>78</v>
      </c>
      <c r="D626" s="1" t="str">
        <f t="shared" ref="D626:D689" si="895">H626</f>
        <v>"Business Central","CRONUS JetCorp USA","25","1","248451"</v>
      </c>
      <c r="E626" s="1">
        <f t="shared" ref="E626" si="896">I621</f>
        <v>0</v>
      </c>
      <c r="G626" s="1">
        <v>248451</v>
      </c>
      <c r="H626" s="9" t="str">
        <f>"""Business Central"",""CRONUS JetCorp USA"",""25"",""1"",""248451"""</f>
        <v>"Business Central","CRONUS JetCorp USA","25","1","248451"</v>
      </c>
      <c r="I626" s="51"/>
      <c r="J626" s="52" t="str">
        <f>"Order PO102588"</f>
        <v>Order PO102588</v>
      </c>
      <c r="K626" s="52" t="str">
        <f>"PI_102587"</f>
        <v>PI_102587</v>
      </c>
      <c r="L626" s="53">
        <v>43585</v>
      </c>
      <c r="M626" s="53">
        <v>43556</v>
      </c>
      <c r="N626" s="57" t="str">
        <f>""</f>
        <v/>
      </c>
      <c r="O626" s="75">
        <v>0</v>
      </c>
      <c r="P626" s="76">
        <v>0</v>
      </c>
      <c r="Q626" s="77">
        <v>0</v>
      </c>
      <c r="R626" s="78">
        <v>0</v>
      </c>
    </row>
    <row r="627" spans="1:18" hidden="1" x14ac:dyDescent="0.3">
      <c r="A627" s="1" t="s">
        <v>78</v>
      </c>
      <c r="B627" s="1" t="str">
        <f t="shared" ref="B627:B690" si="897">IF(H627="","Hide","Show")</f>
        <v>Hide</v>
      </c>
      <c r="D627" s="1" t="str">
        <f t="shared" ref="D627:D690" si="898">D626</f>
        <v>"Business Central","CRONUS JetCorp USA","25","1","248451"</v>
      </c>
      <c r="E627" s="1">
        <f t="shared" ref="E627:E690" si="899">E626</f>
        <v>0</v>
      </c>
      <c r="F627" s="1" t="str">
        <f>""</f>
        <v/>
      </c>
      <c r="H627" s="9" t="str">
        <f>""</f>
        <v/>
      </c>
      <c r="I627" s="48"/>
      <c r="J627" s="41" t="str">
        <f>""</f>
        <v/>
      </c>
      <c r="K627" s="41" t="str">
        <f>""</f>
        <v/>
      </c>
      <c r="L627" s="54"/>
      <c r="M627" s="54" t="str">
        <f>""</f>
        <v/>
      </c>
      <c r="N627" s="57" t="str">
        <f>""</f>
        <v/>
      </c>
      <c r="O627" s="75">
        <v>0</v>
      </c>
      <c r="P627" s="76" t="str">
        <f>""</f>
        <v/>
      </c>
      <c r="Q627" s="77" t="str">
        <f>""</f>
        <v/>
      </c>
      <c r="R627" s="78">
        <v>0</v>
      </c>
    </row>
    <row r="628" spans="1:18" ht="9" customHeight="1" x14ac:dyDescent="0.3">
      <c r="A628" s="1" t="s">
        <v>78</v>
      </c>
      <c r="I628" s="48"/>
      <c r="J628" s="41"/>
      <c r="K628" s="41"/>
      <c r="L628" s="54"/>
      <c r="M628" s="54"/>
      <c r="N628" s="61"/>
      <c r="O628" s="60"/>
      <c r="P628" s="58"/>
      <c r="Q628" s="59"/>
      <c r="R628" s="56"/>
    </row>
    <row r="629" spans="1:18" x14ac:dyDescent="0.3">
      <c r="A629" s="1" t="s">
        <v>78</v>
      </c>
      <c r="D629" s="1" t="str">
        <f t="shared" ref="D629:D692" si="900">H629</f>
        <v>"Business Central","CRONUS JetCorp USA","25","1","248492"</v>
      </c>
      <c r="E629" s="1">
        <f t="shared" ref="E629" si="901">I624</f>
        <v>0</v>
      </c>
      <c r="G629" s="1">
        <v>248492</v>
      </c>
      <c r="H629" s="9" t="str">
        <f>"""Business Central"",""CRONUS JetCorp USA"",""25"",""1"",""248492"""</f>
        <v>"Business Central","CRONUS JetCorp USA","25","1","248492"</v>
      </c>
      <c r="I629" s="51"/>
      <c r="J629" s="52" t="str">
        <f>"Order PO102589"</f>
        <v>Order PO102589</v>
      </c>
      <c r="K629" s="52" t="str">
        <f>"PI_102588"</f>
        <v>PI_102588</v>
      </c>
      <c r="L629" s="53">
        <v>43616</v>
      </c>
      <c r="M629" s="53">
        <v>43586</v>
      </c>
      <c r="N629" s="57" t="str">
        <f>""</f>
        <v/>
      </c>
      <c r="O629" s="75">
        <v>0</v>
      </c>
      <c r="P629" s="76">
        <v>0</v>
      </c>
      <c r="Q629" s="77">
        <v>0</v>
      </c>
      <c r="R629" s="78">
        <v>0</v>
      </c>
    </row>
    <row r="630" spans="1:18" hidden="1" x14ac:dyDescent="0.3">
      <c r="A630" s="1" t="s">
        <v>78</v>
      </c>
      <c r="B630" s="1" t="str">
        <f t="shared" ref="B630:B693" si="902">IF(H630="","Hide","Show")</f>
        <v>Hide</v>
      </c>
      <c r="D630" s="1" t="str">
        <f t="shared" ref="D630:D693" si="903">D629</f>
        <v>"Business Central","CRONUS JetCorp USA","25","1","248492"</v>
      </c>
      <c r="E630" s="1">
        <f t="shared" ref="E630:E693" si="904">E629</f>
        <v>0</v>
      </c>
      <c r="F630" s="1" t="str">
        <f>""</f>
        <v/>
      </c>
      <c r="H630" s="9" t="str">
        <f>""</f>
        <v/>
      </c>
      <c r="I630" s="48"/>
      <c r="J630" s="41" t="str">
        <f>""</f>
        <v/>
      </c>
      <c r="K630" s="41" t="str">
        <f>""</f>
        <v/>
      </c>
      <c r="L630" s="54"/>
      <c r="M630" s="54" t="str">
        <f>""</f>
        <v/>
      </c>
      <c r="N630" s="57" t="str">
        <f>""</f>
        <v/>
      </c>
      <c r="O630" s="75">
        <v>0</v>
      </c>
      <c r="P630" s="76" t="str">
        <f>""</f>
        <v/>
      </c>
      <c r="Q630" s="77" t="str">
        <f>""</f>
        <v/>
      </c>
      <c r="R630" s="78">
        <v>0</v>
      </c>
    </row>
    <row r="631" spans="1:18" ht="9" customHeight="1" x14ac:dyDescent="0.3">
      <c r="A631" s="1" t="s">
        <v>78</v>
      </c>
      <c r="I631" s="48"/>
      <c r="J631" s="41"/>
      <c r="K631" s="41"/>
      <c r="L631" s="54"/>
      <c r="M631" s="54"/>
      <c r="N631" s="61"/>
      <c r="O631" s="60"/>
      <c r="P631" s="58"/>
      <c r="Q631" s="59"/>
      <c r="R631" s="56"/>
    </row>
    <row r="632" spans="1:18" x14ac:dyDescent="0.3">
      <c r="A632" s="1" t="s">
        <v>78</v>
      </c>
      <c r="D632" s="1" t="str">
        <f t="shared" ref="D632:D694" si="905">H632</f>
        <v>"Business Central","CRONUS JetCorp USA","25","1","248531"</v>
      </c>
      <c r="E632" s="1">
        <f t="shared" ref="E632" si="906">I627</f>
        <v>0</v>
      </c>
      <c r="G632" s="1">
        <v>248531</v>
      </c>
      <c r="H632" s="9" t="str">
        <f>"""Business Central"",""CRONUS JetCorp USA"",""25"",""1"",""248531"""</f>
        <v>"Business Central","CRONUS JetCorp USA","25","1","248531"</v>
      </c>
      <c r="I632" s="51"/>
      <c r="J632" s="52" t="str">
        <f>"Order PO102590"</f>
        <v>Order PO102590</v>
      </c>
      <c r="K632" s="52" t="str">
        <f>"PI_102589"</f>
        <v>PI_102589</v>
      </c>
      <c r="L632" s="53">
        <v>43646</v>
      </c>
      <c r="M632" s="53">
        <v>43617</v>
      </c>
      <c r="N632" s="57" t="str">
        <f>""</f>
        <v/>
      </c>
      <c r="O632" s="75">
        <v>0</v>
      </c>
      <c r="P632" s="76">
        <v>0</v>
      </c>
      <c r="Q632" s="77">
        <v>0</v>
      </c>
      <c r="R632" s="78">
        <v>0</v>
      </c>
    </row>
    <row r="633" spans="1:18" hidden="1" x14ac:dyDescent="0.3">
      <c r="A633" s="1" t="s">
        <v>78</v>
      </c>
      <c r="B633" s="1" t="str">
        <f t="shared" ref="B633:B694" si="907">IF(H633="","Hide","Show")</f>
        <v>Hide</v>
      </c>
      <c r="D633" s="1" t="str">
        <f t="shared" ref="D633:D694" si="908">D632</f>
        <v>"Business Central","CRONUS JetCorp USA","25","1","248531"</v>
      </c>
      <c r="E633" s="1">
        <f t="shared" ref="E633:E694" si="909">E632</f>
        <v>0</v>
      </c>
      <c r="F633" s="1" t="str">
        <f>""</f>
        <v/>
      </c>
      <c r="H633" s="9" t="str">
        <f>""</f>
        <v/>
      </c>
      <c r="I633" s="48"/>
      <c r="J633" s="41" t="str">
        <f>""</f>
        <v/>
      </c>
      <c r="K633" s="41" t="str">
        <f>""</f>
        <v/>
      </c>
      <c r="L633" s="54"/>
      <c r="M633" s="54" t="str">
        <f>""</f>
        <v/>
      </c>
      <c r="N633" s="57" t="str">
        <f>""</f>
        <v/>
      </c>
      <c r="O633" s="75">
        <v>0</v>
      </c>
      <c r="P633" s="76" t="str">
        <f>""</f>
        <v/>
      </c>
      <c r="Q633" s="77" t="str">
        <f>""</f>
        <v/>
      </c>
      <c r="R633" s="78">
        <v>0</v>
      </c>
    </row>
    <row r="634" spans="1:18" ht="9" customHeight="1" x14ac:dyDescent="0.3">
      <c r="A634" s="1" t="s">
        <v>78</v>
      </c>
      <c r="I634" s="48"/>
      <c r="J634" s="41"/>
      <c r="K634" s="41"/>
      <c r="L634" s="54"/>
      <c r="M634" s="54"/>
      <c r="N634" s="61"/>
      <c r="O634" s="60"/>
      <c r="P634" s="58"/>
      <c r="Q634" s="59"/>
      <c r="R634" s="56"/>
    </row>
    <row r="635" spans="1:18" x14ac:dyDescent="0.3">
      <c r="A635" s="1" t="s">
        <v>78</v>
      </c>
      <c r="D635" s="1" t="str">
        <f t="shared" ref="D635:D694" si="910">H635</f>
        <v>"Business Central","CRONUS JetCorp USA","25","1","248572"</v>
      </c>
      <c r="E635" s="1">
        <f t="shared" ref="E635" si="911">I630</f>
        <v>0</v>
      </c>
      <c r="G635" s="1">
        <v>248572</v>
      </c>
      <c r="H635" s="9" t="str">
        <f>"""Business Central"",""CRONUS JetCorp USA"",""25"",""1"",""248572"""</f>
        <v>"Business Central","CRONUS JetCorp USA","25","1","248572"</v>
      </c>
      <c r="I635" s="51"/>
      <c r="J635" s="52" t="str">
        <f>"Order PO102591"</f>
        <v>Order PO102591</v>
      </c>
      <c r="K635" s="52" t="str">
        <f>"PI_102590"</f>
        <v>PI_102590</v>
      </c>
      <c r="L635" s="53">
        <v>43677</v>
      </c>
      <c r="M635" s="53">
        <v>43647</v>
      </c>
      <c r="N635" s="57" t="str">
        <f>""</f>
        <v/>
      </c>
      <c r="O635" s="75">
        <v>0</v>
      </c>
      <c r="P635" s="76">
        <v>0</v>
      </c>
      <c r="Q635" s="77">
        <v>0</v>
      </c>
      <c r="R635" s="78">
        <v>0</v>
      </c>
    </row>
    <row r="636" spans="1:18" hidden="1" x14ac:dyDescent="0.3">
      <c r="A636" s="1" t="s">
        <v>78</v>
      </c>
      <c r="B636" s="1" t="str">
        <f t="shared" ref="B636:B694" si="912">IF(H636="","Hide","Show")</f>
        <v>Hide</v>
      </c>
      <c r="D636" s="1" t="str">
        <f t="shared" ref="D636:D694" si="913">D635</f>
        <v>"Business Central","CRONUS JetCorp USA","25","1","248572"</v>
      </c>
      <c r="E636" s="1">
        <f t="shared" ref="E636:E694" si="914">E635</f>
        <v>0</v>
      </c>
      <c r="F636" s="1" t="str">
        <f>""</f>
        <v/>
      </c>
      <c r="H636" s="9" t="str">
        <f>""</f>
        <v/>
      </c>
      <c r="I636" s="48"/>
      <c r="J636" s="41" t="str">
        <f>""</f>
        <v/>
      </c>
      <c r="K636" s="41" t="str">
        <f>""</f>
        <v/>
      </c>
      <c r="L636" s="54"/>
      <c r="M636" s="54" t="str">
        <f>""</f>
        <v/>
      </c>
      <c r="N636" s="57" t="str">
        <f>""</f>
        <v/>
      </c>
      <c r="O636" s="75">
        <v>0</v>
      </c>
      <c r="P636" s="76" t="str">
        <f>""</f>
        <v/>
      </c>
      <c r="Q636" s="77" t="str">
        <f>""</f>
        <v/>
      </c>
      <c r="R636" s="78">
        <v>0</v>
      </c>
    </row>
    <row r="637" spans="1:18" ht="9" customHeight="1" x14ac:dyDescent="0.3">
      <c r="A637" s="1" t="s">
        <v>78</v>
      </c>
      <c r="I637" s="48"/>
      <c r="J637" s="41"/>
      <c r="K637" s="41"/>
      <c r="L637" s="54"/>
      <c r="M637" s="54"/>
      <c r="N637" s="61"/>
      <c r="O637" s="60"/>
      <c r="P637" s="58"/>
      <c r="Q637" s="59"/>
      <c r="R637" s="56"/>
    </row>
    <row r="638" spans="1:18" x14ac:dyDescent="0.3">
      <c r="A638" s="1" t="s">
        <v>78</v>
      </c>
      <c r="D638" s="1" t="str">
        <f t="shared" ref="D638:D694" si="915">H638</f>
        <v>"Business Central","CRONUS JetCorp USA","25","1","248613"</v>
      </c>
      <c r="E638" s="1">
        <f t="shared" ref="E638" si="916">I633</f>
        <v>0</v>
      </c>
      <c r="G638" s="1">
        <v>248613</v>
      </c>
      <c r="H638" s="9" t="str">
        <f>"""Business Central"",""CRONUS JetCorp USA"",""25"",""1"",""248613"""</f>
        <v>"Business Central","CRONUS JetCorp USA","25","1","248613"</v>
      </c>
      <c r="I638" s="51"/>
      <c r="J638" s="52" t="str">
        <f>"Order PO102592"</f>
        <v>Order PO102592</v>
      </c>
      <c r="K638" s="52" t="str">
        <f>"PI_102591"</f>
        <v>PI_102591</v>
      </c>
      <c r="L638" s="53">
        <v>43708</v>
      </c>
      <c r="M638" s="53">
        <v>43678</v>
      </c>
      <c r="N638" s="57" t="str">
        <f>""</f>
        <v/>
      </c>
      <c r="O638" s="75">
        <v>0</v>
      </c>
      <c r="P638" s="76">
        <v>0</v>
      </c>
      <c r="Q638" s="77">
        <v>0</v>
      </c>
      <c r="R638" s="78">
        <v>0</v>
      </c>
    </row>
    <row r="639" spans="1:18" hidden="1" x14ac:dyDescent="0.3">
      <c r="A639" s="1" t="s">
        <v>78</v>
      </c>
      <c r="B639" s="1" t="str">
        <f t="shared" ref="B639:B694" si="917">IF(H639="","Hide","Show")</f>
        <v>Hide</v>
      </c>
      <c r="D639" s="1" t="str">
        <f t="shared" ref="D639:D694" si="918">D638</f>
        <v>"Business Central","CRONUS JetCorp USA","25","1","248613"</v>
      </c>
      <c r="E639" s="1">
        <f t="shared" ref="E639:E694" si="919">E638</f>
        <v>0</v>
      </c>
      <c r="F639" s="1" t="str">
        <f>""</f>
        <v/>
      </c>
      <c r="H639" s="9" t="str">
        <f>""</f>
        <v/>
      </c>
      <c r="I639" s="48"/>
      <c r="J639" s="41" t="str">
        <f>""</f>
        <v/>
      </c>
      <c r="K639" s="41" t="str">
        <f>""</f>
        <v/>
      </c>
      <c r="L639" s="54"/>
      <c r="M639" s="54" t="str">
        <f>""</f>
        <v/>
      </c>
      <c r="N639" s="57" t="str">
        <f>""</f>
        <v/>
      </c>
      <c r="O639" s="75">
        <v>0</v>
      </c>
      <c r="P639" s="76" t="str">
        <f>""</f>
        <v/>
      </c>
      <c r="Q639" s="77" t="str">
        <f>""</f>
        <v/>
      </c>
      <c r="R639" s="78">
        <v>0</v>
      </c>
    </row>
    <row r="640" spans="1:18" ht="9" customHeight="1" x14ac:dyDescent="0.3">
      <c r="A640" s="1" t="s">
        <v>78</v>
      </c>
      <c r="I640" s="48"/>
      <c r="J640" s="41"/>
      <c r="K640" s="41"/>
      <c r="L640" s="54"/>
      <c r="M640" s="54"/>
      <c r="N640" s="61"/>
      <c r="O640" s="60"/>
      <c r="P640" s="58"/>
      <c r="Q640" s="59"/>
      <c r="R640" s="56"/>
    </row>
    <row r="641" spans="1:18" x14ac:dyDescent="0.3">
      <c r="A641" s="1" t="s">
        <v>78</v>
      </c>
      <c r="D641" s="1" t="str">
        <f t="shared" ref="D641:D694" si="920">H641</f>
        <v>"Business Central","CRONUS JetCorp USA","25","1","248654"</v>
      </c>
      <c r="E641" s="1">
        <f t="shared" ref="E641" si="921">I636</f>
        <v>0</v>
      </c>
      <c r="G641" s="1">
        <v>248654</v>
      </c>
      <c r="H641" s="9" t="str">
        <f>"""Business Central"",""CRONUS JetCorp USA"",""25"",""1"",""248654"""</f>
        <v>"Business Central","CRONUS JetCorp USA","25","1","248654"</v>
      </c>
      <c r="I641" s="51"/>
      <c r="J641" s="52" t="str">
        <f>"Order PO102593"</f>
        <v>Order PO102593</v>
      </c>
      <c r="K641" s="52" t="str">
        <f>"PI_102592"</f>
        <v>PI_102592</v>
      </c>
      <c r="L641" s="53">
        <v>43769</v>
      </c>
      <c r="M641" s="53">
        <v>43739</v>
      </c>
      <c r="N641" s="57" t="str">
        <f>""</f>
        <v/>
      </c>
      <c r="O641" s="75">
        <v>0</v>
      </c>
      <c r="P641" s="76">
        <v>0</v>
      </c>
      <c r="Q641" s="77">
        <v>0</v>
      </c>
      <c r="R641" s="78">
        <v>0</v>
      </c>
    </row>
    <row r="642" spans="1:18" hidden="1" x14ac:dyDescent="0.3">
      <c r="A642" s="1" t="s">
        <v>78</v>
      </c>
      <c r="B642" s="1" t="str">
        <f t="shared" ref="B642:B694" si="922">IF(H642="","Hide","Show")</f>
        <v>Hide</v>
      </c>
      <c r="D642" s="1" t="str">
        <f t="shared" ref="D642:D694" si="923">D641</f>
        <v>"Business Central","CRONUS JetCorp USA","25","1","248654"</v>
      </c>
      <c r="E642" s="1">
        <f t="shared" ref="E642:E694" si="924">E641</f>
        <v>0</v>
      </c>
      <c r="F642" s="1" t="str">
        <f>""</f>
        <v/>
      </c>
      <c r="H642" s="9" t="str">
        <f>""</f>
        <v/>
      </c>
      <c r="I642" s="48"/>
      <c r="J642" s="41" t="str">
        <f>""</f>
        <v/>
      </c>
      <c r="K642" s="41" t="str">
        <f>""</f>
        <v/>
      </c>
      <c r="L642" s="54"/>
      <c r="M642" s="54" t="str">
        <f>""</f>
        <v/>
      </c>
      <c r="N642" s="57" t="str">
        <f>""</f>
        <v/>
      </c>
      <c r="O642" s="75">
        <v>0</v>
      </c>
      <c r="P642" s="76" t="str">
        <f>""</f>
        <v/>
      </c>
      <c r="Q642" s="77" t="str">
        <f>""</f>
        <v/>
      </c>
      <c r="R642" s="78">
        <v>0</v>
      </c>
    </row>
    <row r="643" spans="1:18" ht="9" customHeight="1" x14ac:dyDescent="0.3">
      <c r="A643" s="1" t="s">
        <v>78</v>
      </c>
      <c r="I643" s="48"/>
      <c r="J643" s="41"/>
      <c r="K643" s="41"/>
      <c r="L643" s="54"/>
      <c r="M643" s="54"/>
      <c r="N643" s="61"/>
      <c r="O643" s="60"/>
      <c r="P643" s="58"/>
      <c r="Q643" s="59"/>
      <c r="R643" s="56"/>
    </row>
    <row r="644" spans="1:18" x14ac:dyDescent="0.3">
      <c r="A644" s="1" t="s">
        <v>78</v>
      </c>
      <c r="D644" s="1" t="str">
        <f t="shared" ref="D644:D694" si="925">H644</f>
        <v>"Business Central","CRONUS JetCorp USA","25","1","248695"</v>
      </c>
      <c r="E644" s="1">
        <f t="shared" ref="E644" si="926">I639</f>
        <v>0</v>
      </c>
      <c r="G644" s="1">
        <v>248695</v>
      </c>
      <c r="H644" s="9" t="str">
        <f>"""Business Central"",""CRONUS JetCorp USA"",""25"",""1"",""248695"""</f>
        <v>"Business Central","CRONUS JetCorp USA","25","1","248695"</v>
      </c>
      <c r="I644" s="51"/>
      <c r="J644" s="52" t="str">
        <f>"Order PO102594"</f>
        <v>Order PO102594</v>
      </c>
      <c r="K644" s="52" t="str">
        <f>"PI_102593"</f>
        <v>PI_102593</v>
      </c>
      <c r="L644" s="53">
        <v>43799</v>
      </c>
      <c r="M644" s="53">
        <v>43770</v>
      </c>
      <c r="N644" s="57" t="str">
        <f>""</f>
        <v/>
      </c>
      <c r="O644" s="75">
        <v>0</v>
      </c>
      <c r="P644" s="76">
        <v>0</v>
      </c>
      <c r="Q644" s="77">
        <v>0</v>
      </c>
      <c r="R644" s="78">
        <v>0</v>
      </c>
    </row>
    <row r="645" spans="1:18" hidden="1" x14ac:dyDescent="0.3">
      <c r="A645" s="1" t="s">
        <v>78</v>
      </c>
      <c r="B645" s="1" t="str">
        <f t="shared" ref="B645:B694" si="927">IF(H645="","Hide","Show")</f>
        <v>Hide</v>
      </c>
      <c r="D645" s="1" t="str">
        <f t="shared" ref="D645:D694" si="928">D644</f>
        <v>"Business Central","CRONUS JetCorp USA","25","1","248695"</v>
      </c>
      <c r="E645" s="1">
        <f t="shared" ref="E645:E694" si="929">E644</f>
        <v>0</v>
      </c>
      <c r="F645" s="1" t="str">
        <f>""</f>
        <v/>
      </c>
      <c r="H645" s="9" t="str">
        <f>""</f>
        <v/>
      </c>
      <c r="I645" s="48"/>
      <c r="J645" s="41" t="str">
        <f>""</f>
        <v/>
      </c>
      <c r="K645" s="41" t="str">
        <f>""</f>
        <v/>
      </c>
      <c r="L645" s="54"/>
      <c r="M645" s="54" t="str">
        <f>""</f>
        <v/>
      </c>
      <c r="N645" s="57" t="str">
        <f>""</f>
        <v/>
      </c>
      <c r="O645" s="75">
        <v>0</v>
      </c>
      <c r="P645" s="76" t="str">
        <f>""</f>
        <v/>
      </c>
      <c r="Q645" s="77" t="str">
        <f>""</f>
        <v/>
      </c>
      <c r="R645" s="78">
        <v>0</v>
      </c>
    </row>
    <row r="646" spans="1:18" ht="9" customHeight="1" x14ac:dyDescent="0.3">
      <c r="A646" s="1" t="s">
        <v>78</v>
      </c>
      <c r="I646" s="48"/>
      <c r="J646" s="41"/>
      <c r="K646" s="41"/>
      <c r="L646" s="54"/>
      <c r="M646" s="54"/>
      <c r="N646" s="61"/>
      <c r="O646" s="60"/>
      <c r="P646" s="58"/>
      <c r="Q646" s="59"/>
      <c r="R646" s="56"/>
    </row>
    <row r="647" spans="1:18" x14ac:dyDescent="0.3">
      <c r="A647" s="1" t="s">
        <v>78</v>
      </c>
      <c r="D647" s="1" t="str">
        <f t="shared" ref="D647:D694" si="930">H647</f>
        <v>"Business Central","CRONUS JetCorp USA","25","1","248736"</v>
      </c>
      <c r="E647" s="1">
        <f t="shared" ref="E647" si="931">I642</f>
        <v>0</v>
      </c>
      <c r="G647" s="1">
        <v>248736</v>
      </c>
      <c r="H647" s="9" t="str">
        <f>"""Business Central"",""CRONUS JetCorp USA"",""25"",""1"",""248736"""</f>
        <v>"Business Central","CRONUS JetCorp USA","25","1","248736"</v>
      </c>
      <c r="I647" s="51"/>
      <c r="J647" s="52" t="str">
        <f>"Order PO102595"</f>
        <v>Order PO102595</v>
      </c>
      <c r="K647" s="52" t="str">
        <f>"PI_102594"</f>
        <v>PI_102594</v>
      </c>
      <c r="L647" s="53">
        <v>42035</v>
      </c>
      <c r="M647" s="53">
        <v>43831</v>
      </c>
      <c r="N647" s="57" t="str">
        <f>""</f>
        <v/>
      </c>
      <c r="O647" s="75">
        <v>0</v>
      </c>
      <c r="P647" s="76">
        <v>0</v>
      </c>
      <c r="Q647" s="77">
        <v>0</v>
      </c>
      <c r="R647" s="78">
        <v>0</v>
      </c>
    </row>
    <row r="648" spans="1:18" hidden="1" x14ac:dyDescent="0.3">
      <c r="A648" s="1" t="s">
        <v>78</v>
      </c>
      <c r="B648" s="1" t="str">
        <f t="shared" ref="B648:B694" si="932">IF(H648="","Hide","Show")</f>
        <v>Hide</v>
      </c>
      <c r="D648" s="1" t="str">
        <f t="shared" ref="D648:D694" si="933">D647</f>
        <v>"Business Central","CRONUS JetCorp USA","25","1","248736"</v>
      </c>
      <c r="E648" s="1">
        <f t="shared" ref="E648:E694" si="934">E647</f>
        <v>0</v>
      </c>
      <c r="F648" s="1" t="str">
        <f>""</f>
        <v/>
      </c>
      <c r="H648" s="9" t="str">
        <f>""</f>
        <v/>
      </c>
      <c r="I648" s="48"/>
      <c r="J648" s="41" t="str">
        <f>""</f>
        <v/>
      </c>
      <c r="K648" s="41" t="str">
        <f>""</f>
        <v/>
      </c>
      <c r="L648" s="54"/>
      <c r="M648" s="54" t="str">
        <f>""</f>
        <v/>
      </c>
      <c r="N648" s="57" t="str">
        <f>""</f>
        <v/>
      </c>
      <c r="O648" s="75">
        <v>0</v>
      </c>
      <c r="P648" s="76" t="str">
        <f>""</f>
        <v/>
      </c>
      <c r="Q648" s="77" t="str">
        <f>""</f>
        <v/>
      </c>
      <c r="R648" s="78">
        <v>0</v>
      </c>
    </row>
    <row r="649" spans="1:18" ht="9" customHeight="1" x14ac:dyDescent="0.3">
      <c r="A649" s="1" t="s">
        <v>78</v>
      </c>
      <c r="I649" s="48"/>
      <c r="J649" s="41"/>
      <c r="K649" s="41"/>
      <c r="L649" s="54"/>
      <c r="M649" s="54"/>
      <c r="N649" s="61"/>
      <c r="O649" s="60"/>
      <c r="P649" s="58"/>
      <c r="Q649" s="59"/>
      <c r="R649" s="56"/>
    </row>
    <row r="650" spans="1:18" x14ac:dyDescent="0.3">
      <c r="A650" s="1" t="s">
        <v>78</v>
      </c>
      <c r="D650" s="1" t="str">
        <f t="shared" ref="D650:D694" si="935">H650</f>
        <v>"Business Central","CRONUS JetCorp USA","25","1","248777"</v>
      </c>
      <c r="E650" s="1">
        <f t="shared" ref="E650" si="936">I645</f>
        <v>0</v>
      </c>
      <c r="G650" s="1">
        <v>248777</v>
      </c>
      <c r="H650" s="9" t="str">
        <f>"""Business Central"",""CRONUS JetCorp USA"",""25"",""1"",""248777"""</f>
        <v>"Business Central","CRONUS JetCorp USA","25","1","248777"</v>
      </c>
      <c r="I650" s="51"/>
      <c r="J650" s="52" t="str">
        <f>"Order PO102596"</f>
        <v>Order PO102596</v>
      </c>
      <c r="K650" s="52" t="str">
        <f>"PI_102595"</f>
        <v>PI_102595</v>
      </c>
      <c r="L650" s="53">
        <v>42063</v>
      </c>
      <c r="M650" s="53">
        <v>43862</v>
      </c>
      <c r="N650" s="57" t="str">
        <f>""</f>
        <v/>
      </c>
      <c r="O650" s="75">
        <v>0</v>
      </c>
      <c r="P650" s="76">
        <v>0</v>
      </c>
      <c r="Q650" s="77">
        <v>0</v>
      </c>
      <c r="R650" s="78">
        <v>0</v>
      </c>
    </row>
    <row r="651" spans="1:18" hidden="1" x14ac:dyDescent="0.3">
      <c r="A651" s="1" t="s">
        <v>78</v>
      </c>
      <c r="B651" s="1" t="str">
        <f t="shared" ref="B651:B694" si="937">IF(H651="","Hide","Show")</f>
        <v>Hide</v>
      </c>
      <c r="D651" s="1" t="str">
        <f t="shared" ref="D651:D694" si="938">D650</f>
        <v>"Business Central","CRONUS JetCorp USA","25","1","248777"</v>
      </c>
      <c r="E651" s="1">
        <f t="shared" ref="E651:E694" si="939">E650</f>
        <v>0</v>
      </c>
      <c r="F651" s="1" t="str">
        <f>""</f>
        <v/>
      </c>
      <c r="H651" s="9" t="str">
        <f>""</f>
        <v/>
      </c>
      <c r="I651" s="48"/>
      <c r="J651" s="41" t="str">
        <f>""</f>
        <v/>
      </c>
      <c r="K651" s="41" t="str">
        <f>""</f>
        <v/>
      </c>
      <c r="L651" s="54"/>
      <c r="M651" s="54" t="str">
        <f>""</f>
        <v/>
      </c>
      <c r="N651" s="57" t="str">
        <f>""</f>
        <v/>
      </c>
      <c r="O651" s="75">
        <v>0</v>
      </c>
      <c r="P651" s="76" t="str">
        <f>""</f>
        <v/>
      </c>
      <c r="Q651" s="77" t="str">
        <f>""</f>
        <v/>
      </c>
      <c r="R651" s="78">
        <v>0</v>
      </c>
    </row>
    <row r="652" spans="1:18" ht="9" customHeight="1" x14ac:dyDescent="0.3">
      <c r="A652" s="1" t="s">
        <v>78</v>
      </c>
      <c r="I652" s="48"/>
      <c r="J652" s="41"/>
      <c r="K652" s="41"/>
      <c r="L652" s="54"/>
      <c r="M652" s="54"/>
      <c r="N652" s="61"/>
      <c r="O652" s="60"/>
      <c r="P652" s="58"/>
      <c r="Q652" s="59"/>
      <c r="R652" s="56"/>
    </row>
    <row r="653" spans="1:18" x14ac:dyDescent="0.3">
      <c r="A653" s="1" t="s">
        <v>78</v>
      </c>
      <c r="D653" s="1" t="str">
        <f t="shared" ref="D653:D694" si="940">H653</f>
        <v>"Business Central","CRONUS JetCorp USA","25","1","248818"</v>
      </c>
      <c r="E653" s="1">
        <f t="shared" ref="E653" si="941">I648</f>
        <v>0</v>
      </c>
      <c r="G653" s="1">
        <v>248818</v>
      </c>
      <c r="H653" s="9" t="str">
        <f>"""Business Central"",""CRONUS JetCorp USA"",""25"",""1"",""248818"""</f>
        <v>"Business Central","CRONUS JetCorp USA","25","1","248818"</v>
      </c>
      <c r="I653" s="51"/>
      <c r="J653" s="52" t="str">
        <f>"Order PO102597"</f>
        <v>Order PO102597</v>
      </c>
      <c r="K653" s="52" t="str">
        <f>"PI_102596"</f>
        <v>PI_102596</v>
      </c>
      <c r="L653" s="53">
        <v>42124</v>
      </c>
      <c r="M653" s="53">
        <v>43922</v>
      </c>
      <c r="N653" s="57" t="str">
        <f>""</f>
        <v/>
      </c>
      <c r="O653" s="75">
        <v>0</v>
      </c>
      <c r="P653" s="76">
        <v>0</v>
      </c>
      <c r="Q653" s="77">
        <v>0</v>
      </c>
      <c r="R653" s="78">
        <v>0</v>
      </c>
    </row>
    <row r="654" spans="1:18" hidden="1" x14ac:dyDescent="0.3">
      <c r="A654" s="1" t="s">
        <v>78</v>
      </c>
      <c r="B654" s="1" t="str">
        <f t="shared" ref="B654:B694" si="942">IF(H654="","Hide","Show")</f>
        <v>Hide</v>
      </c>
      <c r="D654" s="1" t="str">
        <f t="shared" ref="D654:D694" si="943">D653</f>
        <v>"Business Central","CRONUS JetCorp USA","25","1","248818"</v>
      </c>
      <c r="E654" s="1">
        <f t="shared" ref="E654:E694" si="944">E653</f>
        <v>0</v>
      </c>
      <c r="F654" s="1" t="str">
        <f>""</f>
        <v/>
      </c>
      <c r="H654" s="9" t="str">
        <f>""</f>
        <v/>
      </c>
      <c r="I654" s="48"/>
      <c r="J654" s="41" t="str">
        <f>""</f>
        <v/>
      </c>
      <c r="K654" s="41" t="str">
        <f>""</f>
        <v/>
      </c>
      <c r="L654" s="54"/>
      <c r="M654" s="54" t="str">
        <f>""</f>
        <v/>
      </c>
      <c r="N654" s="57" t="str">
        <f>""</f>
        <v/>
      </c>
      <c r="O654" s="75">
        <v>0</v>
      </c>
      <c r="P654" s="76" t="str">
        <f>""</f>
        <v/>
      </c>
      <c r="Q654" s="77" t="str">
        <f>""</f>
        <v/>
      </c>
      <c r="R654" s="78">
        <v>0</v>
      </c>
    </row>
    <row r="655" spans="1:18" ht="9" customHeight="1" x14ac:dyDescent="0.3">
      <c r="A655" s="1" t="s">
        <v>78</v>
      </c>
      <c r="I655" s="48"/>
      <c r="J655" s="41"/>
      <c r="K655" s="41"/>
      <c r="L655" s="54"/>
      <c r="M655" s="54"/>
      <c r="N655" s="61"/>
      <c r="O655" s="60"/>
      <c r="P655" s="58"/>
      <c r="Q655" s="59"/>
      <c r="R655" s="56"/>
    </row>
    <row r="656" spans="1:18" x14ac:dyDescent="0.3">
      <c r="A656" s="1" t="s">
        <v>78</v>
      </c>
      <c r="D656" s="1" t="str">
        <f t="shared" ref="D656:D694" si="945">H656</f>
        <v>"Business Central","CRONUS JetCorp USA","25","1","248853"</v>
      </c>
      <c r="E656" s="1">
        <f t="shared" ref="E656" si="946">I651</f>
        <v>0</v>
      </c>
      <c r="G656" s="1">
        <v>248853</v>
      </c>
      <c r="H656" s="9" t="str">
        <f>"""Business Central"",""CRONUS JetCorp USA"",""25"",""1"",""248853"""</f>
        <v>"Business Central","CRONUS JetCorp USA","25","1","248853"</v>
      </c>
      <c r="I656" s="51"/>
      <c r="J656" s="52" t="str">
        <f>"Order PO102598"</f>
        <v>Order PO102598</v>
      </c>
      <c r="K656" s="52" t="str">
        <f>"PI_102597"</f>
        <v>PI_102597</v>
      </c>
      <c r="L656" s="53">
        <v>42155</v>
      </c>
      <c r="M656" s="53">
        <v>43952</v>
      </c>
      <c r="N656" s="57" t="str">
        <f>""</f>
        <v/>
      </c>
      <c r="O656" s="75">
        <v>0</v>
      </c>
      <c r="P656" s="76">
        <v>0</v>
      </c>
      <c r="Q656" s="77">
        <v>0</v>
      </c>
      <c r="R656" s="78">
        <v>0</v>
      </c>
    </row>
    <row r="657" spans="1:18" hidden="1" x14ac:dyDescent="0.3">
      <c r="A657" s="1" t="s">
        <v>78</v>
      </c>
      <c r="B657" s="1" t="str">
        <f t="shared" ref="B657:B694" si="947">IF(H657="","Hide","Show")</f>
        <v>Hide</v>
      </c>
      <c r="D657" s="1" t="str">
        <f t="shared" ref="D657:D694" si="948">D656</f>
        <v>"Business Central","CRONUS JetCorp USA","25","1","248853"</v>
      </c>
      <c r="E657" s="1">
        <f t="shared" ref="E657:E694" si="949">E656</f>
        <v>0</v>
      </c>
      <c r="F657" s="1" t="str">
        <f>""</f>
        <v/>
      </c>
      <c r="H657" s="9" t="str">
        <f>""</f>
        <v/>
      </c>
      <c r="I657" s="48"/>
      <c r="J657" s="41" t="str">
        <f>""</f>
        <v/>
      </c>
      <c r="K657" s="41" t="str">
        <f>""</f>
        <v/>
      </c>
      <c r="L657" s="54"/>
      <c r="M657" s="54" t="str">
        <f>""</f>
        <v/>
      </c>
      <c r="N657" s="57" t="str">
        <f>""</f>
        <v/>
      </c>
      <c r="O657" s="75">
        <v>0</v>
      </c>
      <c r="P657" s="76" t="str">
        <f>""</f>
        <v/>
      </c>
      <c r="Q657" s="77" t="str">
        <f>""</f>
        <v/>
      </c>
      <c r="R657" s="78">
        <v>0</v>
      </c>
    </row>
    <row r="658" spans="1:18" ht="9" customHeight="1" x14ac:dyDescent="0.3">
      <c r="A658" s="1" t="s">
        <v>78</v>
      </c>
      <c r="I658" s="48"/>
      <c r="J658" s="41"/>
      <c r="K658" s="41"/>
      <c r="L658" s="54"/>
      <c r="M658" s="54"/>
      <c r="N658" s="61"/>
      <c r="O658" s="60"/>
      <c r="P658" s="58"/>
      <c r="Q658" s="59"/>
      <c r="R658" s="56"/>
    </row>
    <row r="659" spans="1:18" x14ac:dyDescent="0.3">
      <c r="A659" s="1" t="s">
        <v>78</v>
      </c>
      <c r="D659" s="1" t="str">
        <f t="shared" ref="D659:D694" si="950">H659</f>
        <v>"Business Central","CRONUS JetCorp USA","25","1","248878"</v>
      </c>
      <c r="E659" s="1">
        <f t="shared" ref="E659" si="951">I654</f>
        <v>0</v>
      </c>
      <c r="G659" s="1">
        <v>248878</v>
      </c>
      <c r="H659" s="9" t="str">
        <f>"""Business Central"",""CRONUS JetCorp USA"",""25"",""1"",""248878"""</f>
        <v>"Business Central","CRONUS JetCorp USA","25","1","248878"</v>
      </c>
      <c r="I659" s="51"/>
      <c r="J659" s="52" t="str">
        <f>"Order PO102599"</f>
        <v>Order PO102599</v>
      </c>
      <c r="K659" s="52" t="str">
        <f>"PI_102598"</f>
        <v>PI_102598</v>
      </c>
      <c r="L659" s="53">
        <v>43830</v>
      </c>
      <c r="M659" s="53">
        <v>43800</v>
      </c>
      <c r="N659" s="57" t="str">
        <f>""</f>
        <v/>
      </c>
      <c r="O659" s="75">
        <v>0</v>
      </c>
      <c r="P659" s="76">
        <v>0</v>
      </c>
      <c r="Q659" s="77">
        <v>0</v>
      </c>
      <c r="R659" s="78">
        <v>0</v>
      </c>
    </row>
    <row r="660" spans="1:18" hidden="1" x14ac:dyDescent="0.3">
      <c r="A660" s="1" t="s">
        <v>78</v>
      </c>
      <c r="B660" s="1" t="str">
        <f t="shared" ref="B660:B694" si="952">IF(H660="","Hide","Show")</f>
        <v>Hide</v>
      </c>
      <c r="D660" s="1" t="str">
        <f t="shared" ref="D660:D694" si="953">D659</f>
        <v>"Business Central","CRONUS JetCorp USA","25","1","248878"</v>
      </c>
      <c r="E660" s="1">
        <f t="shared" ref="E660:E694" si="954">E659</f>
        <v>0</v>
      </c>
      <c r="F660" s="1" t="str">
        <f>""</f>
        <v/>
      </c>
      <c r="H660" s="9" t="str">
        <f>""</f>
        <v/>
      </c>
      <c r="I660" s="48"/>
      <c r="J660" s="41" t="str">
        <f>""</f>
        <v/>
      </c>
      <c r="K660" s="41" t="str">
        <f>""</f>
        <v/>
      </c>
      <c r="L660" s="54"/>
      <c r="M660" s="54" t="str">
        <f>""</f>
        <v/>
      </c>
      <c r="N660" s="57" t="str">
        <f>""</f>
        <v/>
      </c>
      <c r="O660" s="75">
        <v>0</v>
      </c>
      <c r="P660" s="76" t="str">
        <f>""</f>
        <v/>
      </c>
      <c r="Q660" s="77" t="str">
        <f>""</f>
        <v/>
      </c>
      <c r="R660" s="78">
        <v>0</v>
      </c>
    </row>
    <row r="661" spans="1:18" ht="9" customHeight="1" x14ac:dyDescent="0.3">
      <c r="A661" s="1" t="s">
        <v>78</v>
      </c>
      <c r="I661" s="48"/>
      <c r="J661" s="41"/>
      <c r="K661" s="41"/>
      <c r="L661" s="54"/>
      <c r="M661" s="54"/>
      <c r="N661" s="61"/>
      <c r="O661" s="60"/>
      <c r="P661" s="58"/>
      <c r="Q661" s="59"/>
      <c r="R661" s="56"/>
    </row>
    <row r="662" spans="1:18" x14ac:dyDescent="0.3">
      <c r="A662" s="1" t="s">
        <v>78</v>
      </c>
      <c r="D662" s="1" t="str">
        <f t="shared" ref="D662:D694" si="955">H662</f>
        <v>"Business Central","CRONUS JetCorp USA","25","1","248903"</v>
      </c>
      <c r="E662" s="1">
        <f t="shared" ref="E662" si="956">I657</f>
        <v>0</v>
      </c>
      <c r="G662" s="1">
        <v>248903</v>
      </c>
      <c r="H662" s="9" t="str">
        <f>"""Business Central"",""CRONUS JetCorp USA"",""25"",""1"",""248903"""</f>
        <v>"Business Central","CRONUS JetCorp USA","25","1","248903"</v>
      </c>
      <c r="I662" s="51"/>
      <c r="J662" s="52" t="str">
        <f>"Order PO102600"</f>
        <v>Order PO102600</v>
      </c>
      <c r="K662" s="52" t="str">
        <f>"PI_102599"</f>
        <v>PI_102599</v>
      </c>
      <c r="L662" s="53">
        <v>42155</v>
      </c>
      <c r="M662" s="53">
        <v>43952</v>
      </c>
      <c r="N662" s="57" t="str">
        <f>""</f>
        <v/>
      </c>
      <c r="O662" s="75">
        <v>0</v>
      </c>
      <c r="P662" s="76">
        <v>0</v>
      </c>
      <c r="Q662" s="77">
        <v>0</v>
      </c>
      <c r="R662" s="78">
        <v>0</v>
      </c>
    </row>
    <row r="663" spans="1:18" hidden="1" x14ac:dyDescent="0.3">
      <c r="A663" s="1" t="s">
        <v>78</v>
      </c>
      <c r="B663" s="1" t="str">
        <f t="shared" ref="B663:B694" si="957">IF(H663="","Hide","Show")</f>
        <v>Hide</v>
      </c>
      <c r="D663" s="1" t="str">
        <f t="shared" ref="D663:D694" si="958">D662</f>
        <v>"Business Central","CRONUS JetCorp USA","25","1","248903"</v>
      </c>
      <c r="E663" s="1">
        <f t="shared" ref="E663:E694" si="959">E662</f>
        <v>0</v>
      </c>
      <c r="F663" s="1" t="str">
        <f>""</f>
        <v/>
      </c>
      <c r="H663" s="9" t="str">
        <f>""</f>
        <v/>
      </c>
      <c r="I663" s="48"/>
      <c r="J663" s="41" t="str">
        <f>""</f>
        <v/>
      </c>
      <c r="K663" s="41" t="str">
        <f>""</f>
        <v/>
      </c>
      <c r="L663" s="54"/>
      <c r="M663" s="54" t="str">
        <f>""</f>
        <v/>
      </c>
      <c r="N663" s="57" t="str">
        <f>""</f>
        <v/>
      </c>
      <c r="O663" s="75">
        <v>0</v>
      </c>
      <c r="P663" s="76" t="str">
        <f>""</f>
        <v/>
      </c>
      <c r="Q663" s="77" t="str">
        <f>""</f>
        <v/>
      </c>
      <c r="R663" s="78">
        <v>0</v>
      </c>
    </row>
    <row r="664" spans="1:18" ht="9" customHeight="1" x14ac:dyDescent="0.3">
      <c r="A664" s="1" t="s">
        <v>78</v>
      </c>
      <c r="I664" s="48"/>
      <c r="J664" s="41"/>
      <c r="K664" s="41"/>
      <c r="L664" s="54"/>
      <c r="M664" s="54"/>
      <c r="N664" s="61"/>
      <c r="O664" s="60"/>
      <c r="P664" s="58"/>
      <c r="Q664" s="59"/>
      <c r="R664" s="56"/>
    </row>
    <row r="665" spans="1:18" x14ac:dyDescent="0.3">
      <c r="A665" s="1" t="s">
        <v>78</v>
      </c>
      <c r="D665" s="1" t="str">
        <f t="shared" ref="D665:D694" si="960">H665</f>
        <v>"Business Central","CRONUS JetCorp USA","25","1","248926"</v>
      </c>
      <c r="E665" s="1">
        <f t="shared" ref="E665" si="961">I660</f>
        <v>0</v>
      </c>
      <c r="G665" s="1">
        <v>248926</v>
      </c>
      <c r="H665" s="9" t="str">
        <f>"""Business Central"",""CRONUS JetCorp USA"",""25"",""1"",""248926"""</f>
        <v>"Business Central","CRONUS JetCorp USA","25","1","248926"</v>
      </c>
      <c r="I665" s="51"/>
      <c r="J665" s="52" t="str">
        <f>"Order PO102601"</f>
        <v>Order PO102601</v>
      </c>
      <c r="K665" s="52" t="str">
        <f>"PI_102600"</f>
        <v>PI_102600</v>
      </c>
      <c r="L665" s="53">
        <v>42247</v>
      </c>
      <c r="M665" s="53">
        <v>44044</v>
      </c>
      <c r="N665" s="57" t="str">
        <f>""</f>
        <v/>
      </c>
      <c r="O665" s="75">
        <v>0</v>
      </c>
      <c r="P665" s="76">
        <v>0</v>
      </c>
      <c r="Q665" s="77">
        <v>0</v>
      </c>
      <c r="R665" s="78">
        <v>0</v>
      </c>
    </row>
    <row r="666" spans="1:18" hidden="1" x14ac:dyDescent="0.3">
      <c r="A666" s="1" t="s">
        <v>78</v>
      </c>
      <c r="B666" s="1" t="str">
        <f t="shared" ref="B666:B694" si="962">IF(H666="","Hide","Show")</f>
        <v>Hide</v>
      </c>
      <c r="D666" s="1" t="str">
        <f t="shared" ref="D666:D694" si="963">D665</f>
        <v>"Business Central","CRONUS JetCorp USA","25","1","248926"</v>
      </c>
      <c r="E666" s="1">
        <f t="shared" ref="E666:E694" si="964">E665</f>
        <v>0</v>
      </c>
      <c r="F666" s="1" t="str">
        <f>""</f>
        <v/>
      </c>
      <c r="H666" s="9" t="str">
        <f>""</f>
        <v/>
      </c>
      <c r="I666" s="48"/>
      <c r="J666" s="41" t="str">
        <f>""</f>
        <v/>
      </c>
      <c r="K666" s="41" t="str">
        <f>""</f>
        <v/>
      </c>
      <c r="L666" s="54"/>
      <c r="M666" s="54" t="str">
        <f>""</f>
        <v/>
      </c>
      <c r="N666" s="57" t="str">
        <f>""</f>
        <v/>
      </c>
      <c r="O666" s="75">
        <v>0</v>
      </c>
      <c r="P666" s="76" t="str">
        <f>""</f>
        <v/>
      </c>
      <c r="Q666" s="77" t="str">
        <f>""</f>
        <v/>
      </c>
      <c r="R666" s="78">
        <v>0</v>
      </c>
    </row>
    <row r="667" spans="1:18" ht="9" customHeight="1" x14ac:dyDescent="0.3">
      <c r="A667" s="1" t="s">
        <v>78</v>
      </c>
      <c r="I667" s="48"/>
      <c r="J667" s="41"/>
      <c r="K667" s="41"/>
      <c r="L667" s="54"/>
      <c r="M667" s="54"/>
      <c r="N667" s="61"/>
      <c r="O667" s="60"/>
      <c r="P667" s="58"/>
      <c r="Q667" s="59"/>
      <c r="R667" s="56"/>
    </row>
    <row r="668" spans="1:18" x14ac:dyDescent="0.3">
      <c r="A668" s="1" t="s">
        <v>78</v>
      </c>
      <c r="D668" s="1" t="str">
        <f t="shared" ref="D668:D694" si="965">H668</f>
        <v>"Business Central","CRONUS JetCorp USA","25","1","248959"</v>
      </c>
      <c r="E668" s="1">
        <f t="shared" ref="E668" si="966">I663</f>
        <v>0</v>
      </c>
      <c r="G668" s="1">
        <v>248959</v>
      </c>
      <c r="H668" s="9" t="str">
        <f>"""Business Central"",""CRONUS JetCorp USA"",""25"",""1"",""248959"""</f>
        <v>"Business Central","CRONUS JetCorp USA","25","1","248959"</v>
      </c>
      <c r="I668" s="51"/>
      <c r="J668" s="52" t="str">
        <f>"Order PO102602"</f>
        <v>Order PO102602</v>
      </c>
      <c r="K668" s="52" t="str">
        <f>"PI_102601"</f>
        <v>PI_102601</v>
      </c>
      <c r="L668" s="53">
        <v>42338</v>
      </c>
      <c r="M668" s="53">
        <v>44136</v>
      </c>
      <c r="N668" s="57" t="str">
        <f>""</f>
        <v/>
      </c>
      <c r="O668" s="75">
        <v>0</v>
      </c>
      <c r="P668" s="76">
        <v>0</v>
      </c>
      <c r="Q668" s="77">
        <v>0</v>
      </c>
      <c r="R668" s="78">
        <v>0</v>
      </c>
    </row>
    <row r="669" spans="1:18" hidden="1" x14ac:dyDescent="0.3">
      <c r="A669" s="1" t="s">
        <v>78</v>
      </c>
      <c r="B669" s="1" t="str">
        <f t="shared" ref="B669:B694" si="967">IF(H669="","Hide","Show")</f>
        <v>Hide</v>
      </c>
      <c r="D669" s="1" t="str">
        <f t="shared" ref="D669:D694" si="968">D668</f>
        <v>"Business Central","CRONUS JetCorp USA","25","1","248959"</v>
      </c>
      <c r="E669" s="1">
        <f t="shared" ref="E669:E694" si="969">E668</f>
        <v>0</v>
      </c>
      <c r="F669" s="1" t="str">
        <f>""</f>
        <v/>
      </c>
      <c r="H669" s="9" t="str">
        <f>""</f>
        <v/>
      </c>
      <c r="I669" s="48"/>
      <c r="J669" s="41" t="str">
        <f>""</f>
        <v/>
      </c>
      <c r="K669" s="41" t="str">
        <f>""</f>
        <v/>
      </c>
      <c r="L669" s="54"/>
      <c r="M669" s="54" t="str">
        <f>""</f>
        <v/>
      </c>
      <c r="N669" s="57" t="str">
        <f>""</f>
        <v/>
      </c>
      <c r="O669" s="75">
        <v>0</v>
      </c>
      <c r="P669" s="76" t="str">
        <f>""</f>
        <v/>
      </c>
      <c r="Q669" s="77" t="str">
        <f>""</f>
        <v/>
      </c>
      <c r="R669" s="78">
        <v>0</v>
      </c>
    </row>
    <row r="670" spans="1:18" ht="9" customHeight="1" x14ac:dyDescent="0.3">
      <c r="A670" s="1" t="s">
        <v>78</v>
      </c>
      <c r="I670" s="48"/>
      <c r="J670" s="41"/>
      <c r="K670" s="41"/>
      <c r="L670" s="54"/>
      <c r="M670" s="54"/>
      <c r="N670" s="61"/>
      <c r="O670" s="60"/>
      <c r="P670" s="58"/>
      <c r="Q670" s="59"/>
      <c r="R670" s="56"/>
    </row>
    <row r="671" spans="1:18" x14ac:dyDescent="0.3">
      <c r="A671" s="1" t="s">
        <v>78</v>
      </c>
      <c r="D671" s="1" t="str">
        <f t="shared" ref="D671:D694" si="970">H671</f>
        <v>"Business Central","CRONUS JetCorp USA","25","1","248992"</v>
      </c>
      <c r="E671" s="1">
        <f t="shared" ref="E671" si="971">I666</f>
        <v>0</v>
      </c>
      <c r="G671" s="1">
        <v>248992</v>
      </c>
      <c r="H671" s="9" t="str">
        <f>"""Business Central"",""CRONUS JetCorp USA"",""25"",""1"",""248992"""</f>
        <v>"Business Central","CRONUS JetCorp USA","25","1","248992"</v>
      </c>
      <c r="I671" s="51"/>
      <c r="J671" s="52" t="str">
        <f>"Order PO102603"</f>
        <v>Order PO102603</v>
      </c>
      <c r="K671" s="52" t="str">
        <f>"PI_102602"</f>
        <v>PI_102602</v>
      </c>
      <c r="L671" s="53">
        <v>43555</v>
      </c>
      <c r="M671" s="53">
        <v>43525</v>
      </c>
      <c r="N671" s="57" t="str">
        <f>""</f>
        <v/>
      </c>
      <c r="O671" s="75">
        <v>0</v>
      </c>
      <c r="P671" s="76">
        <v>0</v>
      </c>
      <c r="Q671" s="77">
        <v>0</v>
      </c>
      <c r="R671" s="78">
        <v>0</v>
      </c>
    </row>
    <row r="672" spans="1:18" hidden="1" x14ac:dyDescent="0.3">
      <c r="A672" s="1" t="s">
        <v>78</v>
      </c>
      <c r="B672" s="1" t="str">
        <f t="shared" ref="B672:B694" si="972">IF(H672="","Hide","Show")</f>
        <v>Hide</v>
      </c>
      <c r="D672" s="1" t="str">
        <f t="shared" ref="D672:D694" si="973">D671</f>
        <v>"Business Central","CRONUS JetCorp USA","25","1","248992"</v>
      </c>
      <c r="E672" s="1">
        <f t="shared" ref="E672:E694" si="974">E671</f>
        <v>0</v>
      </c>
      <c r="F672" s="1" t="str">
        <f>""</f>
        <v/>
      </c>
      <c r="H672" s="9" t="str">
        <f>""</f>
        <v/>
      </c>
      <c r="I672" s="48"/>
      <c r="J672" s="41" t="str">
        <f>""</f>
        <v/>
      </c>
      <c r="K672" s="41" t="str">
        <f>""</f>
        <v/>
      </c>
      <c r="L672" s="54"/>
      <c r="M672" s="54" t="str">
        <f>""</f>
        <v/>
      </c>
      <c r="N672" s="57" t="str">
        <f>""</f>
        <v/>
      </c>
      <c r="O672" s="75">
        <v>0</v>
      </c>
      <c r="P672" s="76" t="str">
        <f>""</f>
        <v/>
      </c>
      <c r="Q672" s="77" t="str">
        <f>""</f>
        <v/>
      </c>
      <c r="R672" s="78">
        <v>0</v>
      </c>
    </row>
    <row r="673" spans="1:18" ht="9" customHeight="1" x14ac:dyDescent="0.3">
      <c r="A673" s="1" t="s">
        <v>78</v>
      </c>
      <c r="I673" s="48"/>
      <c r="J673" s="41"/>
      <c r="K673" s="41"/>
      <c r="L673" s="54"/>
      <c r="M673" s="54"/>
      <c r="N673" s="61"/>
      <c r="O673" s="60"/>
      <c r="P673" s="58"/>
      <c r="Q673" s="59"/>
      <c r="R673" s="56"/>
    </row>
    <row r="674" spans="1:18" x14ac:dyDescent="0.3">
      <c r="A674" s="1" t="s">
        <v>78</v>
      </c>
      <c r="D674" s="1" t="str">
        <f t="shared" ref="D674:D694" si="975">H674</f>
        <v>"Business Central","CRONUS JetCorp USA","25","1","249029"</v>
      </c>
      <c r="E674" s="1">
        <f t="shared" ref="E674" si="976">I669</f>
        <v>0</v>
      </c>
      <c r="G674" s="1">
        <v>249029</v>
      </c>
      <c r="H674" s="9" t="str">
        <f>"""Business Central"",""CRONUS JetCorp USA"",""25"",""1"",""249029"""</f>
        <v>"Business Central","CRONUS JetCorp USA","25","1","249029"</v>
      </c>
      <c r="I674" s="51"/>
      <c r="J674" s="52" t="str">
        <f>"Order PO102604"</f>
        <v>Order PO102604</v>
      </c>
      <c r="K674" s="52" t="str">
        <f>"PI_102603"</f>
        <v>PI_102603</v>
      </c>
      <c r="L674" s="53">
        <v>43830</v>
      </c>
      <c r="M674" s="53">
        <v>43800</v>
      </c>
      <c r="N674" s="57" t="str">
        <f>""</f>
        <v/>
      </c>
      <c r="O674" s="75">
        <v>0</v>
      </c>
      <c r="P674" s="76">
        <v>0</v>
      </c>
      <c r="Q674" s="77">
        <v>0</v>
      </c>
      <c r="R674" s="78">
        <v>0</v>
      </c>
    </row>
    <row r="675" spans="1:18" hidden="1" x14ac:dyDescent="0.3">
      <c r="A675" s="1" t="s">
        <v>78</v>
      </c>
      <c r="B675" s="1" t="str">
        <f t="shared" ref="B675:B694" si="977">IF(H675="","Hide","Show")</f>
        <v>Hide</v>
      </c>
      <c r="D675" s="1" t="str">
        <f t="shared" ref="D675:D694" si="978">D674</f>
        <v>"Business Central","CRONUS JetCorp USA","25","1","249029"</v>
      </c>
      <c r="E675" s="1">
        <f t="shared" ref="E675:E694" si="979">E674</f>
        <v>0</v>
      </c>
      <c r="F675" s="1" t="str">
        <f>""</f>
        <v/>
      </c>
      <c r="H675" s="9" t="str">
        <f>""</f>
        <v/>
      </c>
      <c r="I675" s="48"/>
      <c r="J675" s="41" t="str">
        <f>""</f>
        <v/>
      </c>
      <c r="K675" s="41" t="str">
        <f>""</f>
        <v/>
      </c>
      <c r="L675" s="54"/>
      <c r="M675" s="54" t="str">
        <f>""</f>
        <v/>
      </c>
      <c r="N675" s="57" t="str">
        <f>""</f>
        <v/>
      </c>
      <c r="O675" s="75">
        <v>0</v>
      </c>
      <c r="P675" s="76" t="str">
        <f>""</f>
        <v/>
      </c>
      <c r="Q675" s="77" t="str">
        <f>""</f>
        <v/>
      </c>
      <c r="R675" s="78">
        <v>0</v>
      </c>
    </row>
    <row r="676" spans="1:18" ht="9" customHeight="1" x14ac:dyDescent="0.3">
      <c r="A676" s="1" t="s">
        <v>78</v>
      </c>
      <c r="I676" s="48"/>
      <c r="J676" s="41"/>
      <c r="K676" s="41"/>
      <c r="L676" s="54"/>
      <c r="M676" s="54"/>
      <c r="N676" s="61"/>
      <c r="O676" s="60"/>
      <c r="P676" s="58"/>
      <c r="Q676" s="59"/>
      <c r="R676" s="56"/>
    </row>
    <row r="677" spans="1:18" x14ac:dyDescent="0.3">
      <c r="A677" s="1" t="s">
        <v>78</v>
      </c>
      <c r="D677" s="1" t="str">
        <f t="shared" ref="D677:D694" si="980">H677</f>
        <v>"Business Central","CRONUS JetCorp USA","25","1","249064"</v>
      </c>
      <c r="E677" s="1">
        <f t="shared" ref="E677" si="981">I672</f>
        <v>0</v>
      </c>
      <c r="G677" s="1">
        <v>249064</v>
      </c>
      <c r="H677" s="9" t="str">
        <f>"""Business Central"",""CRONUS JetCorp USA"",""25"",""1"",""249064"""</f>
        <v>"Business Central","CRONUS JetCorp USA","25","1","249064"</v>
      </c>
      <c r="I677" s="51"/>
      <c r="J677" s="52" t="str">
        <f>"Order PO102605"</f>
        <v>Order PO102605</v>
      </c>
      <c r="K677" s="52" t="str">
        <f>"PI_102604"</f>
        <v>PI_102604</v>
      </c>
      <c r="L677" s="53">
        <v>42094</v>
      </c>
      <c r="M677" s="53">
        <v>43891</v>
      </c>
      <c r="N677" s="57" t="str">
        <f>""</f>
        <v/>
      </c>
      <c r="O677" s="75">
        <v>0</v>
      </c>
      <c r="P677" s="76">
        <v>0</v>
      </c>
      <c r="Q677" s="77">
        <v>0</v>
      </c>
      <c r="R677" s="78">
        <v>0</v>
      </c>
    </row>
    <row r="678" spans="1:18" hidden="1" x14ac:dyDescent="0.3">
      <c r="A678" s="1" t="s">
        <v>78</v>
      </c>
      <c r="B678" s="1" t="str">
        <f t="shared" ref="B678:B694" si="982">IF(H678="","Hide","Show")</f>
        <v>Hide</v>
      </c>
      <c r="D678" s="1" t="str">
        <f t="shared" ref="D678:D694" si="983">D677</f>
        <v>"Business Central","CRONUS JetCorp USA","25","1","249064"</v>
      </c>
      <c r="E678" s="1">
        <f t="shared" ref="E678:E694" si="984">E677</f>
        <v>0</v>
      </c>
      <c r="F678" s="1" t="str">
        <f>""</f>
        <v/>
      </c>
      <c r="H678" s="9" t="str">
        <f>""</f>
        <v/>
      </c>
      <c r="I678" s="48"/>
      <c r="J678" s="41" t="str">
        <f>""</f>
        <v/>
      </c>
      <c r="K678" s="41" t="str">
        <f>""</f>
        <v/>
      </c>
      <c r="L678" s="54"/>
      <c r="M678" s="54" t="str">
        <f>""</f>
        <v/>
      </c>
      <c r="N678" s="57" t="str">
        <f>""</f>
        <v/>
      </c>
      <c r="O678" s="75">
        <v>0</v>
      </c>
      <c r="P678" s="76" t="str">
        <f>""</f>
        <v/>
      </c>
      <c r="Q678" s="77" t="str">
        <f>""</f>
        <v/>
      </c>
      <c r="R678" s="78">
        <v>0</v>
      </c>
    </row>
    <row r="679" spans="1:18" ht="9" customHeight="1" x14ac:dyDescent="0.3">
      <c r="A679" s="1" t="s">
        <v>78</v>
      </c>
      <c r="I679" s="48"/>
      <c r="J679" s="41"/>
      <c r="K679" s="41"/>
      <c r="L679" s="54"/>
      <c r="M679" s="54"/>
      <c r="N679" s="61"/>
      <c r="O679" s="60"/>
      <c r="P679" s="58"/>
      <c r="Q679" s="59"/>
      <c r="R679" s="56"/>
    </row>
    <row r="680" spans="1:18" x14ac:dyDescent="0.3">
      <c r="A680" s="1" t="s">
        <v>78</v>
      </c>
      <c r="D680" s="1" t="str">
        <f t="shared" ref="D680:D694" si="985">H680</f>
        <v>"Business Central","CRONUS JetCorp USA","25","1","249093"</v>
      </c>
      <c r="E680" s="1">
        <f t="shared" ref="E680" si="986">I675</f>
        <v>0</v>
      </c>
      <c r="G680" s="1">
        <v>249093</v>
      </c>
      <c r="H680" s="9" t="str">
        <f>"""Business Central"",""CRONUS JetCorp USA"",""25"",""1"",""249093"""</f>
        <v>"Business Central","CRONUS JetCorp USA","25","1","249093"</v>
      </c>
      <c r="I680" s="51"/>
      <c r="J680" s="52" t="str">
        <f>"Order PO102606"</f>
        <v>Order PO102606</v>
      </c>
      <c r="K680" s="52" t="str">
        <f>"PI_102605"</f>
        <v>PI_102605</v>
      </c>
      <c r="L680" s="53">
        <v>43646</v>
      </c>
      <c r="M680" s="53">
        <v>43617</v>
      </c>
      <c r="N680" s="57" t="str">
        <f>""</f>
        <v/>
      </c>
      <c r="O680" s="75">
        <v>0</v>
      </c>
      <c r="P680" s="76">
        <v>0</v>
      </c>
      <c r="Q680" s="77">
        <v>0</v>
      </c>
      <c r="R680" s="78">
        <v>0</v>
      </c>
    </row>
    <row r="681" spans="1:18" hidden="1" x14ac:dyDescent="0.3">
      <c r="A681" s="1" t="s">
        <v>78</v>
      </c>
      <c r="B681" s="1" t="str">
        <f t="shared" ref="B681:B694" si="987">IF(H681="","Hide","Show")</f>
        <v>Hide</v>
      </c>
      <c r="D681" s="1" t="str">
        <f t="shared" ref="D681:D694" si="988">D680</f>
        <v>"Business Central","CRONUS JetCorp USA","25","1","249093"</v>
      </c>
      <c r="E681" s="1">
        <f t="shared" ref="E681:E694" si="989">E680</f>
        <v>0</v>
      </c>
      <c r="F681" s="1" t="str">
        <f>""</f>
        <v/>
      </c>
      <c r="H681" s="9" t="str">
        <f>""</f>
        <v/>
      </c>
      <c r="I681" s="48"/>
      <c r="J681" s="41" t="str">
        <f>""</f>
        <v/>
      </c>
      <c r="K681" s="41" t="str">
        <f>""</f>
        <v/>
      </c>
      <c r="L681" s="54"/>
      <c r="M681" s="54" t="str">
        <f>""</f>
        <v/>
      </c>
      <c r="N681" s="57" t="str">
        <f>""</f>
        <v/>
      </c>
      <c r="O681" s="75">
        <v>0</v>
      </c>
      <c r="P681" s="76" t="str">
        <f>""</f>
        <v/>
      </c>
      <c r="Q681" s="77" t="str">
        <f>""</f>
        <v/>
      </c>
      <c r="R681" s="78">
        <v>0</v>
      </c>
    </row>
    <row r="682" spans="1:18" ht="9" customHeight="1" x14ac:dyDescent="0.3">
      <c r="A682" s="1" t="s">
        <v>78</v>
      </c>
      <c r="I682" s="48"/>
      <c r="J682" s="41"/>
      <c r="K682" s="41"/>
      <c r="L682" s="54"/>
      <c r="M682" s="54"/>
      <c r="N682" s="61"/>
      <c r="O682" s="60"/>
      <c r="P682" s="58"/>
      <c r="Q682" s="59"/>
      <c r="R682" s="56"/>
    </row>
    <row r="683" spans="1:18" x14ac:dyDescent="0.3">
      <c r="A683" s="1" t="s">
        <v>78</v>
      </c>
      <c r="D683" s="1" t="str">
        <f t="shared" ref="D683:D694" si="990">H683</f>
        <v>"Business Central","CRONUS JetCorp USA","25","1","249124"</v>
      </c>
      <c r="E683" s="1">
        <f t="shared" ref="E683" si="991">I678</f>
        <v>0</v>
      </c>
      <c r="G683" s="1">
        <v>249124</v>
      </c>
      <c r="H683" s="9" t="str">
        <f>"""Business Central"",""CRONUS JetCorp USA"",""25"",""1"",""249124"""</f>
        <v>"Business Central","CRONUS JetCorp USA","25","1","249124"</v>
      </c>
      <c r="I683" s="51"/>
      <c r="J683" s="52" t="str">
        <f>"Order PO102607"</f>
        <v>Order PO102607</v>
      </c>
      <c r="K683" s="52" t="str">
        <f>"PI_102606"</f>
        <v>PI_102606</v>
      </c>
      <c r="L683" s="53">
        <v>43738</v>
      </c>
      <c r="M683" s="53">
        <v>43709</v>
      </c>
      <c r="N683" s="57" t="str">
        <f>""</f>
        <v/>
      </c>
      <c r="O683" s="75">
        <v>0</v>
      </c>
      <c r="P683" s="76">
        <v>0</v>
      </c>
      <c r="Q683" s="77">
        <v>0</v>
      </c>
      <c r="R683" s="78">
        <v>0</v>
      </c>
    </row>
    <row r="684" spans="1:18" hidden="1" x14ac:dyDescent="0.3">
      <c r="A684" s="1" t="s">
        <v>78</v>
      </c>
      <c r="B684" s="1" t="str">
        <f t="shared" ref="B684:B694" si="992">IF(H684="","Hide","Show")</f>
        <v>Hide</v>
      </c>
      <c r="D684" s="1" t="str">
        <f t="shared" ref="D684:D694" si="993">D683</f>
        <v>"Business Central","CRONUS JetCorp USA","25","1","249124"</v>
      </c>
      <c r="E684" s="1">
        <f t="shared" ref="E684:E694" si="994">E683</f>
        <v>0</v>
      </c>
      <c r="F684" s="1" t="str">
        <f>""</f>
        <v/>
      </c>
      <c r="H684" s="9" t="str">
        <f>""</f>
        <v/>
      </c>
      <c r="I684" s="48"/>
      <c r="J684" s="41" t="str">
        <f>""</f>
        <v/>
      </c>
      <c r="K684" s="41" t="str">
        <f>""</f>
        <v/>
      </c>
      <c r="L684" s="54"/>
      <c r="M684" s="54" t="str">
        <f>""</f>
        <v/>
      </c>
      <c r="N684" s="57" t="str">
        <f>""</f>
        <v/>
      </c>
      <c r="O684" s="75">
        <v>0</v>
      </c>
      <c r="P684" s="76" t="str">
        <f>""</f>
        <v/>
      </c>
      <c r="Q684" s="77" t="str">
        <f>""</f>
        <v/>
      </c>
      <c r="R684" s="78">
        <v>0</v>
      </c>
    </row>
    <row r="685" spans="1:18" ht="9" customHeight="1" x14ac:dyDescent="0.3">
      <c r="A685" s="1" t="s">
        <v>78</v>
      </c>
      <c r="I685" s="48"/>
      <c r="J685" s="41"/>
      <c r="K685" s="41"/>
      <c r="L685" s="54"/>
      <c r="M685" s="54"/>
      <c r="N685" s="61"/>
      <c r="O685" s="60"/>
      <c r="P685" s="58"/>
      <c r="Q685" s="59"/>
      <c r="R685" s="56"/>
    </row>
    <row r="686" spans="1:18" x14ac:dyDescent="0.3">
      <c r="A686" s="1" t="s">
        <v>78</v>
      </c>
      <c r="D686" s="1" t="str">
        <f t="shared" ref="D686:D694" si="995">H686</f>
        <v>"Business Central","CRONUS JetCorp USA","25","1","249149"</v>
      </c>
      <c r="E686" s="1">
        <f t="shared" ref="E686" si="996">I681</f>
        <v>0</v>
      </c>
      <c r="G686" s="1">
        <v>249149</v>
      </c>
      <c r="H686" s="9" t="str">
        <f>"""Business Central"",""CRONUS JetCorp USA"",""25"",""1"",""249149"""</f>
        <v>"Business Central","CRONUS JetCorp USA","25","1","249149"</v>
      </c>
      <c r="I686" s="51"/>
      <c r="J686" s="52" t="str">
        <f>"Order PO102608"</f>
        <v>Order PO102608</v>
      </c>
      <c r="K686" s="52" t="str">
        <f>"PI_102607"</f>
        <v>PI_102607</v>
      </c>
      <c r="L686" s="53">
        <v>43708</v>
      </c>
      <c r="M686" s="53">
        <v>43678</v>
      </c>
      <c r="N686" s="57" t="str">
        <f>""</f>
        <v/>
      </c>
      <c r="O686" s="75">
        <v>0</v>
      </c>
      <c r="P686" s="76">
        <v>0</v>
      </c>
      <c r="Q686" s="77">
        <v>0</v>
      </c>
      <c r="R686" s="78">
        <v>0</v>
      </c>
    </row>
    <row r="687" spans="1:18" hidden="1" x14ac:dyDescent="0.3">
      <c r="A687" s="1" t="s">
        <v>78</v>
      </c>
      <c r="B687" s="1" t="str">
        <f t="shared" ref="B687:B694" si="997">IF(H687="","Hide","Show")</f>
        <v>Hide</v>
      </c>
      <c r="D687" s="1" t="str">
        <f t="shared" ref="D687:D694" si="998">D686</f>
        <v>"Business Central","CRONUS JetCorp USA","25","1","249149"</v>
      </c>
      <c r="E687" s="1">
        <f t="shared" ref="E687:E694" si="999">E686</f>
        <v>0</v>
      </c>
      <c r="F687" s="1" t="str">
        <f>""</f>
        <v/>
      </c>
      <c r="H687" s="9" t="str">
        <f>""</f>
        <v/>
      </c>
      <c r="I687" s="48"/>
      <c r="J687" s="41" t="str">
        <f>""</f>
        <v/>
      </c>
      <c r="K687" s="41" t="str">
        <f>""</f>
        <v/>
      </c>
      <c r="L687" s="54"/>
      <c r="M687" s="54" t="str">
        <f>""</f>
        <v/>
      </c>
      <c r="N687" s="57" t="str">
        <f>""</f>
        <v/>
      </c>
      <c r="O687" s="75">
        <v>0</v>
      </c>
      <c r="P687" s="76" t="str">
        <f>""</f>
        <v/>
      </c>
      <c r="Q687" s="77" t="str">
        <f>""</f>
        <v/>
      </c>
      <c r="R687" s="78">
        <v>0</v>
      </c>
    </row>
    <row r="688" spans="1:18" ht="9" customHeight="1" x14ac:dyDescent="0.3">
      <c r="A688" s="1" t="s">
        <v>78</v>
      </c>
      <c r="I688" s="48"/>
      <c r="J688" s="41"/>
      <c r="K688" s="41"/>
      <c r="L688" s="54"/>
      <c r="M688" s="54"/>
      <c r="N688" s="61"/>
      <c r="O688" s="60"/>
      <c r="P688" s="58"/>
      <c r="Q688" s="59"/>
      <c r="R688" s="56"/>
    </row>
    <row r="689" spans="1:18" x14ac:dyDescent="0.3">
      <c r="A689" s="1" t="s">
        <v>78</v>
      </c>
      <c r="D689" s="1" t="str">
        <f t="shared" ref="D689:D694" si="1000">H689</f>
        <v>"Business Central","CRONUS JetCorp USA","25","1","249160"</v>
      </c>
      <c r="E689" s="1">
        <f t="shared" ref="E689" si="1001">I684</f>
        <v>0</v>
      </c>
      <c r="G689" s="1">
        <v>249160</v>
      </c>
      <c r="H689" s="9" t="str">
        <f>"""Business Central"",""CRONUS JetCorp USA"",""25"",""1"",""249160"""</f>
        <v>"Business Central","CRONUS JetCorp USA","25","1","249160"</v>
      </c>
      <c r="I689" s="51"/>
      <c r="J689" s="52" t="str">
        <f>"Order PO102609"</f>
        <v>Order PO102609</v>
      </c>
      <c r="K689" s="52" t="str">
        <f>"PI_102608"</f>
        <v>PI_102608</v>
      </c>
      <c r="L689" s="53">
        <v>43799</v>
      </c>
      <c r="M689" s="53">
        <v>43770</v>
      </c>
      <c r="N689" s="57" t="str">
        <f>""</f>
        <v/>
      </c>
      <c r="O689" s="75">
        <v>0</v>
      </c>
      <c r="P689" s="76">
        <v>0</v>
      </c>
      <c r="Q689" s="77">
        <v>0</v>
      </c>
      <c r="R689" s="78">
        <v>0</v>
      </c>
    </row>
    <row r="690" spans="1:18" hidden="1" x14ac:dyDescent="0.3">
      <c r="A690" s="1" t="s">
        <v>78</v>
      </c>
      <c r="B690" s="1" t="str">
        <f t="shared" ref="B690:B694" si="1002">IF(H690="","Hide","Show")</f>
        <v>Hide</v>
      </c>
      <c r="D690" s="1" t="str">
        <f t="shared" ref="D690:D694" si="1003">D689</f>
        <v>"Business Central","CRONUS JetCorp USA","25","1","249160"</v>
      </c>
      <c r="E690" s="1">
        <f t="shared" ref="E690:E694" si="1004">E689</f>
        <v>0</v>
      </c>
      <c r="F690" s="1" t="str">
        <f>""</f>
        <v/>
      </c>
      <c r="H690" s="9" t="str">
        <f>""</f>
        <v/>
      </c>
      <c r="I690" s="48"/>
      <c r="J690" s="41" t="str">
        <f>""</f>
        <v/>
      </c>
      <c r="K690" s="41" t="str">
        <f>""</f>
        <v/>
      </c>
      <c r="L690" s="54"/>
      <c r="M690" s="54" t="str">
        <f>""</f>
        <v/>
      </c>
      <c r="N690" s="57" t="str">
        <f>""</f>
        <v/>
      </c>
      <c r="O690" s="75">
        <v>0</v>
      </c>
      <c r="P690" s="76" t="str">
        <f>""</f>
        <v/>
      </c>
      <c r="Q690" s="77" t="str">
        <f>""</f>
        <v/>
      </c>
      <c r="R690" s="78">
        <v>0</v>
      </c>
    </row>
    <row r="691" spans="1:18" ht="9" customHeight="1" x14ac:dyDescent="0.3">
      <c r="A691" s="1" t="s">
        <v>78</v>
      </c>
      <c r="I691" s="48"/>
      <c r="J691" s="41"/>
      <c r="K691" s="41"/>
      <c r="L691" s="54"/>
      <c r="M691" s="54"/>
      <c r="N691" s="61"/>
      <c r="O691" s="60"/>
      <c r="P691" s="58"/>
      <c r="Q691" s="59"/>
      <c r="R691" s="56"/>
    </row>
    <row r="692" spans="1:18" x14ac:dyDescent="0.3">
      <c r="A692" s="1" t="s">
        <v>78</v>
      </c>
      <c r="D692" s="1" t="str">
        <f t="shared" ref="D692:D694" si="1005">H692</f>
        <v>"Business Central","CRONUS JetCorp USA","25","1","249354"</v>
      </c>
      <c r="E692" s="1">
        <f t="shared" ref="E692" si="1006">I687</f>
        <v>0</v>
      </c>
      <c r="G692" s="1">
        <v>249354</v>
      </c>
      <c r="H692" s="9" t="str">
        <f>"""Business Central"",""CRONUS JetCorp USA"",""25"",""1"",""249354"""</f>
        <v>"Business Central","CRONUS JetCorp USA","25","1","249354"</v>
      </c>
      <c r="I692" s="51"/>
      <c r="J692" s="52" t="str">
        <f>"Order PO102671"</f>
        <v>Order PO102671</v>
      </c>
      <c r="K692" s="52" t="str">
        <f>"PI_102670"</f>
        <v>PI_102670</v>
      </c>
      <c r="L692" s="53">
        <v>43616</v>
      </c>
      <c r="M692" s="53">
        <v>43586</v>
      </c>
      <c r="N692" s="57" t="str">
        <f>""</f>
        <v/>
      </c>
      <c r="O692" s="75">
        <v>0</v>
      </c>
      <c r="P692" s="76">
        <v>0</v>
      </c>
      <c r="Q692" s="77">
        <v>0</v>
      </c>
      <c r="R692" s="78">
        <v>0</v>
      </c>
    </row>
    <row r="693" spans="1:18" hidden="1" x14ac:dyDescent="0.3">
      <c r="A693" s="1" t="s">
        <v>78</v>
      </c>
      <c r="B693" s="1" t="str">
        <f t="shared" ref="B693:B694" si="1007">IF(H693="","Hide","Show")</f>
        <v>Hide</v>
      </c>
      <c r="D693" s="1" t="str">
        <f t="shared" ref="D693:D694" si="1008">D692</f>
        <v>"Business Central","CRONUS JetCorp USA","25","1","249354"</v>
      </c>
      <c r="E693" s="1">
        <f t="shared" ref="E693:E694" si="1009">E692</f>
        <v>0</v>
      </c>
      <c r="F693" s="1" t="str">
        <f>""</f>
        <v/>
      </c>
      <c r="H693" s="9" t="str">
        <f>""</f>
        <v/>
      </c>
      <c r="I693" s="48"/>
      <c r="J693" s="41" t="str">
        <f>""</f>
        <v/>
      </c>
      <c r="K693" s="41" t="str">
        <f>""</f>
        <v/>
      </c>
      <c r="L693" s="54"/>
      <c r="M693" s="54" t="str">
        <f>""</f>
        <v/>
      </c>
      <c r="N693" s="57" t="str">
        <f>""</f>
        <v/>
      </c>
      <c r="O693" s="75">
        <v>0</v>
      </c>
      <c r="P693" s="76" t="str">
        <f>""</f>
        <v/>
      </c>
      <c r="Q693" s="77" t="str">
        <f>""</f>
        <v/>
      </c>
      <c r="R693" s="78">
        <v>0</v>
      </c>
    </row>
    <row r="694" spans="1:18" ht="9" customHeight="1" x14ac:dyDescent="0.3">
      <c r="A694" s="1" t="s">
        <v>78</v>
      </c>
      <c r="I694" s="48"/>
      <c r="J694" s="41"/>
      <c r="K694" s="41"/>
      <c r="L694" s="54"/>
      <c r="M694" s="54"/>
      <c r="N694" s="61"/>
      <c r="O694" s="60"/>
      <c r="P694" s="58"/>
      <c r="Q694" s="59"/>
      <c r="R694" s="56"/>
    </row>
    <row r="695" spans="1:18" x14ac:dyDescent="0.3">
      <c r="A695" s="1" t="s">
        <v>78</v>
      </c>
      <c r="I695" s="48"/>
      <c r="J695" s="41"/>
      <c r="K695" s="41"/>
      <c r="L695" s="54"/>
      <c r="M695" s="54"/>
      <c r="N695" s="61"/>
      <c r="O695" s="62"/>
      <c r="P695" s="63"/>
      <c r="Q695" s="64"/>
      <c r="R695" s="65"/>
    </row>
    <row r="696" spans="1:18" ht="17.25" x14ac:dyDescent="0.3">
      <c r="A696" s="1" t="s">
        <v>78</v>
      </c>
      <c r="I696" s="24"/>
      <c r="J696" s="25"/>
      <c r="K696" s="26"/>
      <c r="L696" s="27"/>
      <c r="M696" s="26"/>
      <c r="N696" s="26"/>
      <c r="O696" s="26"/>
      <c r="P696" s="26"/>
      <c r="Q696" s="37" t="str">
        <f>CONCATENATE(I507," - ",I508,"      Remaining Amount  In Local Currency")</f>
        <v>V101002 - Davis Supplies      Remaining Amount  In Local Currency</v>
      </c>
      <c r="R696" s="39">
        <f>SUBTOTAL(9,R512:R695)</f>
        <v>0</v>
      </c>
    </row>
    <row r="697" spans="1:18" ht="17.25" x14ac:dyDescent="0.3">
      <c r="A697" s="1" t="s">
        <v>78</v>
      </c>
      <c r="H697" s="9" t="str">
        <f>"""Business Central"",""CRONUS JetCorp USA"",""23"",""1"",""V101008"""</f>
        <v>"Business Central","CRONUS JetCorp USA","23","1","V101008"</v>
      </c>
      <c r="I697" s="21" t="str">
        <f>"V101008"</f>
        <v>V101008</v>
      </c>
      <c r="J697" s="28"/>
      <c r="K697" s="29"/>
      <c r="L697" s="30"/>
      <c r="M697" s="29"/>
      <c r="N697" s="29"/>
      <c r="O697" s="20"/>
      <c r="P697" s="31"/>
      <c r="Q697" s="34"/>
      <c r="R697" s="38"/>
    </row>
    <row r="698" spans="1:18" ht="17.25" x14ac:dyDescent="0.3">
      <c r="A698" s="1" t="s">
        <v>78</v>
      </c>
      <c r="H698" s="1" t="str">
        <f>H697</f>
        <v>"Business Central","CRONUS JetCorp USA","23","1","V101008"</v>
      </c>
      <c r="I698" s="22" t="str">
        <f>"Affordable Granite"</f>
        <v>Affordable Granite</v>
      </c>
      <c r="J698" s="11"/>
      <c r="K698" s="11"/>
      <c r="L698" s="11"/>
      <c r="M698" s="11"/>
      <c r="N698" s="11"/>
      <c r="O698" s="11"/>
      <c r="P698" s="11"/>
      <c r="Q698" s="35"/>
      <c r="R698" s="23"/>
    </row>
    <row r="699" spans="1:18" ht="17.25" x14ac:dyDescent="0.3">
      <c r="A699" s="1" t="s">
        <v>78</v>
      </c>
      <c r="H699" s="1" t="str">
        <f>H698</f>
        <v>"Business Central","CRONUS JetCorp USA","23","1","V101008"</v>
      </c>
      <c r="I699" s="22" t="str">
        <f>"Mr. Frank Lee"</f>
        <v>Mr. Frank Lee</v>
      </c>
      <c r="J699" s="11"/>
      <c r="K699" s="11"/>
      <c r="L699" s="11"/>
      <c r="M699" s="11"/>
      <c r="N699" s="44" t="s">
        <v>22</v>
      </c>
      <c r="O699" s="44"/>
      <c r="P699" s="44"/>
      <c r="Q699" s="42" t="s">
        <v>23</v>
      </c>
      <c r="R699" s="43"/>
    </row>
    <row r="700" spans="1:18" x14ac:dyDescent="0.3">
      <c r="A700" s="1" t="s">
        <v>78</v>
      </c>
      <c r="I700" s="45"/>
      <c r="J700" s="46"/>
      <c r="K700" s="40"/>
      <c r="L700" s="47"/>
      <c r="M700" s="40"/>
      <c r="N700" s="66"/>
      <c r="O700" s="67"/>
      <c r="P700" s="67" t="s">
        <v>20</v>
      </c>
      <c r="Q700" s="68"/>
      <c r="R700" s="69" t="s">
        <v>20</v>
      </c>
    </row>
    <row r="701" spans="1:18" x14ac:dyDescent="0.3">
      <c r="A701" s="1" t="s">
        <v>78</v>
      </c>
      <c r="D701" s="1" t="s">
        <v>16</v>
      </c>
      <c r="E701" s="1" t="s">
        <v>32</v>
      </c>
      <c r="F701" s="1" t="s">
        <v>14</v>
      </c>
      <c r="G701" s="13" t="s">
        <v>14</v>
      </c>
      <c r="I701" s="48"/>
      <c r="J701" s="49" t="s">
        <v>7</v>
      </c>
      <c r="K701" s="49" t="s">
        <v>11</v>
      </c>
      <c r="L701" s="50" t="s">
        <v>2</v>
      </c>
      <c r="M701" s="50" t="s">
        <v>3</v>
      </c>
      <c r="N701" s="70" t="s">
        <v>21</v>
      </c>
      <c r="O701" s="71" t="s">
        <v>19</v>
      </c>
      <c r="P701" s="72" t="s">
        <v>16</v>
      </c>
      <c r="Q701" s="73" t="s">
        <v>12</v>
      </c>
      <c r="R701" s="74" t="s">
        <v>12</v>
      </c>
    </row>
    <row r="702" spans="1:18" x14ac:dyDescent="0.3">
      <c r="A702" s="1" t="s">
        <v>78</v>
      </c>
      <c r="D702" s="1" t="str">
        <f t="shared" ref="D702" si="1010">H702</f>
        <v>"Business Central","CRONUS JetCorp USA","25","1","249163"</v>
      </c>
      <c r="E702" s="1" t="str">
        <f t="shared" ref="E702" si="1011">I697</f>
        <v>V101008</v>
      </c>
      <c r="G702" s="1">
        <v>249163</v>
      </c>
      <c r="H702" s="9" t="str">
        <f>"""Business Central"",""CRONUS JetCorp USA"",""25"",""1"",""249163"""</f>
        <v>"Business Central","CRONUS JetCorp USA","25","1","249163"</v>
      </c>
      <c r="I702" s="51"/>
      <c r="J702" s="52" t="str">
        <f>"Order PO102610"</f>
        <v>Order PO102610</v>
      </c>
      <c r="K702" s="52" t="str">
        <f>"PI_102609"</f>
        <v>PI_102609</v>
      </c>
      <c r="L702" s="53">
        <v>43616</v>
      </c>
      <c r="M702" s="53">
        <v>43586</v>
      </c>
      <c r="N702" s="57" t="str">
        <f>""</f>
        <v/>
      </c>
      <c r="O702" s="75">
        <v>0</v>
      </c>
      <c r="P702" s="76">
        <v>0</v>
      </c>
      <c r="Q702" s="77">
        <v>0</v>
      </c>
      <c r="R702" s="78">
        <v>0</v>
      </c>
    </row>
    <row r="703" spans="1:18" hidden="1" x14ac:dyDescent="0.3">
      <c r="A703" s="1" t="s">
        <v>78</v>
      </c>
      <c r="B703" s="1" t="str">
        <f t="shared" ref="B703" si="1012">IF(H703="","Hide","Show")</f>
        <v>Hide</v>
      </c>
      <c r="D703" s="1" t="str">
        <f t="shared" ref="D703" si="1013">D702</f>
        <v>"Business Central","CRONUS JetCorp USA","25","1","249163"</v>
      </c>
      <c r="E703" s="1" t="str">
        <f t="shared" ref="E703" si="1014">E702</f>
        <v>V101008</v>
      </c>
      <c r="F703" s="1" t="str">
        <f>""</f>
        <v/>
      </c>
      <c r="H703" s="9" t="str">
        <f>""</f>
        <v/>
      </c>
      <c r="I703" s="48"/>
      <c r="J703" s="41" t="str">
        <f>""</f>
        <v/>
      </c>
      <c r="K703" s="41" t="str">
        <f>""</f>
        <v/>
      </c>
      <c r="L703" s="54"/>
      <c r="M703" s="54" t="str">
        <f>""</f>
        <v/>
      </c>
      <c r="N703" s="57" t="str">
        <f>""</f>
        <v/>
      </c>
      <c r="O703" s="75">
        <v>0</v>
      </c>
      <c r="P703" s="76" t="str">
        <f>""</f>
        <v/>
      </c>
      <c r="Q703" s="77" t="str">
        <f>""</f>
        <v/>
      </c>
      <c r="R703" s="78">
        <v>0</v>
      </c>
    </row>
    <row r="704" spans="1:18" ht="9" customHeight="1" x14ac:dyDescent="0.3">
      <c r="A704" s="1" t="s">
        <v>78</v>
      </c>
      <c r="I704" s="48"/>
      <c r="J704" s="41"/>
      <c r="K704" s="41"/>
      <c r="L704" s="54"/>
      <c r="M704" s="54"/>
      <c r="N704" s="61"/>
      <c r="O704" s="60"/>
      <c r="P704" s="58"/>
      <c r="Q704" s="59"/>
      <c r="R704" s="56"/>
    </row>
    <row r="705" spans="1:18" x14ac:dyDescent="0.3">
      <c r="A705" s="1" t="s">
        <v>78</v>
      </c>
      <c r="D705" s="1" t="str">
        <f t="shared" ref="D705:D768" si="1015">H705</f>
        <v>"Business Central","CRONUS JetCorp USA","25","1","249166"</v>
      </c>
      <c r="E705" s="1">
        <f t="shared" ref="E705" si="1016">I700</f>
        <v>0</v>
      </c>
      <c r="G705" s="1">
        <v>249166</v>
      </c>
      <c r="H705" s="9" t="str">
        <f>"""Business Central"",""CRONUS JetCorp USA"",""25"",""1"",""249166"""</f>
        <v>"Business Central","CRONUS JetCorp USA","25","1","249166"</v>
      </c>
      <c r="I705" s="51"/>
      <c r="J705" s="52" t="str">
        <f>"Order PO102611"</f>
        <v>Order PO102611</v>
      </c>
      <c r="K705" s="52" t="str">
        <f>"PI_102610"</f>
        <v>PI_102610</v>
      </c>
      <c r="L705" s="53">
        <v>43646</v>
      </c>
      <c r="M705" s="53">
        <v>43617</v>
      </c>
      <c r="N705" s="57" t="str">
        <f>""</f>
        <v/>
      </c>
      <c r="O705" s="75">
        <v>0</v>
      </c>
      <c r="P705" s="76">
        <v>0</v>
      </c>
      <c r="Q705" s="77">
        <v>0</v>
      </c>
      <c r="R705" s="78">
        <v>0</v>
      </c>
    </row>
    <row r="706" spans="1:18" hidden="1" x14ac:dyDescent="0.3">
      <c r="A706" s="1" t="s">
        <v>78</v>
      </c>
      <c r="B706" s="1" t="str">
        <f t="shared" ref="B706:B769" si="1017">IF(H706="","Hide","Show")</f>
        <v>Hide</v>
      </c>
      <c r="D706" s="1" t="str">
        <f t="shared" ref="D706:D769" si="1018">D705</f>
        <v>"Business Central","CRONUS JetCorp USA","25","1","249166"</v>
      </c>
      <c r="E706" s="1">
        <f t="shared" ref="E706:E769" si="1019">E705</f>
        <v>0</v>
      </c>
      <c r="F706" s="1" t="str">
        <f>""</f>
        <v/>
      </c>
      <c r="H706" s="9" t="str">
        <f>""</f>
        <v/>
      </c>
      <c r="I706" s="48"/>
      <c r="J706" s="41" t="str">
        <f>""</f>
        <v/>
      </c>
      <c r="K706" s="41" t="str">
        <f>""</f>
        <v/>
      </c>
      <c r="L706" s="54"/>
      <c r="M706" s="54" t="str">
        <f>""</f>
        <v/>
      </c>
      <c r="N706" s="57" t="str">
        <f>""</f>
        <v/>
      </c>
      <c r="O706" s="75">
        <v>0</v>
      </c>
      <c r="P706" s="76" t="str">
        <f>""</f>
        <v/>
      </c>
      <c r="Q706" s="77" t="str">
        <f>""</f>
        <v/>
      </c>
      <c r="R706" s="78">
        <v>0</v>
      </c>
    </row>
    <row r="707" spans="1:18" ht="9" customHeight="1" x14ac:dyDescent="0.3">
      <c r="A707" s="1" t="s">
        <v>78</v>
      </c>
      <c r="I707" s="48"/>
      <c r="J707" s="41"/>
      <c r="K707" s="41"/>
      <c r="L707" s="54"/>
      <c r="M707" s="54"/>
      <c r="N707" s="61"/>
      <c r="O707" s="60"/>
      <c r="P707" s="58"/>
      <c r="Q707" s="59"/>
      <c r="R707" s="56"/>
    </row>
    <row r="708" spans="1:18" x14ac:dyDescent="0.3">
      <c r="A708" s="1" t="s">
        <v>78</v>
      </c>
      <c r="D708" s="1" t="str">
        <f t="shared" ref="D708:D771" si="1020">H708</f>
        <v>"Business Central","CRONUS JetCorp USA","25","1","249169"</v>
      </c>
      <c r="E708" s="1">
        <f t="shared" ref="E708" si="1021">I703</f>
        <v>0</v>
      </c>
      <c r="G708" s="1">
        <v>249169</v>
      </c>
      <c r="H708" s="9" t="str">
        <f>"""Business Central"",""CRONUS JetCorp USA"",""25"",""1"",""249169"""</f>
        <v>"Business Central","CRONUS JetCorp USA","25","1","249169"</v>
      </c>
      <c r="I708" s="51"/>
      <c r="J708" s="52" t="str">
        <f>"Order PO102612"</f>
        <v>Order PO102612</v>
      </c>
      <c r="K708" s="52" t="str">
        <f>"PI_102611"</f>
        <v>PI_102611</v>
      </c>
      <c r="L708" s="53">
        <v>43677</v>
      </c>
      <c r="M708" s="53">
        <v>43647</v>
      </c>
      <c r="N708" s="57" t="str">
        <f>""</f>
        <v/>
      </c>
      <c r="O708" s="75">
        <v>0</v>
      </c>
      <c r="P708" s="76">
        <v>0</v>
      </c>
      <c r="Q708" s="77">
        <v>0</v>
      </c>
      <c r="R708" s="78">
        <v>0</v>
      </c>
    </row>
    <row r="709" spans="1:18" hidden="1" x14ac:dyDescent="0.3">
      <c r="A709" s="1" t="s">
        <v>78</v>
      </c>
      <c r="B709" s="1" t="str">
        <f t="shared" ref="B709:B772" si="1022">IF(H709="","Hide","Show")</f>
        <v>Hide</v>
      </c>
      <c r="D709" s="1" t="str">
        <f t="shared" ref="D709:D772" si="1023">D708</f>
        <v>"Business Central","CRONUS JetCorp USA","25","1","249169"</v>
      </c>
      <c r="E709" s="1">
        <f t="shared" ref="E709:E772" si="1024">E708</f>
        <v>0</v>
      </c>
      <c r="F709" s="1" t="str">
        <f>""</f>
        <v/>
      </c>
      <c r="H709" s="9" t="str">
        <f>""</f>
        <v/>
      </c>
      <c r="I709" s="48"/>
      <c r="J709" s="41" t="str">
        <f>""</f>
        <v/>
      </c>
      <c r="K709" s="41" t="str">
        <f>""</f>
        <v/>
      </c>
      <c r="L709" s="54"/>
      <c r="M709" s="54" t="str">
        <f>""</f>
        <v/>
      </c>
      <c r="N709" s="57" t="str">
        <f>""</f>
        <v/>
      </c>
      <c r="O709" s="75">
        <v>0</v>
      </c>
      <c r="P709" s="76" t="str">
        <f>""</f>
        <v/>
      </c>
      <c r="Q709" s="77" t="str">
        <f>""</f>
        <v/>
      </c>
      <c r="R709" s="78">
        <v>0</v>
      </c>
    </row>
    <row r="710" spans="1:18" ht="9" customHeight="1" x14ac:dyDescent="0.3">
      <c r="A710" s="1" t="s">
        <v>78</v>
      </c>
      <c r="I710" s="48"/>
      <c r="J710" s="41"/>
      <c r="K710" s="41"/>
      <c r="L710" s="54"/>
      <c r="M710" s="54"/>
      <c r="N710" s="61"/>
      <c r="O710" s="60"/>
      <c r="P710" s="58"/>
      <c r="Q710" s="59"/>
      <c r="R710" s="56"/>
    </row>
    <row r="711" spans="1:18" x14ac:dyDescent="0.3">
      <c r="A711" s="1" t="s">
        <v>78</v>
      </c>
      <c r="D711" s="1" t="str">
        <f t="shared" ref="D711:D774" si="1025">H711</f>
        <v>"Business Central","CRONUS JetCorp USA","25","1","249172"</v>
      </c>
      <c r="E711" s="1">
        <f t="shared" ref="E711" si="1026">I706</f>
        <v>0</v>
      </c>
      <c r="G711" s="1">
        <v>249172</v>
      </c>
      <c r="H711" s="9" t="str">
        <f>"""Business Central"",""CRONUS JetCorp USA"",""25"",""1"",""249172"""</f>
        <v>"Business Central","CRONUS JetCorp USA","25","1","249172"</v>
      </c>
      <c r="I711" s="51"/>
      <c r="J711" s="52" t="str">
        <f>"Order PO102613"</f>
        <v>Order PO102613</v>
      </c>
      <c r="K711" s="52" t="str">
        <f>"PI_102612"</f>
        <v>PI_102612</v>
      </c>
      <c r="L711" s="53">
        <v>43708</v>
      </c>
      <c r="M711" s="53">
        <v>43678</v>
      </c>
      <c r="N711" s="57" t="str">
        <f>""</f>
        <v/>
      </c>
      <c r="O711" s="75">
        <v>0</v>
      </c>
      <c r="P711" s="76">
        <v>0</v>
      </c>
      <c r="Q711" s="77">
        <v>0</v>
      </c>
      <c r="R711" s="78">
        <v>0</v>
      </c>
    </row>
    <row r="712" spans="1:18" hidden="1" x14ac:dyDescent="0.3">
      <c r="A712" s="1" t="s">
        <v>78</v>
      </c>
      <c r="B712" s="1" t="str">
        <f t="shared" ref="B712:B775" si="1027">IF(H712="","Hide","Show")</f>
        <v>Hide</v>
      </c>
      <c r="D712" s="1" t="str">
        <f t="shared" ref="D712:D775" si="1028">D711</f>
        <v>"Business Central","CRONUS JetCorp USA","25","1","249172"</v>
      </c>
      <c r="E712" s="1">
        <f t="shared" ref="E712:E775" si="1029">E711</f>
        <v>0</v>
      </c>
      <c r="F712" s="1" t="str">
        <f>""</f>
        <v/>
      </c>
      <c r="H712" s="9" t="str">
        <f>""</f>
        <v/>
      </c>
      <c r="I712" s="48"/>
      <c r="J712" s="41" t="str">
        <f>""</f>
        <v/>
      </c>
      <c r="K712" s="41" t="str">
        <f>""</f>
        <v/>
      </c>
      <c r="L712" s="54"/>
      <c r="M712" s="54" t="str">
        <f>""</f>
        <v/>
      </c>
      <c r="N712" s="57" t="str">
        <f>""</f>
        <v/>
      </c>
      <c r="O712" s="75">
        <v>0</v>
      </c>
      <c r="P712" s="76" t="str">
        <f>""</f>
        <v/>
      </c>
      <c r="Q712" s="77" t="str">
        <f>""</f>
        <v/>
      </c>
      <c r="R712" s="78">
        <v>0</v>
      </c>
    </row>
    <row r="713" spans="1:18" ht="9" customHeight="1" x14ac:dyDescent="0.3">
      <c r="A713" s="1" t="s">
        <v>78</v>
      </c>
      <c r="I713" s="48"/>
      <c r="J713" s="41"/>
      <c r="K713" s="41"/>
      <c r="L713" s="54"/>
      <c r="M713" s="54"/>
      <c r="N713" s="61"/>
      <c r="O713" s="60"/>
      <c r="P713" s="58"/>
      <c r="Q713" s="59"/>
      <c r="R713" s="56"/>
    </row>
    <row r="714" spans="1:18" x14ac:dyDescent="0.3">
      <c r="A714" s="1" t="s">
        <v>78</v>
      </c>
      <c r="D714" s="1" t="str">
        <f t="shared" ref="D714:D777" si="1030">H714</f>
        <v>"Business Central","CRONUS JetCorp USA","25","1","249175"</v>
      </c>
      <c r="E714" s="1">
        <f t="shared" ref="E714" si="1031">I709</f>
        <v>0</v>
      </c>
      <c r="G714" s="1">
        <v>249175</v>
      </c>
      <c r="H714" s="9" t="str">
        <f>"""Business Central"",""CRONUS JetCorp USA"",""25"",""1"",""249175"""</f>
        <v>"Business Central","CRONUS JetCorp USA","25","1","249175"</v>
      </c>
      <c r="I714" s="51"/>
      <c r="J714" s="52" t="str">
        <f>"Order PO102614"</f>
        <v>Order PO102614</v>
      </c>
      <c r="K714" s="52" t="str">
        <f>"PI_102613"</f>
        <v>PI_102613</v>
      </c>
      <c r="L714" s="53">
        <v>43738</v>
      </c>
      <c r="M714" s="53">
        <v>43709</v>
      </c>
      <c r="N714" s="57" t="str">
        <f>""</f>
        <v/>
      </c>
      <c r="O714" s="75">
        <v>0</v>
      </c>
      <c r="P714" s="76">
        <v>0</v>
      </c>
      <c r="Q714" s="77">
        <v>0</v>
      </c>
      <c r="R714" s="78">
        <v>0</v>
      </c>
    </row>
    <row r="715" spans="1:18" hidden="1" x14ac:dyDescent="0.3">
      <c r="A715" s="1" t="s">
        <v>78</v>
      </c>
      <c r="B715" s="1" t="str">
        <f t="shared" ref="B715:B778" si="1032">IF(H715="","Hide","Show")</f>
        <v>Hide</v>
      </c>
      <c r="D715" s="1" t="str">
        <f t="shared" ref="D715:D778" si="1033">D714</f>
        <v>"Business Central","CRONUS JetCorp USA","25","1","249175"</v>
      </c>
      <c r="E715" s="1">
        <f t="shared" ref="E715:E778" si="1034">E714</f>
        <v>0</v>
      </c>
      <c r="F715" s="1" t="str">
        <f>""</f>
        <v/>
      </c>
      <c r="H715" s="9" t="str">
        <f>""</f>
        <v/>
      </c>
      <c r="I715" s="48"/>
      <c r="J715" s="41" t="str">
        <f>""</f>
        <v/>
      </c>
      <c r="K715" s="41" t="str">
        <f>""</f>
        <v/>
      </c>
      <c r="L715" s="54"/>
      <c r="M715" s="54" t="str">
        <f>""</f>
        <v/>
      </c>
      <c r="N715" s="57" t="str">
        <f>""</f>
        <v/>
      </c>
      <c r="O715" s="75">
        <v>0</v>
      </c>
      <c r="P715" s="76" t="str">
        <f>""</f>
        <v/>
      </c>
      <c r="Q715" s="77" t="str">
        <f>""</f>
        <v/>
      </c>
      <c r="R715" s="78">
        <v>0</v>
      </c>
    </row>
    <row r="716" spans="1:18" ht="9" customHeight="1" x14ac:dyDescent="0.3">
      <c r="A716" s="1" t="s">
        <v>78</v>
      </c>
      <c r="I716" s="48"/>
      <c r="J716" s="41"/>
      <c r="K716" s="41"/>
      <c r="L716" s="54"/>
      <c r="M716" s="54"/>
      <c r="N716" s="61"/>
      <c r="O716" s="60"/>
      <c r="P716" s="58"/>
      <c r="Q716" s="59"/>
      <c r="R716" s="56"/>
    </row>
    <row r="717" spans="1:18" x14ac:dyDescent="0.3">
      <c r="A717" s="1" t="s">
        <v>78</v>
      </c>
      <c r="D717" s="1" t="str">
        <f t="shared" ref="D717:D780" si="1035">H717</f>
        <v>"Business Central","CRONUS JetCorp USA","25","1","249178"</v>
      </c>
      <c r="E717" s="1">
        <f t="shared" ref="E717" si="1036">I712</f>
        <v>0</v>
      </c>
      <c r="G717" s="1">
        <v>249178</v>
      </c>
      <c r="H717" s="9" t="str">
        <f>"""Business Central"",""CRONUS JetCorp USA"",""25"",""1"",""249178"""</f>
        <v>"Business Central","CRONUS JetCorp USA","25","1","249178"</v>
      </c>
      <c r="I717" s="51"/>
      <c r="J717" s="52" t="str">
        <f>"Order PO102615"</f>
        <v>Order PO102615</v>
      </c>
      <c r="K717" s="52" t="str">
        <f>"PI_102614"</f>
        <v>PI_102614</v>
      </c>
      <c r="L717" s="53">
        <v>43769</v>
      </c>
      <c r="M717" s="53">
        <v>43739</v>
      </c>
      <c r="N717" s="57" t="str">
        <f>""</f>
        <v/>
      </c>
      <c r="O717" s="75">
        <v>0</v>
      </c>
      <c r="P717" s="76">
        <v>0</v>
      </c>
      <c r="Q717" s="77">
        <v>0</v>
      </c>
      <c r="R717" s="78">
        <v>0</v>
      </c>
    </row>
    <row r="718" spans="1:18" hidden="1" x14ac:dyDescent="0.3">
      <c r="A718" s="1" t="s">
        <v>78</v>
      </c>
      <c r="B718" s="1" t="str">
        <f t="shared" ref="B718:B781" si="1037">IF(H718="","Hide","Show")</f>
        <v>Hide</v>
      </c>
      <c r="D718" s="1" t="str">
        <f t="shared" ref="D718:D781" si="1038">D717</f>
        <v>"Business Central","CRONUS JetCorp USA","25","1","249178"</v>
      </c>
      <c r="E718" s="1">
        <f t="shared" ref="E718:E781" si="1039">E717</f>
        <v>0</v>
      </c>
      <c r="F718" s="1" t="str">
        <f>""</f>
        <v/>
      </c>
      <c r="H718" s="9" t="str">
        <f>""</f>
        <v/>
      </c>
      <c r="I718" s="48"/>
      <c r="J718" s="41" t="str">
        <f>""</f>
        <v/>
      </c>
      <c r="K718" s="41" t="str">
        <f>""</f>
        <v/>
      </c>
      <c r="L718" s="54"/>
      <c r="M718" s="54" t="str">
        <f>""</f>
        <v/>
      </c>
      <c r="N718" s="57" t="str">
        <f>""</f>
        <v/>
      </c>
      <c r="O718" s="75">
        <v>0</v>
      </c>
      <c r="P718" s="76" t="str">
        <f>""</f>
        <v/>
      </c>
      <c r="Q718" s="77" t="str">
        <f>""</f>
        <v/>
      </c>
      <c r="R718" s="78">
        <v>0</v>
      </c>
    </row>
    <row r="719" spans="1:18" ht="9" customHeight="1" x14ac:dyDescent="0.3">
      <c r="A719" s="1" t="s">
        <v>78</v>
      </c>
      <c r="I719" s="48"/>
      <c r="J719" s="41"/>
      <c r="K719" s="41"/>
      <c r="L719" s="54"/>
      <c r="M719" s="54"/>
      <c r="N719" s="61"/>
      <c r="O719" s="60"/>
      <c r="P719" s="58"/>
      <c r="Q719" s="59"/>
      <c r="R719" s="56"/>
    </row>
    <row r="720" spans="1:18" x14ac:dyDescent="0.3">
      <c r="A720" s="1" t="s">
        <v>78</v>
      </c>
      <c r="D720" s="1" t="str">
        <f t="shared" ref="D720:D783" si="1040">H720</f>
        <v>"Business Central","CRONUS JetCorp USA","25","1","249181"</v>
      </c>
      <c r="E720" s="1">
        <f t="shared" ref="E720" si="1041">I715</f>
        <v>0</v>
      </c>
      <c r="G720" s="1">
        <v>249181</v>
      </c>
      <c r="H720" s="9" t="str">
        <f>"""Business Central"",""CRONUS JetCorp USA"",""25"",""1"",""249181"""</f>
        <v>"Business Central","CRONUS JetCorp USA","25","1","249181"</v>
      </c>
      <c r="I720" s="51"/>
      <c r="J720" s="52" t="str">
        <f>"Order PO102616"</f>
        <v>Order PO102616</v>
      </c>
      <c r="K720" s="52" t="str">
        <f>"PI_102615"</f>
        <v>PI_102615</v>
      </c>
      <c r="L720" s="53">
        <v>43799</v>
      </c>
      <c r="M720" s="53">
        <v>43770</v>
      </c>
      <c r="N720" s="57" t="str">
        <f>""</f>
        <v/>
      </c>
      <c r="O720" s="75">
        <v>0</v>
      </c>
      <c r="P720" s="76">
        <v>0</v>
      </c>
      <c r="Q720" s="77">
        <v>0</v>
      </c>
      <c r="R720" s="78">
        <v>0</v>
      </c>
    </row>
    <row r="721" spans="1:18" hidden="1" x14ac:dyDescent="0.3">
      <c r="A721" s="1" t="s">
        <v>78</v>
      </c>
      <c r="B721" s="1" t="str">
        <f t="shared" ref="B721:B784" si="1042">IF(H721="","Hide","Show")</f>
        <v>Hide</v>
      </c>
      <c r="D721" s="1" t="str">
        <f t="shared" ref="D721:D784" si="1043">D720</f>
        <v>"Business Central","CRONUS JetCorp USA","25","1","249181"</v>
      </c>
      <c r="E721" s="1">
        <f t="shared" ref="E721:E784" si="1044">E720</f>
        <v>0</v>
      </c>
      <c r="F721" s="1" t="str">
        <f>""</f>
        <v/>
      </c>
      <c r="H721" s="9" t="str">
        <f>""</f>
        <v/>
      </c>
      <c r="I721" s="48"/>
      <c r="J721" s="41" t="str">
        <f>""</f>
        <v/>
      </c>
      <c r="K721" s="41" t="str">
        <f>""</f>
        <v/>
      </c>
      <c r="L721" s="54"/>
      <c r="M721" s="54" t="str">
        <f>""</f>
        <v/>
      </c>
      <c r="N721" s="57" t="str">
        <f>""</f>
        <v/>
      </c>
      <c r="O721" s="75">
        <v>0</v>
      </c>
      <c r="P721" s="76" t="str">
        <f>""</f>
        <v/>
      </c>
      <c r="Q721" s="77" t="str">
        <f>""</f>
        <v/>
      </c>
      <c r="R721" s="78">
        <v>0</v>
      </c>
    </row>
    <row r="722" spans="1:18" ht="9" customHeight="1" x14ac:dyDescent="0.3">
      <c r="A722" s="1" t="s">
        <v>78</v>
      </c>
      <c r="I722" s="48"/>
      <c r="J722" s="41"/>
      <c r="K722" s="41"/>
      <c r="L722" s="54"/>
      <c r="M722" s="54"/>
      <c r="N722" s="61"/>
      <c r="O722" s="60"/>
      <c r="P722" s="58"/>
      <c r="Q722" s="59"/>
      <c r="R722" s="56"/>
    </row>
    <row r="723" spans="1:18" x14ac:dyDescent="0.3">
      <c r="A723" s="1" t="s">
        <v>78</v>
      </c>
      <c r="D723" s="1" t="str">
        <f t="shared" ref="D723:D786" si="1045">H723</f>
        <v>"Business Central","CRONUS JetCorp USA","25","1","249184"</v>
      </c>
      <c r="E723" s="1">
        <f t="shared" ref="E723" si="1046">I718</f>
        <v>0</v>
      </c>
      <c r="G723" s="1">
        <v>249184</v>
      </c>
      <c r="H723" s="9" t="str">
        <f>"""Business Central"",""CRONUS JetCorp USA"",""25"",""1"",""249184"""</f>
        <v>"Business Central","CRONUS JetCorp USA","25","1","249184"</v>
      </c>
      <c r="I723" s="51"/>
      <c r="J723" s="52" t="str">
        <f>"Order PO102617"</f>
        <v>Order PO102617</v>
      </c>
      <c r="K723" s="52" t="str">
        <f>"PI_102616"</f>
        <v>PI_102616</v>
      </c>
      <c r="L723" s="53">
        <v>43830</v>
      </c>
      <c r="M723" s="53">
        <v>43800</v>
      </c>
      <c r="N723" s="57" t="str">
        <f>""</f>
        <v/>
      </c>
      <c r="O723" s="75">
        <v>0</v>
      </c>
      <c r="P723" s="76">
        <v>0</v>
      </c>
      <c r="Q723" s="77">
        <v>0</v>
      </c>
      <c r="R723" s="78">
        <v>0</v>
      </c>
    </row>
    <row r="724" spans="1:18" hidden="1" x14ac:dyDescent="0.3">
      <c r="A724" s="1" t="s">
        <v>78</v>
      </c>
      <c r="B724" s="1" t="str">
        <f t="shared" ref="B724:B787" si="1047">IF(H724="","Hide","Show")</f>
        <v>Hide</v>
      </c>
      <c r="D724" s="1" t="str">
        <f t="shared" ref="D724:D787" si="1048">D723</f>
        <v>"Business Central","CRONUS JetCorp USA","25","1","249184"</v>
      </c>
      <c r="E724" s="1">
        <f t="shared" ref="E724:E787" si="1049">E723</f>
        <v>0</v>
      </c>
      <c r="F724" s="1" t="str">
        <f>""</f>
        <v/>
      </c>
      <c r="H724" s="9" t="str">
        <f>""</f>
        <v/>
      </c>
      <c r="I724" s="48"/>
      <c r="J724" s="41" t="str">
        <f>""</f>
        <v/>
      </c>
      <c r="K724" s="41" t="str">
        <f>""</f>
        <v/>
      </c>
      <c r="L724" s="54"/>
      <c r="M724" s="54" t="str">
        <f>""</f>
        <v/>
      </c>
      <c r="N724" s="57" t="str">
        <f>""</f>
        <v/>
      </c>
      <c r="O724" s="75">
        <v>0</v>
      </c>
      <c r="P724" s="76" t="str">
        <f>""</f>
        <v/>
      </c>
      <c r="Q724" s="77" t="str">
        <f>""</f>
        <v/>
      </c>
      <c r="R724" s="78">
        <v>0</v>
      </c>
    </row>
    <row r="725" spans="1:18" ht="9" customHeight="1" x14ac:dyDescent="0.3">
      <c r="A725" s="1" t="s">
        <v>78</v>
      </c>
      <c r="I725" s="48"/>
      <c r="J725" s="41"/>
      <c r="K725" s="41"/>
      <c r="L725" s="54"/>
      <c r="M725" s="54"/>
      <c r="N725" s="61"/>
      <c r="O725" s="60"/>
      <c r="P725" s="58"/>
      <c r="Q725" s="59"/>
      <c r="R725" s="56"/>
    </row>
    <row r="726" spans="1:18" x14ac:dyDescent="0.3">
      <c r="A726" s="1" t="s">
        <v>78</v>
      </c>
      <c r="D726" s="1" t="str">
        <f t="shared" ref="D726:D789" si="1050">H726</f>
        <v>"Business Central","CRONUS JetCorp USA","25","1","249187"</v>
      </c>
      <c r="E726" s="1">
        <f t="shared" ref="E726" si="1051">I721</f>
        <v>0</v>
      </c>
      <c r="G726" s="1">
        <v>249187</v>
      </c>
      <c r="H726" s="9" t="str">
        <f>"""Business Central"",""CRONUS JetCorp USA"",""25"",""1"",""249187"""</f>
        <v>"Business Central","CRONUS JetCorp USA","25","1","249187"</v>
      </c>
      <c r="I726" s="51"/>
      <c r="J726" s="52" t="str">
        <f>"Order PO102618"</f>
        <v>Order PO102618</v>
      </c>
      <c r="K726" s="52" t="str">
        <f>"PI_102617"</f>
        <v>PI_102617</v>
      </c>
      <c r="L726" s="53">
        <v>42035</v>
      </c>
      <c r="M726" s="53">
        <v>43831</v>
      </c>
      <c r="N726" s="57" t="str">
        <f>""</f>
        <v/>
      </c>
      <c r="O726" s="75">
        <v>0</v>
      </c>
      <c r="P726" s="76">
        <v>0</v>
      </c>
      <c r="Q726" s="77">
        <v>0</v>
      </c>
      <c r="R726" s="78">
        <v>0</v>
      </c>
    </row>
    <row r="727" spans="1:18" hidden="1" x14ac:dyDescent="0.3">
      <c r="A727" s="1" t="s">
        <v>78</v>
      </c>
      <c r="B727" s="1" t="str">
        <f t="shared" ref="B727:B790" si="1052">IF(H727="","Hide","Show")</f>
        <v>Hide</v>
      </c>
      <c r="D727" s="1" t="str">
        <f t="shared" ref="D727:D790" si="1053">D726</f>
        <v>"Business Central","CRONUS JetCorp USA","25","1","249187"</v>
      </c>
      <c r="E727" s="1">
        <f t="shared" ref="E727:E790" si="1054">E726</f>
        <v>0</v>
      </c>
      <c r="F727" s="1" t="str">
        <f>""</f>
        <v/>
      </c>
      <c r="H727" s="9" t="str">
        <f>""</f>
        <v/>
      </c>
      <c r="I727" s="48"/>
      <c r="J727" s="41" t="str">
        <f>""</f>
        <v/>
      </c>
      <c r="K727" s="41" t="str">
        <f>""</f>
        <v/>
      </c>
      <c r="L727" s="54"/>
      <c r="M727" s="54" t="str">
        <f>""</f>
        <v/>
      </c>
      <c r="N727" s="57" t="str">
        <f>""</f>
        <v/>
      </c>
      <c r="O727" s="75">
        <v>0</v>
      </c>
      <c r="P727" s="76" t="str">
        <f>""</f>
        <v/>
      </c>
      <c r="Q727" s="77" t="str">
        <f>""</f>
        <v/>
      </c>
      <c r="R727" s="78">
        <v>0</v>
      </c>
    </row>
    <row r="728" spans="1:18" ht="9" customHeight="1" x14ac:dyDescent="0.3">
      <c r="A728" s="1" t="s">
        <v>78</v>
      </c>
      <c r="I728" s="48"/>
      <c r="J728" s="41"/>
      <c r="K728" s="41"/>
      <c r="L728" s="54"/>
      <c r="M728" s="54"/>
      <c r="N728" s="61"/>
      <c r="O728" s="60"/>
      <c r="P728" s="58"/>
      <c r="Q728" s="59"/>
      <c r="R728" s="56"/>
    </row>
    <row r="729" spans="1:18" x14ac:dyDescent="0.3">
      <c r="A729" s="1" t="s">
        <v>78</v>
      </c>
      <c r="D729" s="1" t="str">
        <f t="shared" ref="D729:D792" si="1055">H729</f>
        <v>"Business Central","CRONUS JetCorp USA","25","1","249190"</v>
      </c>
      <c r="E729" s="1">
        <f t="shared" ref="E729" si="1056">I724</f>
        <v>0</v>
      </c>
      <c r="G729" s="1">
        <v>249190</v>
      </c>
      <c r="H729" s="9" t="str">
        <f>"""Business Central"",""CRONUS JetCorp USA"",""25"",""1"",""249190"""</f>
        <v>"Business Central","CRONUS JetCorp USA","25","1","249190"</v>
      </c>
      <c r="I729" s="51"/>
      <c r="J729" s="52" t="str">
        <f>"Order PO102619"</f>
        <v>Order PO102619</v>
      </c>
      <c r="K729" s="52" t="str">
        <f>"PI_102618"</f>
        <v>PI_102618</v>
      </c>
      <c r="L729" s="53">
        <v>42063</v>
      </c>
      <c r="M729" s="53">
        <v>43862</v>
      </c>
      <c r="N729" s="57" t="str">
        <f>""</f>
        <v/>
      </c>
      <c r="O729" s="75">
        <v>0</v>
      </c>
      <c r="P729" s="76">
        <v>0</v>
      </c>
      <c r="Q729" s="77">
        <v>0</v>
      </c>
      <c r="R729" s="78">
        <v>0</v>
      </c>
    </row>
    <row r="730" spans="1:18" hidden="1" x14ac:dyDescent="0.3">
      <c r="A730" s="1" t="s">
        <v>78</v>
      </c>
      <c r="B730" s="1" t="str">
        <f t="shared" ref="B730:B793" si="1057">IF(H730="","Hide","Show")</f>
        <v>Hide</v>
      </c>
      <c r="D730" s="1" t="str">
        <f t="shared" ref="D730:D793" si="1058">D729</f>
        <v>"Business Central","CRONUS JetCorp USA","25","1","249190"</v>
      </c>
      <c r="E730" s="1">
        <f t="shared" ref="E730:E793" si="1059">E729</f>
        <v>0</v>
      </c>
      <c r="F730" s="1" t="str">
        <f>""</f>
        <v/>
      </c>
      <c r="H730" s="9" t="str">
        <f>""</f>
        <v/>
      </c>
      <c r="I730" s="48"/>
      <c r="J730" s="41" t="str">
        <f>""</f>
        <v/>
      </c>
      <c r="K730" s="41" t="str">
        <f>""</f>
        <v/>
      </c>
      <c r="L730" s="54"/>
      <c r="M730" s="54" t="str">
        <f>""</f>
        <v/>
      </c>
      <c r="N730" s="57" t="str">
        <f>""</f>
        <v/>
      </c>
      <c r="O730" s="75">
        <v>0</v>
      </c>
      <c r="P730" s="76" t="str">
        <f>""</f>
        <v/>
      </c>
      <c r="Q730" s="77" t="str">
        <f>""</f>
        <v/>
      </c>
      <c r="R730" s="78">
        <v>0</v>
      </c>
    </row>
    <row r="731" spans="1:18" ht="9" customHeight="1" x14ac:dyDescent="0.3">
      <c r="A731" s="1" t="s">
        <v>78</v>
      </c>
      <c r="I731" s="48"/>
      <c r="J731" s="41"/>
      <c r="K731" s="41"/>
      <c r="L731" s="54"/>
      <c r="M731" s="54"/>
      <c r="N731" s="61"/>
      <c r="O731" s="60"/>
      <c r="P731" s="58"/>
      <c r="Q731" s="59"/>
      <c r="R731" s="56"/>
    </row>
    <row r="732" spans="1:18" x14ac:dyDescent="0.3">
      <c r="A732" s="1" t="s">
        <v>78</v>
      </c>
      <c r="D732" s="1" t="str">
        <f t="shared" ref="D732:D795" si="1060">H732</f>
        <v>"Business Central","CRONUS JetCorp USA","25","1","249193"</v>
      </c>
      <c r="E732" s="1">
        <f t="shared" ref="E732" si="1061">I727</f>
        <v>0</v>
      </c>
      <c r="G732" s="1">
        <v>249193</v>
      </c>
      <c r="H732" s="9" t="str">
        <f>"""Business Central"",""CRONUS JetCorp USA"",""25"",""1"",""249193"""</f>
        <v>"Business Central","CRONUS JetCorp USA","25","1","249193"</v>
      </c>
      <c r="I732" s="51"/>
      <c r="J732" s="52" t="str">
        <f>"Order PO102620"</f>
        <v>Order PO102620</v>
      </c>
      <c r="K732" s="52" t="str">
        <f>"PI_102619"</f>
        <v>PI_102619</v>
      </c>
      <c r="L732" s="53">
        <v>42094</v>
      </c>
      <c r="M732" s="53">
        <v>43891</v>
      </c>
      <c r="N732" s="57" t="str">
        <f>""</f>
        <v/>
      </c>
      <c r="O732" s="75">
        <v>0</v>
      </c>
      <c r="P732" s="76">
        <v>0</v>
      </c>
      <c r="Q732" s="77">
        <v>0</v>
      </c>
      <c r="R732" s="78">
        <v>0</v>
      </c>
    </row>
    <row r="733" spans="1:18" hidden="1" x14ac:dyDescent="0.3">
      <c r="A733" s="1" t="s">
        <v>78</v>
      </c>
      <c r="B733" s="1" t="str">
        <f t="shared" ref="B733:B796" si="1062">IF(H733="","Hide","Show")</f>
        <v>Hide</v>
      </c>
      <c r="D733" s="1" t="str">
        <f t="shared" ref="D733:D796" si="1063">D732</f>
        <v>"Business Central","CRONUS JetCorp USA","25","1","249193"</v>
      </c>
      <c r="E733" s="1">
        <f t="shared" ref="E733:E796" si="1064">E732</f>
        <v>0</v>
      </c>
      <c r="F733" s="1" t="str">
        <f>""</f>
        <v/>
      </c>
      <c r="H733" s="9" t="str">
        <f>""</f>
        <v/>
      </c>
      <c r="I733" s="48"/>
      <c r="J733" s="41" t="str">
        <f>""</f>
        <v/>
      </c>
      <c r="K733" s="41" t="str">
        <f>""</f>
        <v/>
      </c>
      <c r="L733" s="54"/>
      <c r="M733" s="54" t="str">
        <f>""</f>
        <v/>
      </c>
      <c r="N733" s="57" t="str">
        <f>""</f>
        <v/>
      </c>
      <c r="O733" s="75">
        <v>0</v>
      </c>
      <c r="P733" s="76" t="str">
        <f>""</f>
        <v/>
      </c>
      <c r="Q733" s="77" t="str">
        <f>""</f>
        <v/>
      </c>
      <c r="R733" s="78">
        <v>0</v>
      </c>
    </row>
    <row r="734" spans="1:18" ht="9" customHeight="1" x14ac:dyDescent="0.3">
      <c r="A734" s="1" t="s">
        <v>78</v>
      </c>
      <c r="I734" s="48"/>
      <c r="J734" s="41"/>
      <c r="K734" s="41"/>
      <c r="L734" s="54"/>
      <c r="M734" s="54"/>
      <c r="N734" s="61"/>
      <c r="O734" s="60"/>
      <c r="P734" s="58"/>
      <c r="Q734" s="59"/>
      <c r="R734" s="56"/>
    </row>
    <row r="735" spans="1:18" x14ac:dyDescent="0.3">
      <c r="A735" s="1" t="s">
        <v>78</v>
      </c>
      <c r="D735" s="1" t="str">
        <f t="shared" ref="D735:D798" si="1065">H735</f>
        <v>"Business Central","CRONUS JetCorp USA","25","1","249196"</v>
      </c>
      <c r="E735" s="1">
        <f t="shared" ref="E735" si="1066">I730</f>
        <v>0</v>
      </c>
      <c r="G735" s="1">
        <v>249196</v>
      </c>
      <c r="H735" s="9" t="str">
        <f>"""Business Central"",""CRONUS JetCorp USA"",""25"",""1"",""249196"""</f>
        <v>"Business Central","CRONUS JetCorp USA","25","1","249196"</v>
      </c>
      <c r="I735" s="51"/>
      <c r="J735" s="52" t="str">
        <f>"Order PO102621"</f>
        <v>Order PO102621</v>
      </c>
      <c r="K735" s="52" t="str">
        <f>"PI_102620"</f>
        <v>PI_102620</v>
      </c>
      <c r="L735" s="53">
        <v>42124</v>
      </c>
      <c r="M735" s="53">
        <v>43922</v>
      </c>
      <c r="N735" s="57" t="str">
        <f>""</f>
        <v/>
      </c>
      <c r="O735" s="75">
        <v>0</v>
      </c>
      <c r="P735" s="76">
        <v>0</v>
      </c>
      <c r="Q735" s="77">
        <v>0</v>
      </c>
      <c r="R735" s="78">
        <v>0</v>
      </c>
    </row>
    <row r="736" spans="1:18" hidden="1" x14ac:dyDescent="0.3">
      <c r="A736" s="1" t="s">
        <v>78</v>
      </c>
      <c r="B736" s="1" t="str">
        <f t="shared" ref="B736:B799" si="1067">IF(H736="","Hide","Show")</f>
        <v>Hide</v>
      </c>
      <c r="D736" s="1" t="str">
        <f t="shared" ref="D736:D799" si="1068">D735</f>
        <v>"Business Central","CRONUS JetCorp USA","25","1","249196"</v>
      </c>
      <c r="E736" s="1">
        <f t="shared" ref="E736:E799" si="1069">E735</f>
        <v>0</v>
      </c>
      <c r="F736" s="1" t="str">
        <f>""</f>
        <v/>
      </c>
      <c r="H736" s="9" t="str">
        <f>""</f>
        <v/>
      </c>
      <c r="I736" s="48"/>
      <c r="J736" s="41" t="str">
        <f>""</f>
        <v/>
      </c>
      <c r="K736" s="41" t="str">
        <f>""</f>
        <v/>
      </c>
      <c r="L736" s="54"/>
      <c r="M736" s="54" t="str">
        <f>""</f>
        <v/>
      </c>
      <c r="N736" s="57" t="str">
        <f>""</f>
        <v/>
      </c>
      <c r="O736" s="75">
        <v>0</v>
      </c>
      <c r="P736" s="76" t="str">
        <f>""</f>
        <v/>
      </c>
      <c r="Q736" s="77" t="str">
        <f>""</f>
        <v/>
      </c>
      <c r="R736" s="78">
        <v>0</v>
      </c>
    </row>
    <row r="737" spans="1:18" ht="9" customHeight="1" x14ac:dyDescent="0.3">
      <c r="A737" s="1" t="s">
        <v>78</v>
      </c>
      <c r="I737" s="48"/>
      <c r="J737" s="41"/>
      <c r="K737" s="41"/>
      <c r="L737" s="54"/>
      <c r="M737" s="54"/>
      <c r="N737" s="61"/>
      <c r="O737" s="60"/>
      <c r="P737" s="58"/>
      <c r="Q737" s="59"/>
      <c r="R737" s="56"/>
    </row>
    <row r="738" spans="1:18" x14ac:dyDescent="0.3">
      <c r="A738" s="1" t="s">
        <v>78</v>
      </c>
      <c r="D738" s="1" t="str">
        <f t="shared" ref="D738:D801" si="1070">H738</f>
        <v>"Business Central","CRONUS JetCorp USA","25","1","249199"</v>
      </c>
      <c r="E738" s="1">
        <f t="shared" ref="E738" si="1071">I733</f>
        <v>0</v>
      </c>
      <c r="G738" s="1">
        <v>249199</v>
      </c>
      <c r="H738" s="9" t="str">
        <f>"""Business Central"",""CRONUS JetCorp USA"",""25"",""1"",""249199"""</f>
        <v>"Business Central","CRONUS JetCorp USA","25","1","249199"</v>
      </c>
      <c r="I738" s="51"/>
      <c r="J738" s="52" t="str">
        <f>"Order PO102622"</f>
        <v>Order PO102622</v>
      </c>
      <c r="K738" s="52" t="str">
        <f>"PI_102621"</f>
        <v>PI_102621</v>
      </c>
      <c r="L738" s="53">
        <v>42155</v>
      </c>
      <c r="M738" s="53">
        <v>43952</v>
      </c>
      <c r="N738" s="57" t="str">
        <f>""</f>
        <v/>
      </c>
      <c r="O738" s="75">
        <v>0</v>
      </c>
      <c r="P738" s="76">
        <v>0</v>
      </c>
      <c r="Q738" s="77">
        <v>0</v>
      </c>
      <c r="R738" s="78">
        <v>0</v>
      </c>
    </row>
    <row r="739" spans="1:18" hidden="1" x14ac:dyDescent="0.3">
      <c r="A739" s="1" t="s">
        <v>78</v>
      </c>
      <c r="B739" s="1" t="str">
        <f t="shared" ref="B739:B802" si="1072">IF(H739="","Hide","Show")</f>
        <v>Hide</v>
      </c>
      <c r="D739" s="1" t="str">
        <f t="shared" ref="D739:D802" si="1073">D738</f>
        <v>"Business Central","CRONUS JetCorp USA","25","1","249199"</v>
      </c>
      <c r="E739" s="1">
        <f t="shared" ref="E739:E802" si="1074">E738</f>
        <v>0</v>
      </c>
      <c r="F739" s="1" t="str">
        <f>""</f>
        <v/>
      </c>
      <c r="H739" s="9" t="str">
        <f>""</f>
        <v/>
      </c>
      <c r="I739" s="48"/>
      <c r="J739" s="41" t="str">
        <f>""</f>
        <v/>
      </c>
      <c r="K739" s="41" t="str">
        <f>""</f>
        <v/>
      </c>
      <c r="L739" s="54"/>
      <c r="M739" s="54" t="str">
        <f>""</f>
        <v/>
      </c>
      <c r="N739" s="57" t="str">
        <f>""</f>
        <v/>
      </c>
      <c r="O739" s="75">
        <v>0</v>
      </c>
      <c r="P739" s="76" t="str">
        <f>""</f>
        <v/>
      </c>
      <c r="Q739" s="77" t="str">
        <f>""</f>
        <v/>
      </c>
      <c r="R739" s="78">
        <v>0</v>
      </c>
    </row>
    <row r="740" spans="1:18" ht="9" customHeight="1" x14ac:dyDescent="0.3">
      <c r="A740" s="1" t="s">
        <v>78</v>
      </c>
      <c r="I740" s="48"/>
      <c r="J740" s="41"/>
      <c r="K740" s="41"/>
      <c r="L740" s="54"/>
      <c r="M740" s="54"/>
      <c r="N740" s="61"/>
      <c r="O740" s="60"/>
      <c r="P740" s="58"/>
      <c r="Q740" s="59"/>
      <c r="R740" s="56"/>
    </row>
    <row r="741" spans="1:18" x14ac:dyDescent="0.3">
      <c r="A741" s="1" t="s">
        <v>78</v>
      </c>
      <c r="D741" s="1" t="str">
        <f t="shared" ref="D741:D804" si="1075">H741</f>
        <v>"Business Central","CRONUS JetCorp USA","25","1","249202"</v>
      </c>
      <c r="E741" s="1">
        <f t="shared" ref="E741" si="1076">I736</f>
        <v>0</v>
      </c>
      <c r="G741" s="1">
        <v>249202</v>
      </c>
      <c r="H741" s="9" t="str">
        <f>"""Business Central"",""CRONUS JetCorp USA"",""25"",""1"",""249202"""</f>
        <v>"Business Central","CRONUS JetCorp USA","25","1","249202"</v>
      </c>
      <c r="I741" s="51"/>
      <c r="J741" s="52" t="str">
        <f>"Order PO102623"</f>
        <v>Order PO102623</v>
      </c>
      <c r="K741" s="52" t="str">
        <f>"PI_102622"</f>
        <v>PI_102622</v>
      </c>
      <c r="L741" s="53">
        <v>42185</v>
      </c>
      <c r="M741" s="53">
        <v>43983</v>
      </c>
      <c r="N741" s="57" t="str">
        <f>""</f>
        <v/>
      </c>
      <c r="O741" s="75">
        <v>0</v>
      </c>
      <c r="P741" s="76">
        <v>0</v>
      </c>
      <c r="Q741" s="77">
        <v>0</v>
      </c>
      <c r="R741" s="78">
        <v>0</v>
      </c>
    </row>
    <row r="742" spans="1:18" hidden="1" x14ac:dyDescent="0.3">
      <c r="A742" s="1" t="s">
        <v>78</v>
      </c>
      <c r="B742" s="1" t="str">
        <f t="shared" ref="B742:B805" si="1077">IF(H742="","Hide","Show")</f>
        <v>Hide</v>
      </c>
      <c r="D742" s="1" t="str">
        <f t="shared" ref="D742:D805" si="1078">D741</f>
        <v>"Business Central","CRONUS JetCorp USA","25","1","249202"</v>
      </c>
      <c r="E742" s="1">
        <f t="shared" ref="E742:E805" si="1079">E741</f>
        <v>0</v>
      </c>
      <c r="F742" s="1" t="str">
        <f>""</f>
        <v/>
      </c>
      <c r="H742" s="9" t="str">
        <f>""</f>
        <v/>
      </c>
      <c r="I742" s="48"/>
      <c r="J742" s="41" t="str">
        <f>""</f>
        <v/>
      </c>
      <c r="K742" s="41" t="str">
        <f>""</f>
        <v/>
      </c>
      <c r="L742" s="54"/>
      <c r="M742" s="54" t="str">
        <f>""</f>
        <v/>
      </c>
      <c r="N742" s="57" t="str">
        <f>""</f>
        <v/>
      </c>
      <c r="O742" s="75">
        <v>0</v>
      </c>
      <c r="P742" s="76" t="str">
        <f>""</f>
        <v/>
      </c>
      <c r="Q742" s="77" t="str">
        <f>""</f>
        <v/>
      </c>
      <c r="R742" s="78">
        <v>0</v>
      </c>
    </row>
    <row r="743" spans="1:18" ht="9" customHeight="1" x14ac:dyDescent="0.3">
      <c r="A743" s="1" t="s">
        <v>78</v>
      </c>
      <c r="I743" s="48"/>
      <c r="J743" s="41"/>
      <c r="K743" s="41"/>
      <c r="L743" s="54"/>
      <c r="M743" s="54"/>
      <c r="N743" s="61"/>
      <c r="O743" s="60"/>
      <c r="P743" s="58"/>
      <c r="Q743" s="59"/>
      <c r="R743" s="56"/>
    </row>
    <row r="744" spans="1:18" x14ac:dyDescent="0.3">
      <c r="A744" s="1" t="s">
        <v>78</v>
      </c>
      <c r="D744" s="1" t="str">
        <f t="shared" ref="D744:D807" si="1080">H744</f>
        <v>"Business Central","CRONUS JetCorp USA","25","1","249205"</v>
      </c>
      <c r="E744" s="1">
        <f t="shared" ref="E744" si="1081">I739</f>
        <v>0</v>
      </c>
      <c r="G744" s="1">
        <v>249205</v>
      </c>
      <c r="H744" s="9" t="str">
        <f>"""Business Central"",""CRONUS JetCorp USA"",""25"",""1"",""249205"""</f>
        <v>"Business Central","CRONUS JetCorp USA","25","1","249205"</v>
      </c>
      <c r="I744" s="51"/>
      <c r="J744" s="52" t="str">
        <f>"Order PO102624"</f>
        <v>Order PO102624</v>
      </c>
      <c r="K744" s="52" t="str">
        <f>"PI_102623"</f>
        <v>PI_102623</v>
      </c>
      <c r="L744" s="53">
        <v>42216</v>
      </c>
      <c r="M744" s="53">
        <v>44013</v>
      </c>
      <c r="N744" s="57" t="str">
        <f>""</f>
        <v/>
      </c>
      <c r="O744" s="75">
        <v>0</v>
      </c>
      <c r="P744" s="76">
        <v>0</v>
      </c>
      <c r="Q744" s="77">
        <v>0</v>
      </c>
      <c r="R744" s="78">
        <v>0</v>
      </c>
    </row>
    <row r="745" spans="1:18" hidden="1" x14ac:dyDescent="0.3">
      <c r="A745" s="1" t="s">
        <v>78</v>
      </c>
      <c r="B745" s="1" t="str">
        <f t="shared" ref="B745:B808" si="1082">IF(H745="","Hide","Show")</f>
        <v>Hide</v>
      </c>
      <c r="D745" s="1" t="str">
        <f t="shared" ref="D745:D808" si="1083">D744</f>
        <v>"Business Central","CRONUS JetCorp USA","25","1","249205"</v>
      </c>
      <c r="E745" s="1">
        <f t="shared" ref="E745:E808" si="1084">E744</f>
        <v>0</v>
      </c>
      <c r="F745" s="1" t="str">
        <f>""</f>
        <v/>
      </c>
      <c r="H745" s="9" t="str">
        <f>""</f>
        <v/>
      </c>
      <c r="I745" s="48"/>
      <c r="J745" s="41" t="str">
        <f>""</f>
        <v/>
      </c>
      <c r="K745" s="41" t="str">
        <f>""</f>
        <v/>
      </c>
      <c r="L745" s="54"/>
      <c r="M745" s="54" t="str">
        <f>""</f>
        <v/>
      </c>
      <c r="N745" s="57" t="str">
        <f>""</f>
        <v/>
      </c>
      <c r="O745" s="75">
        <v>0</v>
      </c>
      <c r="P745" s="76" t="str">
        <f>""</f>
        <v/>
      </c>
      <c r="Q745" s="77" t="str">
        <f>""</f>
        <v/>
      </c>
      <c r="R745" s="78">
        <v>0</v>
      </c>
    </row>
    <row r="746" spans="1:18" ht="9" customHeight="1" x14ac:dyDescent="0.3">
      <c r="A746" s="1" t="s">
        <v>78</v>
      </c>
      <c r="I746" s="48"/>
      <c r="J746" s="41"/>
      <c r="K746" s="41"/>
      <c r="L746" s="54"/>
      <c r="M746" s="54"/>
      <c r="N746" s="61"/>
      <c r="O746" s="60"/>
      <c r="P746" s="58"/>
      <c r="Q746" s="59"/>
      <c r="R746" s="56"/>
    </row>
    <row r="747" spans="1:18" x14ac:dyDescent="0.3">
      <c r="A747" s="1" t="s">
        <v>78</v>
      </c>
      <c r="D747" s="1" t="str">
        <f t="shared" ref="D747:D810" si="1085">H747</f>
        <v>"Business Central","CRONUS JetCorp USA","25","1","249208"</v>
      </c>
      <c r="E747" s="1">
        <f t="shared" ref="E747" si="1086">I742</f>
        <v>0</v>
      </c>
      <c r="G747" s="1">
        <v>249208</v>
      </c>
      <c r="H747" s="9" t="str">
        <f>"""Business Central"",""CRONUS JetCorp USA"",""25"",""1"",""249208"""</f>
        <v>"Business Central","CRONUS JetCorp USA","25","1","249208"</v>
      </c>
      <c r="I747" s="51"/>
      <c r="J747" s="52" t="str">
        <f>"Order PO102625"</f>
        <v>Order PO102625</v>
      </c>
      <c r="K747" s="52" t="str">
        <f>"PI_102624"</f>
        <v>PI_102624</v>
      </c>
      <c r="L747" s="53">
        <v>42247</v>
      </c>
      <c r="M747" s="53">
        <v>44044</v>
      </c>
      <c r="N747" s="57" t="str">
        <f>""</f>
        <v/>
      </c>
      <c r="O747" s="75">
        <v>0</v>
      </c>
      <c r="P747" s="76">
        <v>0</v>
      </c>
      <c r="Q747" s="77">
        <v>0</v>
      </c>
      <c r="R747" s="78">
        <v>0</v>
      </c>
    </row>
    <row r="748" spans="1:18" hidden="1" x14ac:dyDescent="0.3">
      <c r="A748" s="1" t="s">
        <v>78</v>
      </c>
      <c r="B748" s="1" t="str">
        <f t="shared" ref="B748:B811" si="1087">IF(H748="","Hide","Show")</f>
        <v>Hide</v>
      </c>
      <c r="D748" s="1" t="str">
        <f t="shared" ref="D748:D811" si="1088">D747</f>
        <v>"Business Central","CRONUS JetCorp USA","25","1","249208"</v>
      </c>
      <c r="E748" s="1">
        <f t="shared" ref="E748:E811" si="1089">E747</f>
        <v>0</v>
      </c>
      <c r="F748" s="1" t="str">
        <f>""</f>
        <v/>
      </c>
      <c r="H748" s="9" t="str">
        <f>""</f>
        <v/>
      </c>
      <c r="I748" s="48"/>
      <c r="J748" s="41" t="str">
        <f>""</f>
        <v/>
      </c>
      <c r="K748" s="41" t="str">
        <f>""</f>
        <v/>
      </c>
      <c r="L748" s="54"/>
      <c r="M748" s="54" t="str">
        <f>""</f>
        <v/>
      </c>
      <c r="N748" s="57" t="str">
        <f>""</f>
        <v/>
      </c>
      <c r="O748" s="75">
        <v>0</v>
      </c>
      <c r="P748" s="76" t="str">
        <f>""</f>
        <v/>
      </c>
      <c r="Q748" s="77" t="str">
        <f>""</f>
        <v/>
      </c>
      <c r="R748" s="78">
        <v>0</v>
      </c>
    </row>
    <row r="749" spans="1:18" ht="9" customHeight="1" x14ac:dyDescent="0.3">
      <c r="A749" s="1" t="s">
        <v>78</v>
      </c>
      <c r="I749" s="48"/>
      <c r="J749" s="41"/>
      <c r="K749" s="41"/>
      <c r="L749" s="54"/>
      <c r="M749" s="54"/>
      <c r="N749" s="61"/>
      <c r="O749" s="60"/>
      <c r="P749" s="58"/>
      <c r="Q749" s="59"/>
      <c r="R749" s="56"/>
    </row>
    <row r="750" spans="1:18" x14ac:dyDescent="0.3">
      <c r="A750" s="1" t="s">
        <v>78</v>
      </c>
      <c r="D750" s="1" t="str">
        <f t="shared" ref="D750:D813" si="1090">H750</f>
        <v>"Business Central","CRONUS JetCorp USA","25","1","249211"</v>
      </c>
      <c r="E750" s="1">
        <f t="shared" ref="E750" si="1091">I745</f>
        <v>0</v>
      </c>
      <c r="G750" s="1">
        <v>249211</v>
      </c>
      <c r="H750" s="9" t="str">
        <f>"""Business Central"",""CRONUS JetCorp USA"",""25"",""1"",""249211"""</f>
        <v>"Business Central","CRONUS JetCorp USA","25","1","249211"</v>
      </c>
      <c r="I750" s="51"/>
      <c r="J750" s="52" t="str">
        <f>"Order PO102626"</f>
        <v>Order PO102626</v>
      </c>
      <c r="K750" s="52" t="str">
        <f>"PI_102625"</f>
        <v>PI_102625</v>
      </c>
      <c r="L750" s="53">
        <v>42277</v>
      </c>
      <c r="M750" s="53">
        <v>44075</v>
      </c>
      <c r="N750" s="57" t="str">
        <f>""</f>
        <v/>
      </c>
      <c r="O750" s="75">
        <v>0</v>
      </c>
      <c r="P750" s="76">
        <v>0</v>
      </c>
      <c r="Q750" s="77">
        <v>0</v>
      </c>
      <c r="R750" s="78">
        <v>0</v>
      </c>
    </row>
    <row r="751" spans="1:18" hidden="1" x14ac:dyDescent="0.3">
      <c r="A751" s="1" t="s">
        <v>78</v>
      </c>
      <c r="B751" s="1" t="str">
        <f t="shared" ref="B751:B814" si="1092">IF(H751="","Hide","Show")</f>
        <v>Hide</v>
      </c>
      <c r="D751" s="1" t="str">
        <f t="shared" ref="D751:D814" si="1093">D750</f>
        <v>"Business Central","CRONUS JetCorp USA","25","1","249211"</v>
      </c>
      <c r="E751" s="1">
        <f t="shared" ref="E751:E814" si="1094">E750</f>
        <v>0</v>
      </c>
      <c r="F751" s="1" t="str">
        <f>""</f>
        <v/>
      </c>
      <c r="H751" s="9" t="str">
        <f>""</f>
        <v/>
      </c>
      <c r="I751" s="48"/>
      <c r="J751" s="41" t="str">
        <f>""</f>
        <v/>
      </c>
      <c r="K751" s="41" t="str">
        <f>""</f>
        <v/>
      </c>
      <c r="L751" s="54"/>
      <c r="M751" s="54" t="str">
        <f>""</f>
        <v/>
      </c>
      <c r="N751" s="57" t="str">
        <f>""</f>
        <v/>
      </c>
      <c r="O751" s="75">
        <v>0</v>
      </c>
      <c r="P751" s="76" t="str">
        <f>""</f>
        <v/>
      </c>
      <c r="Q751" s="77" t="str">
        <f>""</f>
        <v/>
      </c>
      <c r="R751" s="78">
        <v>0</v>
      </c>
    </row>
    <row r="752" spans="1:18" ht="9" customHeight="1" x14ac:dyDescent="0.3">
      <c r="A752" s="1" t="s">
        <v>78</v>
      </c>
      <c r="I752" s="48"/>
      <c r="J752" s="41"/>
      <c r="K752" s="41"/>
      <c r="L752" s="54"/>
      <c r="M752" s="54"/>
      <c r="N752" s="61"/>
      <c r="O752" s="60"/>
      <c r="P752" s="58"/>
      <c r="Q752" s="59"/>
      <c r="R752" s="56"/>
    </row>
    <row r="753" spans="1:18" x14ac:dyDescent="0.3">
      <c r="A753" s="1" t="s">
        <v>78</v>
      </c>
      <c r="D753" s="1" t="str">
        <f t="shared" ref="D753:D816" si="1095">H753</f>
        <v>"Business Central","CRONUS JetCorp USA","25","1","249214"</v>
      </c>
      <c r="E753" s="1">
        <f t="shared" ref="E753" si="1096">I748</f>
        <v>0</v>
      </c>
      <c r="G753" s="1">
        <v>249214</v>
      </c>
      <c r="H753" s="9" t="str">
        <f>"""Business Central"",""CRONUS JetCorp USA"",""25"",""1"",""249214"""</f>
        <v>"Business Central","CRONUS JetCorp USA","25","1","249214"</v>
      </c>
      <c r="I753" s="51"/>
      <c r="J753" s="52" t="str">
        <f>"Order PO102627"</f>
        <v>Order PO102627</v>
      </c>
      <c r="K753" s="52" t="str">
        <f>"PI_102626"</f>
        <v>PI_102626</v>
      </c>
      <c r="L753" s="53">
        <v>42308</v>
      </c>
      <c r="M753" s="53">
        <v>44105</v>
      </c>
      <c r="N753" s="57" t="str">
        <f>""</f>
        <v/>
      </c>
      <c r="O753" s="75">
        <v>0</v>
      </c>
      <c r="P753" s="76">
        <v>0</v>
      </c>
      <c r="Q753" s="77">
        <v>0</v>
      </c>
      <c r="R753" s="78">
        <v>0</v>
      </c>
    </row>
    <row r="754" spans="1:18" hidden="1" x14ac:dyDescent="0.3">
      <c r="A754" s="1" t="s">
        <v>78</v>
      </c>
      <c r="B754" s="1" t="str">
        <f t="shared" ref="B754:B817" si="1097">IF(H754="","Hide","Show")</f>
        <v>Hide</v>
      </c>
      <c r="D754" s="1" t="str">
        <f t="shared" ref="D754:D817" si="1098">D753</f>
        <v>"Business Central","CRONUS JetCorp USA","25","1","249214"</v>
      </c>
      <c r="E754" s="1">
        <f t="shared" ref="E754:E817" si="1099">E753</f>
        <v>0</v>
      </c>
      <c r="F754" s="1" t="str">
        <f>""</f>
        <v/>
      </c>
      <c r="H754" s="9" t="str">
        <f>""</f>
        <v/>
      </c>
      <c r="I754" s="48"/>
      <c r="J754" s="41" t="str">
        <f>""</f>
        <v/>
      </c>
      <c r="K754" s="41" t="str">
        <f>""</f>
        <v/>
      </c>
      <c r="L754" s="54"/>
      <c r="M754" s="54" t="str">
        <f>""</f>
        <v/>
      </c>
      <c r="N754" s="57" t="str">
        <f>""</f>
        <v/>
      </c>
      <c r="O754" s="75">
        <v>0</v>
      </c>
      <c r="P754" s="76" t="str">
        <f>""</f>
        <v/>
      </c>
      <c r="Q754" s="77" t="str">
        <f>""</f>
        <v/>
      </c>
      <c r="R754" s="78">
        <v>0</v>
      </c>
    </row>
    <row r="755" spans="1:18" ht="9" customHeight="1" x14ac:dyDescent="0.3">
      <c r="A755" s="1" t="s">
        <v>78</v>
      </c>
      <c r="I755" s="48"/>
      <c r="J755" s="41"/>
      <c r="K755" s="41"/>
      <c r="L755" s="54"/>
      <c r="M755" s="54"/>
      <c r="N755" s="61"/>
      <c r="O755" s="60"/>
      <c r="P755" s="58"/>
      <c r="Q755" s="59"/>
      <c r="R755" s="56"/>
    </row>
    <row r="756" spans="1:18" x14ac:dyDescent="0.3">
      <c r="A756" s="1" t="s">
        <v>78</v>
      </c>
      <c r="D756" s="1" t="str">
        <f t="shared" ref="D756:D819" si="1100">H756</f>
        <v>"Business Central","CRONUS JetCorp USA","25","1","249217"</v>
      </c>
      <c r="E756" s="1">
        <f t="shared" ref="E756" si="1101">I751</f>
        <v>0</v>
      </c>
      <c r="G756" s="1">
        <v>249217</v>
      </c>
      <c r="H756" s="9" t="str">
        <f>"""Business Central"",""CRONUS JetCorp USA"",""25"",""1"",""249217"""</f>
        <v>"Business Central","CRONUS JetCorp USA","25","1","249217"</v>
      </c>
      <c r="I756" s="51"/>
      <c r="J756" s="52" t="str">
        <f>"Order PO102628"</f>
        <v>Order PO102628</v>
      </c>
      <c r="K756" s="52" t="str">
        <f>"PI_102627"</f>
        <v>PI_102627</v>
      </c>
      <c r="L756" s="53">
        <v>42338</v>
      </c>
      <c r="M756" s="53">
        <v>44136</v>
      </c>
      <c r="N756" s="57" t="str">
        <f>""</f>
        <v/>
      </c>
      <c r="O756" s="75">
        <v>0</v>
      </c>
      <c r="P756" s="76">
        <v>0</v>
      </c>
      <c r="Q756" s="77">
        <v>0</v>
      </c>
      <c r="R756" s="78">
        <v>0</v>
      </c>
    </row>
    <row r="757" spans="1:18" hidden="1" x14ac:dyDescent="0.3">
      <c r="A757" s="1" t="s">
        <v>78</v>
      </c>
      <c r="B757" s="1" t="str">
        <f t="shared" ref="B757:B820" si="1102">IF(H757="","Hide","Show")</f>
        <v>Hide</v>
      </c>
      <c r="D757" s="1" t="str">
        <f t="shared" ref="D757:D820" si="1103">D756</f>
        <v>"Business Central","CRONUS JetCorp USA","25","1","249217"</v>
      </c>
      <c r="E757" s="1">
        <f t="shared" ref="E757:E820" si="1104">E756</f>
        <v>0</v>
      </c>
      <c r="F757" s="1" t="str">
        <f>""</f>
        <v/>
      </c>
      <c r="H757" s="9" t="str">
        <f>""</f>
        <v/>
      </c>
      <c r="I757" s="48"/>
      <c r="J757" s="41" t="str">
        <f>""</f>
        <v/>
      </c>
      <c r="K757" s="41" t="str">
        <f>""</f>
        <v/>
      </c>
      <c r="L757" s="54"/>
      <c r="M757" s="54" t="str">
        <f>""</f>
        <v/>
      </c>
      <c r="N757" s="57" t="str">
        <f>""</f>
        <v/>
      </c>
      <c r="O757" s="75">
        <v>0</v>
      </c>
      <c r="P757" s="76" t="str">
        <f>""</f>
        <v/>
      </c>
      <c r="Q757" s="77" t="str">
        <f>""</f>
        <v/>
      </c>
      <c r="R757" s="78">
        <v>0</v>
      </c>
    </row>
    <row r="758" spans="1:18" ht="9" customHeight="1" x14ac:dyDescent="0.3">
      <c r="A758" s="1" t="s">
        <v>78</v>
      </c>
      <c r="I758" s="48"/>
      <c r="J758" s="41"/>
      <c r="K758" s="41"/>
      <c r="L758" s="54"/>
      <c r="M758" s="54"/>
      <c r="N758" s="61"/>
      <c r="O758" s="60"/>
      <c r="P758" s="58"/>
      <c r="Q758" s="59"/>
      <c r="R758" s="56"/>
    </row>
    <row r="759" spans="1:18" x14ac:dyDescent="0.3">
      <c r="A759" s="1" t="s">
        <v>78</v>
      </c>
      <c r="D759" s="1" t="str">
        <f t="shared" ref="D759:D822" si="1105">H759</f>
        <v>"Business Central","CRONUS JetCorp USA","25","1","249220"</v>
      </c>
      <c r="E759" s="1">
        <f t="shared" ref="E759" si="1106">I754</f>
        <v>0</v>
      </c>
      <c r="G759" s="1">
        <v>249220</v>
      </c>
      <c r="H759" s="9" t="str">
        <f>"""Business Central"",""CRONUS JetCorp USA"",""25"",""1"",""249220"""</f>
        <v>"Business Central","CRONUS JetCorp USA","25","1","249220"</v>
      </c>
      <c r="I759" s="51"/>
      <c r="J759" s="52" t="str">
        <f>"Order PO102629"</f>
        <v>Order PO102629</v>
      </c>
      <c r="K759" s="52" t="str">
        <f>"PI_102628"</f>
        <v>PI_102628</v>
      </c>
      <c r="L759" s="53">
        <v>42369</v>
      </c>
      <c r="M759" s="53">
        <v>44166</v>
      </c>
      <c r="N759" s="57" t="str">
        <f>""</f>
        <v/>
      </c>
      <c r="O759" s="75">
        <v>0</v>
      </c>
      <c r="P759" s="76">
        <v>0</v>
      </c>
      <c r="Q759" s="77">
        <v>0</v>
      </c>
      <c r="R759" s="78">
        <v>0</v>
      </c>
    </row>
    <row r="760" spans="1:18" hidden="1" x14ac:dyDescent="0.3">
      <c r="A760" s="1" t="s">
        <v>78</v>
      </c>
      <c r="B760" s="1" t="str">
        <f t="shared" ref="B760:B823" si="1107">IF(H760="","Hide","Show")</f>
        <v>Hide</v>
      </c>
      <c r="D760" s="1" t="str">
        <f t="shared" ref="D760:D823" si="1108">D759</f>
        <v>"Business Central","CRONUS JetCorp USA","25","1","249220"</v>
      </c>
      <c r="E760" s="1">
        <f t="shared" ref="E760:E823" si="1109">E759</f>
        <v>0</v>
      </c>
      <c r="F760" s="1" t="str">
        <f>""</f>
        <v/>
      </c>
      <c r="H760" s="9" t="str">
        <f>""</f>
        <v/>
      </c>
      <c r="I760" s="48"/>
      <c r="J760" s="41" t="str">
        <f>""</f>
        <v/>
      </c>
      <c r="K760" s="41" t="str">
        <f>""</f>
        <v/>
      </c>
      <c r="L760" s="54"/>
      <c r="M760" s="54" t="str">
        <f>""</f>
        <v/>
      </c>
      <c r="N760" s="57" t="str">
        <f>""</f>
        <v/>
      </c>
      <c r="O760" s="75">
        <v>0</v>
      </c>
      <c r="P760" s="76" t="str">
        <f>""</f>
        <v/>
      </c>
      <c r="Q760" s="77" t="str">
        <f>""</f>
        <v/>
      </c>
      <c r="R760" s="78">
        <v>0</v>
      </c>
    </row>
    <row r="761" spans="1:18" ht="9" customHeight="1" x14ac:dyDescent="0.3">
      <c r="A761" s="1" t="s">
        <v>78</v>
      </c>
      <c r="I761" s="48"/>
      <c r="J761" s="41"/>
      <c r="K761" s="41"/>
      <c r="L761" s="54"/>
      <c r="M761" s="54"/>
      <c r="N761" s="61"/>
      <c r="O761" s="60"/>
      <c r="P761" s="58"/>
      <c r="Q761" s="59"/>
      <c r="R761" s="56"/>
    </row>
    <row r="762" spans="1:18" x14ac:dyDescent="0.3">
      <c r="A762" s="1" t="s">
        <v>78</v>
      </c>
      <c r="D762" s="1" t="str">
        <f t="shared" ref="D762:D825" si="1110">H762</f>
        <v>"Business Central","CRONUS JetCorp USA","25","1","249223"</v>
      </c>
      <c r="E762" s="1">
        <f t="shared" ref="E762" si="1111">I757</f>
        <v>0</v>
      </c>
      <c r="G762" s="1">
        <v>249223</v>
      </c>
      <c r="H762" s="9" t="str">
        <f>"""Business Central"",""CRONUS JetCorp USA"",""25"",""1"",""249223"""</f>
        <v>"Business Central","CRONUS JetCorp USA","25","1","249223"</v>
      </c>
      <c r="I762" s="51"/>
      <c r="J762" s="52" t="str">
        <f>"Order PO102630"</f>
        <v>Order PO102630</v>
      </c>
      <c r="K762" s="52" t="str">
        <f>"PI_102629"</f>
        <v>PI_102629</v>
      </c>
      <c r="L762" s="53">
        <v>42766</v>
      </c>
      <c r="M762" s="53">
        <v>42736</v>
      </c>
      <c r="N762" s="57" t="str">
        <f>""</f>
        <v/>
      </c>
      <c r="O762" s="75">
        <v>0</v>
      </c>
      <c r="P762" s="76">
        <v>0</v>
      </c>
      <c r="Q762" s="77">
        <v>0</v>
      </c>
      <c r="R762" s="78">
        <v>0</v>
      </c>
    </row>
    <row r="763" spans="1:18" hidden="1" x14ac:dyDescent="0.3">
      <c r="A763" s="1" t="s">
        <v>78</v>
      </c>
      <c r="B763" s="1" t="str">
        <f t="shared" ref="B763:B826" si="1112">IF(H763="","Hide","Show")</f>
        <v>Hide</v>
      </c>
      <c r="D763" s="1" t="str">
        <f t="shared" ref="D763:D826" si="1113">D762</f>
        <v>"Business Central","CRONUS JetCorp USA","25","1","249223"</v>
      </c>
      <c r="E763" s="1">
        <f t="shared" ref="E763:E826" si="1114">E762</f>
        <v>0</v>
      </c>
      <c r="F763" s="1" t="str">
        <f>""</f>
        <v/>
      </c>
      <c r="H763" s="9" t="str">
        <f>""</f>
        <v/>
      </c>
      <c r="I763" s="48"/>
      <c r="J763" s="41" t="str">
        <f>""</f>
        <v/>
      </c>
      <c r="K763" s="41" t="str">
        <f>""</f>
        <v/>
      </c>
      <c r="L763" s="54"/>
      <c r="M763" s="54" t="str">
        <f>""</f>
        <v/>
      </c>
      <c r="N763" s="57" t="str">
        <f>""</f>
        <v/>
      </c>
      <c r="O763" s="75">
        <v>0</v>
      </c>
      <c r="P763" s="76" t="str">
        <f>""</f>
        <v/>
      </c>
      <c r="Q763" s="77" t="str">
        <f>""</f>
        <v/>
      </c>
      <c r="R763" s="78">
        <v>0</v>
      </c>
    </row>
    <row r="764" spans="1:18" ht="9" customHeight="1" x14ac:dyDescent="0.3">
      <c r="A764" s="1" t="s">
        <v>78</v>
      </c>
      <c r="I764" s="48"/>
      <c r="J764" s="41"/>
      <c r="K764" s="41"/>
      <c r="L764" s="54"/>
      <c r="M764" s="54"/>
      <c r="N764" s="61"/>
      <c r="O764" s="60"/>
      <c r="P764" s="58"/>
      <c r="Q764" s="59"/>
      <c r="R764" s="56"/>
    </row>
    <row r="765" spans="1:18" x14ac:dyDescent="0.3">
      <c r="A765" s="1" t="s">
        <v>78</v>
      </c>
      <c r="D765" s="1" t="str">
        <f t="shared" ref="D765:D828" si="1115">H765</f>
        <v>"Business Central","CRONUS JetCorp USA","25","1","249226"</v>
      </c>
      <c r="E765" s="1">
        <f t="shared" ref="E765" si="1116">I760</f>
        <v>0</v>
      </c>
      <c r="G765" s="1">
        <v>249226</v>
      </c>
      <c r="H765" s="9" t="str">
        <f>"""Business Central"",""CRONUS JetCorp USA"",""25"",""1"",""249226"""</f>
        <v>"Business Central","CRONUS JetCorp USA","25","1","249226"</v>
      </c>
      <c r="I765" s="51"/>
      <c r="J765" s="52" t="str">
        <f>"Order PO102631"</f>
        <v>Order PO102631</v>
      </c>
      <c r="K765" s="52" t="str">
        <f>"PI_102630"</f>
        <v>PI_102630</v>
      </c>
      <c r="L765" s="53">
        <v>42794</v>
      </c>
      <c r="M765" s="53">
        <v>42767</v>
      </c>
      <c r="N765" s="57" t="str">
        <f>""</f>
        <v/>
      </c>
      <c r="O765" s="75">
        <v>0</v>
      </c>
      <c r="P765" s="76">
        <v>0</v>
      </c>
      <c r="Q765" s="77">
        <v>0</v>
      </c>
      <c r="R765" s="78">
        <v>0</v>
      </c>
    </row>
    <row r="766" spans="1:18" hidden="1" x14ac:dyDescent="0.3">
      <c r="A766" s="1" t="s">
        <v>78</v>
      </c>
      <c r="B766" s="1" t="str">
        <f t="shared" ref="B766:B829" si="1117">IF(H766="","Hide","Show")</f>
        <v>Hide</v>
      </c>
      <c r="D766" s="1" t="str">
        <f t="shared" ref="D766:D829" si="1118">D765</f>
        <v>"Business Central","CRONUS JetCorp USA","25","1","249226"</v>
      </c>
      <c r="E766" s="1">
        <f t="shared" ref="E766:E829" si="1119">E765</f>
        <v>0</v>
      </c>
      <c r="F766" s="1" t="str">
        <f>""</f>
        <v/>
      </c>
      <c r="H766" s="9" t="str">
        <f>""</f>
        <v/>
      </c>
      <c r="I766" s="48"/>
      <c r="J766" s="41" t="str">
        <f>""</f>
        <v/>
      </c>
      <c r="K766" s="41" t="str">
        <f>""</f>
        <v/>
      </c>
      <c r="L766" s="54"/>
      <c r="M766" s="54" t="str">
        <f>""</f>
        <v/>
      </c>
      <c r="N766" s="57" t="str">
        <f>""</f>
        <v/>
      </c>
      <c r="O766" s="75">
        <v>0</v>
      </c>
      <c r="P766" s="76" t="str">
        <f>""</f>
        <v/>
      </c>
      <c r="Q766" s="77" t="str">
        <f>""</f>
        <v/>
      </c>
      <c r="R766" s="78">
        <v>0</v>
      </c>
    </row>
    <row r="767" spans="1:18" ht="9" customHeight="1" x14ac:dyDescent="0.3">
      <c r="A767" s="1" t="s">
        <v>78</v>
      </c>
      <c r="I767" s="48"/>
      <c r="J767" s="41"/>
      <c r="K767" s="41"/>
      <c r="L767" s="54"/>
      <c r="M767" s="54"/>
      <c r="N767" s="61"/>
      <c r="O767" s="60"/>
      <c r="P767" s="58"/>
      <c r="Q767" s="59"/>
      <c r="R767" s="56"/>
    </row>
    <row r="768" spans="1:18" x14ac:dyDescent="0.3">
      <c r="A768" s="1" t="s">
        <v>78</v>
      </c>
      <c r="D768" s="1" t="str">
        <f t="shared" ref="D768:D831" si="1120">H768</f>
        <v>"Business Central","CRONUS JetCorp USA","25","1","249229"</v>
      </c>
      <c r="E768" s="1">
        <f t="shared" ref="E768" si="1121">I763</f>
        <v>0</v>
      </c>
      <c r="G768" s="1">
        <v>249229</v>
      </c>
      <c r="H768" s="9" t="str">
        <f>"""Business Central"",""CRONUS JetCorp USA"",""25"",""1"",""249229"""</f>
        <v>"Business Central","CRONUS JetCorp USA","25","1","249229"</v>
      </c>
      <c r="I768" s="51"/>
      <c r="J768" s="52" t="str">
        <f>"Order PO102632"</f>
        <v>Order PO102632</v>
      </c>
      <c r="K768" s="52" t="str">
        <f>"PI_102631"</f>
        <v>PI_102631</v>
      </c>
      <c r="L768" s="53">
        <v>42825</v>
      </c>
      <c r="M768" s="53">
        <v>42795</v>
      </c>
      <c r="N768" s="57" t="str">
        <f>""</f>
        <v/>
      </c>
      <c r="O768" s="75">
        <v>0</v>
      </c>
      <c r="P768" s="76">
        <v>0</v>
      </c>
      <c r="Q768" s="77">
        <v>0</v>
      </c>
      <c r="R768" s="78">
        <v>0</v>
      </c>
    </row>
    <row r="769" spans="1:18" hidden="1" x14ac:dyDescent="0.3">
      <c r="A769" s="1" t="s">
        <v>78</v>
      </c>
      <c r="B769" s="1" t="str">
        <f t="shared" ref="B769:B832" si="1122">IF(H769="","Hide","Show")</f>
        <v>Hide</v>
      </c>
      <c r="D769" s="1" t="str">
        <f t="shared" ref="D769:D832" si="1123">D768</f>
        <v>"Business Central","CRONUS JetCorp USA","25","1","249229"</v>
      </c>
      <c r="E769" s="1">
        <f t="shared" ref="E769:E832" si="1124">E768</f>
        <v>0</v>
      </c>
      <c r="F769" s="1" t="str">
        <f>""</f>
        <v/>
      </c>
      <c r="H769" s="9" t="str">
        <f>""</f>
        <v/>
      </c>
      <c r="I769" s="48"/>
      <c r="J769" s="41" t="str">
        <f>""</f>
        <v/>
      </c>
      <c r="K769" s="41" t="str">
        <f>""</f>
        <v/>
      </c>
      <c r="L769" s="54"/>
      <c r="M769" s="54" t="str">
        <f>""</f>
        <v/>
      </c>
      <c r="N769" s="57" t="str">
        <f>""</f>
        <v/>
      </c>
      <c r="O769" s="75">
        <v>0</v>
      </c>
      <c r="P769" s="76" t="str">
        <f>""</f>
        <v/>
      </c>
      <c r="Q769" s="77" t="str">
        <f>""</f>
        <v/>
      </c>
      <c r="R769" s="78">
        <v>0</v>
      </c>
    </row>
    <row r="770" spans="1:18" ht="9" customHeight="1" x14ac:dyDescent="0.3">
      <c r="A770" s="1" t="s">
        <v>78</v>
      </c>
      <c r="I770" s="48"/>
      <c r="J770" s="41"/>
      <c r="K770" s="41"/>
      <c r="L770" s="54"/>
      <c r="M770" s="54"/>
      <c r="N770" s="61"/>
      <c r="O770" s="60"/>
      <c r="P770" s="58"/>
      <c r="Q770" s="59"/>
      <c r="R770" s="56"/>
    </row>
    <row r="771" spans="1:18" x14ac:dyDescent="0.3">
      <c r="A771" s="1" t="s">
        <v>78</v>
      </c>
      <c r="D771" s="1" t="str">
        <f t="shared" ref="D771:D834" si="1125">H771</f>
        <v>"Business Central","CRONUS JetCorp USA","25","1","249232"</v>
      </c>
      <c r="E771" s="1">
        <f t="shared" ref="E771" si="1126">I766</f>
        <v>0</v>
      </c>
      <c r="G771" s="1">
        <v>249232</v>
      </c>
      <c r="H771" s="9" t="str">
        <f>"""Business Central"",""CRONUS JetCorp USA"",""25"",""1"",""249232"""</f>
        <v>"Business Central","CRONUS JetCorp USA","25","1","249232"</v>
      </c>
      <c r="I771" s="51"/>
      <c r="J771" s="52" t="str">
        <f>"Order PO102633"</f>
        <v>Order PO102633</v>
      </c>
      <c r="K771" s="52" t="str">
        <f>"PI_102632"</f>
        <v>PI_102632</v>
      </c>
      <c r="L771" s="53">
        <v>42855</v>
      </c>
      <c r="M771" s="53">
        <v>42826</v>
      </c>
      <c r="N771" s="57" t="str">
        <f>""</f>
        <v/>
      </c>
      <c r="O771" s="75">
        <v>0</v>
      </c>
      <c r="P771" s="76">
        <v>0</v>
      </c>
      <c r="Q771" s="77">
        <v>0</v>
      </c>
      <c r="R771" s="78">
        <v>0</v>
      </c>
    </row>
    <row r="772" spans="1:18" hidden="1" x14ac:dyDescent="0.3">
      <c r="A772" s="1" t="s">
        <v>78</v>
      </c>
      <c r="B772" s="1" t="str">
        <f t="shared" ref="B772:B835" si="1127">IF(H772="","Hide","Show")</f>
        <v>Hide</v>
      </c>
      <c r="D772" s="1" t="str">
        <f t="shared" ref="D772:D835" si="1128">D771</f>
        <v>"Business Central","CRONUS JetCorp USA","25","1","249232"</v>
      </c>
      <c r="E772" s="1">
        <f t="shared" ref="E772:E835" si="1129">E771</f>
        <v>0</v>
      </c>
      <c r="F772" s="1" t="str">
        <f>""</f>
        <v/>
      </c>
      <c r="H772" s="9" t="str">
        <f>""</f>
        <v/>
      </c>
      <c r="I772" s="48"/>
      <c r="J772" s="41" t="str">
        <f>""</f>
        <v/>
      </c>
      <c r="K772" s="41" t="str">
        <f>""</f>
        <v/>
      </c>
      <c r="L772" s="54"/>
      <c r="M772" s="54" t="str">
        <f>""</f>
        <v/>
      </c>
      <c r="N772" s="57" t="str">
        <f>""</f>
        <v/>
      </c>
      <c r="O772" s="75">
        <v>0</v>
      </c>
      <c r="P772" s="76" t="str">
        <f>""</f>
        <v/>
      </c>
      <c r="Q772" s="77" t="str">
        <f>""</f>
        <v/>
      </c>
      <c r="R772" s="78">
        <v>0</v>
      </c>
    </row>
    <row r="773" spans="1:18" ht="9" customHeight="1" x14ac:dyDescent="0.3">
      <c r="A773" s="1" t="s">
        <v>78</v>
      </c>
      <c r="I773" s="48"/>
      <c r="J773" s="41"/>
      <c r="K773" s="41"/>
      <c r="L773" s="54"/>
      <c r="M773" s="54"/>
      <c r="N773" s="61"/>
      <c r="O773" s="60"/>
      <c r="P773" s="58"/>
      <c r="Q773" s="59"/>
      <c r="R773" s="56"/>
    </row>
    <row r="774" spans="1:18" x14ac:dyDescent="0.3">
      <c r="A774" s="1" t="s">
        <v>78</v>
      </c>
      <c r="D774" s="1" t="str">
        <f t="shared" ref="D774:D837" si="1130">H774</f>
        <v>"Business Central","CRONUS JetCorp USA","25","1","249235"</v>
      </c>
      <c r="E774" s="1">
        <f t="shared" ref="E774" si="1131">I769</f>
        <v>0</v>
      </c>
      <c r="G774" s="1">
        <v>249235</v>
      </c>
      <c r="H774" s="9" t="str">
        <f>"""Business Central"",""CRONUS JetCorp USA"",""25"",""1"",""249235"""</f>
        <v>"Business Central","CRONUS JetCorp USA","25","1","249235"</v>
      </c>
      <c r="I774" s="51"/>
      <c r="J774" s="52" t="str">
        <f>"Order PO102634"</f>
        <v>Order PO102634</v>
      </c>
      <c r="K774" s="52" t="str">
        <f>"PI_102633"</f>
        <v>PI_102633</v>
      </c>
      <c r="L774" s="53">
        <v>42886</v>
      </c>
      <c r="M774" s="53">
        <v>42856</v>
      </c>
      <c r="N774" s="57" t="str">
        <f>""</f>
        <v/>
      </c>
      <c r="O774" s="75">
        <v>0</v>
      </c>
      <c r="P774" s="76">
        <v>0</v>
      </c>
      <c r="Q774" s="77">
        <v>0</v>
      </c>
      <c r="R774" s="78">
        <v>0</v>
      </c>
    </row>
    <row r="775" spans="1:18" hidden="1" x14ac:dyDescent="0.3">
      <c r="A775" s="1" t="s">
        <v>78</v>
      </c>
      <c r="B775" s="1" t="str">
        <f t="shared" ref="B775:B838" si="1132">IF(H775="","Hide","Show")</f>
        <v>Hide</v>
      </c>
      <c r="D775" s="1" t="str">
        <f t="shared" ref="D775:D838" si="1133">D774</f>
        <v>"Business Central","CRONUS JetCorp USA","25","1","249235"</v>
      </c>
      <c r="E775" s="1">
        <f t="shared" ref="E775:E838" si="1134">E774</f>
        <v>0</v>
      </c>
      <c r="F775" s="1" t="str">
        <f>""</f>
        <v/>
      </c>
      <c r="H775" s="9" t="str">
        <f>""</f>
        <v/>
      </c>
      <c r="I775" s="48"/>
      <c r="J775" s="41" t="str">
        <f>""</f>
        <v/>
      </c>
      <c r="K775" s="41" t="str">
        <f>""</f>
        <v/>
      </c>
      <c r="L775" s="54"/>
      <c r="M775" s="54" t="str">
        <f>""</f>
        <v/>
      </c>
      <c r="N775" s="57" t="str">
        <f>""</f>
        <v/>
      </c>
      <c r="O775" s="75">
        <v>0</v>
      </c>
      <c r="P775" s="76" t="str">
        <f>""</f>
        <v/>
      </c>
      <c r="Q775" s="77" t="str">
        <f>""</f>
        <v/>
      </c>
      <c r="R775" s="78">
        <v>0</v>
      </c>
    </row>
    <row r="776" spans="1:18" ht="9" customHeight="1" x14ac:dyDescent="0.3">
      <c r="A776" s="1" t="s">
        <v>78</v>
      </c>
      <c r="I776" s="48"/>
      <c r="J776" s="41"/>
      <c r="K776" s="41"/>
      <c r="L776" s="54"/>
      <c r="M776" s="54"/>
      <c r="N776" s="61"/>
      <c r="O776" s="60"/>
      <c r="P776" s="58"/>
      <c r="Q776" s="59"/>
      <c r="R776" s="56"/>
    </row>
    <row r="777" spans="1:18" x14ac:dyDescent="0.3">
      <c r="A777" s="1" t="s">
        <v>78</v>
      </c>
      <c r="D777" s="1" t="str">
        <f t="shared" ref="D777:D840" si="1135">H777</f>
        <v>"Business Central","CRONUS JetCorp USA","25","1","249238"</v>
      </c>
      <c r="E777" s="1">
        <f t="shared" ref="E777" si="1136">I772</f>
        <v>0</v>
      </c>
      <c r="G777" s="1">
        <v>249238</v>
      </c>
      <c r="H777" s="9" t="str">
        <f>"""Business Central"",""CRONUS JetCorp USA"",""25"",""1"",""249238"""</f>
        <v>"Business Central","CRONUS JetCorp USA","25","1","249238"</v>
      </c>
      <c r="I777" s="51"/>
      <c r="J777" s="52" t="str">
        <f>"Order PO102635"</f>
        <v>Order PO102635</v>
      </c>
      <c r="K777" s="52" t="str">
        <f>"PI_102634"</f>
        <v>PI_102634</v>
      </c>
      <c r="L777" s="53">
        <v>42916</v>
      </c>
      <c r="M777" s="53">
        <v>42887</v>
      </c>
      <c r="N777" s="57" t="str">
        <f>""</f>
        <v/>
      </c>
      <c r="O777" s="75">
        <v>0</v>
      </c>
      <c r="P777" s="76">
        <v>0</v>
      </c>
      <c r="Q777" s="77">
        <v>0</v>
      </c>
      <c r="R777" s="78">
        <v>0</v>
      </c>
    </row>
    <row r="778" spans="1:18" hidden="1" x14ac:dyDescent="0.3">
      <c r="A778" s="1" t="s">
        <v>78</v>
      </c>
      <c r="B778" s="1" t="str">
        <f t="shared" ref="B778:B841" si="1137">IF(H778="","Hide","Show")</f>
        <v>Hide</v>
      </c>
      <c r="D778" s="1" t="str">
        <f t="shared" ref="D778:D841" si="1138">D777</f>
        <v>"Business Central","CRONUS JetCorp USA","25","1","249238"</v>
      </c>
      <c r="E778" s="1">
        <f t="shared" ref="E778:E841" si="1139">E777</f>
        <v>0</v>
      </c>
      <c r="F778" s="1" t="str">
        <f>""</f>
        <v/>
      </c>
      <c r="H778" s="9" t="str">
        <f>""</f>
        <v/>
      </c>
      <c r="I778" s="48"/>
      <c r="J778" s="41" t="str">
        <f>""</f>
        <v/>
      </c>
      <c r="K778" s="41" t="str">
        <f>""</f>
        <v/>
      </c>
      <c r="L778" s="54"/>
      <c r="M778" s="54" t="str">
        <f>""</f>
        <v/>
      </c>
      <c r="N778" s="57" t="str">
        <f>""</f>
        <v/>
      </c>
      <c r="O778" s="75">
        <v>0</v>
      </c>
      <c r="P778" s="76" t="str">
        <f>""</f>
        <v/>
      </c>
      <c r="Q778" s="77" t="str">
        <f>""</f>
        <v/>
      </c>
      <c r="R778" s="78">
        <v>0</v>
      </c>
    </row>
    <row r="779" spans="1:18" ht="9" customHeight="1" x14ac:dyDescent="0.3">
      <c r="A779" s="1" t="s">
        <v>78</v>
      </c>
      <c r="I779" s="48"/>
      <c r="J779" s="41"/>
      <c r="K779" s="41"/>
      <c r="L779" s="54"/>
      <c r="M779" s="54"/>
      <c r="N779" s="61"/>
      <c r="O779" s="60"/>
      <c r="P779" s="58"/>
      <c r="Q779" s="59"/>
      <c r="R779" s="56"/>
    </row>
    <row r="780" spans="1:18" x14ac:dyDescent="0.3">
      <c r="A780" s="1" t="s">
        <v>78</v>
      </c>
      <c r="D780" s="1" t="str">
        <f t="shared" ref="D780:D843" si="1140">H780</f>
        <v>"Business Central","CRONUS JetCorp USA","25","1","249241"</v>
      </c>
      <c r="E780" s="1">
        <f t="shared" ref="E780" si="1141">I775</f>
        <v>0</v>
      </c>
      <c r="G780" s="1">
        <v>249241</v>
      </c>
      <c r="H780" s="9" t="str">
        <f>"""Business Central"",""CRONUS JetCorp USA"",""25"",""1"",""249241"""</f>
        <v>"Business Central","CRONUS JetCorp USA","25","1","249241"</v>
      </c>
      <c r="I780" s="51"/>
      <c r="J780" s="52" t="str">
        <f>"Order PO102636"</f>
        <v>Order PO102636</v>
      </c>
      <c r="K780" s="52" t="str">
        <f>"PI_102635"</f>
        <v>PI_102635</v>
      </c>
      <c r="L780" s="53">
        <v>42947</v>
      </c>
      <c r="M780" s="53">
        <v>42917</v>
      </c>
      <c r="N780" s="57" t="str">
        <f>""</f>
        <v/>
      </c>
      <c r="O780" s="75">
        <v>0</v>
      </c>
      <c r="P780" s="76">
        <v>0</v>
      </c>
      <c r="Q780" s="77">
        <v>0</v>
      </c>
      <c r="R780" s="78">
        <v>0</v>
      </c>
    </row>
    <row r="781" spans="1:18" hidden="1" x14ac:dyDescent="0.3">
      <c r="A781" s="1" t="s">
        <v>78</v>
      </c>
      <c r="B781" s="1" t="str">
        <f t="shared" ref="B781:B844" si="1142">IF(H781="","Hide","Show")</f>
        <v>Hide</v>
      </c>
      <c r="D781" s="1" t="str">
        <f t="shared" ref="D781:D844" si="1143">D780</f>
        <v>"Business Central","CRONUS JetCorp USA","25","1","249241"</v>
      </c>
      <c r="E781" s="1">
        <f t="shared" ref="E781:E844" si="1144">E780</f>
        <v>0</v>
      </c>
      <c r="F781" s="1" t="str">
        <f>""</f>
        <v/>
      </c>
      <c r="H781" s="9" t="str">
        <f>""</f>
        <v/>
      </c>
      <c r="I781" s="48"/>
      <c r="J781" s="41" t="str">
        <f>""</f>
        <v/>
      </c>
      <c r="K781" s="41" t="str">
        <f>""</f>
        <v/>
      </c>
      <c r="L781" s="54"/>
      <c r="M781" s="54" t="str">
        <f>""</f>
        <v/>
      </c>
      <c r="N781" s="57" t="str">
        <f>""</f>
        <v/>
      </c>
      <c r="O781" s="75">
        <v>0</v>
      </c>
      <c r="P781" s="76" t="str">
        <f>""</f>
        <v/>
      </c>
      <c r="Q781" s="77" t="str">
        <f>""</f>
        <v/>
      </c>
      <c r="R781" s="78">
        <v>0</v>
      </c>
    </row>
    <row r="782" spans="1:18" ht="9" customHeight="1" x14ac:dyDescent="0.3">
      <c r="A782" s="1" t="s">
        <v>78</v>
      </c>
      <c r="I782" s="48"/>
      <c r="J782" s="41"/>
      <c r="K782" s="41"/>
      <c r="L782" s="54"/>
      <c r="M782" s="54"/>
      <c r="N782" s="61"/>
      <c r="O782" s="60"/>
      <c r="P782" s="58"/>
      <c r="Q782" s="59"/>
      <c r="R782" s="56"/>
    </row>
    <row r="783" spans="1:18" x14ac:dyDescent="0.3">
      <c r="A783" s="1" t="s">
        <v>78</v>
      </c>
      <c r="D783" s="1" t="str">
        <f t="shared" ref="D783:D846" si="1145">H783</f>
        <v>"Business Central","CRONUS JetCorp USA","25","1","249244"</v>
      </c>
      <c r="E783" s="1">
        <f t="shared" ref="E783" si="1146">I778</f>
        <v>0</v>
      </c>
      <c r="G783" s="1">
        <v>249244</v>
      </c>
      <c r="H783" s="9" t="str">
        <f>"""Business Central"",""CRONUS JetCorp USA"",""25"",""1"",""249244"""</f>
        <v>"Business Central","CRONUS JetCorp USA","25","1","249244"</v>
      </c>
      <c r="I783" s="51"/>
      <c r="J783" s="52" t="str">
        <f>"Order PO102637"</f>
        <v>Order PO102637</v>
      </c>
      <c r="K783" s="52" t="str">
        <f>"PI_102636"</f>
        <v>PI_102636</v>
      </c>
      <c r="L783" s="53">
        <v>42978</v>
      </c>
      <c r="M783" s="53">
        <v>42948</v>
      </c>
      <c r="N783" s="57" t="str">
        <f>""</f>
        <v/>
      </c>
      <c r="O783" s="75">
        <v>0</v>
      </c>
      <c r="P783" s="76">
        <v>0</v>
      </c>
      <c r="Q783" s="77">
        <v>0</v>
      </c>
      <c r="R783" s="78">
        <v>0</v>
      </c>
    </row>
    <row r="784" spans="1:18" hidden="1" x14ac:dyDescent="0.3">
      <c r="A784" s="1" t="s">
        <v>78</v>
      </c>
      <c r="B784" s="1" t="str">
        <f t="shared" ref="B784:B847" si="1147">IF(H784="","Hide","Show")</f>
        <v>Hide</v>
      </c>
      <c r="D784" s="1" t="str">
        <f t="shared" ref="D784:D847" si="1148">D783</f>
        <v>"Business Central","CRONUS JetCorp USA","25","1","249244"</v>
      </c>
      <c r="E784" s="1">
        <f t="shared" ref="E784:E847" si="1149">E783</f>
        <v>0</v>
      </c>
      <c r="F784" s="1" t="str">
        <f>""</f>
        <v/>
      </c>
      <c r="H784" s="9" t="str">
        <f>""</f>
        <v/>
      </c>
      <c r="I784" s="48"/>
      <c r="J784" s="41" t="str">
        <f>""</f>
        <v/>
      </c>
      <c r="K784" s="41" t="str">
        <f>""</f>
        <v/>
      </c>
      <c r="L784" s="54"/>
      <c r="M784" s="54" t="str">
        <f>""</f>
        <v/>
      </c>
      <c r="N784" s="57" t="str">
        <f>""</f>
        <v/>
      </c>
      <c r="O784" s="75">
        <v>0</v>
      </c>
      <c r="P784" s="76" t="str">
        <f>""</f>
        <v/>
      </c>
      <c r="Q784" s="77" t="str">
        <f>""</f>
        <v/>
      </c>
      <c r="R784" s="78">
        <v>0</v>
      </c>
    </row>
    <row r="785" spans="1:18" ht="9" customHeight="1" x14ac:dyDescent="0.3">
      <c r="A785" s="1" t="s">
        <v>78</v>
      </c>
      <c r="I785" s="48"/>
      <c r="J785" s="41"/>
      <c r="K785" s="41"/>
      <c r="L785" s="54"/>
      <c r="M785" s="54"/>
      <c r="N785" s="61"/>
      <c r="O785" s="60"/>
      <c r="P785" s="58"/>
      <c r="Q785" s="59"/>
      <c r="R785" s="56"/>
    </row>
    <row r="786" spans="1:18" x14ac:dyDescent="0.3">
      <c r="A786" s="1" t="s">
        <v>78</v>
      </c>
      <c r="D786" s="1" t="str">
        <f t="shared" ref="D786:D849" si="1150">H786</f>
        <v>"Business Central","CRONUS JetCorp USA","25","1","249247"</v>
      </c>
      <c r="E786" s="1">
        <f t="shared" ref="E786" si="1151">I781</f>
        <v>0</v>
      </c>
      <c r="G786" s="1">
        <v>249247</v>
      </c>
      <c r="H786" s="9" t="str">
        <f>"""Business Central"",""CRONUS JetCorp USA"",""25"",""1"",""249247"""</f>
        <v>"Business Central","CRONUS JetCorp USA","25","1","249247"</v>
      </c>
      <c r="I786" s="51"/>
      <c r="J786" s="52" t="str">
        <f>"Order PO102638"</f>
        <v>Order PO102638</v>
      </c>
      <c r="K786" s="52" t="str">
        <f>"PI_102637"</f>
        <v>PI_102637</v>
      </c>
      <c r="L786" s="53">
        <v>43008</v>
      </c>
      <c r="M786" s="53">
        <v>42979</v>
      </c>
      <c r="N786" s="57" t="str">
        <f>""</f>
        <v/>
      </c>
      <c r="O786" s="75">
        <v>0</v>
      </c>
      <c r="P786" s="76">
        <v>0</v>
      </c>
      <c r="Q786" s="77">
        <v>0</v>
      </c>
      <c r="R786" s="78">
        <v>0</v>
      </c>
    </row>
    <row r="787" spans="1:18" hidden="1" x14ac:dyDescent="0.3">
      <c r="A787" s="1" t="s">
        <v>78</v>
      </c>
      <c r="B787" s="1" t="str">
        <f t="shared" ref="B787:B850" si="1152">IF(H787="","Hide","Show")</f>
        <v>Hide</v>
      </c>
      <c r="D787" s="1" t="str">
        <f t="shared" ref="D787:D850" si="1153">D786</f>
        <v>"Business Central","CRONUS JetCorp USA","25","1","249247"</v>
      </c>
      <c r="E787" s="1">
        <f t="shared" ref="E787:E850" si="1154">E786</f>
        <v>0</v>
      </c>
      <c r="F787" s="1" t="str">
        <f>""</f>
        <v/>
      </c>
      <c r="H787" s="9" t="str">
        <f>""</f>
        <v/>
      </c>
      <c r="I787" s="48"/>
      <c r="J787" s="41" t="str">
        <f>""</f>
        <v/>
      </c>
      <c r="K787" s="41" t="str">
        <f>""</f>
        <v/>
      </c>
      <c r="L787" s="54"/>
      <c r="M787" s="54" t="str">
        <f>""</f>
        <v/>
      </c>
      <c r="N787" s="57" t="str">
        <f>""</f>
        <v/>
      </c>
      <c r="O787" s="75">
        <v>0</v>
      </c>
      <c r="P787" s="76" t="str">
        <f>""</f>
        <v/>
      </c>
      <c r="Q787" s="77" t="str">
        <f>""</f>
        <v/>
      </c>
      <c r="R787" s="78">
        <v>0</v>
      </c>
    </row>
    <row r="788" spans="1:18" ht="9" customHeight="1" x14ac:dyDescent="0.3">
      <c r="A788" s="1" t="s">
        <v>78</v>
      </c>
      <c r="I788" s="48"/>
      <c r="J788" s="41"/>
      <c r="K788" s="41"/>
      <c r="L788" s="54"/>
      <c r="M788" s="54"/>
      <c r="N788" s="61"/>
      <c r="O788" s="60"/>
      <c r="P788" s="58"/>
      <c r="Q788" s="59"/>
      <c r="R788" s="56"/>
    </row>
    <row r="789" spans="1:18" x14ac:dyDescent="0.3">
      <c r="A789" s="1" t="s">
        <v>78</v>
      </c>
      <c r="D789" s="1" t="str">
        <f t="shared" ref="D789:D852" si="1155">H789</f>
        <v>"Business Central","CRONUS JetCorp USA","25","1","249250"</v>
      </c>
      <c r="E789" s="1">
        <f t="shared" ref="E789" si="1156">I784</f>
        <v>0</v>
      </c>
      <c r="G789" s="1">
        <v>249250</v>
      </c>
      <c r="H789" s="9" t="str">
        <f>"""Business Central"",""CRONUS JetCorp USA"",""25"",""1"",""249250"""</f>
        <v>"Business Central","CRONUS JetCorp USA","25","1","249250"</v>
      </c>
      <c r="I789" s="51"/>
      <c r="J789" s="52" t="str">
        <f>"Order PO102639"</f>
        <v>Order PO102639</v>
      </c>
      <c r="K789" s="52" t="str">
        <f>"PI_102638"</f>
        <v>PI_102638</v>
      </c>
      <c r="L789" s="53">
        <v>43039</v>
      </c>
      <c r="M789" s="53">
        <v>43009</v>
      </c>
      <c r="N789" s="57" t="str">
        <f>""</f>
        <v/>
      </c>
      <c r="O789" s="75">
        <v>0</v>
      </c>
      <c r="P789" s="76">
        <v>0</v>
      </c>
      <c r="Q789" s="77">
        <v>0</v>
      </c>
      <c r="R789" s="78">
        <v>0</v>
      </c>
    </row>
    <row r="790" spans="1:18" hidden="1" x14ac:dyDescent="0.3">
      <c r="A790" s="1" t="s">
        <v>78</v>
      </c>
      <c r="B790" s="1" t="str">
        <f t="shared" ref="B790:B853" si="1157">IF(H790="","Hide","Show")</f>
        <v>Hide</v>
      </c>
      <c r="D790" s="1" t="str">
        <f t="shared" ref="D790:D853" si="1158">D789</f>
        <v>"Business Central","CRONUS JetCorp USA","25","1","249250"</v>
      </c>
      <c r="E790" s="1">
        <f t="shared" ref="E790:E853" si="1159">E789</f>
        <v>0</v>
      </c>
      <c r="F790" s="1" t="str">
        <f>""</f>
        <v/>
      </c>
      <c r="H790" s="9" t="str">
        <f>""</f>
        <v/>
      </c>
      <c r="I790" s="48"/>
      <c r="J790" s="41" t="str">
        <f>""</f>
        <v/>
      </c>
      <c r="K790" s="41" t="str">
        <f>""</f>
        <v/>
      </c>
      <c r="L790" s="54"/>
      <c r="M790" s="54" t="str">
        <f>""</f>
        <v/>
      </c>
      <c r="N790" s="57" t="str">
        <f>""</f>
        <v/>
      </c>
      <c r="O790" s="75">
        <v>0</v>
      </c>
      <c r="P790" s="76" t="str">
        <f>""</f>
        <v/>
      </c>
      <c r="Q790" s="77" t="str">
        <f>""</f>
        <v/>
      </c>
      <c r="R790" s="78">
        <v>0</v>
      </c>
    </row>
    <row r="791" spans="1:18" ht="9" customHeight="1" x14ac:dyDescent="0.3">
      <c r="A791" s="1" t="s">
        <v>78</v>
      </c>
      <c r="I791" s="48"/>
      <c r="J791" s="41"/>
      <c r="K791" s="41"/>
      <c r="L791" s="54"/>
      <c r="M791" s="54"/>
      <c r="N791" s="61"/>
      <c r="O791" s="60"/>
      <c r="P791" s="58"/>
      <c r="Q791" s="59"/>
      <c r="R791" s="56"/>
    </row>
    <row r="792" spans="1:18" x14ac:dyDescent="0.3">
      <c r="A792" s="1" t="s">
        <v>78</v>
      </c>
      <c r="D792" s="1" t="str">
        <f t="shared" ref="D792:D855" si="1160">H792</f>
        <v>"Business Central","CRONUS JetCorp USA","25","1","249253"</v>
      </c>
      <c r="E792" s="1">
        <f t="shared" ref="E792" si="1161">I787</f>
        <v>0</v>
      </c>
      <c r="G792" s="1">
        <v>249253</v>
      </c>
      <c r="H792" s="9" t="str">
        <f>"""Business Central"",""CRONUS JetCorp USA"",""25"",""1"",""249253"""</f>
        <v>"Business Central","CRONUS JetCorp USA","25","1","249253"</v>
      </c>
      <c r="I792" s="51"/>
      <c r="J792" s="52" t="str">
        <f>"Order PO102640"</f>
        <v>Order PO102640</v>
      </c>
      <c r="K792" s="52" t="str">
        <f>"PI_102639"</f>
        <v>PI_102639</v>
      </c>
      <c r="L792" s="53">
        <v>43069</v>
      </c>
      <c r="M792" s="53">
        <v>43040</v>
      </c>
      <c r="N792" s="57" t="str">
        <f>""</f>
        <v/>
      </c>
      <c r="O792" s="75">
        <v>0</v>
      </c>
      <c r="P792" s="76">
        <v>0</v>
      </c>
      <c r="Q792" s="77">
        <v>0</v>
      </c>
      <c r="R792" s="78">
        <v>0</v>
      </c>
    </row>
    <row r="793" spans="1:18" hidden="1" x14ac:dyDescent="0.3">
      <c r="A793" s="1" t="s">
        <v>78</v>
      </c>
      <c r="B793" s="1" t="str">
        <f t="shared" ref="B793:B856" si="1162">IF(H793="","Hide","Show")</f>
        <v>Hide</v>
      </c>
      <c r="D793" s="1" t="str">
        <f t="shared" ref="D793:D856" si="1163">D792</f>
        <v>"Business Central","CRONUS JetCorp USA","25","1","249253"</v>
      </c>
      <c r="E793" s="1">
        <f t="shared" ref="E793:E856" si="1164">E792</f>
        <v>0</v>
      </c>
      <c r="F793" s="1" t="str">
        <f>""</f>
        <v/>
      </c>
      <c r="H793" s="9" t="str">
        <f>""</f>
        <v/>
      </c>
      <c r="I793" s="48"/>
      <c r="J793" s="41" t="str">
        <f>""</f>
        <v/>
      </c>
      <c r="K793" s="41" t="str">
        <f>""</f>
        <v/>
      </c>
      <c r="L793" s="54"/>
      <c r="M793" s="54" t="str">
        <f>""</f>
        <v/>
      </c>
      <c r="N793" s="57" t="str">
        <f>""</f>
        <v/>
      </c>
      <c r="O793" s="75">
        <v>0</v>
      </c>
      <c r="P793" s="76" t="str">
        <f>""</f>
        <v/>
      </c>
      <c r="Q793" s="77" t="str">
        <f>""</f>
        <v/>
      </c>
      <c r="R793" s="78">
        <v>0</v>
      </c>
    </row>
    <row r="794" spans="1:18" ht="9" customHeight="1" x14ac:dyDescent="0.3">
      <c r="A794" s="1" t="s">
        <v>78</v>
      </c>
      <c r="I794" s="48"/>
      <c r="J794" s="41"/>
      <c r="K794" s="41"/>
      <c r="L794" s="54"/>
      <c r="M794" s="54"/>
      <c r="N794" s="61"/>
      <c r="O794" s="60"/>
      <c r="P794" s="58"/>
      <c r="Q794" s="59"/>
      <c r="R794" s="56"/>
    </row>
    <row r="795" spans="1:18" x14ac:dyDescent="0.3">
      <c r="A795" s="1" t="s">
        <v>78</v>
      </c>
      <c r="D795" s="1" t="str">
        <f t="shared" ref="D795:D858" si="1165">H795</f>
        <v>"Business Central","CRONUS JetCorp USA","25","1","249256"</v>
      </c>
      <c r="E795" s="1">
        <f t="shared" ref="E795" si="1166">I790</f>
        <v>0</v>
      </c>
      <c r="G795" s="1">
        <v>249256</v>
      </c>
      <c r="H795" s="9" t="str">
        <f>"""Business Central"",""CRONUS JetCorp USA"",""25"",""1"",""249256"""</f>
        <v>"Business Central","CRONUS JetCorp USA","25","1","249256"</v>
      </c>
      <c r="I795" s="51"/>
      <c r="J795" s="52" t="str">
        <f>"Order PO102641"</f>
        <v>Order PO102641</v>
      </c>
      <c r="K795" s="52" t="str">
        <f>"PI_102640"</f>
        <v>PI_102640</v>
      </c>
      <c r="L795" s="53">
        <v>43100</v>
      </c>
      <c r="M795" s="53">
        <v>43070</v>
      </c>
      <c r="N795" s="57" t="str">
        <f>""</f>
        <v/>
      </c>
      <c r="O795" s="75">
        <v>0</v>
      </c>
      <c r="P795" s="76">
        <v>0</v>
      </c>
      <c r="Q795" s="77">
        <v>0</v>
      </c>
      <c r="R795" s="78">
        <v>0</v>
      </c>
    </row>
    <row r="796" spans="1:18" hidden="1" x14ac:dyDescent="0.3">
      <c r="A796" s="1" t="s">
        <v>78</v>
      </c>
      <c r="B796" s="1" t="str">
        <f t="shared" ref="B796:B859" si="1167">IF(H796="","Hide","Show")</f>
        <v>Hide</v>
      </c>
      <c r="D796" s="1" t="str">
        <f t="shared" ref="D796:D859" si="1168">D795</f>
        <v>"Business Central","CRONUS JetCorp USA","25","1","249256"</v>
      </c>
      <c r="E796" s="1">
        <f t="shared" ref="E796:E859" si="1169">E795</f>
        <v>0</v>
      </c>
      <c r="F796" s="1" t="str">
        <f>""</f>
        <v/>
      </c>
      <c r="H796" s="9" t="str">
        <f>""</f>
        <v/>
      </c>
      <c r="I796" s="48"/>
      <c r="J796" s="41" t="str">
        <f>""</f>
        <v/>
      </c>
      <c r="K796" s="41" t="str">
        <f>""</f>
        <v/>
      </c>
      <c r="L796" s="54"/>
      <c r="M796" s="54" t="str">
        <f>""</f>
        <v/>
      </c>
      <c r="N796" s="57" t="str">
        <f>""</f>
        <v/>
      </c>
      <c r="O796" s="75">
        <v>0</v>
      </c>
      <c r="P796" s="76" t="str">
        <f>""</f>
        <v/>
      </c>
      <c r="Q796" s="77" t="str">
        <f>""</f>
        <v/>
      </c>
      <c r="R796" s="78">
        <v>0</v>
      </c>
    </row>
    <row r="797" spans="1:18" ht="9" customHeight="1" x14ac:dyDescent="0.3">
      <c r="A797" s="1" t="s">
        <v>78</v>
      </c>
      <c r="I797" s="48"/>
      <c r="J797" s="41"/>
      <c r="K797" s="41"/>
      <c r="L797" s="54"/>
      <c r="M797" s="54"/>
      <c r="N797" s="61"/>
      <c r="O797" s="60"/>
      <c r="P797" s="58"/>
      <c r="Q797" s="59"/>
      <c r="R797" s="56"/>
    </row>
    <row r="798" spans="1:18" x14ac:dyDescent="0.3">
      <c r="A798" s="1" t="s">
        <v>78</v>
      </c>
      <c r="D798" s="1" t="str">
        <f t="shared" ref="D798:D861" si="1170">H798</f>
        <v>"Business Central","CRONUS JetCorp USA","25","1","249259"</v>
      </c>
      <c r="E798" s="1">
        <f t="shared" ref="E798" si="1171">I793</f>
        <v>0</v>
      </c>
      <c r="G798" s="1">
        <v>249259</v>
      </c>
      <c r="H798" s="9" t="str">
        <f>"""Business Central"",""CRONUS JetCorp USA"",""25"",""1"",""249259"""</f>
        <v>"Business Central","CRONUS JetCorp USA","25","1","249259"</v>
      </c>
      <c r="I798" s="51"/>
      <c r="J798" s="52" t="str">
        <f>"Order PO102642"</f>
        <v>Order PO102642</v>
      </c>
      <c r="K798" s="52" t="str">
        <f>"PI_102641"</f>
        <v>PI_102641</v>
      </c>
      <c r="L798" s="53">
        <v>43131</v>
      </c>
      <c r="M798" s="53">
        <v>43101</v>
      </c>
      <c r="N798" s="57" t="str">
        <f>""</f>
        <v/>
      </c>
      <c r="O798" s="75">
        <v>0</v>
      </c>
      <c r="P798" s="76">
        <v>0</v>
      </c>
      <c r="Q798" s="77">
        <v>0</v>
      </c>
      <c r="R798" s="78">
        <v>0</v>
      </c>
    </row>
    <row r="799" spans="1:18" hidden="1" x14ac:dyDescent="0.3">
      <c r="A799" s="1" t="s">
        <v>78</v>
      </c>
      <c r="B799" s="1" t="str">
        <f t="shared" ref="B799:B862" si="1172">IF(H799="","Hide","Show")</f>
        <v>Hide</v>
      </c>
      <c r="D799" s="1" t="str">
        <f t="shared" ref="D799:D862" si="1173">D798</f>
        <v>"Business Central","CRONUS JetCorp USA","25","1","249259"</v>
      </c>
      <c r="E799" s="1">
        <f t="shared" ref="E799:E862" si="1174">E798</f>
        <v>0</v>
      </c>
      <c r="F799" s="1" t="str">
        <f>""</f>
        <v/>
      </c>
      <c r="H799" s="9" t="str">
        <f>""</f>
        <v/>
      </c>
      <c r="I799" s="48"/>
      <c r="J799" s="41" t="str">
        <f>""</f>
        <v/>
      </c>
      <c r="K799" s="41" t="str">
        <f>""</f>
        <v/>
      </c>
      <c r="L799" s="54"/>
      <c r="M799" s="54" t="str">
        <f>""</f>
        <v/>
      </c>
      <c r="N799" s="57" t="str">
        <f>""</f>
        <v/>
      </c>
      <c r="O799" s="75">
        <v>0</v>
      </c>
      <c r="P799" s="76" t="str">
        <f>""</f>
        <v/>
      </c>
      <c r="Q799" s="77" t="str">
        <f>""</f>
        <v/>
      </c>
      <c r="R799" s="78">
        <v>0</v>
      </c>
    </row>
    <row r="800" spans="1:18" ht="9" customHeight="1" x14ac:dyDescent="0.3">
      <c r="A800" s="1" t="s">
        <v>78</v>
      </c>
      <c r="I800" s="48"/>
      <c r="J800" s="41"/>
      <c r="K800" s="41"/>
      <c r="L800" s="54"/>
      <c r="M800" s="54"/>
      <c r="N800" s="61"/>
      <c r="O800" s="60"/>
      <c r="P800" s="58"/>
      <c r="Q800" s="59"/>
      <c r="R800" s="56"/>
    </row>
    <row r="801" spans="1:18" x14ac:dyDescent="0.3">
      <c r="A801" s="1" t="s">
        <v>78</v>
      </c>
      <c r="D801" s="1" t="str">
        <f t="shared" ref="D801:D864" si="1175">H801</f>
        <v>"Business Central","CRONUS JetCorp USA","25","1","249262"</v>
      </c>
      <c r="E801" s="1">
        <f t="shared" ref="E801" si="1176">I796</f>
        <v>0</v>
      </c>
      <c r="G801" s="1">
        <v>249262</v>
      </c>
      <c r="H801" s="9" t="str">
        <f>"""Business Central"",""CRONUS JetCorp USA"",""25"",""1"",""249262"""</f>
        <v>"Business Central","CRONUS JetCorp USA","25","1","249262"</v>
      </c>
      <c r="I801" s="51"/>
      <c r="J801" s="52" t="str">
        <f>"Order PO102643"</f>
        <v>Order PO102643</v>
      </c>
      <c r="K801" s="52" t="str">
        <f>"PI_102642"</f>
        <v>PI_102642</v>
      </c>
      <c r="L801" s="53">
        <v>43159</v>
      </c>
      <c r="M801" s="53">
        <v>43132</v>
      </c>
      <c r="N801" s="57" t="str">
        <f>""</f>
        <v/>
      </c>
      <c r="O801" s="75">
        <v>0</v>
      </c>
      <c r="P801" s="76">
        <v>0</v>
      </c>
      <c r="Q801" s="77">
        <v>0</v>
      </c>
      <c r="R801" s="78">
        <v>0</v>
      </c>
    </row>
    <row r="802" spans="1:18" hidden="1" x14ac:dyDescent="0.3">
      <c r="A802" s="1" t="s">
        <v>78</v>
      </c>
      <c r="B802" s="1" t="str">
        <f t="shared" ref="B802:B865" si="1177">IF(H802="","Hide","Show")</f>
        <v>Hide</v>
      </c>
      <c r="D802" s="1" t="str">
        <f t="shared" ref="D802:D865" si="1178">D801</f>
        <v>"Business Central","CRONUS JetCorp USA","25","1","249262"</v>
      </c>
      <c r="E802" s="1">
        <f t="shared" ref="E802:E865" si="1179">E801</f>
        <v>0</v>
      </c>
      <c r="F802" s="1" t="str">
        <f>""</f>
        <v/>
      </c>
      <c r="H802" s="9" t="str">
        <f>""</f>
        <v/>
      </c>
      <c r="I802" s="48"/>
      <c r="J802" s="41" t="str">
        <f>""</f>
        <v/>
      </c>
      <c r="K802" s="41" t="str">
        <f>""</f>
        <v/>
      </c>
      <c r="L802" s="54"/>
      <c r="M802" s="54" t="str">
        <f>""</f>
        <v/>
      </c>
      <c r="N802" s="57" t="str">
        <f>""</f>
        <v/>
      </c>
      <c r="O802" s="75">
        <v>0</v>
      </c>
      <c r="P802" s="76" t="str">
        <f>""</f>
        <v/>
      </c>
      <c r="Q802" s="77" t="str">
        <f>""</f>
        <v/>
      </c>
      <c r="R802" s="78">
        <v>0</v>
      </c>
    </row>
    <row r="803" spans="1:18" ht="9" customHeight="1" x14ac:dyDescent="0.3">
      <c r="A803" s="1" t="s">
        <v>78</v>
      </c>
      <c r="I803" s="48"/>
      <c r="J803" s="41"/>
      <c r="K803" s="41"/>
      <c r="L803" s="54"/>
      <c r="M803" s="54"/>
      <c r="N803" s="61"/>
      <c r="O803" s="60"/>
      <c r="P803" s="58"/>
      <c r="Q803" s="59"/>
      <c r="R803" s="56"/>
    </row>
    <row r="804" spans="1:18" x14ac:dyDescent="0.3">
      <c r="A804" s="1" t="s">
        <v>78</v>
      </c>
      <c r="D804" s="1" t="str">
        <f t="shared" ref="D804:D867" si="1180">H804</f>
        <v>"Business Central","CRONUS JetCorp USA","25","1","249265"</v>
      </c>
      <c r="E804" s="1">
        <f t="shared" ref="E804" si="1181">I799</f>
        <v>0</v>
      </c>
      <c r="G804" s="1">
        <v>249265</v>
      </c>
      <c r="H804" s="9" t="str">
        <f>"""Business Central"",""CRONUS JetCorp USA"",""25"",""1"",""249265"""</f>
        <v>"Business Central","CRONUS JetCorp USA","25","1","249265"</v>
      </c>
      <c r="I804" s="51"/>
      <c r="J804" s="52" t="str">
        <f>"Order PO102644"</f>
        <v>Order PO102644</v>
      </c>
      <c r="K804" s="52" t="str">
        <f>"PI_102643"</f>
        <v>PI_102643</v>
      </c>
      <c r="L804" s="53">
        <v>43190</v>
      </c>
      <c r="M804" s="53">
        <v>43160</v>
      </c>
      <c r="N804" s="57" t="str">
        <f>""</f>
        <v/>
      </c>
      <c r="O804" s="75">
        <v>0</v>
      </c>
      <c r="P804" s="76">
        <v>0</v>
      </c>
      <c r="Q804" s="77">
        <v>0</v>
      </c>
      <c r="R804" s="78">
        <v>0</v>
      </c>
    </row>
    <row r="805" spans="1:18" hidden="1" x14ac:dyDescent="0.3">
      <c r="A805" s="1" t="s">
        <v>78</v>
      </c>
      <c r="B805" s="1" t="str">
        <f t="shared" ref="B805:B868" si="1182">IF(H805="","Hide","Show")</f>
        <v>Hide</v>
      </c>
      <c r="D805" s="1" t="str">
        <f t="shared" ref="D805:D868" si="1183">D804</f>
        <v>"Business Central","CRONUS JetCorp USA","25","1","249265"</v>
      </c>
      <c r="E805" s="1">
        <f t="shared" ref="E805:E868" si="1184">E804</f>
        <v>0</v>
      </c>
      <c r="F805" s="1" t="str">
        <f>""</f>
        <v/>
      </c>
      <c r="H805" s="9" t="str">
        <f>""</f>
        <v/>
      </c>
      <c r="I805" s="48"/>
      <c r="J805" s="41" t="str">
        <f>""</f>
        <v/>
      </c>
      <c r="K805" s="41" t="str">
        <f>""</f>
        <v/>
      </c>
      <c r="L805" s="54"/>
      <c r="M805" s="54" t="str">
        <f>""</f>
        <v/>
      </c>
      <c r="N805" s="57" t="str">
        <f>""</f>
        <v/>
      </c>
      <c r="O805" s="75">
        <v>0</v>
      </c>
      <c r="P805" s="76" t="str">
        <f>""</f>
        <v/>
      </c>
      <c r="Q805" s="77" t="str">
        <f>""</f>
        <v/>
      </c>
      <c r="R805" s="78">
        <v>0</v>
      </c>
    </row>
    <row r="806" spans="1:18" ht="9" customHeight="1" x14ac:dyDescent="0.3">
      <c r="A806" s="1" t="s">
        <v>78</v>
      </c>
      <c r="I806" s="48"/>
      <c r="J806" s="41"/>
      <c r="K806" s="41"/>
      <c r="L806" s="54"/>
      <c r="M806" s="54"/>
      <c r="N806" s="61"/>
      <c r="O806" s="60"/>
      <c r="P806" s="58"/>
      <c r="Q806" s="59"/>
      <c r="R806" s="56"/>
    </row>
    <row r="807" spans="1:18" x14ac:dyDescent="0.3">
      <c r="A807" s="1" t="s">
        <v>78</v>
      </c>
      <c r="D807" s="1" t="str">
        <f t="shared" ref="D807:D870" si="1185">H807</f>
        <v>"Business Central","CRONUS JetCorp USA","25","1","249268"</v>
      </c>
      <c r="E807" s="1">
        <f t="shared" ref="E807" si="1186">I802</f>
        <v>0</v>
      </c>
      <c r="G807" s="1">
        <v>249268</v>
      </c>
      <c r="H807" s="9" t="str">
        <f>"""Business Central"",""CRONUS JetCorp USA"",""25"",""1"",""249268"""</f>
        <v>"Business Central","CRONUS JetCorp USA","25","1","249268"</v>
      </c>
      <c r="I807" s="51"/>
      <c r="J807" s="52" t="str">
        <f>"Order PO102645"</f>
        <v>Order PO102645</v>
      </c>
      <c r="K807" s="52" t="str">
        <f>"PI_102644"</f>
        <v>PI_102644</v>
      </c>
      <c r="L807" s="53">
        <v>43220</v>
      </c>
      <c r="M807" s="53">
        <v>43191</v>
      </c>
      <c r="N807" s="57" t="str">
        <f>""</f>
        <v/>
      </c>
      <c r="O807" s="75">
        <v>0</v>
      </c>
      <c r="P807" s="76">
        <v>0</v>
      </c>
      <c r="Q807" s="77">
        <v>0</v>
      </c>
      <c r="R807" s="78">
        <v>0</v>
      </c>
    </row>
    <row r="808" spans="1:18" hidden="1" x14ac:dyDescent="0.3">
      <c r="A808" s="1" t="s">
        <v>78</v>
      </c>
      <c r="B808" s="1" t="str">
        <f t="shared" ref="B808:B871" si="1187">IF(H808="","Hide","Show")</f>
        <v>Hide</v>
      </c>
      <c r="D808" s="1" t="str">
        <f t="shared" ref="D808:D871" si="1188">D807</f>
        <v>"Business Central","CRONUS JetCorp USA","25","1","249268"</v>
      </c>
      <c r="E808" s="1">
        <f t="shared" ref="E808:E871" si="1189">E807</f>
        <v>0</v>
      </c>
      <c r="F808" s="1" t="str">
        <f>""</f>
        <v/>
      </c>
      <c r="H808" s="9" t="str">
        <f>""</f>
        <v/>
      </c>
      <c r="I808" s="48"/>
      <c r="J808" s="41" t="str">
        <f>""</f>
        <v/>
      </c>
      <c r="K808" s="41" t="str">
        <f>""</f>
        <v/>
      </c>
      <c r="L808" s="54"/>
      <c r="M808" s="54" t="str">
        <f>""</f>
        <v/>
      </c>
      <c r="N808" s="57" t="str">
        <f>""</f>
        <v/>
      </c>
      <c r="O808" s="75">
        <v>0</v>
      </c>
      <c r="P808" s="76" t="str">
        <f>""</f>
        <v/>
      </c>
      <c r="Q808" s="77" t="str">
        <f>""</f>
        <v/>
      </c>
      <c r="R808" s="78">
        <v>0</v>
      </c>
    </row>
    <row r="809" spans="1:18" ht="9" customHeight="1" x14ac:dyDescent="0.3">
      <c r="A809" s="1" t="s">
        <v>78</v>
      </c>
      <c r="I809" s="48"/>
      <c r="J809" s="41"/>
      <c r="K809" s="41"/>
      <c r="L809" s="54"/>
      <c r="M809" s="54"/>
      <c r="N809" s="61"/>
      <c r="O809" s="60"/>
      <c r="P809" s="58"/>
      <c r="Q809" s="59"/>
      <c r="R809" s="56"/>
    </row>
    <row r="810" spans="1:18" x14ac:dyDescent="0.3">
      <c r="A810" s="1" t="s">
        <v>78</v>
      </c>
      <c r="D810" s="1" t="str">
        <f t="shared" ref="D810:D873" si="1190">H810</f>
        <v>"Business Central","CRONUS JetCorp USA","25","1","249271"</v>
      </c>
      <c r="E810" s="1">
        <f t="shared" ref="E810" si="1191">I805</f>
        <v>0</v>
      </c>
      <c r="G810" s="1">
        <v>249271</v>
      </c>
      <c r="H810" s="9" t="str">
        <f>"""Business Central"",""CRONUS JetCorp USA"",""25"",""1"",""249271"""</f>
        <v>"Business Central","CRONUS JetCorp USA","25","1","249271"</v>
      </c>
      <c r="I810" s="51"/>
      <c r="J810" s="52" t="str">
        <f>"Order PO102646"</f>
        <v>Order PO102646</v>
      </c>
      <c r="K810" s="52" t="str">
        <f>"PI_102645"</f>
        <v>PI_102645</v>
      </c>
      <c r="L810" s="53">
        <v>43251</v>
      </c>
      <c r="M810" s="53">
        <v>43221</v>
      </c>
      <c r="N810" s="57" t="str">
        <f>""</f>
        <v/>
      </c>
      <c r="O810" s="75">
        <v>0</v>
      </c>
      <c r="P810" s="76">
        <v>0</v>
      </c>
      <c r="Q810" s="77">
        <v>0</v>
      </c>
      <c r="R810" s="78">
        <v>0</v>
      </c>
    </row>
    <row r="811" spans="1:18" hidden="1" x14ac:dyDescent="0.3">
      <c r="A811" s="1" t="s">
        <v>78</v>
      </c>
      <c r="B811" s="1" t="str">
        <f t="shared" ref="B811:B874" si="1192">IF(H811="","Hide","Show")</f>
        <v>Hide</v>
      </c>
      <c r="D811" s="1" t="str">
        <f t="shared" ref="D811:D874" si="1193">D810</f>
        <v>"Business Central","CRONUS JetCorp USA","25","1","249271"</v>
      </c>
      <c r="E811" s="1">
        <f t="shared" ref="E811:E874" si="1194">E810</f>
        <v>0</v>
      </c>
      <c r="F811" s="1" t="str">
        <f>""</f>
        <v/>
      </c>
      <c r="H811" s="9" t="str">
        <f>""</f>
        <v/>
      </c>
      <c r="I811" s="48"/>
      <c r="J811" s="41" t="str">
        <f>""</f>
        <v/>
      </c>
      <c r="K811" s="41" t="str">
        <f>""</f>
        <v/>
      </c>
      <c r="L811" s="54"/>
      <c r="M811" s="54" t="str">
        <f>""</f>
        <v/>
      </c>
      <c r="N811" s="57" t="str">
        <f>""</f>
        <v/>
      </c>
      <c r="O811" s="75">
        <v>0</v>
      </c>
      <c r="P811" s="76" t="str">
        <f>""</f>
        <v/>
      </c>
      <c r="Q811" s="77" t="str">
        <f>""</f>
        <v/>
      </c>
      <c r="R811" s="78">
        <v>0</v>
      </c>
    </row>
    <row r="812" spans="1:18" ht="9" customHeight="1" x14ac:dyDescent="0.3">
      <c r="A812" s="1" t="s">
        <v>78</v>
      </c>
      <c r="I812" s="48"/>
      <c r="J812" s="41"/>
      <c r="K812" s="41"/>
      <c r="L812" s="54"/>
      <c r="M812" s="54"/>
      <c r="N812" s="61"/>
      <c r="O812" s="60"/>
      <c r="P812" s="58"/>
      <c r="Q812" s="59"/>
      <c r="R812" s="56"/>
    </row>
    <row r="813" spans="1:18" x14ac:dyDescent="0.3">
      <c r="A813" s="1" t="s">
        <v>78</v>
      </c>
      <c r="D813" s="1" t="str">
        <f t="shared" ref="D813:D876" si="1195">H813</f>
        <v>"Business Central","CRONUS JetCorp USA","25","1","249274"</v>
      </c>
      <c r="E813" s="1">
        <f t="shared" ref="E813" si="1196">I808</f>
        <v>0</v>
      </c>
      <c r="G813" s="1">
        <v>249274</v>
      </c>
      <c r="H813" s="9" t="str">
        <f>"""Business Central"",""CRONUS JetCorp USA"",""25"",""1"",""249274"""</f>
        <v>"Business Central","CRONUS JetCorp USA","25","1","249274"</v>
      </c>
      <c r="I813" s="51"/>
      <c r="J813" s="52" t="str">
        <f>"Order PO102647"</f>
        <v>Order PO102647</v>
      </c>
      <c r="K813" s="52" t="str">
        <f>"PI_102646"</f>
        <v>PI_102646</v>
      </c>
      <c r="L813" s="53">
        <v>43281</v>
      </c>
      <c r="M813" s="53">
        <v>43252</v>
      </c>
      <c r="N813" s="57" t="str">
        <f>""</f>
        <v/>
      </c>
      <c r="O813" s="75">
        <v>0</v>
      </c>
      <c r="P813" s="76">
        <v>0</v>
      </c>
      <c r="Q813" s="77">
        <v>0</v>
      </c>
      <c r="R813" s="78">
        <v>0</v>
      </c>
    </row>
    <row r="814" spans="1:18" hidden="1" x14ac:dyDescent="0.3">
      <c r="A814" s="1" t="s">
        <v>78</v>
      </c>
      <c r="B814" s="1" t="str">
        <f t="shared" ref="B814:B877" si="1197">IF(H814="","Hide","Show")</f>
        <v>Hide</v>
      </c>
      <c r="D814" s="1" t="str">
        <f t="shared" ref="D814:D877" si="1198">D813</f>
        <v>"Business Central","CRONUS JetCorp USA","25","1","249274"</v>
      </c>
      <c r="E814" s="1">
        <f t="shared" ref="E814:E877" si="1199">E813</f>
        <v>0</v>
      </c>
      <c r="F814" s="1" t="str">
        <f>""</f>
        <v/>
      </c>
      <c r="H814" s="9" t="str">
        <f>""</f>
        <v/>
      </c>
      <c r="I814" s="48"/>
      <c r="J814" s="41" t="str">
        <f>""</f>
        <v/>
      </c>
      <c r="K814" s="41" t="str">
        <f>""</f>
        <v/>
      </c>
      <c r="L814" s="54"/>
      <c r="M814" s="54" t="str">
        <f>""</f>
        <v/>
      </c>
      <c r="N814" s="57" t="str">
        <f>""</f>
        <v/>
      </c>
      <c r="O814" s="75">
        <v>0</v>
      </c>
      <c r="P814" s="76" t="str">
        <f>""</f>
        <v/>
      </c>
      <c r="Q814" s="77" t="str">
        <f>""</f>
        <v/>
      </c>
      <c r="R814" s="78">
        <v>0</v>
      </c>
    </row>
    <row r="815" spans="1:18" ht="9" customHeight="1" x14ac:dyDescent="0.3">
      <c r="A815" s="1" t="s">
        <v>78</v>
      </c>
      <c r="I815" s="48"/>
      <c r="J815" s="41"/>
      <c r="K815" s="41"/>
      <c r="L815" s="54"/>
      <c r="M815" s="54"/>
      <c r="N815" s="61"/>
      <c r="O815" s="60"/>
      <c r="P815" s="58"/>
      <c r="Q815" s="59"/>
      <c r="R815" s="56"/>
    </row>
    <row r="816" spans="1:18" x14ac:dyDescent="0.3">
      <c r="A816" s="1" t="s">
        <v>78</v>
      </c>
      <c r="D816" s="1" t="str">
        <f t="shared" ref="D816:D879" si="1200">H816</f>
        <v>"Business Central","CRONUS JetCorp USA","25","1","249277"</v>
      </c>
      <c r="E816" s="1">
        <f t="shared" ref="E816" si="1201">I811</f>
        <v>0</v>
      </c>
      <c r="G816" s="1">
        <v>249277</v>
      </c>
      <c r="H816" s="9" t="str">
        <f>"""Business Central"",""CRONUS JetCorp USA"",""25"",""1"",""249277"""</f>
        <v>"Business Central","CRONUS JetCorp USA","25","1","249277"</v>
      </c>
      <c r="I816" s="51"/>
      <c r="J816" s="52" t="str">
        <f>"Order PO102648"</f>
        <v>Order PO102648</v>
      </c>
      <c r="K816" s="52" t="str">
        <f>"PI_102647"</f>
        <v>PI_102647</v>
      </c>
      <c r="L816" s="53">
        <v>43312</v>
      </c>
      <c r="M816" s="53">
        <v>43282</v>
      </c>
      <c r="N816" s="57" t="str">
        <f>""</f>
        <v/>
      </c>
      <c r="O816" s="75">
        <v>0</v>
      </c>
      <c r="P816" s="76">
        <v>0</v>
      </c>
      <c r="Q816" s="77">
        <v>0</v>
      </c>
      <c r="R816" s="78">
        <v>0</v>
      </c>
    </row>
    <row r="817" spans="1:18" hidden="1" x14ac:dyDescent="0.3">
      <c r="A817" s="1" t="s">
        <v>78</v>
      </c>
      <c r="B817" s="1" t="str">
        <f t="shared" ref="B817:B880" si="1202">IF(H817="","Hide","Show")</f>
        <v>Hide</v>
      </c>
      <c r="D817" s="1" t="str">
        <f t="shared" ref="D817:D880" si="1203">D816</f>
        <v>"Business Central","CRONUS JetCorp USA","25","1","249277"</v>
      </c>
      <c r="E817" s="1">
        <f t="shared" ref="E817:E880" si="1204">E816</f>
        <v>0</v>
      </c>
      <c r="F817" s="1" t="str">
        <f>""</f>
        <v/>
      </c>
      <c r="H817" s="9" t="str">
        <f>""</f>
        <v/>
      </c>
      <c r="I817" s="48"/>
      <c r="J817" s="41" t="str">
        <f>""</f>
        <v/>
      </c>
      <c r="K817" s="41" t="str">
        <f>""</f>
        <v/>
      </c>
      <c r="L817" s="54"/>
      <c r="M817" s="54" t="str">
        <f>""</f>
        <v/>
      </c>
      <c r="N817" s="57" t="str">
        <f>""</f>
        <v/>
      </c>
      <c r="O817" s="75">
        <v>0</v>
      </c>
      <c r="P817" s="76" t="str">
        <f>""</f>
        <v/>
      </c>
      <c r="Q817" s="77" t="str">
        <f>""</f>
        <v/>
      </c>
      <c r="R817" s="78">
        <v>0</v>
      </c>
    </row>
    <row r="818" spans="1:18" ht="9" customHeight="1" x14ac:dyDescent="0.3">
      <c r="A818" s="1" t="s">
        <v>78</v>
      </c>
      <c r="I818" s="48"/>
      <c r="J818" s="41"/>
      <c r="K818" s="41"/>
      <c r="L818" s="54"/>
      <c r="M818" s="54"/>
      <c r="N818" s="61"/>
      <c r="O818" s="60"/>
      <c r="P818" s="58"/>
      <c r="Q818" s="59"/>
      <c r="R818" s="56"/>
    </row>
    <row r="819" spans="1:18" x14ac:dyDescent="0.3">
      <c r="A819" s="1" t="s">
        <v>78</v>
      </c>
      <c r="D819" s="1" t="str">
        <f t="shared" ref="D819:D882" si="1205">H819</f>
        <v>"Business Central","CRONUS JetCorp USA","25","1","249280"</v>
      </c>
      <c r="E819" s="1">
        <f t="shared" ref="E819" si="1206">I814</f>
        <v>0</v>
      </c>
      <c r="G819" s="1">
        <v>249280</v>
      </c>
      <c r="H819" s="9" t="str">
        <f>"""Business Central"",""CRONUS JetCorp USA"",""25"",""1"",""249280"""</f>
        <v>"Business Central","CRONUS JetCorp USA","25","1","249280"</v>
      </c>
      <c r="I819" s="51"/>
      <c r="J819" s="52" t="str">
        <f>"Order PO102649"</f>
        <v>Order PO102649</v>
      </c>
      <c r="K819" s="52" t="str">
        <f>"PI_102648"</f>
        <v>PI_102648</v>
      </c>
      <c r="L819" s="53">
        <v>43343</v>
      </c>
      <c r="M819" s="53">
        <v>43313</v>
      </c>
      <c r="N819" s="57" t="str">
        <f>""</f>
        <v/>
      </c>
      <c r="O819" s="75">
        <v>0</v>
      </c>
      <c r="P819" s="76">
        <v>0</v>
      </c>
      <c r="Q819" s="77">
        <v>0</v>
      </c>
      <c r="R819" s="78">
        <v>0</v>
      </c>
    </row>
    <row r="820" spans="1:18" hidden="1" x14ac:dyDescent="0.3">
      <c r="A820" s="1" t="s">
        <v>78</v>
      </c>
      <c r="B820" s="1" t="str">
        <f t="shared" ref="B820:B883" si="1207">IF(H820="","Hide","Show")</f>
        <v>Hide</v>
      </c>
      <c r="D820" s="1" t="str">
        <f t="shared" ref="D820:D883" si="1208">D819</f>
        <v>"Business Central","CRONUS JetCorp USA","25","1","249280"</v>
      </c>
      <c r="E820" s="1">
        <f t="shared" ref="E820:E883" si="1209">E819</f>
        <v>0</v>
      </c>
      <c r="F820" s="1" t="str">
        <f>""</f>
        <v/>
      </c>
      <c r="H820" s="9" t="str">
        <f>""</f>
        <v/>
      </c>
      <c r="I820" s="48"/>
      <c r="J820" s="41" t="str">
        <f>""</f>
        <v/>
      </c>
      <c r="K820" s="41" t="str">
        <f>""</f>
        <v/>
      </c>
      <c r="L820" s="54"/>
      <c r="M820" s="54" t="str">
        <f>""</f>
        <v/>
      </c>
      <c r="N820" s="57" t="str">
        <f>""</f>
        <v/>
      </c>
      <c r="O820" s="75">
        <v>0</v>
      </c>
      <c r="P820" s="76" t="str">
        <f>""</f>
        <v/>
      </c>
      <c r="Q820" s="77" t="str">
        <f>""</f>
        <v/>
      </c>
      <c r="R820" s="78">
        <v>0</v>
      </c>
    </row>
    <row r="821" spans="1:18" ht="9" customHeight="1" x14ac:dyDescent="0.3">
      <c r="A821" s="1" t="s">
        <v>78</v>
      </c>
      <c r="I821" s="48"/>
      <c r="J821" s="41"/>
      <c r="K821" s="41"/>
      <c r="L821" s="54"/>
      <c r="M821" s="54"/>
      <c r="N821" s="61"/>
      <c r="O821" s="60"/>
      <c r="P821" s="58"/>
      <c r="Q821" s="59"/>
      <c r="R821" s="56"/>
    </row>
    <row r="822" spans="1:18" x14ac:dyDescent="0.3">
      <c r="A822" s="1" t="s">
        <v>78</v>
      </c>
      <c r="D822" s="1" t="str">
        <f t="shared" ref="D822:D884" si="1210">H822</f>
        <v>"Business Central","CRONUS JetCorp USA","25","1","249283"</v>
      </c>
      <c r="E822" s="1">
        <f t="shared" ref="E822" si="1211">I817</f>
        <v>0</v>
      </c>
      <c r="G822" s="1">
        <v>249283</v>
      </c>
      <c r="H822" s="9" t="str">
        <f>"""Business Central"",""CRONUS JetCorp USA"",""25"",""1"",""249283"""</f>
        <v>"Business Central","CRONUS JetCorp USA","25","1","249283"</v>
      </c>
      <c r="I822" s="51"/>
      <c r="J822" s="52" t="str">
        <f>"Order PO102650"</f>
        <v>Order PO102650</v>
      </c>
      <c r="K822" s="52" t="str">
        <f>"PI_102649"</f>
        <v>PI_102649</v>
      </c>
      <c r="L822" s="53">
        <v>43373</v>
      </c>
      <c r="M822" s="53">
        <v>43344</v>
      </c>
      <c r="N822" s="57" t="str">
        <f>""</f>
        <v/>
      </c>
      <c r="O822" s="75">
        <v>0</v>
      </c>
      <c r="P822" s="76">
        <v>0</v>
      </c>
      <c r="Q822" s="77">
        <v>0</v>
      </c>
      <c r="R822" s="78">
        <v>0</v>
      </c>
    </row>
    <row r="823" spans="1:18" hidden="1" x14ac:dyDescent="0.3">
      <c r="A823" s="1" t="s">
        <v>78</v>
      </c>
      <c r="B823" s="1" t="str">
        <f t="shared" ref="B823:B884" si="1212">IF(H823="","Hide","Show")</f>
        <v>Hide</v>
      </c>
      <c r="D823" s="1" t="str">
        <f t="shared" ref="D823:D884" si="1213">D822</f>
        <v>"Business Central","CRONUS JetCorp USA","25","1","249283"</v>
      </c>
      <c r="E823" s="1">
        <f t="shared" ref="E823:E884" si="1214">E822</f>
        <v>0</v>
      </c>
      <c r="F823" s="1" t="str">
        <f>""</f>
        <v/>
      </c>
      <c r="H823" s="9" t="str">
        <f>""</f>
        <v/>
      </c>
      <c r="I823" s="48"/>
      <c r="J823" s="41" t="str">
        <f>""</f>
        <v/>
      </c>
      <c r="K823" s="41" t="str">
        <f>""</f>
        <v/>
      </c>
      <c r="L823" s="54"/>
      <c r="M823" s="54" t="str">
        <f>""</f>
        <v/>
      </c>
      <c r="N823" s="57" t="str">
        <f>""</f>
        <v/>
      </c>
      <c r="O823" s="75">
        <v>0</v>
      </c>
      <c r="P823" s="76" t="str">
        <f>""</f>
        <v/>
      </c>
      <c r="Q823" s="77" t="str">
        <f>""</f>
        <v/>
      </c>
      <c r="R823" s="78">
        <v>0</v>
      </c>
    </row>
    <row r="824" spans="1:18" ht="9" customHeight="1" x14ac:dyDescent="0.3">
      <c r="A824" s="1" t="s">
        <v>78</v>
      </c>
      <c r="I824" s="48"/>
      <c r="J824" s="41"/>
      <c r="K824" s="41"/>
      <c r="L824" s="54"/>
      <c r="M824" s="54"/>
      <c r="N824" s="61"/>
      <c r="O824" s="60"/>
      <c r="P824" s="58"/>
      <c r="Q824" s="59"/>
      <c r="R824" s="56"/>
    </row>
    <row r="825" spans="1:18" x14ac:dyDescent="0.3">
      <c r="A825" s="1" t="s">
        <v>78</v>
      </c>
      <c r="D825" s="1" t="str">
        <f t="shared" ref="D825:D884" si="1215">H825</f>
        <v>"Business Central","CRONUS JetCorp USA","25","1","249286"</v>
      </c>
      <c r="E825" s="1">
        <f t="shared" ref="E825" si="1216">I820</f>
        <v>0</v>
      </c>
      <c r="G825" s="1">
        <v>249286</v>
      </c>
      <c r="H825" s="9" t="str">
        <f>"""Business Central"",""CRONUS JetCorp USA"",""25"",""1"",""249286"""</f>
        <v>"Business Central","CRONUS JetCorp USA","25","1","249286"</v>
      </c>
      <c r="I825" s="51"/>
      <c r="J825" s="52" t="str">
        <f>"Order PO102651"</f>
        <v>Order PO102651</v>
      </c>
      <c r="K825" s="52" t="str">
        <f>"PI_102650"</f>
        <v>PI_102650</v>
      </c>
      <c r="L825" s="53">
        <v>43404</v>
      </c>
      <c r="M825" s="53">
        <v>43374</v>
      </c>
      <c r="N825" s="57" t="str">
        <f>""</f>
        <v/>
      </c>
      <c r="O825" s="75">
        <v>0</v>
      </c>
      <c r="P825" s="76">
        <v>0</v>
      </c>
      <c r="Q825" s="77">
        <v>0</v>
      </c>
      <c r="R825" s="78">
        <v>0</v>
      </c>
    </row>
    <row r="826" spans="1:18" hidden="1" x14ac:dyDescent="0.3">
      <c r="A826" s="1" t="s">
        <v>78</v>
      </c>
      <c r="B826" s="1" t="str">
        <f t="shared" ref="B826:B884" si="1217">IF(H826="","Hide","Show")</f>
        <v>Hide</v>
      </c>
      <c r="D826" s="1" t="str">
        <f t="shared" ref="D826:D884" si="1218">D825</f>
        <v>"Business Central","CRONUS JetCorp USA","25","1","249286"</v>
      </c>
      <c r="E826" s="1">
        <f t="shared" ref="E826:E884" si="1219">E825</f>
        <v>0</v>
      </c>
      <c r="F826" s="1" t="str">
        <f>""</f>
        <v/>
      </c>
      <c r="H826" s="9" t="str">
        <f>""</f>
        <v/>
      </c>
      <c r="I826" s="48"/>
      <c r="J826" s="41" t="str">
        <f>""</f>
        <v/>
      </c>
      <c r="K826" s="41" t="str">
        <f>""</f>
        <v/>
      </c>
      <c r="L826" s="54"/>
      <c r="M826" s="54" t="str">
        <f>""</f>
        <v/>
      </c>
      <c r="N826" s="57" t="str">
        <f>""</f>
        <v/>
      </c>
      <c r="O826" s="75">
        <v>0</v>
      </c>
      <c r="P826" s="76" t="str">
        <f>""</f>
        <v/>
      </c>
      <c r="Q826" s="77" t="str">
        <f>""</f>
        <v/>
      </c>
      <c r="R826" s="78">
        <v>0</v>
      </c>
    </row>
    <row r="827" spans="1:18" ht="9" customHeight="1" x14ac:dyDescent="0.3">
      <c r="A827" s="1" t="s">
        <v>78</v>
      </c>
      <c r="I827" s="48"/>
      <c r="J827" s="41"/>
      <c r="K827" s="41"/>
      <c r="L827" s="54"/>
      <c r="M827" s="54"/>
      <c r="N827" s="61"/>
      <c r="O827" s="60"/>
      <c r="P827" s="58"/>
      <c r="Q827" s="59"/>
      <c r="R827" s="56"/>
    </row>
    <row r="828" spans="1:18" x14ac:dyDescent="0.3">
      <c r="A828" s="1" t="s">
        <v>78</v>
      </c>
      <c r="D828" s="1" t="str">
        <f t="shared" ref="D828:D884" si="1220">H828</f>
        <v>"Business Central","CRONUS JetCorp USA","25","1","249289"</v>
      </c>
      <c r="E828" s="1">
        <f t="shared" ref="E828" si="1221">I823</f>
        <v>0</v>
      </c>
      <c r="G828" s="1">
        <v>249289</v>
      </c>
      <c r="H828" s="9" t="str">
        <f>"""Business Central"",""CRONUS JetCorp USA"",""25"",""1"",""249289"""</f>
        <v>"Business Central","CRONUS JetCorp USA","25","1","249289"</v>
      </c>
      <c r="I828" s="51"/>
      <c r="J828" s="52" t="str">
        <f>"Order PO102652"</f>
        <v>Order PO102652</v>
      </c>
      <c r="K828" s="52" t="str">
        <f>"PI_102651"</f>
        <v>PI_102651</v>
      </c>
      <c r="L828" s="53">
        <v>43434</v>
      </c>
      <c r="M828" s="53">
        <v>43405</v>
      </c>
      <c r="N828" s="57" t="str">
        <f>""</f>
        <v/>
      </c>
      <c r="O828" s="75">
        <v>0</v>
      </c>
      <c r="P828" s="76">
        <v>0</v>
      </c>
      <c r="Q828" s="77">
        <v>0</v>
      </c>
      <c r="R828" s="78">
        <v>0</v>
      </c>
    </row>
    <row r="829" spans="1:18" hidden="1" x14ac:dyDescent="0.3">
      <c r="A829" s="1" t="s">
        <v>78</v>
      </c>
      <c r="B829" s="1" t="str">
        <f t="shared" ref="B829:B884" si="1222">IF(H829="","Hide","Show")</f>
        <v>Hide</v>
      </c>
      <c r="D829" s="1" t="str">
        <f t="shared" ref="D829:D884" si="1223">D828</f>
        <v>"Business Central","CRONUS JetCorp USA","25","1","249289"</v>
      </c>
      <c r="E829" s="1">
        <f t="shared" ref="E829:E884" si="1224">E828</f>
        <v>0</v>
      </c>
      <c r="F829" s="1" t="str">
        <f>""</f>
        <v/>
      </c>
      <c r="H829" s="9" t="str">
        <f>""</f>
        <v/>
      </c>
      <c r="I829" s="48"/>
      <c r="J829" s="41" t="str">
        <f>""</f>
        <v/>
      </c>
      <c r="K829" s="41" t="str">
        <f>""</f>
        <v/>
      </c>
      <c r="L829" s="54"/>
      <c r="M829" s="54" t="str">
        <f>""</f>
        <v/>
      </c>
      <c r="N829" s="57" t="str">
        <f>""</f>
        <v/>
      </c>
      <c r="O829" s="75">
        <v>0</v>
      </c>
      <c r="P829" s="76" t="str">
        <f>""</f>
        <v/>
      </c>
      <c r="Q829" s="77" t="str">
        <f>""</f>
        <v/>
      </c>
      <c r="R829" s="78">
        <v>0</v>
      </c>
    </row>
    <row r="830" spans="1:18" ht="9" customHeight="1" x14ac:dyDescent="0.3">
      <c r="A830" s="1" t="s">
        <v>78</v>
      </c>
      <c r="I830" s="48"/>
      <c r="J830" s="41"/>
      <c r="K830" s="41"/>
      <c r="L830" s="54"/>
      <c r="M830" s="54"/>
      <c r="N830" s="61"/>
      <c r="O830" s="60"/>
      <c r="P830" s="58"/>
      <c r="Q830" s="59"/>
      <c r="R830" s="56"/>
    </row>
    <row r="831" spans="1:18" x14ac:dyDescent="0.3">
      <c r="A831" s="1" t="s">
        <v>78</v>
      </c>
      <c r="D831" s="1" t="str">
        <f t="shared" ref="D831:D884" si="1225">H831</f>
        <v>"Business Central","CRONUS JetCorp USA","25","1","249292"</v>
      </c>
      <c r="E831" s="1">
        <f t="shared" ref="E831" si="1226">I826</f>
        <v>0</v>
      </c>
      <c r="G831" s="1">
        <v>249292</v>
      </c>
      <c r="H831" s="9" t="str">
        <f>"""Business Central"",""CRONUS JetCorp USA"",""25"",""1"",""249292"""</f>
        <v>"Business Central","CRONUS JetCorp USA","25","1","249292"</v>
      </c>
      <c r="I831" s="51"/>
      <c r="J831" s="52" t="str">
        <f>"Order PO102653"</f>
        <v>Order PO102653</v>
      </c>
      <c r="K831" s="52" t="str">
        <f>"PI_102652"</f>
        <v>PI_102652</v>
      </c>
      <c r="L831" s="53">
        <v>43465</v>
      </c>
      <c r="M831" s="53">
        <v>43435</v>
      </c>
      <c r="N831" s="57" t="str">
        <f>""</f>
        <v/>
      </c>
      <c r="O831" s="75">
        <v>0</v>
      </c>
      <c r="P831" s="76">
        <v>0</v>
      </c>
      <c r="Q831" s="77">
        <v>0</v>
      </c>
      <c r="R831" s="78">
        <v>0</v>
      </c>
    </row>
    <row r="832" spans="1:18" hidden="1" x14ac:dyDescent="0.3">
      <c r="A832" s="1" t="s">
        <v>78</v>
      </c>
      <c r="B832" s="1" t="str">
        <f t="shared" ref="B832:B884" si="1227">IF(H832="","Hide","Show")</f>
        <v>Hide</v>
      </c>
      <c r="D832" s="1" t="str">
        <f t="shared" ref="D832:D884" si="1228">D831</f>
        <v>"Business Central","CRONUS JetCorp USA","25","1","249292"</v>
      </c>
      <c r="E832" s="1">
        <f t="shared" ref="E832:E884" si="1229">E831</f>
        <v>0</v>
      </c>
      <c r="F832" s="1" t="str">
        <f>""</f>
        <v/>
      </c>
      <c r="H832" s="9" t="str">
        <f>""</f>
        <v/>
      </c>
      <c r="I832" s="48"/>
      <c r="J832" s="41" t="str">
        <f>""</f>
        <v/>
      </c>
      <c r="K832" s="41" t="str">
        <f>""</f>
        <v/>
      </c>
      <c r="L832" s="54"/>
      <c r="M832" s="54" t="str">
        <f>""</f>
        <v/>
      </c>
      <c r="N832" s="57" t="str">
        <f>""</f>
        <v/>
      </c>
      <c r="O832" s="75">
        <v>0</v>
      </c>
      <c r="P832" s="76" t="str">
        <f>""</f>
        <v/>
      </c>
      <c r="Q832" s="77" t="str">
        <f>""</f>
        <v/>
      </c>
      <c r="R832" s="78">
        <v>0</v>
      </c>
    </row>
    <row r="833" spans="1:18" ht="9" customHeight="1" x14ac:dyDescent="0.3">
      <c r="A833" s="1" t="s">
        <v>78</v>
      </c>
      <c r="I833" s="48"/>
      <c r="J833" s="41"/>
      <c r="K833" s="41"/>
      <c r="L833" s="54"/>
      <c r="M833" s="54"/>
      <c r="N833" s="61"/>
      <c r="O833" s="60"/>
      <c r="P833" s="58"/>
      <c r="Q833" s="59"/>
      <c r="R833" s="56"/>
    </row>
    <row r="834" spans="1:18" x14ac:dyDescent="0.3">
      <c r="A834" s="1" t="s">
        <v>78</v>
      </c>
      <c r="D834" s="1" t="str">
        <f t="shared" ref="D834:D884" si="1230">H834</f>
        <v>"Business Central","CRONUS JetCorp USA","25","1","249295"</v>
      </c>
      <c r="E834" s="1">
        <f t="shared" ref="E834" si="1231">I829</f>
        <v>0</v>
      </c>
      <c r="G834" s="1">
        <v>249295</v>
      </c>
      <c r="H834" s="9" t="str">
        <f>"""Business Central"",""CRONUS JetCorp USA"",""25"",""1"",""249295"""</f>
        <v>"Business Central","CRONUS JetCorp USA","25","1","249295"</v>
      </c>
      <c r="I834" s="51"/>
      <c r="J834" s="52" t="str">
        <f>"Order PO102654"</f>
        <v>Order PO102654</v>
      </c>
      <c r="K834" s="52" t="str">
        <f>"PI_102653"</f>
        <v>PI_102653</v>
      </c>
      <c r="L834" s="53">
        <v>43496</v>
      </c>
      <c r="M834" s="53">
        <v>43466</v>
      </c>
      <c r="N834" s="57" t="str">
        <f>""</f>
        <v/>
      </c>
      <c r="O834" s="75">
        <v>0</v>
      </c>
      <c r="P834" s="76">
        <v>0</v>
      </c>
      <c r="Q834" s="77">
        <v>0</v>
      </c>
      <c r="R834" s="78">
        <v>0</v>
      </c>
    </row>
    <row r="835" spans="1:18" hidden="1" x14ac:dyDescent="0.3">
      <c r="A835" s="1" t="s">
        <v>78</v>
      </c>
      <c r="B835" s="1" t="str">
        <f t="shared" ref="B835:B884" si="1232">IF(H835="","Hide","Show")</f>
        <v>Hide</v>
      </c>
      <c r="D835" s="1" t="str">
        <f t="shared" ref="D835:D884" si="1233">D834</f>
        <v>"Business Central","CRONUS JetCorp USA","25","1","249295"</v>
      </c>
      <c r="E835" s="1">
        <f t="shared" ref="E835:E884" si="1234">E834</f>
        <v>0</v>
      </c>
      <c r="F835" s="1" t="str">
        <f>""</f>
        <v/>
      </c>
      <c r="H835" s="9" t="str">
        <f>""</f>
        <v/>
      </c>
      <c r="I835" s="48"/>
      <c r="J835" s="41" t="str">
        <f>""</f>
        <v/>
      </c>
      <c r="K835" s="41" t="str">
        <f>""</f>
        <v/>
      </c>
      <c r="L835" s="54"/>
      <c r="M835" s="54" t="str">
        <f>""</f>
        <v/>
      </c>
      <c r="N835" s="57" t="str">
        <f>""</f>
        <v/>
      </c>
      <c r="O835" s="75">
        <v>0</v>
      </c>
      <c r="P835" s="76" t="str">
        <f>""</f>
        <v/>
      </c>
      <c r="Q835" s="77" t="str">
        <f>""</f>
        <v/>
      </c>
      <c r="R835" s="78">
        <v>0</v>
      </c>
    </row>
    <row r="836" spans="1:18" ht="9" customHeight="1" x14ac:dyDescent="0.3">
      <c r="A836" s="1" t="s">
        <v>78</v>
      </c>
      <c r="I836" s="48"/>
      <c r="J836" s="41"/>
      <c r="K836" s="41"/>
      <c r="L836" s="54"/>
      <c r="M836" s="54"/>
      <c r="N836" s="61"/>
      <c r="O836" s="60"/>
      <c r="P836" s="58"/>
      <c r="Q836" s="59"/>
      <c r="R836" s="56"/>
    </row>
    <row r="837" spans="1:18" x14ac:dyDescent="0.3">
      <c r="A837" s="1" t="s">
        <v>78</v>
      </c>
      <c r="D837" s="1" t="str">
        <f t="shared" ref="D837:D884" si="1235">H837</f>
        <v>"Business Central","CRONUS JetCorp USA","25","1","249298"</v>
      </c>
      <c r="E837" s="1">
        <f t="shared" ref="E837" si="1236">I832</f>
        <v>0</v>
      </c>
      <c r="G837" s="1">
        <v>249298</v>
      </c>
      <c r="H837" s="9" t="str">
        <f>"""Business Central"",""CRONUS JetCorp USA"",""25"",""1"",""249298"""</f>
        <v>"Business Central","CRONUS JetCorp USA","25","1","249298"</v>
      </c>
      <c r="I837" s="51"/>
      <c r="J837" s="52" t="str">
        <f>"Order PO102655"</f>
        <v>Order PO102655</v>
      </c>
      <c r="K837" s="52" t="str">
        <f>"PI_102654"</f>
        <v>PI_102654</v>
      </c>
      <c r="L837" s="53">
        <v>43524</v>
      </c>
      <c r="M837" s="53">
        <v>43497</v>
      </c>
      <c r="N837" s="57" t="str">
        <f>""</f>
        <v/>
      </c>
      <c r="O837" s="75">
        <v>0</v>
      </c>
      <c r="P837" s="76">
        <v>0</v>
      </c>
      <c r="Q837" s="77">
        <v>0</v>
      </c>
      <c r="R837" s="78">
        <v>0</v>
      </c>
    </row>
    <row r="838" spans="1:18" hidden="1" x14ac:dyDescent="0.3">
      <c r="A838" s="1" t="s">
        <v>78</v>
      </c>
      <c r="B838" s="1" t="str">
        <f t="shared" ref="B838:B884" si="1237">IF(H838="","Hide","Show")</f>
        <v>Hide</v>
      </c>
      <c r="D838" s="1" t="str">
        <f t="shared" ref="D838:D884" si="1238">D837</f>
        <v>"Business Central","CRONUS JetCorp USA","25","1","249298"</v>
      </c>
      <c r="E838" s="1">
        <f t="shared" ref="E838:E884" si="1239">E837</f>
        <v>0</v>
      </c>
      <c r="F838" s="1" t="str">
        <f>""</f>
        <v/>
      </c>
      <c r="H838" s="9" t="str">
        <f>""</f>
        <v/>
      </c>
      <c r="I838" s="48"/>
      <c r="J838" s="41" t="str">
        <f>""</f>
        <v/>
      </c>
      <c r="K838" s="41" t="str">
        <f>""</f>
        <v/>
      </c>
      <c r="L838" s="54"/>
      <c r="M838" s="54" t="str">
        <f>""</f>
        <v/>
      </c>
      <c r="N838" s="57" t="str">
        <f>""</f>
        <v/>
      </c>
      <c r="O838" s="75">
        <v>0</v>
      </c>
      <c r="P838" s="76" t="str">
        <f>""</f>
        <v/>
      </c>
      <c r="Q838" s="77" t="str">
        <f>""</f>
        <v/>
      </c>
      <c r="R838" s="78">
        <v>0</v>
      </c>
    </row>
    <row r="839" spans="1:18" ht="9" customHeight="1" x14ac:dyDescent="0.3">
      <c r="A839" s="1" t="s">
        <v>78</v>
      </c>
      <c r="I839" s="48"/>
      <c r="J839" s="41"/>
      <c r="K839" s="41"/>
      <c r="L839" s="54"/>
      <c r="M839" s="54"/>
      <c r="N839" s="61"/>
      <c r="O839" s="60"/>
      <c r="P839" s="58"/>
      <c r="Q839" s="59"/>
      <c r="R839" s="56"/>
    </row>
    <row r="840" spans="1:18" x14ac:dyDescent="0.3">
      <c r="A840" s="1" t="s">
        <v>78</v>
      </c>
      <c r="D840" s="1" t="str">
        <f t="shared" ref="D840:D884" si="1240">H840</f>
        <v>"Business Central","CRONUS JetCorp USA","25","1","249301"</v>
      </c>
      <c r="E840" s="1">
        <f t="shared" ref="E840" si="1241">I835</f>
        <v>0</v>
      </c>
      <c r="G840" s="1">
        <v>249301</v>
      </c>
      <c r="H840" s="9" t="str">
        <f>"""Business Central"",""CRONUS JetCorp USA"",""25"",""1"",""249301"""</f>
        <v>"Business Central","CRONUS JetCorp USA","25","1","249301"</v>
      </c>
      <c r="I840" s="51"/>
      <c r="J840" s="52" t="str">
        <f>"Order PO102656"</f>
        <v>Order PO102656</v>
      </c>
      <c r="K840" s="52" t="str">
        <f>"PI_102655"</f>
        <v>PI_102655</v>
      </c>
      <c r="L840" s="53">
        <v>43555</v>
      </c>
      <c r="M840" s="53">
        <v>43525</v>
      </c>
      <c r="N840" s="57" t="str">
        <f>""</f>
        <v/>
      </c>
      <c r="O840" s="75">
        <v>0</v>
      </c>
      <c r="P840" s="76">
        <v>0</v>
      </c>
      <c r="Q840" s="77">
        <v>0</v>
      </c>
      <c r="R840" s="78">
        <v>0</v>
      </c>
    </row>
    <row r="841" spans="1:18" hidden="1" x14ac:dyDescent="0.3">
      <c r="A841" s="1" t="s">
        <v>78</v>
      </c>
      <c r="B841" s="1" t="str">
        <f t="shared" ref="B841:B884" si="1242">IF(H841="","Hide","Show")</f>
        <v>Hide</v>
      </c>
      <c r="D841" s="1" t="str">
        <f t="shared" ref="D841:D884" si="1243">D840</f>
        <v>"Business Central","CRONUS JetCorp USA","25","1","249301"</v>
      </c>
      <c r="E841" s="1">
        <f t="shared" ref="E841:E884" si="1244">E840</f>
        <v>0</v>
      </c>
      <c r="F841" s="1" t="str">
        <f>""</f>
        <v/>
      </c>
      <c r="H841" s="9" t="str">
        <f>""</f>
        <v/>
      </c>
      <c r="I841" s="48"/>
      <c r="J841" s="41" t="str">
        <f>""</f>
        <v/>
      </c>
      <c r="K841" s="41" t="str">
        <f>""</f>
        <v/>
      </c>
      <c r="L841" s="54"/>
      <c r="M841" s="54" t="str">
        <f>""</f>
        <v/>
      </c>
      <c r="N841" s="57" t="str">
        <f>""</f>
        <v/>
      </c>
      <c r="O841" s="75">
        <v>0</v>
      </c>
      <c r="P841" s="76" t="str">
        <f>""</f>
        <v/>
      </c>
      <c r="Q841" s="77" t="str">
        <f>""</f>
        <v/>
      </c>
      <c r="R841" s="78">
        <v>0</v>
      </c>
    </row>
    <row r="842" spans="1:18" ht="9" customHeight="1" x14ac:dyDescent="0.3">
      <c r="A842" s="1" t="s">
        <v>78</v>
      </c>
      <c r="I842" s="48"/>
      <c r="J842" s="41"/>
      <c r="K842" s="41"/>
      <c r="L842" s="54"/>
      <c r="M842" s="54"/>
      <c r="N842" s="61"/>
      <c r="O842" s="60"/>
      <c r="P842" s="58"/>
      <c r="Q842" s="59"/>
      <c r="R842" s="56"/>
    </row>
    <row r="843" spans="1:18" x14ac:dyDescent="0.3">
      <c r="A843" s="1" t="s">
        <v>78</v>
      </c>
      <c r="D843" s="1" t="str">
        <f t="shared" ref="D843:D884" si="1245">H843</f>
        <v>"Business Central","CRONUS JetCorp USA","25","1","249304"</v>
      </c>
      <c r="E843" s="1">
        <f t="shared" ref="E843" si="1246">I838</f>
        <v>0</v>
      </c>
      <c r="G843" s="1">
        <v>249304</v>
      </c>
      <c r="H843" s="9" t="str">
        <f>"""Business Central"",""CRONUS JetCorp USA"",""25"",""1"",""249304"""</f>
        <v>"Business Central","CRONUS JetCorp USA","25","1","249304"</v>
      </c>
      <c r="I843" s="51"/>
      <c r="J843" s="52" t="str">
        <f>"Order PO102657"</f>
        <v>Order PO102657</v>
      </c>
      <c r="K843" s="52" t="str">
        <f>"PI_102656"</f>
        <v>PI_102656</v>
      </c>
      <c r="L843" s="53">
        <v>43585</v>
      </c>
      <c r="M843" s="53">
        <v>43556</v>
      </c>
      <c r="N843" s="57" t="str">
        <f>""</f>
        <v/>
      </c>
      <c r="O843" s="75">
        <v>0</v>
      </c>
      <c r="P843" s="76">
        <v>0</v>
      </c>
      <c r="Q843" s="77">
        <v>0</v>
      </c>
      <c r="R843" s="78">
        <v>0</v>
      </c>
    </row>
    <row r="844" spans="1:18" hidden="1" x14ac:dyDescent="0.3">
      <c r="A844" s="1" t="s">
        <v>78</v>
      </c>
      <c r="B844" s="1" t="str">
        <f t="shared" ref="B844:B884" si="1247">IF(H844="","Hide","Show")</f>
        <v>Hide</v>
      </c>
      <c r="D844" s="1" t="str">
        <f t="shared" ref="D844:D884" si="1248">D843</f>
        <v>"Business Central","CRONUS JetCorp USA","25","1","249304"</v>
      </c>
      <c r="E844" s="1">
        <f t="shared" ref="E844:E884" si="1249">E843</f>
        <v>0</v>
      </c>
      <c r="F844" s="1" t="str">
        <f>""</f>
        <v/>
      </c>
      <c r="H844" s="9" t="str">
        <f>""</f>
        <v/>
      </c>
      <c r="I844" s="48"/>
      <c r="J844" s="41" t="str">
        <f>""</f>
        <v/>
      </c>
      <c r="K844" s="41" t="str">
        <f>""</f>
        <v/>
      </c>
      <c r="L844" s="54"/>
      <c r="M844" s="54" t="str">
        <f>""</f>
        <v/>
      </c>
      <c r="N844" s="57" t="str">
        <f>""</f>
        <v/>
      </c>
      <c r="O844" s="75">
        <v>0</v>
      </c>
      <c r="P844" s="76" t="str">
        <f>""</f>
        <v/>
      </c>
      <c r="Q844" s="77" t="str">
        <f>""</f>
        <v/>
      </c>
      <c r="R844" s="78">
        <v>0</v>
      </c>
    </row>
    <row r="845" spans="1:18" ht="9" customHeight="1" x14ac:dyDescent="0.3">
      <c r="A845" s="1" t="s">
        <v>78</v>
      </c>
      <c r="I845" s="48"/>
      <c r="J845" s="41"/>
      <c r="K845" s="41"/>
      <c r="L845" s="54"/>
      <c r="M845" s="54"/>
      <c r="N845" s="61"/>
      <c r="O845" s="60"/>
      <c r="P845" s="58"/>
      <c r="Q845" s="59"/>
      <c r="R845" s="56"/>
    </row>
    <row r="846" spans="1:18" x14ac:dyDescent="0.3">
      <c r="A846" s="1" t="s">
        <v>78</v>
      </c>
      <c r="D846" s="1" t="str">
        <f t="shared" ref="D846:D884" si="1250">H846</f>
        <v>"Business Central","CRONUS JetCorp USA","25","1","249307"</v>
      </c>
      <c r="E846" s="1">
        <f t="shared" ref="E846" si="1251">I841</f>
        <v>0</v>
      </c>
      <c r="G846" s="1">
        <v>249307</v>
      </c>
      <c r="H846" s="9" t="str">
        <f>"""Business Central"",""CRONUS JetCorp USA"",""25"",""1"",""249307"""</f>
        <v>"Business Central","CRONUS JetCorp USA","25","1","249307"</v>
      </c>
      <c r="I846" s="51"/>
      <c r="J846" s="52" t="str">
        <f>"Order PO102658"</f>
        <v>Order PO102658</v>
      </c>
      <c r="K846" s="52" t="str">
        <f>"PI_102657"</f>
        <v>PI_102657</v>
      </c>
      <c r="L846" s="53">
        <v>43616</v>
      </c>
      <c r="M846" s="53">
        <v>43586</v>
      </c>
      <c r="N846" s="57" t="str">
        <f>""</f>
        <v/>
      </c>
      <c r="O846" s="75">
        <v>0</v>
      </c>
      <c r="P846" s="76">
        <v>0</v>
      </c>
      <c r="Q846" s="77">
        <v>0</v>
      </c>
      <c r="R846" s="78">
        <v>0</v>
      </c>
    </row>
    <row r="847" spans="1:18" hidden="1" x14ac:dyDescent="0.3">
      <c r="A847" s="1" t="s">
        <v>78</v>
      </c>
      <c r="B847" s="1" t="str">
        <f t="shared" ref="B847:B884" si="1252">IF(H847="","Hide","Show")</f>
        <v>Hide</v>
      </c>
      <c r="D847" s="1" t="str">
        <f t="shared" ref="D847:D884" si="1253">D846</f>
        <v>"Business Central","CRONUS JetCorp USA","25","1","249307"</v>
      </c>
      <c r="E847" s="1">
        <f t="shared" ref="E847:E884" si="1254">E846</f>
        <v>0</v>
      </c>
      <c r="F847" s="1" t="str">
        <f>""</f>
        <v/>
      </c>
      <c r="H847" s="9" t="str">
        <f>""</f>
        <v/>
      </c>
      <c r="I847" s="48"/>
      <c r="J847" s="41" t="str">
        <f>""</f>
        <v/>
      </c>
      <c r="K847" s="41" t="str">
        <f>""</f>
        <v/>
      </c>
      <c r="L847" s="54"/>
      <c r="M847" s="54" t="str">
        <f>""</f>
        <v/>
      </c>
      <c r="N847" s="57" t="str">
        <f>""</f>
        <v/>
      </c>
      <c r="O847" s="75">
        <v>0</v>
      </c>
      <c r="P847" s="76" t="str">
        <f>""</f>
        <v/>
      </c>
      <c r="Q847" s="77" t="str">
        <f>""</f>
        <v/>
      </c>
      <c r="R847" s="78">
        <v>0</v>
      </c>
    </row>
    <row r="848" spans="1:18" ht="9" customHeight="1" x14ac:dyDescent="0.3">
      <c r="A848" s="1" t="s">
        <v>78</v>
      </c>
      <c r="I848" s="48"/>
      <c r="J848" s="41"/>
      <c r="K848" s="41"/>
      <c r="L848" s="54"/>
      <c r="M848" s="54"/>
      <c r="N848" s="61"/>
      <c r="O848" s="60"/>
      <c r="P848" s="58"/>
      <c r="Q848" s="59"/>
      <c r="R848" s="56"/>
    </row>
    <row r="849" spans="1:18" x14ac:dyDescent="0.3">
      <c r="A849" s="1" t="s">
        <v>78</v>
      </c>
      <c r="D849" s="1" t="str">
        <f t="shared" ref="D849:D884" si="1255">H849</f>
        <v>"Business Central","CRONUS JetCorp USA","25","1","249310"</v>
      </c>
      <c r="E849" s="1">
        <f t="shared" ref="E849" si="1256">I844</f>
        <v>0</v>
      </c>
      <c r="G849" s="1">
        <v>249310</v>
      </c>
      <c r="H849" s="9" t="str">
        <f>"""Business Central"",""CRONUS JetCorp USA"",""25"",""1"",""249310"""</f>
        <v>"Business Central","CRONUS JetCorp USA","25","1","249310"</v>
      </c>
      <c r="I849" s="51"/>
      <c r="J849" s="52" t="str">
        <f>"Order PO102659"</f>
        <v>Order PO102659</v>
      </c>
      <c r="K849" s="52" t="str">
        <f>"PI_102658"</f>
        <v>PI_102658</v>
      </c>
      <c r="L849" s="53">
        <v>43646</v>
      </c>
      <c r="M849" s="53">
        <v>43617</v>
      </c>
      <c r="N849" s="57" t="str">
        <f>""</f>
        <v/>
      </c>
      <c r="O849" s="75">
        <v>0</v>
      </c>
      <c r="P849" s="76">
        <v>0</v>
      </c>
      <c r="Q849" s="77">
        <v>0</v>
      </c>
      <c r="R849" s="78">
        <v>0</v>
      </c>
    </row>
    <row r="850" spans="1:18" hidden="1" x14ac:dyDescent="0.3">
      <c r="A850" s="1" t="s">
        <v>78</v>
      </c>
      <c r="B850" s="1" t="str">
        <f t="shared" ref="B850:B884" si="1257">IF(H850="","Hide","Show")</f>
        <v>Hide</v>
      </c>
      <c r="D850" s="1" t="str">
        <f t="shared" ref="D850:D884" si="1258">D849</f>
        <v>"Business Central","CRONUS JetCorp USA","25","1","249310"</v>
      </c>
      <c r="E850" s="1">
        <f t="shared" ref="E850:E884" si="1259">E849</f>
        <v>0</v>
      </c>
      <c r="F850" s="1" t="str">
        <f>""</f>
        <v/>
      </c>
      <c r="H850" s="9" t="str">
        <f>""</f>
        <v/>
      </c>
      <c r="I850" s="48"/>
      <c r="J850" s="41" t="str">
        <f>""</f>
        <v/>
      </c>
      <c r="K850" s="41" t="str">
        <f>""</f>
        <v/>
      </c>
      <c r="L850" s="54"/>
      <c r="M850" s="54" t="str">
        <f>""</f>
        <v/>
      </c>
      <c r="N850" s="57" t="str">
        <f>""</f>
        <v/>
      </c>
      <c r="O850" s="75">
        <v>0</v>
      </c>
      <c r="P850" s="76" t="str">
        <f>""</f>
        <v/>
      </c>
      <c r="Q850" s="77" t="str">
        <f>""</f>
        <v/>
      </c>
      <c r="R850" s="78">
        <v>0</v>
      </c>
    </row>
    <row r="851" spans="1:18" ht="9" customHeight="1" x14ac:dyDescent="0.3">
      <c r="A851" s="1" t="s">
        <v>78</v>
      </c>
      <c r="I851" s="48"/>
      <c r="J851" s="41"/>
      <c r="K851" s="41"/>
      <c r="L851" s="54"/>
      <c r="M851" s="54"/>
      <c r="N851" s="61"/>
      <c r="O851" s="60"/>
      <c r="P851" s="58"/>
      <c r="Q851" s="59"/>
      <c r="R851" s="56"/>
    </row>
    <row r="852" spans="1:18" x14ac:dyDescent="0.3">
      <c r="A852" s="1" t="s">
        <v>78</v>
      </c>
      <c r="D852" s="1" t="str">
        <f t="shared" ref="D852:D884" si="1260">H852</f>
        <v>"Business Central","CRONUS JetCorp USA","25","1","249313"</v>
      </c>
      <c r="E852" s="1">
        <f t="shared" ref="E852" si="1261">I847</f>
        <v>0</v>
      </c>
      <c r="G852" s="1">
        <v>249313</v>
      </c>
      <c r="H852" s="9" t="str">
        <f>"""Business Central"",""CRONUS JetCorp USA"",""25"",""1"",""249313"""</f>
        <v>"Business Central","CRONUS JetCorp USA","25","1","249313"</v>
      </c>
      <c r="I852" s="51"/>
      <c r="J852" s="52" t="str">
        <f>"Order PO102660"</f>
        <v>Order PO102660</v>
      </c>
      <c r="K852" s="52" t="str">
        <f>"PI_102659"</f>
        <v>PI_102659</v>
      </c>
      <c r="L852" s="53">
        <v>43677</v>
      </c>
      <c r="M852" s="53">
        <v>43647</v>
      </c>
      <c r="N852" s="57" t="str">
        <f>""</f>
        <v/>
      </c>
      <c r="O852" s="75">
        <v>0</v>
      </c>
      <c r="P852" s="76">
        <v>0</v>
      </c>
      <c r="Q852" s="77">
        <v>0</v>
      </c>
      <c r="R852" s="78">
        <v>0</v>
      </c>
    </row>
    <row r="853" spans="1:18" hidden="1" x14ac:dyDescent="0.3">
      <c r="A853" s="1" t="s">
        <v>78</v>
      </c>
      <c r="B853" s="1" t="str">
        <f t="shared" ref="B853:B884" si="1262">IF(H853="","Hide","Show")</f>
        <v>Hide</v>
      </c>
      <c r="D853" s="1" t="str">
        <f t="shared" ref="D853:D884" si="1263">D852</f>
        <v>"Business Central","CRONUS JetCorp USA","25","1","249313"</v>
      </c>
      <c r="E853" s="1">
        <f t="shared" ref="E853:E884" si="1264">E852</f>
        <v>0</v>
      </c>
      <c r="F853" s="1" t="str">
        <f>""</f>
        <v/>
      </c>
      <c r="H853" s="9" t="str">
        <f>""</f>
        <v/>
      </c>
      <c r="I853" s="48"/>
      <c r="J853" s="41" t="str">
        <f>""</f>
        <v/>
      </c>
      <c r="K853" s="41" t="str">
        <f>""</f>
        <v/>
      </c>
      <c r="L853" s="54"/>
      <c r="M853" s="54" t="str">
        <f>""</f>
        <v/>
      </c>
      <c r="N853" s="57" t="str">
        <f>""</f>
        <v/>
      </c>
      <c r="O853" s="75">
        <v>0</v>
      </c>
      <c r="P853" s="76" t="str">
        <f>""</f>
        <v/>
      </c>
      <c r="Q853" s="77" t="str">
        <f>""</f>
        <v/>
      </c>
      <c r="R853" s="78">
        <v>0</v>
      </c>
    </row>
    <row r="854" spans="1:18" ht="9" customHeight="1" x14ac:dyDescent="0.3">
      <c r="A854" s="1" t="s">
        <v>78</v>
      </c>
      <c r="I854" s="48"/>
      <c r="J854" s="41"/>
      <c r="K854" s="41"/>
      <c r="L854" s="54"/>
      <c r="M854" s="54"/>
      <c r="N854" s="61"/>
      <c r="O854" s="60"/>
      <c r="P854" s="58"/>
      <c r="Q854" s="59"/>
      <c r="R854" s="56"/>
    </row>
    <row r="855" spans="1:18" x14ac:dyDescent="0.3">
      <c r="A855" s="1" t="s">
        <v>78</v>
      </c>
      <c r="D855" s="1" t="str">
        <f t="shared" ref="D855:D884" si="1265">H855</f>
        <v>"Business Central","CRONUS JetCorp USA","25","1","249316"</v>
      </c>
      <c r="E855" s="1">
        <f t="shared" ref="E855" si="1266">I850</f>
        <v>0</v>
      </c>
      <c r="G855" s="1">
        <v>249316</v>
      </c>
      <c r="H855" s="9" t="str">
        <f>"""Business Central"",""CRONUS JetCorp USA"",""25"",""1"",""249316"""</f>
        <v>"Business Central","CRONUS JetCorp USA","25","1","249316"</v>
      </c>
      <c r="I855" s="51"/>
      <c r="J855" s="52" t="str">
        <f>"Order PO102661"</f>
        <v>Order PO102661</v>
      </c>
      <c r="K855" s="52" t="str">
        <f>"PI_102660"</f>
        <v>PI_102660</v>
      </c>
      <c r="L855" s="53">
        <v>43708</v>
      </c>
      <c r="M855" s="53">
        <v>43678</v>
      </c>
      <c r="N855" s="57" t="str">
        <f>""</f>
        <v/>
      </c>
      <c r="O855" s="75">
        <v>0</v>
      </c>
      <c r="P855" s="76">
        <v>0</v>
      </c>
      <c r="Q855" s="77">
        <v>0</v>
      </c>
      <c r="R855" s="78">
        <v>0</v>
      </c>
    </row>
    <row r="856" spans="1:18" hidden="1" x14ac:dyDescent="0.3">
      <c r="A856" s="1" t="s">
        <v>78</v>
      </c>
      <c r="B856" s="1" t="str">
        <f t="shared" ref="B856:B884" si="1267">IF(H856="","Hide","Show")</f>
        <v>Hide</v>
      </c>
      <c r="D856" s="1" t="str">
        <f t="shared" ref="D856:D884" si="1268">D855</f>
        <v>"Business Central","CRONUS JetCorp USA","25","1","249316"</v>
      </c>
      <c r="E856" s="1">
        <f t="shared" ref="E856:E884" si="1269">E855</f>
        <v>0</v>
      </c>
      <c r="F856" s="1" t="str">
        <f>""</f>
        <v/>
      </c>
      <c r="H856" s="9" t="str">
        <f>""</f>
        <v/>
      </c>
      <c r="I856" s="48"/>
      <c r="J856" s="41" t="str">
        <f>""</f>
        <v/>
      </c>
      <c r="K856" s="41" t="str">
        <f>""</f>
        <v/>
      </c>
      <c r="L856" s="54"/>
      <c r="M856" s="54" t="str">
        <f>""</f>
        <v/>
      </c>
      <c r="N856" s="57" t="str">
        <f>""</f>
        <v/>
      </c>
      <c r="O856" s="75">
        <v>0</v>
      </c>
      <c r="P856" s="76" t="str">
        <f>""</f>
        <v/>
      </c>
      <c r="Q856" s="77" t="str">
        <f>""</f>
        <v/>
      </c>
      <c r="R856" s="78">
        <v>0</v>
      </c>
    </row>
    <row r="857" spans="1:18" ht="9" customHeight="1" x14ac:dyDescent="0.3">
      <c r="A857" s="1" t="s">
        <v>78</v>
      </c>
      <c r="I857" s="48"/>
      <c r="J857" s="41"/>
      <c r="K857" s="41"/>
      <c r="L857" s="54"/>
      <c r="M857" s="54"/>
      <c r="N857" s="61"/>
      <c r="O857" s="60"/>
      <c r="P857" s="58"/>
      <c r="Q857" s="59"/>
      <c r="R857" s="56"/>
    </row>
    <row r="858" spans="1:18" x14ac:dyDescent="0.3">
      <c r="A858" s="1" t="s">
        <v>78</v>
      </c>
      <c r="D858" s="1" t="str">
        <f t="shared" ref="D858:D884" si="1270">H858</f>
        <v>"Business Central","CRONUS JetCorp USA","25","1","249319"</v>
      </c>
      <c r="E858" s="1">
        <f t="shared" ref="E858" si="1271">I853</f>
        <v>0</v>
      </c>
      <c r="G858" s="1">
        <v>249319</v>
      </c>
      <c r="H858" s="9" t="str">
        <f>"""Business Central"",""CRONUS JetCorp USA"",""25"",""1"",""249319"""</f>
        <v>"Business Central","CRONUS JetCorp USA","25","1","249319"</v>
      </c>
      <c r="I858" s="51"/>
      <c r="J858" s="52" t="str">
        <f>"Order PO102662"</f>
        <v>Order PO102662</v>
      </c>
      <c r="K858" s="52" t="str">
        <f>"PI_102661"</f>
        <v>PI_102661</v>
      </c>
      <c r="L858" s="53">
        <v>43738</v>
      </c>
      <c r="M858" s="53">
        <v>43709</v>
      </c>
      <c r="N858" s="57" t="str">
        <f>""</f>
        <v/>
      </c>
      <c r="O858" s="75">
        <v>0</v>
      </c>
      <c r="P858" s="76">
        <v>0</v>
      </c>
      <c r="Q858" s="77">
        <v>0</v>
      </c>
      <c r="R858" s="78">
        <v>0</v>
      </c>
    </row>
    <row r="859" spans="1:18" hidden="1" x14ac:dyDescent="0.3">
      <c r="A859" s="1" t="s">
        <v>78</v>
      </c>
      <c r="B859" s="1" t="str">
        <f t="shared" ref="B859:B884" si="1272">IF(H859="","Hide","Show")</f>
        <v>Hide</v>
      </c>
      <c r="D859" s="1" t="str">
        <f t="shared" ref="D859:D884" si="1273">D858</f>
        <v>"Business Central","CRONUS JetCorp USA","25","1","249319"</v>
      </c>
      <c r="E859" s="1">
        <f t="shared" ref="E859:E884" si="1274">E858</f>
        <v>0</v>
      </c>
      <c r="F859" s="1" t="str">
        <f>""</f>
        <v/>
      </c>
      <c r="H859" s="9" t="str">
        <f>""</f>
        <v/>
      </c>
      <c r="I859" s="48"/>
      <c r="J859" s="41" t="str">
        <f>""</f>
        <v/>
      </c>
      <c r="K859" s="41" t="str">
        <f>""</f>
        <v/>
      </c>
      <c r="L859" s="54"/>
      <c r="M859" s="54" t="str">
        <f>""</f>
        <v/>
      </c>
      <c r="N859" s="57" t="str">
        <f>""</f>
        <v/>
      </c>
      <c r="O859" s="75">
        <v>0</v>
      </c>
      <c r="P859" s="76" t="str">
        <f>""</f>
        <v/>
      </c>
      <c r="Q859" s="77" t="str">
        <f>""</f>
        <v/>
      </c>
      <c r="R859" s="78">
        <v>0</v>
      </c>
    </row>
    <row r="860" spans="1:18" ht="9" customHeight="1" x14ac:dyDescent="0.3">
      <c r="A860" s="1" t="s">
        <v>78</v>
      </c>
      <c r="I860" s="48"/>
      <c r="J860" s="41"/>
      <c r="K860" s="41"/>
      <c r="L860" s="54"/>
      <c r="M860" s="54"/>
      <c r="N860" s="61"/>
      <c r="O860" s="60"/>
      <c r="P860" s="58"/>
      <c r="Q860" s="59"/>
      <c r="R860" s="56"/>
    </row>
    <row r="861" spans="1:18" x14ac:dyDescent="0.3">
      <c r="A861" s="1" t="s">
        <v>78</v>
      </c>
      <c r="D861" s="1" t="str">
        <f t="shared" ref="D861:D884" si="1275">H861</f>
        <v>"Business Central","CRONUS JetCorp USA","25","1","249322"</v>
      </c>
      <c r="E861" s="1">
        <f t="shared" ref="E861" si="1276">I856</f>
        <v>0</v>
      </c>
      <c r="G861" s="1">
        <v>249322</v>
      </c>
      <c r="H861" s="9" t="str">
        <f>"""Business Central"",""CRONUS JetCorp USA"",""25"",""1"",""249322"""</f>
        <v>"Business Central","CRONUS JetCorp USA","25","1","249322"</v>
      </c>
      <c r="I861" s="51"/>
      <c r="J861" s="52" t="str">
        <f>"Order PO102663"</f>
        <v>Order PO102663</v>
      </c>
      <c r="K861" s="52" t="str">
        <f>"PI_102662"</f>
        <v>PI_102662</v>
      </c>
      <c r="L861" s="53">
        <v>43769</v>
      </c>
      <c r="M861" s="53">
        <v>43739</v>
      </c>
      <c r="N861" s="57" t="str">
        <f>""</f>
        <v/>
      </c>
      <c r="O861" s="75">
        <v>0</v>
      </c>
      <c r="P861" s="76">
        <v>0</v>
      </c>
      <c r="Q861" s="77">
        <v>0</v>
      </c>
      <c r="R861" s="78">
        <v>0</v>
      </c>
    </row>
    <row r="862" spans="1:18" hidden="1" x14ac:dyDescent="0.3">
      <c r="A862" s="1" t="s">
        <v>78</v>
      </c>
      <c r="B862" s="1" t="str">
        <f t="shared" ref="B862:B884" si="1277">IF(H862="","Hide","Show")</f>
        <v>Hide</v>
      </c>
      <c r="D862" s="1" t="str">
        <f t="shared" ref="D862:D884" si="1278">D861</f>
        <v>"Business Central","CRONUS JetCorp USA","25","1","249322"</v>
      </c>
      <c r="E862" s="1">
        <f t="shared" ref="E862:E884" si="1279">E861</f>
        <v>0</v>
      </c>
      <c r="F862" s="1" t="str">
        <f>""</f>
        <v/>
      </c>
      <c r="H862" s="9" t="str">
        <f>""</f>
        <v/>
      </c>
      <c r="I862" s="48"/>
      <c r="J862" s="41" t="str">
        <f>""</f>
        <v/>
      </c>
      <c r="K862" s="41" t="str">
        <f>""</f>
        <v/>
      </c>
      <c r="L862" s="54"/>
      <c r="M862" s="54" t="str">
        <f>""</f>
        <v/>
      </c>
      <c r="N862" s="57" t="str">
        <f>""</f>
        <v/>
      </c>
      <c r="O862" s="75">
        <v>0</v>
      </c>
      <c r="P862" s="76" t="str">
        <f>""</f>
        <v/>
      </c>
      <c r="Q862" s="77" t="str">
        <f>""</f>
        <v/>
      </c>
      <c r="R862" s="78">
        <v>0</v>
      </c>
    </row>
    <row r="863" spans="1:18" ht="9" customHeight="1" x14ac:dyDescent="0.3">
      <c r="A863" s="1" t="s">
        <v>78</v>
      </c>
      <c r="I863" s="48"/>
      <c r="J863" s="41"/>
      <c r="K863" s="41"/>
      <c r="L863" s="54"/>
      <c r="M863" s="54"/>
      <c r="N863" s="61"/>
      <c r="O863" s="60"/>
      <c r="P863" s="58"/>
      <c r="Q863" s="59"/>
      <c r="R863" s="56"/>
    </row>
    <row r="864" spans="1:18" x14ac:dyDescent="0.3">
      <c r="A864" s="1" t="s">
        <v>78</v>
      </c>
      <c r="D864" s="1" t="str">
        <f t="shared" ref="D864:D884" si="1280">H864</f>
        <v>"Business Central","CRONUS JetCorp USA","25","1","249325"</v>
      </c>
      <c r="E864" s="1">
        <f t="shared" ref="E864" si="1281">I859</f>
        <v>0</v>
      </c>
      <c r="G864" s="1">
        <v>249325</v>
      </c>
      <c r="H864" s="9" t="str">
        <f>"""Business Central"",""CRONUS JetCorp USA"",""25"",""1"",""249325"""</f>
        <v>"Business Central","CRONUS JetCorp USA","25","1","249325"</v>
      </c>
      <c r="I864" s="51"/>
      <c r="J864" s="52" t="str">
        <f>"Order PO102664"</f>
        <v>Order PO102664</v>
      </c>
      <c r="K864" s="52" t="str">
        <f>"PI_102663"</f>
        <v>PI_102663</v>
      </c>
      <c r="L864" s="53">
        <v>43799</v>
      </c>
      <c r="M864" s="53">
        <v>43770</v>
      </c>
      <c r="N864" s="57" t="str">
        <f>""</f>
        <v/>
      </c>
      <c r="O864" s="75">
        <v>0</v>
      </c>
      <c r="P864" s="76">
        <v>0</v>
      </c>
      <c r="Q864" s="77">
        <v>0</v>
      </c>
      <c r="R864" s="78">
        <v>0</v>
      </c>
    </row>
    <row r="865" spans="1:18" hidden="1" x14ac:dyDescent="0.3">
      <c r="A865" s="1" t="s">
        <v>78</v>
      </c>
      <c r="B865" s="1" t="str">
        <f t="shared" ref="B865:B884" si="1282">IF(H865="","Hide","Show")</f>
        <v>Hide</v>
      </c>
      <c r="D865" s="1" t="str">
        <f t="shared" ref="D865:D884" si="1283">D864</f>
        <v>"Business Central","CRONUS JetCorp USA","25","1","249325"</v>
      </c>
      <c r="E865" s="1">
        <f t="shared" ref="E865:E884" si="1284">E864</f>
        <v>0</v>
      </c>
      <c r="F865" s="1" t="str">
        <f>""</f>
        <v/>
      </c>
      <c r="H865" s="9" t="str">
        <f>""</f>
        <v/>
      </c>
      <c r="I865" s="48"/>
      <c r="J865" s="41" t="str">
        <f>""</f>
        <v/>
      </c>
      <c r="K865" s="41" t="str">
        <f>""</f>
        <v/>
      </c>
      <c r="L865" s="54"/>
      <c r="M865" s="54" t="str">
        <f>""</f>
        <v/>
      </c>
      <c r="N865" s="57" t="str">
        <f>""</f>
        <v/>
      </c>
      <c r="O865" s="75">
        <v>0</v>
      </c>
      <c r="P865" s="76" t="str">
        <f>""</f>
        <v/>
      </c>
      <c r="Q865" s="77" t="str">
        <f>""</f>
        <v/>
      </c>
      <c r="R865" s="78">
        <v>0</v>
      </c>
    </row>
    <row r="866" spans="1:18" ht="9" customHeight="1" x14ac:dyDescent="0.3">
      <c r="A866" s="1" t="s">
        <v>78</v>
      </c>
      <c r="I866" s="48"/>
      <c r="J866" s="41"/>
      <c r="K866" s="41"/>
      <c r="L866" s="54"/>
      <c r="M866" s="54"/>
      <c r="N866" s="61"/>
      <c r="O866" s="60"/>
      <c r="P866" s="58"/>
      <c r="Q866" s="59"/>
      <c r="R866" s="56"/>
    </row>
    <row r="867" spans="1:18" x14ac:dyDescent="0.3">
      <c r="A867" s="1" t="s">
        <v>78</v>
      </c>
      <c r="D867" s="1" t="str">
        <f t="shared" ref="D867:D884" si="1285">H867</f>
        <v>"Business Central","CRONUS JetCorp USA","25","1","249328"</v>
      </c>
      <c r="E867" s="1">
        <f t="shared" ref="E867" si="1286">I862</f>
        <v>0</v>
      </c>
      <c r="G867" s="1">
        <v>249328</v>
      </c>
      <c r="H867" s="9" t="str">
        <f>"""Business Central"",""CRONUS JetCorp USA"",""25"",""1"",""249328"""</f>
        <v>"Business Central","CRONUS JetCorp USA","25","1","249328"</v>
      </c>
      <c r="I867" s="51"/>
      <c r="J867" s="52" t="str">
        <f>"Order PO102665"</f>
        <v>Order PO102665</v>
      </c>
      <c r="K867" s="52" t="str">
        <f>"PI_102664"</f>
        <v>PI_102664</v>
      </c>
      <c r="L867" s="53">
        <v>43830</v>
      </c>
      <c r="M867" s="53">
        <v>43800</v>
      </c>
      <c r="N867" s="57" t="str">
        <f>""</f>
        <v/>
      </c>
      <c r="O867" s="75">
        <v>0</v>
      </c>
      <c r="P867" s="76">
        <v>0</v>
      </c>
      <c r="Q867" s="77">
        <v>0</v>
      </c>
      <c r="R867" s="78">
        <v>0</v>
      </c>
    </row>
    <row r="868" spans="1:18" hidden="1" x14ac:dyDescent="0.3">
      <c r="A868" s="1" t="s">
        <v>78</v>
      </c>
      <c r="B868" s="1" t="str">
        <f t="shared" ref="B868:B884" si="1287">IF(H868="","Hide","Show")</f>
        <v>Hide</v>
      </c>
      <c r="D868" s="1" t="str">
        <f t="shared" ref="D868:D884" si="1288">D867</f>
        <v>"Business Central","CRONUS JetCorp USA","25","1","249328"</v>
      </c>
      <c r="E868" s="1">
        <f t="shared" ref="E868:E884" si="1289">E867</f>
        <v>0</v>
      </c>
      <c r="F868" s="1" t="str">
        <f>""</f>
        <v/>
      </c>
      <c r="H868" s="9" t="str">
        <f>""</f>
        <v/>
      </c>
      <c r="I868" s="48"/>
      <c r="J868" s="41" t="str">
        <f>""</f>
        <v/>
      </c>
      <c r="K868" s="41" t="str">
        <f>""</f>
        <v/>
      </c>
      <c r="L868" s="54"/>
      <c r="M868" s="54" t="str">
        <f>""</f>
        <v/>
      </c>
      <c r="N868" s="57" t="str">
        <f>""</f>
        <v/>
      </c>
      <c r="O868" s="75">
        <v>0</v>
      </c>
      <c r="P868" s="76" t="str">
        <f>""</f>
        <v/>
      </c>
      <c r="Q868" s="77" t="str">
        <f>""</f>
        <v/>
      </c>
      <c r="R868" s="78">
        <v>0</v>
      </c>
    </row>
    <row r="869" spans="1:18" ht="9" customHeight="1" x14ac:dyDescent="0.3">
      <c r="A869" s="1" t="s">
        <v>78</v>
      </c>
      <c r="I869" s="48"/>
      <c r="J869" s="41"/>
      <c r="K869" s="41"/>
      <c r="L869" s="54"/>
      <c r="M869" s="54"/>
      <c r="N869" s="61"/>
      <c r="O869" s="60"/>
      <c r="P869" s="58"/>
      <c r="Q869" s="59"/>
      <c r="R869" s="56"/>
    </row>
    <row r="870" spans="1:18" x14ac:dyDescent="0.3">
      <c r="A870" s="1" t="s">
        <v>78</v>
      </c>
      <c r="D870" s="1" t="str">
        <f t="shared" ref="D870:D884" si="1290">H870</f>
        <v>"Business Central","CRONUS JetCorp USA","25","1","249331"</v>
      </c>
      <c r="E870" s="1">
        <f t="shared" ref="E870" si="1291">I865</f>
        <v>0</v>
      </c>
      <c r="G870" s="1">
        <v>249331</v>
      </c>
      <c r="H870" s="9" t="str">
        <f>"""Business Central"",""CRONUS JetCorp USA"",""25"",""1"",""249331"""</f>
        <v>"Business Central","CRONUS JetCorp USA","25","1","249331"</v>
      </c>
      <c r="I870" s="51"/>
      <c r="J870" s="52" t="str">
        <f>"Order PO102666"</f>
        <v>Order PO102666</v>
      </c>
      <c r="K870" s="52" t="str">
        <f>"PI_102665"</f>
        <v>PI_102665</v>
      </c>
      <c r="L870" s="53">
        <v>42035</v>
      </c>
      <c r="M870" s="53">
        <v>43831</v>
      </c>
      <c r="N870" s="57" t="str">
        <f>""</f>
        <v/>
      </c>
      <c r="O870" s="75">
        <v>0</v>
      </c>
      <c r="P870" s="76">
        <v>0</v>
      </c>
      <c r="Q870" s="77">
        <v>0</v>
      </c>
      <c r="R870" s="78">
        <v>0</v>
      </c>
    </row>
    <row r="871" spans="1:18" hidden="1" x14ac:dyDescent="0.3">
      <c r="A871" s="1" t="s">
        <v>78</v>
      </c>
      <c r="B871" s="1" t="str">
        <f t="shared" ref="B871:B884" si="1292">IF(H871="","Hide","Show")</f>
        <v>Hide</v>
      </c>
      <c r="D871" s="1" t="str">
        <f t="shared" ref="D871:D884" si="1293">D870</f>
        <v>"Business Central","CRONUS JetCorp USA","25","1","249331"</v>
      </c>
      <c r="E871" s="1">
        <f t="shared" ref="E871:E884" si="1294">E870</f>
        <v>0</v>
      </c>
      <c r="F871" s="1" t="str">
        <f>""</f>
        <v/>
      </c>
      <c r="H871" s="9" t="str">
        <f>""</f>
        <v/>
      </c>
      <c r="I871" s="48"/>
      <c r="J871" s="41" t="str">
        <f>""</f>
        <v/>
      </c>
      <c r="K871" s="41" t="str">
        <f>""</f>
        <v/>
      </c>
      <c r="L871" s="54"/>
      <c r="M871" s="54" t="str">
        <f>""</f>
        <v/>
      </c>
      <c r="N871" s="57" t="str">
        <f>""</f>
        <v/>
      </c>
      <c r="O871" s="75">
        <v>0</v>
      </c>
      <c r="P871" s="76" t="str">
        <f>""</f>
        <v/>
      </c>
      <c r="Q871" s="77" t="str">
        <f>""</f>
        <v/>
      </c>
      <c r="R871" s="78">
        <v>0</v>
      </c>
    </row>
    <row r="872" spans="1:18" ht="9" customHeight="1" x14ac:dyDescent="0.3">
      <c r="A872" s="1" t="s">
        <v>78</v>
      </c>
      <c r="I872" s="48"/>
      <c r="J872" s="41"/>
      <c r="K872" s="41"/>
      <c r="L872" s="54"/>
      <c r="M872" s="54"/>
      <c r="N872" s="61"/>
      <c r="O872" s="60"/>
      <c r="P872" s="58"/>
      <c r="Q872" s="59"/>
      <c r="R872" s="56"/>
    </row>
    <row r="873" spans="1:18" x14ac:dyDescent="0.3">
      <c r="A873" s="1" t="s">
        <v>78</v>
      </c>
      <c r="D873" s="1" t="str">
        <f t="shared" ref="D873:D884" si="1295">H873</f>
        <v>"Business Central","CRONUS JetCorp USA","25","1","249334"</v>
      </c>
      <c r="E873" s="1">
        <f t="shared" ref="E873" si="1296">I868</f>
        <v>0</v>
      </c>
      <c r="G873" s="1">
        <v>249334</v>
      </c>
      <c r="H873" s="9" t="str">
        <f>"""Business Central"",""CRONUS JetCorp USA"",""25"",""1"",""249334"""</f>
        <v>"Business Central","CRONUS JetCorp USA","25","1","249334"</v>
      </c>
      <c r="I873" s="51"/>
      <c r="J873" s="52" t="str">
        <f>"Order PO102667"</f>
        <v>Order PO102667</v>
      </c>
      <c r="K873" s="52" t="str">
        <f>"PI_102666"</f>
        <v>PI_102666</v>
      </c>
      <c r="L873" s="53">
        <v>42063</v>
      </c>
      <c r="M873" s="53">
        <v>43862</v>
      </c>
      <c r="N873" s="57" t="str">
        <f>""</f>
        <v/>
      </c>
      <c r="O873" s="75">
        <v>0</v>
      </c>
      <c r="P873" s="76">
        <v>0</v>
      </c>
      <c r="Q873" s="77">
        <v>0</v>
      </c>
      <c r="R873" s="78">
        <v>0</v>
      </c>
    </row>
    <row r="874" spans="1:18" hidden="1" x14ac:dyDescent="0.3">
      <c r="A874" s="1" t="s">
        <v>78</v>
      </c>
      <c r="B874" s="1" t="str">
        <f t="shared" ref="B874:B884" si="1297">IF(H874="","Hide","Show")</f>
        <v>Hide</v>
      </c>
      <c r="D874" s="1" t="str">
        <f t="shared" ref="D874:D884" si="1298">D873</f>
        <v>"Business Central","CRONUS JetCorp USA","25","1","249334"</v>
      </c>
      <c r="E874" s="1">
        <f t="shared" ref="E874:E884" si="1299">E873</f>
        <v>0</v>
      </c>
      <c r="F874" s="1" t="str">
        <f>""</f>
        <v/>
      </c>
      <c r="H874" s="9" t="str">
        <f>""</f>
        <v/>
      </c>
      <c r="I874" s="48"/>
      <c r="J874" s="41" t="str">
        <f>""</f>
        <v/>
      </c>
      <c r="K874" s="41" t="str">
        <f>""</f>
        <v/>
      </c>
      <c r="L874" s="54"/>
      <c r="M874" s="54" t="str">
        <f>""</f>
        <v/>
      </c>
      <c r="N874" s="57" t="str">
        <f>""</f>
        <v/>
      </c>
      <c r="O874" s="75">
        <v>0</v>
      </c>
      <c r="P874" s="76" t="str">
        <f>""</f>
        <v/>
      </c>
      <c r="Q874" s="77" t="str">
        <f>""</f>
        <v/>
      </c>
      <c r="R874" s="78">
        <v>0</v>
      </c>
    </row>
    <row r="875" spans="1:18" ht="9" customHeight="1" x14ac:dyDescent="0.3">
      <c r="A875" s="1" t="s">
        <v>78</v>
      </c>
      <c r="I875" s="48"/>
      <c r="J875" s="41"/>
      <c r="K875" s="41"/>
      <c r="L875" s="54"/>
      <c r="M875" s="54"/>
      <c r="N875" s="61"/>
      <c r="O875" s="60"/>
      <c r="P875" s="58"/>
      <c r="Q875" s="59"/>
      <c r="R875" s="56"/>
    </row>
    <row r="876" spans="1:18" x14ac:dyDescent="0.3">
      <c r="A876" s="1" t="s">
        <v>78</v>
      </c>
      <c r="D876" s="1" t="str">
        <f t="shared" ref="D876:D884" si="1300">H876</f>
        <v>"Business Central","CRONUS JetCorp USA","25","1","249337"</v>
      </c>
      <c r="E876" s="1">
        <f t="shared" ref="E876" si="1301">I871</f>
        <v>0</v>
      </c>
      <c r="G876" s="1">
        <v>249337</v>
      </c>
      <c r="H876" s="9" t="str">
        <f>"""Business Central"",""CRONUS JetCorp USA"",""25"",""1"",""249337"""</f>
        <v>"Business Central","CRONUS JetCorp USA","25","1","249337"</v>
      </c>
      <c r="I876" s="51"/>
      <c r="J876" s="52" t="str">
        <f>"Order PO102668"</f>
        <v>Order PO102668</v>
      </c>
      <c r="K876" s="52" t="str">
        <f>"PI_102667"</f>
        <v>PI_102667</v>
      </c>
      <c r="L876" s="53">
        <v>42094</v>
      </c>
      <c r="M876" s="53">
        <v>43891</v>
      </c>
      <c r="N876" s="57" t="str">
        <f>""</f>
        <v/>
      </c>
      <c r="O876" s="75">
        <v>0</v>
      </c>
      <c r="P876" s="76">
        <v>0</v>
      </c>
      <c r="Q876" s="77">
        <v>0</v>
      </c>
      <c r="R876" s="78">
        <v>0</v>
      </c>
    </row>
    <row r="877" spans="1:18" hidden="1" x14ac:dyDescent="0.3">
      <c r="A877" s="1" t="s">
        <v>78</v>
      </c>
      <c r="B877" s="1" t="str">
        <f t="shared" ref="B877:B884" si="1302">IF(H877="","Hide","Show")</f>
        <v>Hide</v>
      </c>
      <c r="D877" s="1" t="str">
        <f t="shared" ref="D877:D884" si="1303">D876</f>
        <v>"Business Central","CRONUS JetCorp USA","25","1","249337"</v>
      </c>
      <c r="E877" s="1">
        <f t="shared" ref="E877:E884" si="1304">E876</f>
        <v>0</v>
      </c>
      <c r="F877" s="1" t="str">
        <f>""</f>
        <v/>
      </c>
      <c r="H877" s="9" t="str">
        <f>""</f>
        <v/>
      </c>
      <c r="I877" s="48"/>
      <c r="J877" s="41" t="str">
        <f>""</f>
        <v/>
      </c>
      <c r="K877" s="41" t="str">
        <f>""</f>
        <v/>
      </c>
      <c r="L877" s="54"/>
      <c r="M877" s="54" t="str">
        <f>""</f>
        <v/>
      </c>
      <c r="N877" s="57" t="str">
        <f>""</f>
        <v/>
      </c>
      <c r="O877" s="75">
        <v>0</v>
      </c>
      <c r="P877" s="76" t="str">
        <f>""</f>
        <v/>
      </c>
      <c r="Q877" s="77" t="str">
        <f>""</f>
        <v/>
      </c>
      <c r="R877" s="78">
        <v>0</v>
      </c>
    </row>
    <row r="878" spans="1:18" ht="9" customHeight="1" x14ac:dyDescent="0.3">
      <c r="A878" s="1" t="s">
        <v>78</v>
      </c>
      <c r="I878" s="48"/>
      <c r="J878" s="41"/>
      <c r="K878" s="41"/>
      <c r="L878" s="54"/>
      <c r="M878" s="54"/>
      <c r="N878" s="61"/>
      <c r="O878" s="60"/>
      <c r="P878" s="58"/>
      <c r="Q878" s="59"/>
      <c r="R878" s="56"/>
    </row>
    <row r="879" spans="1:18" x14ac:dyDescent="0.3">
      <c r="A879" s="1" t="s">
        <v>78</v>
      </c>
      <c r="D879" s="1" t="str">
        <f t="shared" ref="D879:D884" si="1305">H879</f>
        <v>"Business Central","CRONUS JetCorp USA","25","1","249340"</v>
      </c>
      <c r="E879" s="1">
        <f t="shared" ref="E879" si="1306">I874</f>
        <v>0</v>
      </c>
      <c r="G879" s="1">
        <v>249340</v>
      </c>
      <c r="H879" s="9" t="str">
        <f>"""Business Central"",""CRONUS JetCorp USA"",""25"",""1"",""249340"""</f>
        <v>"Business Central","CRONUS JetCorp USA","25","1","249340"</v>
      </c>
      <c r="I879" s="51"/>
      <c r="J879" s="52" t="str">
        <f>"Order PO102669"</f>
        <v>Order PO102669</v>
      </c>
      <c r="K879" s="52" t="str">
        <f>"PI_102668"</f>
        <v>PI_102668</v>
      </c>
      <c r="L879" s="53">
        <v>42124</v>
      </c>
      <c r="M879" s="53">
        <v>43922</v>
      </c>
      <c r="N879" s="57" t="str">
        <f>""</f>
        <v/>
      </c>
      <c r="O879" s="75">
        <v>0</v>
      </c>
      <c r="P879" s="76">
        <v>0</v>
      </c>
      <c r="Q879" s="77">
        <v>0</v>
      </c>
      <c r="R879" s="78">
        <v>0</v>
      </c>
    </row>
    <row r="880" spans="1:18" hidden="1" x14ac:dyDescent="0.3">
      <c r="A880" s="1" t="s">
        <v>78</v>
      </c>
      <c r="B880" s="1" t="str">
        <f t="shared" ref="B880:B884" si="1307">IF(H880="","Hide","Show")</f>
        <v>Hide</v>
      </c>
      <c r="D880" s="1" t="str">
        <f t="shared" ref="D880:D884" si="1308">D879</f>
        <v>"Business Central","CRONUS JetCorp USA","25","1","249340"</v>
      </c>
      <c r="E880" s="1">
        <f t="shared" ref="E880:E884" si="1309">E879</f>
        <v>0</v>
      </c>
      <c r="F880" s="1" t="str">
        <f>""</f>
        <v/>
      </c>
      <c r="H880" s="9" t="str">
        <f>""</f>
        <v/>
      </c>
      <c r="I880" s="48"/>
      <c r="J880" s="41" t="str">
        <f>""</f>
        <v/>
      </c>
      <c r="K880" s="41" t="str">
        <f>""</f>
        <v/>
      </c>
      <c r="L880" s="54"/>
      <c r="M880" s="54" t="str">
        <f>""</f>
        <v/>
      </c>
      <c r="N880" s="57" t="str">
        <f>""</f>
        <v/>
      </c>
      <c r="O880" s="75">
        <v>0</v>
      </c>
      <c r="P880" s="76" t="str">
        <f>""</f>
        <v/>
      </c>
      <c r="Q880" s="77" t="str">
        <f>""</f>
        <v/>
      </c>
      <c r="R880" s="78">
        <v>0</v>
      </c>
    </row>
    <row r="881" spans="1:18" ht="9" customHeight="1" x14ac:dyDescent="0.3">
      <c r="A881" s="1" t="s">
        <v>78</v>
      </c>
      <c r="I881" s="48"/>
      <c r="J881" s="41"/>
      <c r="K881" s="41"/>
      <c r="L881" s="54"/>
      <c r="M881" s="54"/>
      <c r="N881" s="61"/>
      <c r="O881" s="60"/>
      <c r="P881" s="58"/>
      <c r="Q881" s="59"/>
      <c r="R881" s="56"/>
    </row>
    <row r="882" spans="1:18" x14ac:dyDescent="0.3">
      <c r="A882" s="1" t="s">
        <v>78</v>
      </c>
      <c r="D882" s="1" t="str">
        <f t="shared" ref="D882:D884" si="1310">H882</f>
        <v>"Business Central","CRONUS JetCorp USA","25","1","249343"</v>
      </c>
      <c r="E882" s="1">
        <f t="shared" ref="E882" si="1311">I877</f>
        <v>0</v>
      </c>
      <c r="G882" s="1">
        <v>249343</v>
      </c>
      <c r="H882" s="9" t="str">
        <f>"""Business Central"",""CRONUS JetCorp USA"",""25"",""1"",""249343"""</f>
        <v>"Business Central","CRONUS JetCorp USA","25","1","249343"</v>
      </c>
      <c r="I882" s="51"/>
      <c r="J882" s="52" t="str">
        <f>"Order PO102670"</f>
        <v>Order PO102670</v>
      </c>
      <c r="K882" s="52" t="str">
        <f>"PI_102669"</f>
        <v>PI_102669</v>
      </c>
      <c r="L882" s="53">
        <v>42155</v>
      </c>
      <c r="M882" s="53">
        <v>43952</v>
      </c>
      <c r="N882" s="57" t="str">
        <f>""</f>
        <v/>
      </c>
      <c r="O882" s="75">
        <v>0</v>
      </c>
      <c r="P882" s="76">
        <v>0</v>
      </c>
      <c r="Q882" s="77">
        <v>0</v>
      </c>
      <c r="R882" s="78">
        <v>0</v>
      </c>
    </row>
    <row r="883" spans="1:18" hidden="1" x14ac:dyDescent="0.3">
      <c r="A883" s="1" t="s">
        <v>78</v>
      </c>
      <c r="B883" s="1" t="str">
        <f t="shared" ref="B883:B884" si="1312">IF(H883="","Hide","Show")</f>
        <v>Hide</v>
      </c>
      <c r="D883" s="1" t="str">
        <f t="shared" ref="D883:D884" si="1313">D882</f>
        <v>"Business Central","CRONUS JetCorp USA","25","1","249343"</v>
      </c>
      <c r="E883" s="1">
        <f t="shared" ref="E883:E884" si="1314">E882</f>
        <v>0</v>
      </c>
      <c r="F883" s="1" t="str">
        <f>""</f>
        <v/>
      </c>
      <c r="H883" s="9" t="str">
        <f>""</f>
        <v/>
      </c>
      <c r="I883" s="48"/>
      <c r="J883" s="41" t="str">
        <f>""</f>
        <v/>
      </c>
      <c r="K883" s="41" t="str">
        <f>""</f>
        <v/>
      </c>
      <c r="L883" s="54"/>
      <c r="M883" s="54" t="str">
        <f>""</f>
        <v/>
      </c>
      <c r="N883" s="57" t="str">
        <f>""</f>
        <v/>
      </c>
      <c r="O883" s="75">
        <v>0</v>
      </c>
      <c r="P883" s="76" t="str">
        <f>""</f>
        <v/>
      </c>
      <c r="Q883" s="77" t="str">
        <f>""</f>
        <v/>
      </c>
      <c r="R883" s="78">
        <v>0</v>
      </c>
    </row>
    <row r="884" spans="1:18" ht="9" customHeight="1" x14ac:dyDescent="0.3">
      <c r="A884" s="1" t="s">
        <v>78</v>
      </c>
      <c r="I884" s="48"/>
      <c r="J884" s="41"/>
      <c r="K884" s="41"/>
      <c r="L884" s="54"/>
      <c r="M884" s="54"/>
      <c r="N884" s="61"/>
      <c r="O884" s="60"/>
      <c r="P884" s="58"/>
      <c r="Q884" s="59"/>
      <c r="R884" s="56"/>
    </row>
    <row r="885" spans="1:18" x14ac:dyDescent="0.3">
      <c r="A885" s="1" t="s">
        <v>78</v>
      </c>
      <c r="I885" s="48"/>
      <c r="J885" s="41"/>
      <c r="K885" s="41"/>
      <c r="L885" s="54"/>
      <c r="M885" s="54"/>
      <c r="N885" s="61"/>
      <c r="O885" s="62"/>
      <c r="P885" s="63"/>
      <c r="Q885" s="64"/>
      <c r="R885" s="65"/>
    </row>
    <row r="886" spans="1:18" ht="17.25" x14ac:dyDescent="0.3">
      <c r="A886" s="1" t="s">
        <v>78</v>
      </c>
      <c r="I886" s="24"/>
      <c r="J886" s="25"/>
      <c r="K886" s="26"/>
      <c r="L886" s="27"/>
      <c r="M886" s="26"/>
      <c r="N886" s="26"/>
      <c r="O886" s="26"/>
      <c r="P886" s="26"/>
      <c r="Q886" s="37" t="str">
        <f t="shared" ref="Q886" si="1315">CONCATENATE(I697," - ",I698,"      Remaining Amount  In Local Currency")</f>
        <v>V101008 - Affordable Granite      Remaining Amount  In Local Currency</v>
      </c>
      <c r="R886" s="39">
        <f t="shared" ref="R886" si="1316">SUBTOTAL(9,R702:R885)</f>
        <v>0</v>
      </c>
    </row>
    <row r="887" spans="1:18" x14ac:dyDescent="0.3">
      <c r="L887" s="19"/>
      <c r="M887" s="10"/>
      <c r="N887" s="4"/>
      <c r="O887" s="4"/>
      <c r="P887" s="4"/>
      <c r="Q887" s="36"/>
      <c r="R887" s="36"/>
    </row>
  </sheetData>
  <pageMargins left="0.7" right="0.7" top="0.75" bottom="0.75" header="0.3" footer="0.3"/>
  <pageSetup scale="5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20102-2104-499A-AC8C-45B4997446B9}">
  <dimension ref="A1:F8"/>
  <sheetViews>
    <sheetView workbookViewId="0"/>
  </sheetViews>
  <sheetFormatPr defaultRowHeight="15" x14ac:dyDescent="0.25"/>
  <sheetData>
    <row r="1" spans="1:6" x14ac:dyDescent="0.25">
      <c r="A1" s="79" t="s">
        <v>38</v>
      </c>
      <c r="C1" s="79" t="s">
        <v>5</v>
      </c>
      <c r="D1" s="79" t="s">
        <v>6</v>
      </c>
      <c r="E1" s="79" t="s">
        <v>8</v>
      </c>
      <c r="F1" s="79" t="s">
        <v>26</v>
      </c>
    </row>
    <row r="4" spans="1:6" x14ac:dyDescent="0.25">
      <c r="C4" s="79" t="s">
        <v>4</v>
      </c>
    </row>
    <row r="5" spans="1:6" x14ac:dyDescent="0.25">
      <c r="A5" s="79" t="s">
        <v>10</v>
      </c>
      <c r="C5" s="79" t="s">
        <v>3</v>
      </c>
      <c r="D5" s="79" t="s">
        <v>33</v>
      </c>
      <c r="F5" s="79" t="s">
        <v>27</v>
      </c>
    </row>
    <row r="6" spans="1:6" x14ac:dyDescent="0.25">
      <c r="A6" s="79" t="s">
        <v>10</v>
      </c>
      <c r="C6" s="79" t="s">
        <v>24</v>
      </c>
      <c r="D6" s="79" t="s">
        <v>33</v>
      </c>
      <c r="E6" s="79" t="s">
        <v>34</v>
      </c>
    </row>
    <row r="7" spans="1:6" x14ac:dyDescent="0.25">
      <c r="A7" s="79" t="s">
        <v>10</v>
      </c>
      <c r="C7" s="79" t="s">
        <v>31</v>
      </c>
      <c r="D7" s="79" t="s">
        <v>33</v>
      </c>
      <c r="E7" s="79" t="s">
        <v>35</v>
      </c>
    </row>
    <row r="8" spans="1:6" x14ac:dyDescent="0.25">
      <c r="A8" s="79" t="s">
        <v>10</v>
      </c>
      <c r="C8" s="79" t="s">
        <v>18</v>
      </c>
      <c r="D8" s="79" t="s">
        <v>36</v>
      </c>
      <c r="E8" s="79" t="s">
        <v>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09D56-98D0-404D-A634-27179DF0E72A}">
  <dimension ref="A1:F8"/>
  <sheetViews>
    <sheetView workbookViewId="0"/>
  </sheetViews>
  <sheetFormatPr defaultRowHeight="15" x14ac:dyDescent="0.25"/>
  <sheetData>
    <row r="1" spans="1:6" x14ac:dyDescent="0.25">
      <c r="A1" s="79" t="s">
        <v>38</v>
      </c>
      <c r="C1" s="79" t="s">
        <v>5</v>
      </c>
      <c r="D1" s="79" t="s">
        <v>6</v>
      </c>
      <c r="E1" s="79" t="s">
        <v>8</v>
      </c>
      <c r="F1" s="79" t="s">
        <v>26</v>
      </c>
    </row>
    <row r="4" spans="1:6" x14ac:dyDescent="0.25">
      <c r="C4" s="79" t="s">
        <v>4</v>
      </c>
    </row>
    <row r="5" spans="1:6" x14ac:dyDescent="0.25">
      <c r="A5" s="79" t="s">
        <v>10</v>
      </c>
      <c r="C5" s="79" t="s">
        <v>3</v>
      </c>
      <c r="D5" s="79" t="s">
        <v>33</v>
      </c>
      <c r="F5" s="79" t="s">
        <v>27</v>
      </c>
    </row>
    <row r="6" spans="1:6" x14ac:dyDescent="0.25">
      <c r="A6" s="79" t="s">
        <v>10</v>
      </c>
      <c r="C6" s="79" t="s">
        <v>24</v>
      </c>
      <c r="D6" s="79" t="s">
        <v>33</v>
      </c>
      <c r="E6" s="79" t="s">
        <v>34</v>
      </c>
    </row>
    <row r="7" spans="1:6" x14ac:dyDescent="0.25">
      <c r="A7" s="79" t="s">
        <v>10</v>
      </c>
      <c r="C7" s="79" t="s">
        <v>31</v>
      </c>
      <c r="D7" s="79" t="s">
        <v>33</v>
      </c>
      <c r="E7" s="79" t="s">
        <v>35</v>
      </c>
    </row>
    <row r="8" spans="1:6" x14ac:dyDescent="0.25">
      <c r="A8" s="79" t="s">
        <v>10</v>
      </c>
      <c r="C8" s="79" t="s">
        <v>18</v>
      </c>
      <c r="D8" s="79" t="s">
        <v>1842</v>
      </c>
      <c r="E8" s="79" t="s">
        <v>37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AA3A5-F5BF-46AE-A27E-9FA3BEDC3917}">
  <dimension ref="A1:R20"/>
  <sheetViews>
    <sheetView workbookViewId="0"/>
  </sheetViews>
  <sheetFormatPr defaultRowHeight="15" x14ac:dyDescent="0.25"/>
  <sheetData>
    <row r="1" spans="1:18" x14ac:dyDescent="0.25">
      <c r="A1" s="79" t="s">
        <v>77</v>
      </c>
      <c r="B1" s="79" t="s">
        <v>28</v>
      </c>
      <c r="D1" s="79" t="s">
        <v>0</v>
      </c>
      <c r="E1" s="79" t="s">
        <v>0</v>
      </c>
      <c r="F1" s="79" t="s">
        <v>0</v>
      </c>
      <c r="G1" s="79" t="s">
        <v>13</v>
      </c>
      <c r="H1" s="79" t="s">
        <v>0</v>
      </c>
      <c r="J1" s="79" t="s">
        <v>1</v>
      </c>
      <c r="K1" s="79" t="s">
        <v>1</v>
      </c>
      <c r="L1" s="79" t="s">
        <v>1</v>
      </c>
      <c r="M1" s="79" t="s">
        <v>1</v>
      </c>
      <c r="N1" s="79" t="s">
        <v>1</v>
      </c>
      <c r="O1" s="79" t="s">
        <v>1</v>
      </c>
      <c r="P1" s="79" t="s">
        <v>1</v>
      </c>
    </row>
    <row r="2" spans="1:18" x14ac:dyDescent="0.25">
      <c r="A2" s="79" t="s">
        <v>0</v>
      </c>
      <c r="K2" s="79" t="s">
        <v>15</v>
      </c>
      <c r="L2" s="79" t="s">
        <v>15</v>
      </c>
      <c r="M2" s="79" t="s">
        <v>15</v>
      </c>
    </row>
    <row r="4" spans="1:18" x14ac:dyDescent="0.25">
      <c r="I4" s="79" t="s">
        <v>29</v>
      </c>
    </row>
    <row r="6" spans="1:18" x14ac:dyDescent="0.25">
      <c r="I6" s="79" t="s">
        <v>17</v>
      </c>
      <c r="J6" s="79" t="s">
        <v>39</v>
      </c>
      <c r="Q6" s="79" t="s">
        <v>9</v>
      </c>
      <c r="R6" s="79" t="s">
        <v>40</v>
      </c>
    </row>
    <row r="7" spans="1:18" x14ac:dyDescent="0.25">
      <c r="I7" s="79" t="s">
        <v>25</v>
      </c>
      <c r="J7" s="79" t="s">
        <v>41</v>
      </c>
    </row>
    <row r="8" spans="1:18" x14ac:dyDescent="0.25">
      <c r="I8" s="79" t="s">
        <v>30</v>
      </c>
      <c r="J8" s="79" t="s">
        <v>42</v>
      </c>
    </row>
    <row r="9" spans="1:18" x14ac:dyDescent="0.25">
      <c r="I9" s="79" t="s">
        <v>18</v>
      </c>
      <c r="J9" s="79" t="s">
        <v>43</v>
      </c>
    </row>
    <row r="11" spans="1:18" x14ac:dyDescent="0.25">
      <c r="H11" s="79" t="s">
        <v>44</v>
      </c>
      <c r="I11" s="79" t="s">
        <v>45</v>
      </c>
    </row>
    <row r="12" spans="1:18" x14ac:dyDescent="0.25">
      <c r="H12" s="79" t="s">
        <v>46</v>
      </c>
      <c r="I12" s="79" t="s">
        <v>47</v>
      </c>
    </row>
    <row r="13" spans="1:18" x14ac:dyDescent="0.25">
      <c r="H13" s="79" t="s">
        <v>48</v>
      </c>
      <c r="I13" s="79" t="s">
        <v>49</v>
      </c>
      <c r="N13" s="79" t="s">
        <v>22</v>
      </c>
      <c r="Q13" s="79" t="s">
        <v>23</v>
      </c>
    </row>
    <row r="14" spans="1:18" x14ac:dyDescent="0.25">
      <c r="P14" s="79" t="s">
        <v>20</v>
      </c>
      <c r="R14" s="79" t="s">
        <v>20</v>
      </c>
    </row>
    <row r="15" spans="1:18" x14ac:dyDescent="0.25">
      <c r="D15" s="79" t="s">
        <v>16</v>
      </c>
      <c r="E15" s="79" t="s">
        <v>32</v>
      </c>
      <c r="F15" s="79" t="s">
        <v>14</v>
      </c>
      <c r="G15" s="79" t="s">
        <v>14</v>
      </c>
      <c r="J15" s="79" t="s">
        <v>7</v>
      </c>
      <c r="K15" s="79" t="s">
        <v>11</v>
      </c>
      <c r="L15" s="79" t="s">
        <v>2</v>
      </c>
      <c r="M15" s="79" t="s">
        <v>3</v>
      </c>
      <c r="N15" s="79" t="s">
        <v>21</v>
      </c>
      <c r="O15" s="79" t="s">
        <v>19</v>
      </c>
      <c r="P15" s="79" t="s">
        <v>16</v>
      </c>
      <c r="Q15" s="79" t="s">
        <v>12</v>
      </c>
      <c r="R15" s="79" t="s">
        <v>12</v>
      </c>
    </row>
    <row r="16" spans="1:18" x14ac:dyDescent="0.25">
      <c r="D16" s="79" t="s">
        <v>50</v>
      </c>
      <c r="E16" s="79" t="s">
        <v>51</v>
      </c>
      <c r="G16" s="79" t="s">
        <v>52</v>
      </c>
      <c r="H16" s="79" t="s">
        <v>53</v>
      </c>
      <c r="J16" s="79" t="s">
        <v>54</v>
      </c>
      <c r="K16" s="79" t="s">
        <v>55</v>
      </c>
      <c r="L16" s="79" t="s">
        <v>56</v>
      </c>
      <c r="M16" s="79" t="s">
        <v>57</v>
      </c>
      <c r="N16" s="79" t="s">
        <v>58</v>
      </c>
      <c r="O16" s="79" t="s">
        <v>59</v>
      </c>
      <c r="P16" s="79" t="s">
        <v>60</v>
      </c>
      <c r="Q16" s="79" t="s">
        <v>61</v>
      </c>
      <c r="R16" s="79" t="s">
        <v>62</v>
      </c>
    </row>
    <row r="17" spans="2:18" x14ac:dyDescent="0.25">
      <c r="B17" s="79" t="s">
        <v>63</v>
      </c>
      <c r="D17" s="79" t="s">
        <v>64</v>
      </c>
      <c r="E17" s="79" t="s">
        <v>65</v>
      </c>
      <c r="F17" s="79" t="s">
        <v>66</v>
      </c>
      <c r="H17" s="79" t="s">
        <v>67</v>
      </c>
      <c r="J17" s="79" t="s">
        <v>68</v>
      </c>
      <c r="K17" s="79" t="s">
        <v>69</v>
      </c>
      <c r="M17" s="79" t="s">
        <v>70</v>
      </c>
      <c r="N17" s="79" t="s">
        <v>71</v>
      </c>
      <c r="O17" s="79" t="s">
        <v>72</v>
      </c>
      <c r="P17" s="79" t="s">
        <v>73</v>
      </c>
      <c r="Q17" s="79" t="s">
        <v>74</v>
      </c>
      <c r="R17" s="79" t="s">
        <v>62</v>
      </c>
    </row>
    <row r="20" spans="2:18" x14ac:dyDescent="0.25">
      <c r="Q20" s="79" t="s">
        <v>75</v>
      </c>
      <c r="R20" s="79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D8775-91EB-488E-BA5A-DFD49F56CB46}">
  <dimension ref="A1:R20"/>
  <sheetViews>
    <sheetView workbookViewId="0"/>
  </sheetViews>
  <sheetFormatPr defaultRowHeight="15" x14ac:dyDescent="0.25"/>
  <sheetData>
    <row r="1" spans="1:18" x14ac:dyDescent="0.25">
      <c r="A1" s="79" t="s">
        <v>77</v>
      </c>
      <c r="B1" s="79" t="s">
        <v>28</v>
      </c>
      <c r="D1" s="79" t="s">
        <v>0</v>
      </c>
      <c r="E1" s="79" t="s">
        <v>0</v>
      </c>
      <c r="F1" s="79" t="s">
        <v>0</v>
      </c>
      <c r="G1" s="79" t="s">
        <v>13</v>
      </c>
      <c r="H1" s="79" t="s">
        <v>0</v>
      </c>
      <c r="J1" s="79" t="s">
        <v>1</v>
      </c>
      <c r="K1" s="79" t="s">
        <v>1</v>
      </c>
      <c r="L1" s="79" t="s">
        <v>1</v>
      </c>
      <c r="M1" s="79" t="s">
        <v>1</v>
      </c>
      <c r="N1" s="79" t="s">
        <v>1</v>
      </c>
      <c r="O1" s="79" t="s">
        <v>1</v>
      </c>
      <c r="P1" s="79" t="s">
        <v>1</v>
      </c>
    </row>
    <row r="2" spans="1:18" x14ac:dyDescent="0.25">
      <c r="A2" s="79" t="s">
        <v>0</v>
      </c>
      <c r="K2" s="79" t="s">
        <v>15</v>
      </c>
      <c r="L2" s="79" t="s">
        <v>15</v>
      </c>
      <c r="M2" s="79" t="s">
        <v>15</v>
      </c>
    </row>
    <row r="4" spans="1:18" x14ac:dyDescent="0.25">
      <c r="I4" s="79" t="s">
        <v>29</v>
      </c>
    </row>
    <row r="6" spans="1:18" x14ac:dyDescent="0.25">
      <c r="I6" s="79" t="s">
        <v>17</v>
      </c>
      <c r="J6" s="79" t="s">
        <v>39</v>
      </c>
      <c r="Q6" s="79" t="s">
        <v>9</v>
      </c>
      <c r="R6" s="79" t="s">
        <v>40</v>
      </c>
    </row>
    <row r="7" spans="1:18" x14ac:dyDescent="0.25">
      <c r="I7" s="79" t="s">
        <v>25</v>
      </c>
      <c r="J7" s="79" t="s">
        <v>41</v>
      </c>
    </row>
    <row r="8" spans="1:18" x14ac:dyDescent="0.25">
      <c r="I8" s="79" t="s">
        <v>30</v>
      </c>
      <c r="J8" s="79" t="s">
        <v>42</v>
      </c>
    </row>
    <row r="9" spans="1:18" x14ac:dyDescent="0.25">
      <c r="I9" s="79" t="s">
        <v>18</v>
      </c>
      <c r="J9" s="79" t="s">
        <v>43</v>
      </c>
    </row>
    <row r="11" spans="1:18" x14ac:dyDescent="0.25">
      <c r="H11" s="79" t="s">
        <v>44</v>
      </c>
      <c r="I11" s="79" t="s">
        <v>45</v>
      </c>
    </row>
    <row r="12" spans="1:18" x14ac:dyDescent="0.25">
      <c r="H12" s="79" t="s">
        <v>46</v>
      </c>
      <c r="I12" s="79" t="s">
        <v>47</v>
      </c>
    </row>
    <row r="13" spans="1:18" x14ac:dyDescent="0.25">
      <c r="H13" s="79" t="s">
        <v>48</v>
      </c>
      <c r="I13" s="79" t="s">
        <v>49</v>
      </c>
      <c r="N13" s="79" t="s">
        <v>22</v>
      </c>
      <c r="Q13" s="79" t="s">
        <v>23</v>
      </c>
    </row>
    <row r="14" spans="1:18" x14ac:dyDescent="0.25">
      <c r="P14" s="79" t="s">
        <v>20</v>
      </c>
      <c r="R14" s="79" t="s">
        <v>20</v>
      </c>
    </row>
    <row r="15" spans="1:18" x14ac:dyDescent="0.25">
      <c r="D15" s="79" t="s">
        <v>16</v>
      </c>
      <c r="E15" s="79" t="s">
        <v>32</v>
      </c>
      <c r="F15" s="79" t="s">
        <v>14</v>
      </c>
      <c r="G15" s="79" t="s">
        <v>14</v>
      </c>
      <c r="J15" s="79" t="s">
        <v>7</v>
      </c>
      <c r="K15" s="79" t="s">
        <v>11</v>
      </c>
      <c r="L15" s="79" t="s">
        <v>2</v>
      </c>
      <c r="M15" s="79" t="s">
        <v>3</v>
      </c>
      <c r="N15" s="79" t="s">
        <v>21</v>
      </c>
      <c r="O15" s="79" t="s">
        <v>19</v>
      </c>
      <c r="P15" s="79" t="s">
        <v>16</v>
      </c>
      <c r="Q15" s="79" t="s">
        <v>12</v>
      </c>
      <c r="R15" s="79" t="s">
        <v>12</v>
      </c>
    </row>
    <row r="16" spans="1:18" x14ac:dyDescent="0.25">
      <c r="D16" s="79" t="s">
        <v>50</v>
      </c>
      <c r="E16" s="79" t="s">
        <v>51</v>
      </c>
      <c r="G16" s="79" t="s">
        <v>52</v>
      </c>
      <c r="H16" s="79" t="s">
        <v>53</v>
      </c>
      <c r="J16" s="79" t="s">
        <v>54</v>
      </c>
      <c r="K16" s="79" t="s">
        <v>55</v>
      </c>
      <c r="L16" s="79" t="s">
        <v>56</v>
      </c>
      <c r="M16" s="79" t="s">
        <v>57</v>
      </c>
      <c r="N16" s="79" t="s">
        <v>58</v>
      </c>
      <c r="O16" s="79" t="s">
        <v>59</v>
      </c>
      <c r="P16" s="79" t="s">
        <v>60</v>
      </c>
      <c r="Q16" s="79" t="s">
        <v>61</v>
      </c>
      <c r="R16" s="79" t="s">
        <v>62</v>
      </c>
    </row>
    <row r="17" spans="2:18" x14ac:dyDescent="0.25">
      <c r="B17" s="79" t="s">
        <v>63</v>
      </c>
      <c r="D17" s="79" t="s">
        <v>64</v>
      </c>
      <c r="E17" s="79" t="s">
        <v>65</v>
      </c>
      <c r="F17" s="79" t="s">
        <v>66</v>
      </c>
      <c r="H17" s="79" t="s">
        <v>67</v>
      </c>
      <c r="J17" s="79" t="s">
        <v>68</v>
      </c>
      <c r="K17" s="79" t="s">
        <v>69</v>
      </c>
      <c r="M17" s="79" t="s">
        <v>70</v>
      </c>
      <c r="N17" s="79" t="s">
        <v>71</v>
      </c>
      <c r="O17" s="79" t="s">
        <v>72</v>
      </c>
      <c r="P17" s="79" t="s">
        <v>73</v>
      </c>
      <c r="Q17" s="79" t="s">
        <v>74</v>
      </c>
      <c r="R17" s="79" t="s">
        <v>62</v>
      </c>
    </row>
    <row r="20" spans="2:18" x14ac:dyDescent="0.25">
      <c r="Q20" s="79" t="s">
        <v>75</v>
      </c>
      <c r="R20" s="79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285CB-B3F0-4FDF-AA28-EFF054B43D57}">
  <dimension ref="A1:F8"/>
  <sheetViews>
    <sheetView workbookViewId="0"/>
  </sheetViews>
  <sheetFormatPr defaultRowHeight="15" x14ac:dyDescent="0.25"/>
  <sheetData>
    <row r="1" spans="1:6" x14ac:dyDescent="0.25">
      <c r="A1" s="79" t="s">
        <v>1844</v>
      </c>
      <c r="C1" s="79" t="s">
        <v>5</v>
      </c>
      <c r="D1" s="79" t="s">
        <v>6</v>
      </c>
      <c r="E1" s="79" t="s">
        <v>8</v>
      </c>
      <c r="F1" s="79" t="s">
        <v>26</v>
      </c>
    </row>
    <row r="4" spans="1:6" x14ac:dyDescent="0.25">
      <c r="C4" s="79" t="s">
        <v>4</v>
      </c>
    </row>
    <row r="5" spans="1:6" x14ac:dyDescent="0.25">
      <c r="A5" s="79" t="s">
        <v>10</v>
      </c>
      <c r="C5" s="79" t="s">
        <v>3</v>
      </c>
      <c r="D5" s="79" t="s">
        <v>33</v>
      </c>
      <c r="F5" s="79" t="s">
        <v>27</v>
      </c>
    </row>
    <row r="6" spans="1:6" x14ac:dyDescent="0.25">
      <c r="A6" s="79" t="s">
        <v>10</v>
      </c>
      <c r="C6" s="79" t="s">
        <v>24</v>
      </c>
      <c r="D6" s="79" t="s">
        <v>33</v>
      </c>
      <c r="E6" s="79" t="s">
        <v>34</v>
      </c>
    </row>
    <row r="7" spans="1:6" x14ac:dyDescent="0.25">
      <c r="A7" s="79" t="s">
        <v>10</v>
      </c>
      <c r="C7" s="79" t="s">
        <v>31</v>
      </c>
      <c r="D7" s="79" t="s">
        <v>33</v>
      </c>
      <c r="E7" s="79" t="s">
        <v>35</v>
      </c>
    </row>
    <row r="8" spans="1:6" x14ac:dyDescent="0.25">
      <c r="A8" s="79" t="s">
        <v>10</v>
      </c>
      <c r="C8" s="79" t="s">
        <v>18</v>
      </c>
      <c r="D8" s="79" t="s">
        <v>36</v>
      </c>
      <c r="E8" s="79" t="s">
        <v>37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73E99-2466-481E-81F8-B6DE8AD9F217}">
  <dimension ref="A1:R886"/>
  <sheetViews>
    <sheetView workbookViewId="0"/>
  </sheetViews>
  <sheetFormatPr defaultRowHeight="15" x14ac:dyDescent="0.25"/>
  <sheetData>
    <row r="1" spans="1:18" x14ac:dyDescent="0.25">
      <c r="A1" s="79" t="s">
        <v>6747</v>
      </c>
      <c r="B1" s="79" t="s">
        <v>28</v>
      </c>
      <c r="D1" s="79" t="s">
        <v>0</v>
      </c>
      <c r="E1" s="79" t="s">
        <v>0</v>
      </c>
      <c r="F1" s="79" t="s">
        <v>0</v>
      </c>
      <c r="G1" s="79" t="s">
        <v>13</v>
      </c>
      <c r="H1" s="79" t="s">
        <v>0</v>
      </c>
      <c r="J1" s="79" t="s">
        <v>1</v>
      </c>
      <c r="K1" s="79" t="s">
        <v>1</v>
      </c>
      <c r="L1" s="79" t="s">
        <v>1</v>
      </c>
      <c r="M1" s="79" t="s">
        <v>1</v>
      </c>
      <c r="N1" s="79" t="s">
        <v>1</v>
      </c>
      <c r="O1" s="79" t="s">
        <v>1</v>
      </c>
      <c r="P1" s="79" t="s">
        <v>1</v>
      </c>
    </row>
    <row r="2" spans="1:18" x14ac:dyDescent="0.25">
      <c r="A2" s="79" t="s">
        <v>0</v>
      </c>
      <c r="K2" s="79" t="s">
        <v>15</v>
      </c>
      <c r="L2" s="79" t="s">
        <v>15</v>
      </c>
      <c r="M2" s="79" t="s">
        <v>15</v>
      </c>
    </row>
    <row r="4" spans="1:18" x14ac:dyDescent="0.25">
      <c r="I4" s="79" t="s">
        <v>29</v>
      </c>
    </row>
    <row r="6" spans="1:18" x14ac:dyDescent="0.25">
      <c r="I6" s="79" t="s">
        <v>17</v>
      </c>
      <c r="J6" s="79" t="s">
        <v>39</v>
      </c>
      <c r="Q6" s="79" t="s">
        <v>9</v>
      </c>
      <c r="R6" s="79" t="s">
        <v>40</v>
      </c>
    </row>
    <row r="7" spans="1:18" x14ac:dyDescent="0.25">
      <c r="I7" s="79" t="s">
        <v>25</v>
      </c>
      <c r="J7" s="79" t="s">
        <v>41</v>
      </c>
    </row>
    <row r="8" spans="1:18" x14ac:dyDescent="0.25">
      <c r="I8" s="79" t="s">
        <v>30</v>
      </c>
      <c r="J8" s="79" t="s">
        <v>42</v>
      </c>
    </row>
    <row r="9" spans="1:18" x14ac:dyDescent="0.25">
      <c r="I9" s="79" t="s">
        <v>18</v>
      </c>
      <c r="J9" s="79" t="s">
        <v>43</v>
      </c>
    </row>
    <row r="11" spans="1:18" x14ac:dyDescent="0.25">
      <c r="H11" s="79" t="s">
        <v>44</v>
      </c>
      <c r="I11" s="79" t="s">
        <v>45</v>
      </c>
    </row>
    <row r="12" spans="1:18" x14ac:dyDescent="0.25">
      <c r="H12" s="79" t="s">
        <v>46</v>
      </c>
      <c r="I12" s="79" t="s">
        <v>47</v>
      </c>
    </row>
    <row r="13" spans="1:18" x14ac:dyDescent="0.25">
      <c r="H13" s="79" t="s">
        <v>48</v>
      </c>
      <c r="I13" s="79" t="s">
        <v>49</v>
      </c>
      <c r="N13" s="79" t="s">
        <v>22</v>
      </c>
      <c r="Q13" s="79" t="s">
        <v>23</v>
      </c>
    </row>
    <row r="14" spans="1:18" x14ac:dyDescent="0.25">
      <c r="P14" s="79" t="s">
        <v>20</v>
      </c>
      <c r="R14" s="79" t="s">
        <v>20</v>
      </c>
    </row>
    <row r="15" spans="1:18" x14ac:dyDescent="0.25">
      <c r="D15" s="79" t="s">
        <v>16</v>
      </c>
      <c r="E15" s="79" t="s">
        <v>32</v>
      </c>
      <c r="F15" s="79" t="s">
        <v>14</v>
      </c>
      <c r="G15" s="79" t="s">
        <v>14</v>
      </c>
      <c r="J15" s="79" t="s">
        <v>7</v>
      </c>
      <c r="K15" s="79" t="s">
        <v>11</v>
      </c>
      <c r="L15" s="79" t="s">
        <v>2</v>
      </c>
      <c r="M15" s="79" t="s">
        <v>3</v>
      </c>
      <c r="N15" s="79" t="s">
        <v>21</v>
      </c>
      <c r="O15" s="79" t="s">
        <v>19</v>
      </c>
      <c r="P15" s="79" t="s">
        <v>16</v>
      </c>
      <c r="Q15" s="79" t="s">
        <v>12</v>
      </c>
      <c r="R15" s="79" t="s">
        <v>12</v>
      </c>
    </row>
    <row r="16" spans="1:18" x14ac:dyDescent="0.25">
      <c r="D16" s="79" t="s">
        <v>50</v>
      </c>
      <c r="E16" s="79" t="s">
        <v>51</v>
      </c>
      <c r="G16" s="79" t="s">
        <v>52</v>
      </c>
      <c r="H16" s="79" t="s">
        <v>53</v>
      </c>
      <c r="J16" s="79" t="s">
        <v>54</v>
      </c>
      <c r="K16" s="79" t="s">
        <v>55</v>
      </c>
      <c r="L16" s="79" t="s">
        <v>56</v>
      </c>
      <c r="M16" s="79" t="s">
        <v>57</v>
      </c>
      <c r="N16" s="79" t="s">
        <v>58</v>
      </c>
      <c r="O16" s="79" t="s">
        <v>59</v>
      </c>
      <c r="P16" s="79" t="s">
        <v>60</v>
      </c>
      <c r="Q16" s="79" t="s">
        <v>61</v>
      </c>
      <c r="R16" s="79" t="s">
        <v>62</v>
      </c>
    </row>
    <row r="17" spans="1:18" x14ac:dyDescent="0.25">
      <c r="B17" s="79" t="s">
        <v>63</v>
      </c>
      <c r="D17" s="79" t="s">
        <v>64</v>
      </c>
      <c r="E17" s="79" t="s">
        <v>65</v>
      </c>
      <c r="F17" s="79" t="s">
        <v>66</v>
      </c>
      <c r="H17" s="79" t="s">
        <v>67</v>
      </c>
      <c r="J17" s="79" t="s">
        <v>68</v>
      </c>
      <c r="K17" s="79" t="s">
        <v>69</v>
      </c>
      <c r="M17" s="79" t="s">
        <v>70</v>
      </c>
      <c r="N17" s="79" t="s">
        <v>71</v>
      </c>
      <c r="O17" s="79" t="s">
        <v>72</v>
      </c>
      <c r="P17" s="79" t="s">
        <v>73</v>
      </c>
      <c r="Q17" s="79" t="s">
        <v>74</v>
      </c>
      <c r="R17" s="79" t="s">
        <v>62</v>
      </c>
    </row>
    <row r="19" spans="1:18" x14ac:dyDescent="0.25">
      <c r="A19" s="79" t="s">
        <v>78</v>
      </c>
      <c r="D19" s="79" t="s">
        <v>79</v>
      </c>
      <c r="E19" s="79" t="s">
        <v>80</v>
      </c>
      <c r="G19" s="79" t="s">
        <v>81</v>
      </c>
      <c r="H19" s="79" t="s">
        <v>82</v>
      </c>
      <c r="J19" s="79" t="s">
        <v>83</v>
      </c>
      <c r="K19" s="79" t="s">
        <v>84</v>
      </c>
      <c r="L19" s="79" t="s">
        <v>85</v>
      </c>
      <c r="M19" s="79" t="s">
        <v>86</v>
      </c>
      <c r="N19" s="79" t="s">
        <v>87</v>
      </c>
      <c r="O19" s="79" t="s">
        <v>88</v>
      </c>
      <c r="P19" s="79" t="s">
        <v>89</v>
      </c>
      <c r="Q19" s="79" t="s">
        <v>90</v>
      </c>
      <c r="R19" s="79" t="s">
        <v>91</v>
      </c>
    </row>
    <row r="20" spans="1:18" x14ac:dyDescent="0.25">
      <c r="A20" s="79" t="s">
        <v>78</v>
      </c>
      <c r="B20" s="79" t="s">
        <v>92</v>
      </c>
      <c r="D20" s="79" t="s">
        <v>93</v>
      </c>
      <c r="E20" s="79" t="s">
        <v>94</v>
      </c>
      <c r="F20" s="79" t="s">
        <v>95</v>
      </c>
      <c r="H20" s="79" t="s">
        <v>96</v>
      </c>
      <c r="J20" s="79" t="s">
        <v>97</v>
      </c>
      <c r="K20" s="79" t="s">
        <v>98</v>
      </c>
      <c r="M20" s="79" t="s">
        <v>99</v>
      </c>
      <c r="N20" s="79" t="s">
        <v>100</v>
      </c>
      <c r="O20" s="79" t="s">
        <v>101</v>
      </c>
      <c r="P20" s="79" t="s">
        <v>102</v>
      </c>
      <c r="Q20" s="79" t="s">
        <v>103</v>
      </c>
      <c r="R20" s="79" t="s">
        <v>91</v>
      </c>
    </row>
    <row r="21" spans="1:18" x14ac:dyDescent="0.25">
      <c r="A21" s="79" t="s">
        <v>78</v>
      </c>
    </row>
    <row r="22" spans="1:18" x14ac:dyDescent="0.25">
      <c r="A22" s="79" t="s">
        <v>78</v>
      </c>
      <c r="D22" s="79" t="s">
        <v>104</v>
      </c>
      <c r="E22" s="79" t="s">
        <v>105</v>
      </c>
      <c r="G22" s="79" t="s">
        <v>106</v>
      </c>
      <c r="H22" s="79" t="s">
        <v>107</v>
      </c>
      <c r="J22" s="79" t="s">
        <v>108</v>
      </c>
      <c r="K22" s="79" t="s">
        <v>109</v>
      </c>
      <c r="L22" s="79" t="s">
        <v>110</v>
      </c>
      <c r="M22" s="79" t="s">
        <v>111</v>
      </c>
      <c r="N22" s="79" t="s">
        <v>112</v>
      </c>
      <c r="O22" s="79" t="s">
        <v>113</v>
      </c>
      <c r="P22" s="79" t="s">
        <v>114</v>
      </c>
      <c r="Q22" s="79" t="s">
        <v>115</v>
      </c>
      <c r="R22" s="79" t="s">
        <v>116</v>
      </c>
    </row>
    <row r="23" spans="1:18" x14ac:dyDescent="0.25">
      <c r="A23" s="79" t="s">
        <v>78</v>
      </c>
      <c r="B23" s="79" t="s">
        <v>117</v>
      </c>
      <c r="D23" s="79" t="s">
        <v>118</v>
      </c>
      <c r="E23" s="79" t="s">
        <v>119</v>
      </c>
      <c r="F23" s="79" t="s">
        <v>120</v>
      </c>
      <c r="H23" s="79" t="s">
        <v>121</v>
      </c>
      <c r="J23" s="79" t="s">
        <v>122</v>
      </c>
      <c r="K23" s="79" t="s">
        <v>123</v>
      </c>
      <c r="M23" s="79" t="s">
        <v>124</v>
      </c>
      <c r="N23" s="79" t="s">
        <v>125</v>
      </c>
      <c r="O23" s="79" t="s">
        <v>126</v>
      </c>
      <c r="P23" s="79" t="s">
        <v>127</v>
      </c>
      <c r="Q23" s="79" t="s">
        <v>128</v>
      </c>
      <c r="R23" s="79" t="s">
        <v>116</v>
      </c>
    </row>
    <row r="24" spans="1:18" x14ac:dyDescent="0.25">
      <c r="A24" s="79" t="s">
        <v>78</v>
      </c>
    </row>
    <row r="25" spans="1:18" x14ac:dyDescent="0.25">
      <c r="A25" s="79" t="s">
        <v>78</v>
      </c>
      <c r="D25" s="79" t="s">
        <v>129</v>
      </c>
      <c r="E25" s="79" t="s">
        <v>130</v>
      </c>
      <c r="G25" s="79" t="s">
        <v>131</v>
      </c>
      <c r="H25" s="79" t="s">
        <v>132</v>
      </c>
      <c r="J25" s="79" t="s">
        <v>133</v>
      </c>
      <c r="K25" s="79" t="s">
        <v>134</v>
      </c>
      <c r="L25" s="79" t="s">
        <v>135</v>
      </c>
      <c r="M25" s="79" t="s">
        <v>136</v>
      </c>
      <c r="N25" s="79" t="s">
        <v>137</v>
      </c>
      <c r="O25" s="79" t="s">
        <v>138</v>
      </c>
      <c r="P25" s="79" t="s">
        <v>139</v>
      </c>
      <c r="Q25" s="79" t="s">
        <v>140</v>
      </c>
      <c r="R25" s="79" t="s">
        <v>141</v>
      </c>
    </row>
    <row r="26" spans="1:18" x14ac:dyDescent="0.25">
      <c r="A26" s="79" t="s">
        <v>78</v>
      </c>
      <c r="B26" s="79" t="s">
        <v>142</v>
      </c>
      <c r="D26" s="79" t="s">
        <v>143</v>
      </c>
      <c r="E26" s="79" t="s">
        <v>144</v>
      </c>
      <c r="F26" s="79" t="s">
        <v>145</v>
      </c>
      <c r="H26" s="79" t="s">
        <v>146</v>
      </c>
      <c r="J26" s="79" t="s">
        <v>147</v>
      </c>
      <c r="K26" s="79" t="s">
        <v>148</v>
      </c>
      <c r="M26" s="79" t="s">
        <v>149</v>
      </c>
      <c r="N26" s="79" t="s">
        <v>150</v>
      </c>
      <c r="O26" s="79" t="s">
        <v>151</v>
      </c>
      <c r="P26" s="79" t="s">
        <v>152</v>
      </c>
      <c r="Q26" s="79" t="s">
        <v>153</v>
      </c>
      <c r="R26" s="79" t="s">
        <v>141</v>
      </c>
    </row>
    <row r="27" spans="1:18" x14ac:dyDescent="0.25">
      <c r="A27" s="79" t="s">
        <v>78</v>
      </c>
    </row>
    <row r="28" spans="1:18" x14ac:dyDescent="0.25">
      <c r="A28" s="79" t="s">
        <v>78</v>
      </c>
      <c r="D28" s="79" t="s">
        <v>154</v>
      </c>
      <c r="E28" s="79" t="s">
        <v>155</v>
      </c>
      <c r="G28" s="79" t="s">
        <v>156</v>
      </c>
      <c r="H28" s="79" t="s">
        <v>157</v>
      </c>
      <c r="J28" s="79" t="s">
        <v>158</v>
      </c>
      <c r="K28" s="79" t="s">
        <v>159</v>
      </c>
      <c r="L28" s="79" t="s">
        <v>160</v>
      </c>
      <c r="M28" s="79" t="s">
        <v>161</v>
      </c>
      <c r="N28" s="79" t="s">
        <v>162</v>
      </c>
      <c r="O28" s="79" t="s">
        <v>163</v>
      </c>
      <c r="P28" s="79" t="s">
        <v>164</v>
      </c>
      <c r="Q28" s="79" t="s">
        <v>165</v>
      </c>
      <c r="R28" s="79" t="s">
        <v>166</v>
      </c>
    </row>
    <row r="29" spans="1:18" x14ac:dyDescent="0.25">
      <c r="A29" s="79" t="s">
        <v>78</v>
      </c>
      <c r="B29" s="79" t="s">
        <v>167</v>
      </c>
      <c r="D29" s="79" t="s">
        <v>168</v>
      </c>
      <c r="E29" s="79" t="s">
        <v>169</v>
      </c>
      <c r="F29" s="79" t="s">
        <v>170</v>
      </c>
      <c r="H29" s="79" t="s">
        <v>171</v>
      </c>
      <c r="J29" s="79" t="s">
        <v>172</v>
      </c>
      <c r="K29" s="79" t="s">
        <v>173</v>
      </c>
      <c r="M29" s="79" t="s">
        <v>174</v>
      </c>
      <c r="N29" s="79" t="s">
        <v>175</v>
      </c>
      <c r="O29" s="79" t="s">
        <v>176</v>
      </c>
      <c r="P29" s="79" t="s">
        <v>177</v>
      </c>
      <c r="Q29" s="79" t="s">
        <v>178</v>
      </c>
      <c r="R29" s="79" t="s">
        <v>166</v>
      </c>
    </row>
    <row r="30" spans="1:18" x14ac:dyDescent="0.25">
      <c r="A30" s="79" t="s">
        <v>78</v>
      </c>
    </row>
    <row r="31" spans="1:18" x14ac:dyDescent="0.25">
      <c r="A31" s="79" t="s">
        <v>78</v>
      </c>
      <c r="D31" s="79" t="s">
        <v>179</v>
      </c>
      <c r="E31" s="79" t="s">
        <v>180</v>
      </c>
      <c r="G31" s="79" t="s">
        <v>181</v>
      </c>
      <c r="H31" s="79" t="s">
        <v>182</v>
      </c>
      <c r="J31" s="79" t="s">
        <v>183</v>
      </c>
      <c r="K31" s="79" t="s">
        <v>184</v>
      </c>
      <c r="L31" s="79" t="s">
        <v>185</v>
      </c>
      <c r="M31" s="79" t="s">
        <v>186</v>
      </c>
      <c r="N31" s="79" t="s">
        <v>187</v>
      </c>
      <c r="O31" s="79" t="s">
        <v>188</v>
      </c>
      <c r="P31" s="79" t="s">
        <v>189</v>
      </c>
      <c r="Q31" s="79" t="s">
        <v>190</v>
      </c>
      <c r="R31" s="79" t="s">
        <v>191</v>
      </c>
    </row>
    <row r="32" spans="1:18" x14ac:dyDescent="0.25">
      <c r="A32" s="79" t="s">
        <v>78</v>
      </c>
      <c r="B32" s="79" t="s">
        <v>192</v>
      </c>
      <c r="D32" s="79" t="s">
        <v>193</v>
      </c>
      <c r="E32" s="79" t="s">
        <v>194</v>
      </c>
      <c r="F32" s="79" t="s">
        <v>195</v>
      </c>
      <c r="H32" s="79" t="s">
        <v>196</v>
      </c>
      <c r="J32" s="79" t="s">
        <v>197</v>
      </c>
      <c r="K32" s="79" t="s">
        <v>198</v>
      </c>
      <c r="M32" s="79" t="s">
        <v>199</v>
      </c>
      <c r="N32" s="79" t="s">
        <v>200</v>
      </c>
      <c r="O32" s="79" t="s">
        <v>201</v>
      </c>
      <c r="P32" s="79" t="s">
        <v>202</v>
      </c>
      <c r="Q32" s="79" t="s">
        <v>203</v>
      </c>
      <c r="R32" s="79" t="s">
        <v>191</v>
      </c>
    </row>
    <row r="33" spans="1:18" x14ac:dyDescent="0.25">
      <c r="A33" s="79" t="s">
        <v>78</v>
      </c>
    </row>
    <row r="34" spans="1:18" x14ac:dyDescent="0.25">
      <c r="A34" s="79" t="s">
        <v>78</v>
      </c>
      <c r="D34" s="79" t="s">
        <v>204</v>
      </c>
      <c r="E34" s="79" t="s">
        <v>205</v>
      </c>
      <c r="G34" s="79" t="s">
        <v>206</v>
      </c>
      <c r="H34" s="79" t="s">
        <v>207</v>
      </c>
      <c r="J34" s="79" t="s">
        <v>208</v>
      </c>
      <c r="K34" s="79" t="s">
        <v>209</v>
      </c>
      <c r="L34" s="79" t="s">
        <v>210</v>
      </c>
      <c r="M34" s="79" t="s">
        <v>211</v>
      </c>
      <c r="N34" s="79" t="s">
        <v>212</v>
      </c>
      <c r="O34" s="79" t="s">
        <v>213</v>
      </c>
      <c r="P34" s="79" t="s">
        <v>214</v>
      </c>
      <c r="Q34" s="79" t="s">
        <v>215</v>
      </c>
      <c r="R34" s="79" t="s">
        <v>216</v>
      </c>
    </row>
    <row r="35" spans="1:18" x14ac:dyDescent="0.25">
      <c r="A35" s="79" t="s">
        <v>78</v>
      </c>
      <c r="B35" s="79" t="s">
        <v>217</v>
      </c>
      <c r="D35" s="79" t="s">
        <v>218</v>
      </c>
      <c r="E35" s="79" t="s">
        <v>219</v>
      </c>
      <c r="F35" s="79" t="s">
        <v>220</v>
      </c>
      <c r="H35" s="79" t="s">
        <v>221</v>
      </c>
      <c r="J35" s="79" t="s">
        <v>222</v>
      </c>
      <c r="K35" s="79" t="s">
        <v>223</v>
      </c>
      <c r="M35" s="79" t="s">
        <v>224</v>
      </c>
      <c r="N35" s="79" t="s">
        <v>225</v>
      </c>
      <c r="O35" s="79" t="s">
        <v>226</v>
      </c>
      <c r="P35" s="79" t="s">
        <v>227</v>
      </c>
      <c r="Q35" s="79" t="s">
        <v>228</v>
      </c>
      <c r="R35" s="79" t="s">
        <v>216</v>
      </c>
    </row>
    <row r="36" spans="1:18" x14ac:dyDescent="0.25">
      <c r="A36" s="79" t="s">
        <v>78</v>
      </c>
    </row>
    <row r="37" spans="1:18" x14ac:dyDescent="0.25">
      <c r="A37" s="79" t="s">
        <v>78</v>
      </c>
      <c r="D37" s="79" t="s">
        <v>229</v>
      </c>
      <c r="E37" s="79" t="s">
        <v>230</v>
      </c>
      <c r="G37" s="79" t="s">
        <v>231</v>
      </c>
      <c r="H37" s="79" t="s">
        <v>232</v>
      </c>
      <c r="J37" s="79" t="s">
        <v>233</v>
      </c>
      <c r="K37" s="79" t="s">
        <v>234</v>
      </c>
      <c r="L37" s="79" t="s">
        <v>235</v>
      </c>
      <c r="M37" s="79" t="s">
        <v>236</v>
      </c>
      <c r="N37" s="79" t="s">
        <v>237</v>
      </c>
      <c r="O37" s="79" t="s">
        <v>238</v>
      </c>
      <c r="P37" s="79" t="s">
        <v>239</v>
      </c>
      <c r="Q37" s="79" t="s">
        <v>240</v>
      </c>
      <c r="R37" s="79" t="s">
        <v>241</v>
      </c>
    </row>
    <row r="38" spans="1:18" x14ac:dyDescent="0.25">
      <c r="A38" s="79" t="s">
        <v>78</v>
      </c>
      <c r="B38" s="79" t="s">
        <v>242</v>
      </c>
      <c r="D38" s="79" t="s">
        <v>243</v>
      </c>
      <c r="E38" s="79" t="s">
        <v>244</v>
      </c>
      <c r="F38" s="79" t="s">
        <v>245</v>
      </c>
      <c r="H38" s="79" t="s">
        <v>246</v>
      </c>
      <c r="J38" s="79" t="s">
        <v>247</v>
      </c>
      <c r="K38" s="79" t="s">
        <v>248</v>
      </c>
      <c r="M38" s="79" t="s">
        <v>249</v>
      </c>
      <c r="N38" s="79" t="s">
        <v>250</v>
      </c>
      <c r="O38" s="79" t="s">
        <v>251</v>
      </c>
      <c r="P38" s="79" t="s">
        <v>252</v>
      </c>
      <c r="Q38" s="79" t="s">
        <v>253</v>
      </c>
      <c r="R38" s="79" t="s">
        <v>241</v>
      </c>
    </row>
    <row r="39" spans="1:18" x14ac:dyDescent="0.25">
      <c r="A39" s="79" t="s">
        <v>78</v>
      </c>
    </row>
    <row r="40" spans="1:18" x14ac:dyDescent="0.25">
      <c r="A40" s="79" t="s">
        <v>78</v>
      </c>
      <c r="D40" s="79" t="s">
        <v>254</v>
      </c>
      <c r="E40" s="79" t="s">
        <v>255</v>
      </c>
      <c r="G40" s="79" t="s">
        <v>256</v>
      </c>
      <c r="H40" s="79" t="s">
        <v>257</v>
      </c>
      <c r="J40" s="79" t="s">
        <v>258</v>
      </c>
      <c r="K40" s="79" t="s">
        <v>259</v>
      </c>
      <c r="L40" s="79" t="s">
        <v>260</v>
      </c>
      <c r="M40" s="79" t="s">
        <v>261</v>
      </c>
      <c r="N40" s="79" t="s">
        <v>262</v>
      </c>
      <c r="O40" s="79" t="s">
        <v>263</v>
      </c>
      <c r="P40" s="79" t="s">
        <v>264</v>
      </c>
      <c r="Q40" s="79" t="s">
        <v>265</v>
      </c>
      <c r="R40" s="79" t="s">
        <v>266</v>
      </c>
    </row>
    <row r="41" spans="1:18" x14ac:dyDescent="0.25">
      <c r="A41" s="79" t="s">
        <v>78</v>
      </c>
      <c r="B41" s="79" t="s">
        <v>267</v>
      </c>
      <c r="D41" s="79" t="s">
        <v>268</v>
      </c>
      <c r="E41" s="79" t="s">
        <v>269</v>
      </c>
      <c r="F41" s="79" t="s">
        <v>270</v>
      </c>
      <c r="H41" s="79" t="s">
        <v>271</v>
      </c>
      <c r="J41" s="79" t="s">
        <v>272</v>
      </c>
      <c r="K41" s="79" t="s">
        <v>273</v>
      </c>
      <c r="M41" s="79" t="s">
        <v>274</v>
      </c>
      <c r="N41" s="79" t="s">
        <v>275</v>
      </c>
      <c r="O41" s="79" t="s">
        <v>276</v>
      </c>
      <c r="P41" s="79" t="s">
        <v>277</v>
      </c>
      <c r="Q41" s="79" t="s">
        <v>278</v>
      </c>
      <c r="R41" s="79" t="s">
        <v>266</v>
      </c>
    </row>
    <row r="42" spans="1:18" x14ac:dyDescent="0.25">
      <c r="A42" s="79" t="s">
        <v>78</v>
      </c>
    </row>
    <row r="43" spans="1:18" x14ac:dyDescent="0.25">
      <c r="A43" s="79" t="s">
        <v>78</v>
      </c>
      <c r="D43" s="79" t="s">
        <v>279</v>
      </c>
      <c r="E43" s="79" t="s">
        <v>280</v>
      </c>
      <c r="G43" s="79" t="s">
        <v>281</v>
      </c>
      <c r="H43" s="79" t="s">
        <v>282</v>
      </c>
      <c r="J43" s="79" t="s">
        <v>283</v>
      </c>
      <c r="K43" s="79" t="s">
        <v>284</v>
      </c>
      <c r="L43" s="79" t="s">
        <v>285</v>
      </c>
      <c r="M43" s="79" t="s">
        <v>286</v>
      </c>
      <c r="N43" s="79" t="s">
        <v>287</v>
      </c>
      <c r="O43" s="79" t="s">
        <v>288</v>
      </c>
      <c r="P43" s="79" t="s">
        <v>289</v>
      </c>
      <c r="Q43" s="79" t="s">
        <v>290</v>
      </c>
      <c r="R43" s="79" t="s">
        <v>291</v>
      </c>
    </row>
    <row r="44" spans="1:18" x14ac:dyDescent="0.25">
      <c r="A44" s="79" t="s">
        <v>78</v>
      </c>
      <c r="B44" s="79" t="s">
        <v>292</v>
      </c>
      <c r="D44" s="79" t="s">
        <v>293</v>
      </c>
      <c r="E44" s="79" t="s">
        <v>294</v>
      </c>
      <c r="F44" s="79" t="s">
        <v>295</v>
      </c>
      <c r="H44" s="79" t="s">
        <v>296</v>
      </c>
      <c r="J44" s="79" t="s">
        <v>297</v>
      </c>
      <c r="K44" s="79" t="s">
        <v>298</v>
      </c>
      <c r="M44" s="79" t="s">
        <v>299</v>
      </c>
      <c r="N44" s="79" t="s">
        <v>300</v>
      </c>
      <c r="O44" s="79" t="s">
        <v>301</v>
      </c>
      <c r="P44" s="79" t="s">
        <v>302</v>
      </c>
      <c r="Q44" s="79" t="s">
        <v>303</v>
      </c>
      <c r="R44" s="79" t="s">
        <v>291</v>
      </c>
    </row>
    <row r="45" spans="1:18" x14ac:dyDescent="0.25">
      <c r="A45" s="79" t="s">
        <v>78</v>
      </c>
    </row>
    <row r="46" spans="1:18" x14ac:dyDescent="0.25">
      <c r="A46" s="79" t="s">
        <v>78</v>
      </c>
      <c r="D46" s="79" t="s">
        <v>304</v>
      </c>
      <c r="E46" s="79" t="s">
        <v>305</v>
      </c>
      <c r="G46" s="79" t="s">
        <v>306</v>
      </c>
      <c r="H46" s="79" t="s">
        <v>307</v>
      </c>
      <c r="J46" s="79" t="s">
        <v>308</v>
      </c>
      <c r="K46" s="79" t="s">
        <v>309</v>
      </c>
      <c r="L46" s="79" t="s">
        <v>310</v>
      </c>
      <c r="M46" s="79" t="s">
        <v>311</v>
      </c>
      <c r="N46" s="79" t="s">
        <v>312</v>
      </c>
      <c r="O46" s="79" t="s">
        <v>313</v>
      </c>
      <c r="P46" s="79" t="s">
        <v>314</v>
      </c>
      <c r="Q46" s="79" t="s">
        <v>315</v>
      </c>
      <c r="R46" s="79" t="s">
        <v>316</v>
      </c>
    </row>
    <row r="47" spans="1:18" x14ac:dyDescent="0.25">
      <c r="A47" s="79" t="s">
        <v>78</v>
      </c>
      <c r="B47" s="79" t="s">
        <v>317</v>
      </c>
      <c r="D47" s="79" t="s">
        <v>318</v>
      </c>
      <c r="E47" s="79" t="s">
        <v>319</v>
      </c>
      <c r="F47" s="79" t="s">
        <v>320</v>
      </c>
      <c r="H47" s="79" t="s">
        <v>321</v>
      </c>
      <c r="J47" s="79" t="s">
        <v>322</v>
      </c>
      <c r="K47" s="79" t="s">
        <v>323</v>
      </c>
      <c r="M47" s="79" t="s">
        <v>324</v>
      </c>
      <c r="N47" s="79" t="s">
        <v>325</v>
      </c>
      <c r="O47" s="79" t="s">
        <v>326</v>
      </c>
      <c r="P47" s="79" t="s">
        <v>327</v>
      </c>
      <c r="Q47" s="79" t="s">
        <v>328</v>
      </c>
      <c r="R47" s="79" t="s">
        <v>316</v>
      </c>
    </row>
    <row r="48" spans="1:18" x14ac:dyDescent="0.25">
      <c r="A48" s="79" t="s">
        <v>78</v>
      </c>
    </row>
    <row r="49" spans="1:18" x14ac:dyDescent="0.25">
      <c r="A49" s="79" t="s">
        <v>78</v>
      </c>
      <c r="D49" s="79" t="s">
        <v>329</v>
      </c>
      <c r="E49" s="79" t="s">
        <v>330</v>
      </c>
      <c r="G49" s="79" t="s">
        <v>331</v>
      </c>
      <c r="H49" s="79" t="s">
        <v>332</v>
      </c>
      <c r="J49" s="79" t="s">
        <v>333</v>
      </c>
      <c r="K49" s="79" t="s">
        <v>334</v>
      </c>
      <c r="L49" s="79" t="s">
        <v>335</v>
      </c>
      <c r="M49" s="79" t="s">
        <v>336</v>
      </c>
      <c r="N49" s="79" t="s">
        <v>337</v>
      </c>
      <c r="O49" s="79" t="s">
        <v>338</v>
      </c>
      <c r="P49" s="79" t="s">
        <v>339</v>
      </c>
      <c r="Q49" s="79" t="s">
        <v>340</v>
      </c>
      <c r="R49" s="79" t="s">
        <v>341</v>
      </c>
    </row>
    <row r="50" spans="1:18" x14ac:dyDescent="0.25">
      <c r="A50" s="79" t="s">
        <v>78</v>
      </c>
      <c r="B50" s="79" t="s">
        <v>342</v>
      </c>
      <c r="D50" s="79" t="s">
        <v>343</v>
      </c>
      <c r="E50" s="79" t="s">
        <v>344</v>
      </c>
      <c r="F50" s="79" t="s">
        <v>345</v>
      </c>
      <c r="H50" s="79" t="s">
        <v>346</v>
      </c>
      <c r="J50" s="79" t="s">
        <v>347</v>
      </c>
      <c r="K50" s="79" t="s">
        <v>348</v>
      </c>
      <c r="M50" s="79" t="s">
        <v>349</v>
      </c>
      <c r="N50" s="79" t="s">
        <v>350</v>
      </c>
      <c r="O50" s="79" t="s">
        <v>351</v>
      </c>
      <c r="P50" s="79" t="s">
        <v>352</v>
      </c>
      <c r="Q50" s="79" t="s">
        <v>353</v>
      </c>
      <c r="R50" s="79" t="s">
        <v>341</v>
      </c>
    </row>
    <row r="51" spans="1:18" x14ac:dyDescent="0.25">
      <c r="A51" s="79" t="s">
        <v>78</v>
      </c>
    </row>
    <row r="52" spans="1:18" x14ac:dyDescent="0.25">
      <c r="A52" s="79" t="s">
        <v>78</v>
      </c>
      <c r="D52" s="79" t="s">
        <v>354</v>
      </c>
      <c r="E52" s="79" t="s">
        <v>355</v>
      </c>
      <c r="G52" s="79" t="s">
        <v>356</v>
      </c>
      <c r="H52" s="79" t="s">
        <v>357</v>
      </c>
      <c r="J52" s="79" t="s">
        <v>358</v>
      </c>
      <c r="K52" s="79" t="s">
        <v>359</v>
      </c>
      <c r="L52" s="79" t="s">
        <v>360</v>
      </c>
      <c r="M52" s="79" t="s">
        <v>361</v>
      </c>
      <c r="N52" s="79" t="s">
        <v>362</v>
      </c>
      <c r="O52" s="79" t="s">
        <v>363</v>
      </c>
      <c r="P52" s="79" t="s">
        <v>364</v>
      </c>
      <c r="Q52" s="79" t="s">
        <v>365</v>
      </c>
      <c r="R52" s="79" t="s">
        <v>366</v>
      </c>
    </row>
    <row r="53" spans="1:18" x14ac:dyDescent="0.25">
      <c r="A53" s="79" t="s">
        <v>78</v>
      </c>
      <c r="B53" s="79" t="s">
        <v>367</v>
      </c>
      <c r="D53" s="79" t="s">
        <v>368</v>
      </c>
      <c r="E53" s="79" t="s">
        <v>369</v>
      </c>
      <c r="F53" s="79" t="s">
        <v>370</v>
      </c>
      <c r="H53" s="79" t="s">
        <v>371</v>
      </c>
      <c r="J53" s="79" t="s">
        <v>372</v>
      </c>
      <c r="K53" s="79" t="s">
        <v>373</v>
      </c>
      <c r="M53" s="79" t="s">
        <v>374</v>
      </c>
      <c r="N53" s="79" t="s">
        <v>375</v>
      </c>
      <c r="O53" s="79" t="s">
        <v>376</v>
      </c>
      <c r="P53" s="79" t="s">
        <v>377</v>
      </c>
      <c r="Q53" s="79" t="s">
        <v>378</v>
      </c>
      <c r="R53" s="79" t="s">
        <v>366</v>
      </c>
    </row>
    <row r="54" spans="1:18" x14ac:dyDescent="0.25">
      <c r="A54" s="79" t="s">
        <v>78</v>
      </c>
    </row>
    <row r="55" spans="1:18" x14ac:dyDescent="0.25">
      <c r="A55" s="79" t="s">
        <v>78</v>
      </c>
      <c r="D55" s="79" t="s">
        <v>379</v>
      </c>
      <c r="E55" s="79" t="s">
        <v>380</v>
      </c>
      <c r="G55" s="79" t="s">
        <v>381</v>
      </c>
      <c r="H55" s="79" t="s">
        <v>382</v>
      </c>
      <c r="J55" s="79" t="s">
        <v>383</v>
      </c>
      <c r="K55" s="79" t="s">
        <v>384</v>
      </c>
      <c r="L55" s="79" t="s">
        <v>385</v>
      </c>
      <c r="M55" s="79" t="s">
        <v>386</v>
      </c>
      <c r="N55" s="79" t="s">
        <v>387</v>
      </c>
      <c r="O55" s="79" t="s">
        <v>388</v>
      </c>
      <c r="P55" s="79" t="s">
        <v>389</v>
      </c>
      <c r="Q55" s="79" t="s">
        <v>390</v>
      </c>
      <c r="R55" s="79" t="s">
        <v>391</v>
      </c>
    </row>
    <row r="56" spans="1:18" x14ac:dyDescent="0.25">
      <c r="A56" s="79" t="s">
        <v>78</v>
      </c>
      <c r="B56" s="79" t="s">
        <v>392</v>
      </c>
      <c r="D56" s="79" t="s">
        <v>393</v>
      </c>
      <c r="E56" s="79" t="s">
        <v>394</v>
      </c>
      <c r="F56" s="79" t="s">
        <v>395</v>
      </c>
      <c r="H56" s="79" t="s">
        <v>396</v>
      </c>
      <c r="J56" s="79" t="s">
        <v>397</v>
      </c>
      <c r="K56" s="79" t="s">
        <v>398</v>
      </c>
      <c r="M56" s="79" t="s">
        <v>399</v>
      </c>
      <c r="N56" s="79" t="s">
        <v>400</v>
      </c>
      <c r="O56" s="79" t="s">
        <v>401</v>
      </c>
      <c r="P56" s="79" t="s">
        <v>402</v>
      </c>
      <c r="Q56" s="79" t="s">
        <v>403</v>
      </c>
      <c r="R56" s="79" t="s">
        <v>391</v>
      </c>
    </row>
    <row r="57" spans="1:18" x14ac:dyDescent="0.25">
      <c r="A57" s="79" t="s">
        <v>78</v>
      </c>
    </row>
    <row r="58" spans="1:18" x14ac:dyDescent="0.25">
      <c r="A58" s="79" t="s">
        <v>78</v>
      </c>
      <c r="D58" s="79" t="s">
        <v>404</v>
      </c>
      <c r="E58" s="79" t="s">
        <v>405</v>
      </c>
      <c r="G58" s="79" t="s">
        <v>406</v>
      </c>
      <c r="H58" s="79" t="s">
        <v>407</v>
      </c>
      <c r="J58" s="79" t="s">
        <v>408</v>
      </c>
      <c r="K58" s="79" t="s">
        <v>409</v>
      </c>
      <c r="L58" s="79" t="s">
        <v>410</v>
      </c>
      <c r="M58" s="79" t="s">
        <v>411</v>
      </c>
      <c r="N58" s="79" t="s">
        <v>412</v>
      </c>
      <c r="O58" s="79" t="s">
        <v>413</v>
      </c>
      <c r="P58" s="79" t="s">
        <v>414</v>
      </c>
      <c r="Q58" s="79" t="s">
        <v>415</v>
      </c>
      <c r="R58" s="79" t="s">
        <v>416</v>
      </c>
    </row>
    <row r="59" spans="1:18" x14ac:dyDescent="0.25">
      <c r="A59" s="79" t="s">
        <v>78</v>
      </c>
      <c r="B59" s="79" t="s">
        <v>417</v>
      </c>
      <c r="D59" s="79" t="s">
        <v>418</v>
      </c>
      <c r="E59" s="79" t="s">
        <v>419</v>
      </c>
      <c r="F59" s="79" t="s">
        <v>420</v>
      </c>
      <c r="H59" s="79" t="s">
        <v>421</v>
      </c>
      <c r="J59" s="79" t="s">
        <v>422</v>
      </c>
      <c r="K59" s="79" t="s">
        <v>423</v>
      </c>
      <c r="M59" s="79" t="s">
        <v>424</v>
      </c>
      <c r="N59" s="79" t="s">
        <v>425</v>
      </c>
      <c r="O59" s="79" t="s">
        <v>426</v>
      </c>
      <c r="P59" s="79" t="s">
        <v>427</v>
      </c>
      <c r="Q59" s="79" t="s">
        <v>428</v>
      </c>
      <c r="R59" s="79" t="s">
        <v>416</v>
      </c>
    </row>
    <row r="60" spans="1:18" x14ac:dyDescent="0.25">
      <c r="A60" s="79" t="s">
        <v>78</v>
      </c>
    </row>
    <row r="61" spans="1:18" x14ac:dyDescent="0.25">
      <c r="A61" s="79" t="s">
        <v>78</v>
      </c>
      <c r="D61" s="79" t="s">
        <v>429</v>
      </c>
      <c r="E61" s="79" t="s">
        <v>430</v>
      </c>
      <c r="G61" s="79" t="s">
        <v>431</v>
      </c>
      <c r="H61" s="79" t="s">
        <v>432</v>
      </c>
      <c r="J61" s="79" t="s">
        <v>433</v>
      </c>
      <c r="K61" s="79" t="s">
        <v>434</v>
      </c>
      <c r="L61" s="79" t="s">
        <v>435</v>
      </c>
      <c r="M61" s="79" t="s">
        <v>436</v>
      </c>
      <c r="N61" s="79" t="s">
        <v>437</v>
      </c>
      <c r="O61" s="79" t="s">
        <v>438</v>
      </c>
      <c r="P61" s="79" t="s">
        <v>439</v>
      </c>
      <c r="Q61" s="79" t="s">
        <v>440</v>
      </c>
      <c r="R61" s="79" t="s">
        <v>441</v>
      </c>
    </row>
    <row r="62" spans="1:18" x14ac:dyDescent="0.25">
      <c r="A62" s="79" t="s">
        <v>78</v>
      </c>
      <c r="B62" s="79" t="s">
        <v>442</v>
      </c>
      <c r="D62" s="79" t="s">
        <v>443</v>
      </c>
      <c r="E62" s="79" t="s">
        <v>444</v>
      </c>
      <c r="F62" s="79" t="s">
        <v>445</v>
      </c>
      <c r="H62" s="79" t="s">
        <v>446</v>
      </c>
      <c r="J62" s="79" t="s">
        <v>447</v>
      </c>
      <c r="K62" s="79" t="s">
        <v>448</v>
      </c>
      <c r="M62" s="79" t="s">
        <v>449</v>
      </c>
      <c r="N62" s="79" t="s">
        <v>450</v>
      </c>
      <c r="O62" s="79" t="s">
        <v>451</v>
      </c>
      <c r="P62" s="79" t="s">
        <v>452</v>
      </c>
      <c r="Q62" s="79" t="s">
        <v>453</v>
      </c>
      <c r="R62" s="79" t="s">
        <v>441</v>
      </c>
    </row>
    <row r="63" spans="1:18" x14ac:dyDescent="0.25">
      <c r="A63" s="79" t="s">
        <v>78</v>
      </c>
    </row>
    <row r="64" spans="1:18" x14ac:dyDescent="0.25">
      <c r="A64" s="79" t="s">
        <v>78</v>
      </c>
      <c r="D64" s="79" t="s">
        <v>454</v>
      </c>
      <c r="E64" s="79" t="s">
        <v>455</v>
      </c>
      <c r="G64" s="79" t="s">
        <v>456</v>
      </c>
      <c r="H64" s="79" t="s">
        <v>457</v>
      </c>
      <c r="J64" s="79" t="s">
        <v>458</v>
      </c>
      <c r="K64" s="79" t="s">
        <v>459</v>
      </c>
      <c r="L64" s="79" t="s">
        <v>460</v>
      </c>
      <c r="M64" s="79" t="s">
        <v>461</v>
      </c>
      <c r="N64" s="79" t="s">
        <v>462</v>
      </c>
      <c r="O64" s="79" t="s">
        <v>463</v>
      </c>
      <c r="P64" s="79" t="s">
        <v>464</v>
      </c>
      <c r="Q64" s="79" t="s">
        <v>465</v>
      </c>
      <c r="R64" s="79" t="s">
        <v>466</v>
      </c>
    </row>
    <row r="65" spans="1:18" x14ac:dyDescent="0.25">
      <c r="A65" s="79" t="s">
        <v>78</v>
      </c>
      <c r="B65" s="79" t="s">
        <v>467</v>
      </c>
      <c r="D65" s="79" t="s">
        <v>468</v>
      </c>
      <c r="E65" s="79" t="s">
        <v>469</v>
      </c>
      <c r="F65" s="79" t="s">
        <v>470</v>
      </c>
      <c r="H65" s="79" t="s">
        <v>471</v>
      </c>
      <c r="J65" s="79" t="s">
        <v>472</v>
      </c>
      <c r="K65" s="79" t="s">
        <v>473</v>
      </c>
      <c r="M65" s="79" t="s">
        <v>474</v>
      </c>
      <c r="N65" s="79" t="s">
        <v>475</v>
      </c>
      <c r="O65" s="79" t="s">
        <v>476</v>
      </c>
      <c r="P65" s="79" t="s">
        <v>477</v>
      </c>
      <c r="Q65" s="79" t="s">
        <v>478</v>
      </c>
      <c r="R65" s="79" t="s">
        <v>466</v>
      </c>
    </row>
    <row r="66" spans="1:18" x14ac:dyDescent="0.25">
      <c r="A66" s="79" t="s">
        <v>78</v>
      </c>
    </row>
    <row r="67" spans="1:18" x14ac:dyDescent="0.25">
      <c r="A67" s="79" t="s">
        <v>78</v>
      </c>
      <c r="D67" s="79" t="s">
        <v>479</v>
      </c>
      <c r="E67" s="79" t="s">
        <v>480</v>
      </c>
      <c r="G67" s="79" t="s">
        <v>481</v>
      </c>
      <c r="H67" s="79" t="s">
        <v>482</v>
      </c>
      <c r="J67" s="79" t="s">
        <v>483</v>
      </c>
      <c r="K67" s="79" t="s">
        <v>484</v>
      </c>
      <c r="L67" s="79" t="s">
        <v>485</v>
      </c>
      <c r="M67" s="79" t="s">
        <v>486</v>
      </c>
      <c r="N67" s="79" t="s">
        <v>487</v>
      </c>
      <c r="O67" s="79" t="s">
        <v>488</v>
      </c>
      <c r="P67" s="79" t="s">
        <v>489</v>
      </c>
      <c r="Q67" s="79" t="s">
        <v>490</v>
      </c>
      <c r="R67" s="79" t="s">
        <v>491</v>
      </c>
    </row>
    <row r="68" spans="1:18" x14ac:dyDescent="0.25">
      <c r="A68" s="79" t="s">
        <v>78</v>
      </c>
      <c r="B68" s="79" t="s">
        <v>492</v>
      </c>
      <c r="D68" s="79" t="s">
        <v>493</v>
      </c>
      <c r="E68" s="79" t="s">
        <v>494</v>
      </c>
      <c r="F68" s="79" t="s">
        <v>495</v>
      </c>
      <c r="H68" s="79" t="s">
        <v>496</v>
      </c>
      <c r="J68" s="79" t="s">
        <v>497</v>
      </c>
      <c r="K68" s="79" t="s">
        <v>498</v>
      </c>
      <c r="M68" s="79" t="s">
        <v>499</v>
      </c>
      <c r="N68" s="79" t="s">
        <v>500</v>
      </c>
      <c r="O68" s="79" t="s">
        <v>501</v>
      </c>
      <c r="P68" s="79" t="s">
        <v>502</v>
      </c>
      <c r="Q68" s="79" t="s">
        <v>503</v>
      </c>
      <c r="R68" s="79" t="s">
        <v>491</v>
      </c>
    </row>
    <row r="69" spans="1:18" x14ac:dyDescent="0.25">
      <c r="A69" s="79" t="s">
        <v>78</v>
      </c>
    </row>
    <row r="70" spans="1:18" x14ac:dyDescent="0.25">
      <c r="A70" s="79" t="s">
        <v>78</v>
      </c>
      <c r="D70" s="79" t="s">
        <v>504</v>
      </c>
      <c r="E70" s="79" t="s">
        <v>505</v>
      </c>
      <c r="G70" s="79" t="s">
        <v>506</v>
      </c>
      <c r="H70" s="79" t="s">
        <v>507</v>
      </c>
      <c r="J70" s="79" t="s">
        <v>508</v>
      </c>
      <c r="K70" s="79" t="s">
        <v>509</v>
      </c>
      <c r="L70" s="79" t="s">
        <v>510</v>
      </c>
      <c r="M70" s="79" t="s">
        <v>511</v>
      </c>
      <c r="N70" s="79" t="s">
        <v>512</v>
      </c>
      <c r="O70" s="79" t="s">
        <v>513</v>
      </c>
      <c r="P70" s="79" t="s">
        <v>514</v>
      </c>
      <c r="Q70" s="79" t="s">
        <v>515</v>
      </c>
      <c r="R70" s="79" t="s">
        <v>516</v>
      </c>
    </row>
    <row r="71" spans="1:18" x14ac:dyDescent="0.25">
      <c r="A71" s="79" t="s">
        <v>78</v>
      </c>
      <c r="B71" s="79" t="s">
        <v>517</v>
      </c>
      <c r="D71" s="79" t="s">
        <v>518</v>
      </c>
      <c r="E71" s="79" t="s">
        <v>519</v>
      </c>
      <c r="F71" s="79" t="s">
        <v>520</v>
      </c>
      <c r="H71" s="79" t="s">
        <v>521</v>
      </c>
      <c r="J71" s="79" t="s">
        <v>522</v>
      </c>
      <c r="K71" s="79" t="s">
        <v>523</v>
      </c>
      <c r="M71" s="79" t="s">
        <v>524</v>
      </c>
      <c r="N71" s="79" t="s">
        <v>525</v>
      </c>
      <c r="O71" s="79" t="s">
        <v>526</v>
      </c>
      <c r="P71" s="79" t="s">
        <v>527</v>
      </c>
      <c r="Q71" s="79" t="s">
        <v>528</v>
      </c>
      <c r="R71" s="79" t="s">
        <v>516</v>
      </c>
    </row>
    <row r="72" spans="1:18" x14ac:dyDescent="0.25">
      <c r="A72" s="79" t="s">
        <v>78</v>
      </c>
    </row>
    <row r="73" spans="1:18" x14ac:dyDescent="0.25">
      <c r="A73" s="79" t="s">
        <v>78</v>
      </c>
      <c r="D73" s="79" t="s">
        <v>529</v>
      </c>
      <c r="E73" s="79" t="s">
        <v>530</v>
      </c>
      <c r="G73" s="79" t="s">
        <v>531</v>
      </c>
      <c r="H73" s="79" t="s">
        <v>532</v>
      </c>
      <c r="J73" s="79" t="s">
        <v>533</v>
      </c>
      <c r="K73" s="79" t="s">
        <v>534</v>
      </c>
      <c r="L73" s="79" t="s">
        <v>535</v>
      </c>
      <c r="M73" s="79" t="s">
        <v>536</v>
      </c>
      <c r="N73" s="79" t="s">
        <v>537</v>
      </c>
      <c r="O73" s="79" t="s">
        <v>538</v>
      </c>
      <c r="P73" s="79" t="s">
        <v>539</v>
      </c>
      <c r="Q73" s="79" t="s">
        <v>540</v>
      </c>
      <c r="R73" s="79" t="s">
        <v>541</v>
      </c>
    </row>
    <row r="74" spans="1:18" x14ac:dyDescent="0.25">
      <c r="A74" s="79" t="s">
        <v>78</v>
      </c>
      <c r="B74" s="79" t="s">
        <v>542</v>
      </c>
      <c r="D74" s="79" t="s">
        <v>543</v>
      </c>
      <c r="E74" s="79" t="s">
        <v>544</v>
      </c>
      <c r="F74" s="79" t="s">
        <v>545</v>
      </c>
      <c r="H74" s="79" t="s">
        <v>546</v>
      </c>
      <c r="J74" s="79" t="s">
        <v>547</v>
      </c>
      <c r="K74" s="79" t="s">
        <v>548</v>
      </c>
      <c r="M74" s="79" t="s">
        <v>549</v>
      </c>
      <c r="N74" s="79" t="s">
        <v>550</v>
      </c>
      <c r="O74" s="79" t="s">
        <v>551</v>
      </c>
      <c r="P74" s="79" t="s">
        <v>552</v>
      </c>
      <c r="Q74" s="79" t="s">
        <v>553</v>
      </c>
      <c r="R74" s="79" t="s">
        <v>541</v>
      </c>
    </row>
    <row r="75" spans="1:18" x14ac:dyDescent="0.25">
      <c r="A75" s="79" t="s">
        <v>78</v>
      </c>
    </row>
    <row r="76" spans="1:18" x14ac:dyDescent="0.25">
      <c r="A76" s="79" t="s">
        <v>78</v>
      </c>
      <c r="D76" s="79" t="s">
        <v>554</v>
      </c>
      <c r="E76" s="79" t="s">
        <v>555</v>
      </c>
      <c r="G76" s="79" t="s">
        <v>556</v>
      </c>
      <c r="H76" s="79" t="s">
        <v>557</v>
      </c>
      <c r="J76" s="79" t="s">
        <v>558</v>
      </c>
      <c r="K76" s="79" t="s">
        <v>559</v>
      </c>
      <c r="L76" s="79" t="s">
        <v>560</v>
      </c>
      <c r="M76" s="79" t="s">
        <v>561</v>
      </c>
      <c r="N76" s="79" t="s">
        <v>562</v>
      </c>
      <c r="O76" s="79" t="s">
        <v>563</v>
      </c>
      <c r="P76" s="79" t="s">
        <v>564</v>
      </c>
      <c r="Q76" s="79" t="s">
        <v>565</v>
      </c>
      <c r="R76" s="79" t="s">
        <v>566</v>
      </c>
    </row>
    <row r="77" spans="1:18" x14ac:dyDescent="0.25">
      <c r="A77" s="79" t="s">
        <v>78</v>
      </c>
      <c r="B77" s="79" t="s">
        <v>567</v>
      </c>
      <c r="D77" s="79" t="s">
        <v>568</v>
      </c>
      <c r="E77" s="79" t="s">
        <v>569</v>
      </c>
      <c r="F77" s="79" t="s">
        <v>570</v>
      </c>
      <c r="H77" s="79" t="s">
        <v>571</v>
      </c>
      <c r="J77" s="79" t="s">
        <v>572</v>
      </c>
      <c r="K77" s="79" t="s">
        <v>573</v>
      </c>
      <c r="M77" s="79" t="s">
        <v>574</v>
      </c>
      <c r="N77" s="79" t="s">
        <v>575</v>
      </c>
      <c r="O77" s="79" t="s">
        <v>576</v>
      </c>
      <c r="P77" s="79" t="s">
        <v>577</v>
      </c>
      <c r="Q77" s="79" t="s">
        <v>578</v>
      </c>
      <c r="R77" s="79" t="s">
        <v>566</v>
      </c>
    </row>
    <row r="78" spans="1:18" x14ac:dyDescent="0.25">
      <c r="A78" s="79" t="s">
        <v>78</v>
      </c>
    </row>
    <row r="79" spans="1:18" x14ac:dyDescent="0.25">
      <c r="A79" s="79" t="s">
        <v>78</v>
      </c>
      <c r="D79" s="79" t="s">
        <v>579</v>
      </c>
      <c r="E79" s="79" t="s">
        <v>580</v>
      </c>
      <c r="G79" s="79" t="s">
        <v>581</v>
      </c>
      <c r="H79" s="79" t="s">
        <v>582</v>
      </c>
      <c r="J79" s="79" t="s">
        <v>583</v>
      </c>
      <c r="K79" s="79" t="s">
        <v>584</v>
      </c>
      <c r="L79" s="79" t="s">
        <v>585</v>
      </c>
      <c r="M79" s="79" t="s">
        <v>586</v>
      </c>
      <c r="N79" s="79" t="s">
        <v>587</v>
      </c>
      <c r="O79" s="79" t="s">
        <v>588</v>
      </c>
      <c r="P79" s="79" t="s">
        <v>589</v>
      </c>
      <c r="Q79" s="79" t="s">
        <v>590</v>
      </c>
      <c r="R79" s="79" t="s">
        <v>591</v>
      </c>
    </row>
    <row r="80" spans="1:18" x14ac:dyDescent="0.25">
      <c r="A80" s="79" t="s">
        <v>78</v>
      </c>
      <c r="B80" s="79" t="s">
        <v>592</v>
      </c>
      <c r="D80" s="79" t="s">
        <v>593</v>
      </c>
      <c r="E80" s="79" t="s">
        <v>594</v>
      </c>
      <c r="F80" s="79" t="s">
        <v>595</v>
      </c>
      <c r="H80" s="79" t="s">
        <v>596</v>
      </c>
      <c r="J80" s="79" t="s">
        <v>597</v>
      </c>
      <c r="K80" s="79" t="s">
        <v>598</v>
      </c>
      <c r="M80" s="79" t="s">
        <v>599</v>
      </c>
      <c r="N80" s="79" t="s">
        <v>600</v>
      </c>
      <c r="O80" s="79" t="s">
        <v>601</v>
      </c>
      <c r="P80" s="79" t="s">
        <v>602</v>
      </c>
      <c r="Q80" s="79" t="s">
        <v>603</v>
      </c>
      <c r="R80" s="79" t="s">
        <v>591</v>
      </c>
    </row>
    <row r="81" spans="1:18" x14ac:dyDescent="0.25">
      <c r="A81" s="79" t="s">
        <v>78</v>
      </c>
    </row>
    <row r="82" spans="1:18" x14ac:dyDescent="0.25">
      <c r="A82" s="79" t="s">
        <v>78</v>
      </c>
      <c r="D82" s="79" t="s">
        <v>604</v>
      </c>
      <c r="E82" s="79" t="s">
        <v>605</v>
      </c>
      <c r="G82" s="79" t="s">
        <v>606</v>
      </c>
      <c r="H82" s="79" t="s">
        <v>607</v>
      </c>
      <c r="J82" s="79" t="s">
        <v>608</v>
      </c>
      <c r="K82" s="79" t="s">
        <v>609</v>
      </c>
      <c r="L82" s="79" t="s">
        <v>610</v>
      </c>
      <c r="M82" s="79" t="s">
        <v>611</v>
      </c>
      <c r="N82" s="79" t="s">
        <v>612</v>
      </c>
      <c r="O82" s="79" t="s">
        <v>613</v>
      </c>
      <c r="P82" s="79" t="s">
        <v>614</v>
      </c>
      <c r="Q82" s="79" t="s">
        <v>615</v>
      </c>
      <c r="R82" s="79" t="s">
        <v>616</v>
      </c>
    </row>
    <row r="83" spans="1:18" x14ac:dyDescent="0.25">
      <c r="A83" s="79" t="s">
        <v>78</v>
      </c>
      <c r="B83" s="79" t="s">
        <v>617</v>
      </c>
      <c r="D83" s="79" t="s">
        <v>618</v>
      </c>
      <c r="E83" s="79" t="s">
        <v>619</v>
      </c>
      <c r="F83" s="79" t="s">
        <v>620</v>
      </c>
      <c r="H83" s="79" t="s">
        <v>621</v>
      </c>
      <c r="J83" s="79" t="s">
        <v>622</v>
      </c>
      <c r="K83" s="79" t="s">
        <v>623</v>
      </c>
      <c r="M83" s="79" t="s">
        <v>624</v>
      </c>
      <c r="N83" s="79" t="s">
        <v>625</v>
      </c>
      <c r="O83" s="79" t="s">
        <v>626</v>
      </c>
      <c r="P83" s="79" t="s">
        <v>627</v>
      </c>
      <c r="Q83" s="79" t="s">
        <v>628</v>
      </c>
      <c r="R83" s="79" t="s">
        <v>616</v>
      </c>
    </row>
    <row r="84" spans="1:18" x14ac:dyDescent="0.25">
      <c r="A84" s="79" t="s">
        <v>78</v>
      </c>
    </row>
    <row r="85" spans="1:18" x14ac:dyDescent="0.25">
      <c r="A85" s="79" t="s">
        <v>78</v>
      </c>
      <c r="D85" s="79" t="s">
        <v>629</v>
      </c>
      <c r="E85" s="79" t="s">
        <v>630</v>
      </c>
      <c r="G85" s="79" t="s">
        <v>631</v>
      </c>
      <c r="H85" s="79" t="s">
        <v>632</v>
      </c>
      <c r="J85" s="79" t="s">
        <v>633</v>
      </c>
      <c r="K85" s="79" t="s">
        <v>634</v>
      </c>
      <c r="L85" s="79" t="s">
        <v>635</v>
      </c>
      <c r="M85" s="79" t="s">
        <v>636</v>
      </c>
      <c r="N85" s="79" t="s">
        <v>637</v>
      </c>
      <c r="O85" s="79" t="s">
        <v>638</v>
      </c>
      <c r="P85" s="79" t="s">
        <v>639</v>
      </c>
      <c r="Q85" s="79" t="s">
        <v>640</v>
      </c>
      <c r="R85" s="79" t="s">
        <v>641</v>
      </c>
    </row>
    <row r="86" spans="1:18" x14ac:dyDescent="0.25">
      <c r="A86" s="79" t="s">
        <v>78</v>
      </c>
      <c r="B86" s="79" t="s">
        <v>642</v>
      </c>
      <c r="D86" s="79" t="s">
        <v>643</v>
      </c>
      <c r="E86" s="79" t="s">
        <v>644</v>
      </c>
      <c r="F86" s="79" t="s">
        <v>645</v>
      </c>
      <c r="H86" s="79" t="s">
        <v>646</v>
      </c>
      <c r="J86" s="79" t="s">
        <v>647</v>
      </c>
      <c r="K86" s="79" t="s">
        <v>648</v>
      </c>
      <c r="M86" s="79" t="s">
        <v>649</v>
      </c>
      <c r="N86" s="79" t="s">
        <v>650</v>
      </c>
      <c r="O86" s="79" t="s">
        <v>651</v>
      </c>
      <c r="P86" s="79" t="s">
        <v>652</v>
      </c>
      <c r="Q86" s="79" t="s">
        <v>653</v>
      </c>
      <c r="R86" s="79" t="s">
        <v>641</v>
      </c>
    </row>
    <row r="87" spans="1:18" x14ac:dyDescent="0.25">
      <c r="A87" s="79" t="s">
        <v>78</v>
      </c>
    </row>
    <row r="88" spans="1:18" x14ac:dyDescent="0.25">
      <c r="A88" s="79" t="s">
        <v>78</v>
      </c>
      <c r="D88" s="79" t="s">
        <v>654</v>
      </c>
      <c r="E88" s="79" t="s">
        <v>655</v>
      </c>
      <c r="G88" s="79" t="s">
        <v>656</v>
      </c>
      <c r="H88" s="79" t="s">
        <v>657</v>
      </c>
      <c r="J88" s="79" t="s">
        <v>658</v>
      </c>
      <c r="K88" s="79" t="s">
        <v>659</v>
      </c>
      <c r="L88" s="79" t="s">
        <v>660</v>
      </c>
      <c r="M88" s="79" t="s">
        <v>661</v>
      </c>
      <c r="N88" s="79" t="s">
        <v>662</v>
      </c>
      <c r="O88" s="79" t="s">
        <v>663</v>
      </c>
      <c r="P88" s="79" t="s">
        <v>664</v>
      </c>
      <c r="Q88" s="79" t="s">
        <v>665</v>
      </c>
      <c r="R88" s="79" t="s">
        <v>666</v>
      </c>
    </row>
    <row r="89" spans="1:18" x14ac:dyDescent="0.25">
      <c r="A89" s="79" t="s">
        <v>78</v>
      </c>
      <c r="B89" s="79" t="s">
        <v>667</v>
      </c>
      <c r="D89" s="79" t="s">
        <v>668</v>
      </c>
      <c r="E89" s="79" t="s">
        <v>669</v>
      </c>
      <c r="F89" s="79" t="s">
        <v>670</v>
      </c>
      <c r="H89" s="79" t="s">
        <v>671</v>
      </c>
      <c r="J89" s="79" t="s">
        <v>672</v>
      </c>
      <c r="K89" s="79" t="s">
        <v>673</v>
      </c>
      <c r="M89" s="79" t="s">
        <v>674</v>
      </c>
      <c r="N89" s="79" t="s">
        <v>675</v>
      </c>
      <c r="O89" s="79" t="s">
        <v>676</v>
      </c>
      <c r="P89" s="79" t="s">
        <v>677</v>
      </c>
      <c r="Q89" s="79" t="s">
        <v>678</v>
      </c>
      <c r="R89" s="79" t="s">
        <v>666</v>
      </c>
    </row>
    <row r="90" spans="1:18" x14ac:dyDescent="0.25">
      <c r="A90" s="79" t="s">
        <v>78</v>
      </c>
    </row>
    <row r="91" spans="1:18" x14ac:dyDescent="0.25">
      <c r="A91" s="79" t="s">
        <v>78</v>
      </c>
      <c r="D91" s="79" t="s">
        <v>679</v>
      </c>
      <c r="E91" s="79" t="s">
        <v>680</v>
      </c>
      <c r="G91" s="79" t="s">
        <v>681</v>
      </c>
      <c r="H91" s="79" t="s">
        <v>682</v>
      </c>
      <c r="J91" s="79" t="s">
        <v>683</v>
      </c>
      <c r="K91" s="79" t="s">
        <v>684</v>
      </c>
      <c r="L91" s="79" t="s">
        <v>685</v>
      </c>
      <c r="M91" s="79" t="s">
        <v>686</v>
      </c>
      <c r="N91" s="79" t="s">
        <v>687</v>
      </c>
      <c r="O91" s="79" t="s">
        <v>688</v>
      </c>
      <c r="P91" s="79" t="s">
        <v>689</v>
      </c>
      <c r="Q91" s="79" t="s">
        <v>690</v>
      </c>
      <c r="R91" s="79" t="s">
        <v>691</v>
      </c>
    </row>
    <row r="92" spans="1:18" x14ac:dyDescent="0.25">
      <c r="A92" s="79" t="s">
        <v>78</v>
      </c>
      <c r="B92" s="79" t="s">
        <v>692</v>
      </c>
      <c r="D92" s="79" t="s">
        <v>693</v>
      </c>
      <c r="E92" s="79" t="s">
        <v>694</v>
      </c>
      <c r="F92" s="79" t="s">
        <v>695</v>
      </c>
      <c r="H92" s="79" t="s">
        <v>696</v>
      </c>
      <c r="J92" s="79" t="s">
        <v>697</v>
      </c>
      <c r="K92" s="79" t="s">
        <v>698</v>
      </c>
      <c r="M92" s="79" t="s">
        <v>699</v>
      </c>
      <c r="N92" s="79" t="s">
        <v>700</v>
      </c>
      <c r="O92" s="79" t="s">
        <v>701</v>
      </c>
      <c r="P92" s="79" t="s">
        <v>702</v>
      </c>
      <c r="Q92" s="79" t="s">
        <v>703</v>
      </c>
      <c r="R92" s="79" t="s">
        <v>691</v>
      </c>
    </row>
    <row r="93" spans="1:18" x14ac:dyDescent="0.25">
      <c r="A93" s="79" t="s">
        <v>78</v>
      </c>
    </row>
    <row r="94" spans="1:18" x14ac:dyDescent="0.25">
      <c r="A94" s="79" t="s">
        <v>78</v>
      </c>
      <c r="D94" s="79" t="s">
        <v>704</v>
      </c>
      <c r="E94" s="79" t="s">
        <v>705</v>
      </c>
      <c r="G94" s="79" t="s">
        <v>706</v>
      </c>
      <c r="H94" s="79" t="s">
        <v>707</v>
      </c>
      <c r="J94" s="79" t="s">
        <v>708</v>
      </c>
      <c r="K94" s="79" t="s">
        <v>709</v>
      </c>
      <c r="L94" s="79" t="s">
        <v>710</v>
      </c>
      <c r="M94" s="79" t="s">
        <v>711</v>
      </c>
      <c r="N94" s="79" t="s">
        <v>712</v>
      </c>
      <c r="O94" s="79" t="s">
        <v>713</v>
      </c>
      <c r="P94" s="79" t="s">
        <v>714</v>
      </c>
      <c r="Q94" s="79" t="s">
        <v>715</v>
      </c>
      <c r="R94" s="79" t="s">
        <v>716</v>
      </c>
    </row>
    <row r="95" spans="1:18" x14ac:dyDescent="0.25">
      <c r="A95" s="79" t="s">
        <v>78</v>
      </c>
      <c r="B95" s="79" t="s">
        <v>717</v>
      </c>
      <c r="D95" s="79" t="s">
        <v>718</v>
      </c>
      <c r="E95" s="79" t="s">
        <v>719</v>
      </c>
      <c r="F95" s="79" t="s">
        <v>720</v>
      </c>
      <c r="H95" s="79" t="s">
        <v>721</v>
      </c>
      <c r="J95" s="79" t="s">
        <v>722</v>
      </c>
      <c r="K95" s="79" t="s">
        <v>723</v>
      </c>
      <c r="M95" s="79" t="s">
        <v>724</v>
      </c>
      <c r="N95" s="79" t="s">
        <v>725</v>
      </c>
      <c r="O95" s="79" t="s">
        <v>726</v>
      </c>
      <c r="P95" s="79" t="s">
        <v>727</v>
      </c>
      <c r="Q95" s="79" t="s">
        <v>728</v>
      </c>
      <c r="R95" s="79" t="s">
        <v>716</v>
      </c>
    </row>
    <row r="96" spans="1:18" x14ac:dyDescent="0.25">
      <c r="A96" s="79" t="s">
        <v>78</v>
      </c>
    </row>
    <row r="97" spans="1:18" x14ac:dyDescent="0.25">
      <c r="A97" s="79" t="s">
        <v>78</v>
      </c>
      <c r="D97" s="79" t="s">
        <v>729</v>
      </c>
      <c r="E97" s="79" t="s">
        <v>730</v>
      </c>
      <c r="G97" s="79" t="s">
        <v>731</v>
      </c>
      <c r="H97" s="79" t="s">
        <v>732</v>
      </c>
      <c r="J97" s="79" t="s">
        <v>733</v>
      </c>
      <c r="K97" s="79" t="s">
        <v>734</v>
      </c>
      <c r="L97" s="79" t="s">
        <v>735</v>
      </c>
      <c r="M97" s="79" t="s">
        <v>736</v>
      </c>
      <c r="N97" s="79" t="s">
        <v>737</v>
      </c>
      <c r="O97" s="79" t="s">
        <v>738</v>
      </c>
      <c r="P97" s="79" t="s">
        <v>739</v>
      </c>
      <c r="Q97" s="79" t="s">
        <v>740</v>
      </c>
      <c r="R97" s="79" t="s">
        <v>741</v>
      </c>
    </row>
    <row r="98" spans="1:18" x14ac:dyDescent="0.25">
      <c r="A98" s="79" t="s">
        <v>78</v>
      </c>
      <c r="B98" s="79" t="s">
        <v>742</v>
      </c>
      <c r="D98" s="79" t="s">
        <v>743</v>
      </c>
      <c r="E98" s="79" t="s">
        <v>744</v>
      </c>
      <c r="F98" s="79" t="s">
        <v>745</v>
      </c>
      <c r="H98" s="79" t="s">
        <v>746</v>
      </c>
      <c r="J98" s="79" t="s">
        <v>747</v>
      </c>
      <c r="K98" s="79" t="s">
        <v>748</v>
      </c>
      <c r="M98" s="79" t="s">
        <v>749</v>
      </c>
      <c r="N98" s="79" t="s">
        <v>750</v>
      </c>
      <c r="O98" s="79" t="s">
        <v>751</v>
      </c>
      <c r="P98" s="79" t="s">
        <v>752</v>
      </c>
      <c r="Q98" s="79" t="s">
        <v>753</v>
      </c>
      <c r="R98" s="79" t="s">
        <v>741</v>
      </c>
    </row>
    <row r="99" spans="1:18" x14ac:dyDescent="0.25">
      <c r="A99" s="79" t="s">
        <v>78</v>
      </c>
    </row>
    <row r="100" spans="1:18" x14ac:dyDescent="0.25">
      <c r="A100" s="79" t="s">
        <v>78</v>
      </c>
      <c r="D100" s="79" t="s">
        <v>754</v>
      </c>
      <c r="E100" s="79" t="s">
        <v>755</v>
      </c>
      <c r="G100" s="79" t="s">
        <v>756</v>
      </c>
      <c r="H100" s="79" t="s">
        <v>757</v>
      </c>
      <c r="J100" s="79" t="s">
        <v>758</v>
      </c>
      <c r="K100" s="79" t="s">
        <v>759</v>
      </c>
      <c r="L100" s="79" t="s">
        <v>760</v>
      </c>
      <c r="M100" s="79" t="s">
        <v>761</v>
      </c>
      <c r="N100" s="79" t="s">
        <v>762</v>
      </c>
      <c r="O100" s="79" t="s">
        <v>763</v>
      </c>
      <c r="P100" s="79" t="s">
        <v>764</v>
      </c>
      <c r="Q100" s="79" t="s">
        <v>765</v>
      </c>
      <c r="R100" s="79" t="s">
        <v>766</v>
      </c>
    </row>
    <row r="101" spans="1:18" x14ac:dyDescent="0.25">
      <c r="A101" s="79" t="s">
        <v>78</v>
      </c>
      <c r="B101" s="79" t="s">
        <v>767</v>
      </c>
      <c r="D101" s="79" t="s">
        <v>768</v>
      </c>
      <c r="E101" s="79" t="s">
        <v>769</v>
      </c>
      <c r="F101" s="79" t="s">
        <v>770</v>
      </c>
      <c r="H101" s="79" t="s">
        <v>771</v>
      </c>
      <c r="J101" s="79" t="s">
        <v>772</v>
      </c>
      <c r="K101" s="79" t="s">
        <v>773</v>
      </c>
      <c r="M101" s="79" t="s">
        <v>774</v>
      </c>
      <c r="N101" s="79" t="s">
        <v>775</v>
      </c>
      <c r="O101" s="79" t="s">
        <v>776</v>
      </c>
      <c r="P101" s="79" t="s">
        <v>777</v>
      </c>
      <c r="Q101" s="79" t="s">
        <v>778</v>
      </c>
      <c r="R101" s="79" t="s">
        <v>766</v>
      </c>
    </row>
    <row r="102" spans="1:18" x14ac:dyDescent="0.25">
      <c r="A102" s="79" t="s">
        <v>78</v>
      </c>
    </row>
    <row r="103" spans="1:18" x14ac:dyDescent="0.25">
      <c r="A103" s="79" t="s">
        <v>78</v>
      </c>
      <c r="D103" s="79" t="s">
        <v>779</v>
      </c>
      <c r="E103" s="79" t="s">
        <v>780</v>
      </c>
      <c r="G103" s="79" t="s">
        <v>781</v>
      </c>
      <c r="H103" s="79" t="s">
        <v>782</v>
      </c>
      <c r="J103" s="79" t="s">
        <v>783</v>
      </c>
      <c r="K103" s="79" t="s">
        <v>784</v>
      </c>
      <c r="L103" s="79" t="s">
        <v>785</v>
      </c>
      <c r="M103" s="79" t="s">
        <v>786</v>
      </c>
      <c r="N103" s="79" t="s">
        <v>787</v>
      </c>
      <c r="O103" s="79" t="s">
        <v>788</v>
      </c>
      <c r="P103" s="79" t="s">
        <v>789</v>
      </c>
      <c r="Q103" s="79" t="s">
        <v>790</v>
      </c>
      <c r="R103" s="79" t="s">
        <v>791</v>
      </c>
    </row>
    <row r="104" spans="1:18" x14ac:dyDescent="0.25">
      <c r="A104" s="79" t="s">
        <v>78</v>
      </c>
      <c r="B104" s="79" t="s">
        <v>792</v>
      </c>
      <c r="D104" s="79" t="s">
        <v>793</v>
      </c>
      <c r="E104" s="79" t="s">
        <v>794</v>
      </c>
      <c r="F104" s="79" t="s">
        <v>795</v>
      </c>
      <c r="H104" s="79" t="s">
        <v>796</v>
      </c>
      <c r="J104" s="79" t="s">
        <v>797</v>
      </c>
      <c r="K104" s="79" t="s">
        <v>798</v>
      </c>
      <c r="M104" s="79" t="s">
        <v>799</v>
      </c>
      <c r="N104" s="79" t="s">
        <v>800</v>
      </c>
      <c r="O104" s="79" t="s">
        <v>801</v>
      </c>
      <c r="P104" s="79" t="s">
        <v>802</v>
      </c>
      <c r="Q104" s="79" t="s">
        <v>803</v>
      </c>
      <c r="R104" s="79" t="s">
        <v>791</v>
      </c>
    </row>
    <row r="105" spans="1:18" x14ac:dyDescent="0.25">
      <c r="A105" s="79" t="s">
        <v>78</v>
      </c>
    </row>
    <row r="106" spans="1:18" x14ac:dyDescent="0.25">
      <c r="A106" s="79" t="s">
        <v>78</v>
      </c>
      <c r="D106" s="79" t="s">
        <v>804</v>
      </c>
      <c r="E106" s="79" t="s">
        <v>805</v>
      </c>
      <c r="G106" s="79" t="s">
        <v>806</v>
      </c>
      <c r="H106" s="79" t="s">
        <v>807</v>
      </c>
      <c r="J106" s="79" t="s">
        <v>808</v>
      </c>
      <c r="K106" s="79" t="s">
        <v>809</v>
      </c>
      <c r="L106" s="79" t="s">
        <v>810</v>
      </c>
      <c r="M106" s="79" t="s">
        <v>811</v>
      </c>
      <c r="N106" s="79" t="s">
        <v>812</v>
      </c>
      <c r="O106" s="79" t="s">
        <v>813</v>
      </c>
      <c r="P106" s="79" t="s">
        <v>814</v>
      </c>
      <c r="Q106" s="79" t="s">
        <v>815</v>
      </c>
      <c r="R106" s="79" t="s">
        <v>816</v>
      </c>
    </row>
    <row r="107" spans="1:18" x14ac:dyDescent="0.25">
      <c r="A107" s="79" t="s">
        <v>78</v>
      </c>
      <c r="B107" s="79" t="s">
        <v>817</v>
      </c>
      <c r="D107" s="79" t="s">
        <v>818</v>
      </c>
      <c r="E107" s="79" t="s">
        <v>819</v>
      </c>
      <c r="F107" s="79" t="s">
        <v>820</v>
      </c>
      <c r="H107" s="79" t="s">
        <v>821</v>
      </c>
      <c r="J107" s="79" t="s">
        <v>822</v>
      </c>
      <c r="K107" s="79" t="s">
        <v>823</v>
      </c>
      <c r="M107" s="79" t="s">
        <v>824</v>
      </c>
      <c r="N107" s="79" t="s">
        <v>825</v>
      </c>
      <c r="O107" s="79" t="s">
        <v>826</v>
      </c>
      <c r="P107" s="79" t="s">
        <v>827</v>
      </c>
      <c r="Q107" s="79" t="s">
        <v>828</v>
      </c>
      <c r="R107" s="79" t="s">
        <v>816</v>
      </c>
    </row>
    <row r="108" spans="1:18" x14ac:dyDescent="0.25">
      <c r="A108" s="79" t="s">
        <v>78</v>
      </c>
    </row>
    <row r="109" spans="1:18" x14ac:dyDescent="0.25">
      <c r="A109" s="79" t="s">
        <v>78</v>
      </c>
      <c r="D109" s="79" t="s">
        <v>829</v>
      </c>
      <c r="E109" s="79" t="s">
        <v>830</v>
      </c>
      <c r="G109" s="79" t="s">
        <v>831</v>
      </c>
      <c r="H109" s="79" t="s">
        <v>832</v>
      </c>
      <c r="J109" s="79" t="s">
        <v>833</v>
      </c>
      <c r="K109" s="79" t="s">
        <v>834</v>
      </c>
      <c r="L109" s="79" t="s">
        <v>835</v>
      </c>
      <c r="M109" s="79" t="s">
        <v>836</v>
      </c>
      <c r="N109" s="79" t="s">
        <v>837</v>
      </c>
      <c r="O109" s="79" t="s">
        <v>838</v>
      </c>
      <c r="P109" s="79" t="s">
        <v>839</v>
      </c>
      <c r="Q109" s="79" t="s">
        <v>840</v>
      </c>
      <c r="R109" s="79" t="s">
        <v>841</v>
      </c>
    </row>
    <row r="110" spans="1:18" x14ac:dyDescent="0.25">
      <c r="A110" s="79" t="s">
        <v>78</v>
      </c>
      <c r="B110" s="79" t="s">
        <v>842</v>
      </c>
      <c r="D110" s="79" t="s">
        <v>843</v>
      </c>
      <c r="E110" s="79" t="s">
        <v>844</v>
      </c>
      <c r="F110" s="79" t="s">
        <v>845</v>
      </c>
      <c r="H110" s="79" t="s">
        <v>846</v>
      </c>
      <c r="J110" s="79" t="s">
        <v>847</v>
      </c>
      <c r="K110" s="79" t="s">
        <v>848</v>
      </c>
      <c r="M110" s="79" t="s">
        <v>849</v>
      </c>
      <c r="N110" s="79" t="s">
        <v>850</v>
      </c>
      <c r="O110" s="79" t="s">
        <v>851</v>
      </c>
      <c r="P110" s="79" t="s">
        <v>852</v>
      </c>
      <c r="Q110" s="79" t="s">
        <v>853</v>
      </c>
      <c r="R110" s="79" t="s">
        <v>841</v>
      </c>
    </row>
    <row r="111" spans="1:18" x14ac:dyDescent="0.25">
      <c r="A111" s="79" t="s">
        <v>78</v>
      </c>
    </row>
    <row r="112" spans="1:18" x14ac:dyDescent="0.25">
      <c r="A112" s="79" t="s">
        <v>78</v>
      </c>
      <c r="D112" s="79" t="s">
        <v>854</v>
      </c>
      <c r="E112" s="79" t="s">
        <v>855</v>
      </c>
      <c r="G112" s="79" t="s">
        <v>856</v>
      </c>
      <c r="H112" s="79" t="s">
        <v>857</v>
      </c>
      <c r="J112" s="79" t="s">
        <v>858</v>
      </c>
      <c r="K112" s="79" t="s">
        <v>859</v>
      </c>
      <c r="L112" s="79" t="s">
        <v>860</v>
      </c>
      <c r="M112" s="79" t="s">
        <v>861</v>
      </c>
      <c r="N112" s="79" t="s">
        <v>862</v>
      </c>
      <c r="O112" s="79" t="s">
        <v>863</v>
      </c>
      <c r="P112" s="79" t="s">
        <v>864</v>
      </c>
      <c r="Q112" s="79" t="s">
        <v>865</v>
      </c>
      <c r="R112" s="79" t="s">
        <v>866</v>
      </c>
    </row>
    <row r="113" spans="1:18" x14ac:dyDescent="0.25">
      <c r="A113" s="79" t="s">
        <v>78</v>
      </c>
      <c r="B113" s="79" t="s">
        <v>867</v>
      </c>
      <c r="D113" s="79" t="s">
        <v>868</v>
      </c>
      <c r="E113" s="79" t="s">
        <v>869</v>
      </c>
      <c r="F113" s="79" t="s">
        <v>870</v>
      </c>
      <c r="H113" s="79" t="s">
        <v>871</v>
      </c>
      <c r="J113" s="79" t="s">
        <v>872</v>
      </c>
      <c r="K113" s="79" t="s">
        <v>873</v>
      </c>
      <c r="M113" s="79" t="s">
        <v>874</v>
      </c>
      <c r="N113" s="79" t="s">
        <v>875</v>
      </c>
      <c r="O113" s="79" t="s">
        <v>876</v>
      </c>
      <c r="P113" s="79" t="s">
        <v>877</v>
      </c>
      <c r="Q113" s="79" t="s">
        <v>878</v>
      </c>
      <c r="R113" s="79" t="s">
        <v>866</v>
      </c>
    </row>
    <row r="114" spans="1:18" x14ac:dyDescent="0.25">
      <c r="A114" s="79" t="s">
        <v>78</v>
      </c>
    </row>
    <row r="115" spans="1:18" x14ac:dyDescent="0.25">
      <c r="A115" s="79" t="s">
        <v>78</v>
      </c>
      <c r="D115" s="79" t="s">
        <v>879</v>
      </c>
      <c r="E115" s="79" t="s">
        <v>880</v>
      </c>
      <c r="G115" s="79" t="s">
        <v>881</v>
      </c>
      <c r="H115" s="79" t="s">
        <v>882</v>
      </c>
      <c r="J115" s="79" t="s">
        <v>883</v>
      </c>
      <c r="K115" s="79" t="s">
        <v>884</v>
      </c>
      <c r="L115" s="79" t="s">
        <v>885</v>
      </c>
      <c r="M115" s="79" t="s">
        <v>886</v>
      </c>
      <c r="N115" s="79" t="s">
        <v>887</v>
      </c>
      <c r="O115" s="79" t="s">
        <v>888</v>
      </c>
      <c r="P115" s="79" t="s">
        <v>889</v>
      </c>
      <c r="Q115" s="79" t="s">
        <v>890</v>
      </c>
      <c r="R115" s="79" t="s">
        <v>891</v>
      </c>
    </row>
    <row r="116" spans="1:18" x14ac:dyDescent="0.25">
      <c r="A116" s="79" t="s">
        <v>78</v>
      </c>
      <c r="B116" s="79" t="s">
        <v>892</v>
      </c>
      <c r="D116" s="79" t="s">
        <v>893</v>
      </c>
      <c r="E116" s="79" t="s">
        <v>894</v>
      </c>
      <c r="F116" s="79" t="s">
        <v>895</v>
      </c>
      <c r="H116" s="79" t="s">
        <v>896</v>
      </c>
      <c r="J116" s="79" t="s">
        <v>897</v>
      </c>
      <c r="K116" s="79" t="s">
        <v>898</v>
      </c>
      <c r="M116" s="79" t="s">
        <v>899</v>
      </c>
      <c r="N116" s="79" t="s">
        <v>900</v>
      </c>
      <c r="O116" s="79" t="s">
        <v>901</v>
      </c>
      <c r="P116" s="79" t="s">
        <v>902</v>
      </c>
      <c r="Q116" s="79" t="s">
        <v>903</v>
      </c>
      <c r="R116" s="79" t="s">
        <v>891</v>
      </c>
    </row>
    <row r="117" spans="1:18" x14ac:dyDescent="0.25">
      <c r="A117" s="79" t="s">
        <v>78</v>
      </c>
    </row>
    <row r="118" spans="1:18" x14ac:dyDescent="0.25">
      <c r="A118" s="79" t="s">
        <v>78</v>
      </c>
      <c r="D118" s="79" t="s">
        <v>904</v>
      </c>
      <c r="E118" s="79" t="s">
        <v>905</v>
      </c>
      <c r="G118" s="79" t="s">
        <v>906</v>
      </c>
      <c r="H118" s="79" t="s">
        <v>907</v>
      </c>
      <c r="J118" s="79" t="s">
        <v>908</v>
      </c>
      <c r="K118" s="79" t="s">
        <v>909</v>
      </c>
      <c r="L118" s="79" t="s">
        <v>910</v>
      </c>
      <c r="M118" s="79" t="s">
        <v>911</v>
      </c>
      <c r="N118" s="79" t="s">
        <v>912</v>
      </c>
      <c r="O118" s="79" t="s">
        <v>913</v>
      </c>
      <c r="P118" s="79" t="s">
        <v>914</v>
      </c>
      <c r="Q118" s="79" t="s">
        <v>915</v>
      </c>
      <c r="R118" s="79" t="s">
        <v>916</v>
      </c>
    </row>
    <row r="119" spans="1:18" x14ac:dyDescent="0.25">
      <c r="A119" s="79" t="s">
        <v>78</v>
      </c>
      <c r="B119" s="79" t="s">
        <v>917</v>
      </c>
      <c r="D119" s="79" t="s">
        <v>918</v>
      </c>
      <c r="E119" s="79" t="s">
        <v>919</v>
      </c>
      <c r="F119" s="79" t="s">
        <v>920</v>
      </c>
      <c r="H119" s="79" t="s">
        <v>921</v>
      </c>
      <c r="J119" s="79" t="s">
        <v>922</v>
      </c>
      <c r="K119" s="79" t="s">
        <v>923</v>
      </c>
      <c r="M119" s="79" t="s">
        <v>924</v>
      </c>
      <c r="N119" s="79" t="s">
        <v>925</v>
      </c>
      <c r="O119" s="79" t="s">
        <v>926</v>
      </c>
      <c r="P119" s="79" t="s">
        <v>927</v>
      </c>
      <c r="Q119" s="79" t="s">
        <v>928</v>
      </c>
      <c r="R119" s="79" t="s">
        <v>916</v>
      </c>
    </row>
    <row r="120" spans="1:18" x14ac:dyDescent="0.25">
      <c r="A120" s="79" t="s">
        <v>78</v>
      </c>
    </row>
    <row r="121" spans="1:18" x14ac:dyDescent="0.25">
      <c r="A121" s="79" t="s">
        <v>78</v>
      </c>
      <c r="D121" s="79" t="s">
        <v>929</v>
      </c>
      <c r="E121" s="79" t="s">
        <v>930</v>
      </c>
      <c r="G121" s="79" t="s">
        <v>931</v>
      </c>
      <c r="H121" s="79" t="s">
        <v>932</v>
      </c>
      <c r="J121" s="79" t="s">
        <v>933</v>
      </c>
      <c r="K121" s="79" t="s">
        <v>934</v>
      </c>
      <c r="L121" s="79" t="s">
        <v>935</v>
      </c>
      <c r="M121" s="79" t="s">
        <v>936</v>
      </c>
      <c r="N121" s="79" t="s">
        <v>937</v>
      </c>
      <c r="O121" s="79" t="s">
        <v>938</v>
      </c>
      <c r="P121" s="79" t="s">
        <v>939</v>
      </c>
      <c r="Q121" s="79" t="s">
        <v>940</v>
      </c>
      <c r="R121" s="79" t="s">
        <v>941</v>
      </c>
    </row>
    <row r="122" spans="1:18" x14ac:dyDescent="0.25">
      <c r="A122" s="79" t="s">
        <v>78</v>
      </c>
      <c r="B122" s="79" t="s">
        <v>942</v>
      </c>
      <c r="D122" s="79" t="s">
        <v>943</v>
      </c>
      <c r="E122" s="79" t="s">
        <v>944</v>
      </c>
      <c r="F122" s="79" t="s">
        <v>945</v>
      </c>
      <c r="H122" s="79" t="s">
        <v>946</v>
      </c>
      <c r="J122" s="79" t="s">
        <v>947</v>
      </c>
      <c r="K122" s="79" t="s">
        <v>948</v>
      </c>
      <c r="M122" s="79" t="s">
        <v>949</v>
      </c>
      <c r="N122" s="79" t="s">
        <v>950</v>
      </c>
      <c r="O122" s="79" t="s">
        <v>951</v>
      </c>
      <c r="P122" s="79" t="s">
        <v>952</v>
      </c>
      <c r="Q122" s="79" t="s">
        <v>953</v>
      </c>
      <c r="R122" s="79" t="s">
        <v>941</v>
      </c>
    </row>
    <row r="123" spans="1:18" x14ac:dyDescent="0.25">
      <c r="A123" s="79" t="s">
        <v>78</v>
      </c>
    </row>
    <row r="124" spans="1:18" x14ac:dyDescent="0.25">
      <c r="A124" s="79" t="s">
        <v>78</v>
      </c>
      <c r="D124" s="79" t="s">
        <v>954</v>
      </c>
      <c r="E124" s="79" t="s">
        <v>955</v>
      </c>
      <c r="G124" s="79" t="s">
        <v>956</v>
      </c>
      <c r="H124" s="79" t="s">
        <v>957</v>
      </c>
      <c r="J124" s="79" t="s">
        <v>958</v>
      </c>
      <c r="K124" s="79" t="s">
        <v>959</v>
      </c>
      <c r="L124" s="79" t="s">
        <v>960</v>
      </c>
      <c r="M124" s="79" t="s">
        <v>961</v>
      </c>
      <c r="N124" s="79" t="s">
        <v>962</v>
      </c>
      <c r="O124" s="79" t="s">
        <v>963</v>
      </c>
      <c r="P124" s="79" t="s">
        <v>964</v>
      </c>
      <c r="Q124" s="79" t="s">
        <v>965</v>
      </c>
      <c r="R124" s="79" t="s">
        <v>966</v>
      </c>
    </row>
    <row r="125" spans="1:18" x14ac:dyDescent="0.25">
      <c r="A125" s="79" t="s">
        <v>78</v>
      </c>
      <c r="B125" s="79" t="s">
        <v>967</v>
      </c>
      <c r="D125" s="79" t="s">
        <v>968</v>
      </c>
      <c r="E125" s="79" t="s">
        <v>969</v>
      </c>
      <c r="F125" s="79" t="s">
        <v>970</v>
      </c>
      <c r="H125" s="79" t="s">
        <v>971</v>
      </c>
      <c r="J125" s="79" t="s">
        <v>972</v>
      </c>
      <c r="K125" s="79" t="s">
        <v>973</v>
      </c>
      <c r="M125" s="79" t="s">
        <v>974</v>
      </c>
      <c r="N125" s="79" t="s">
        <v>975</v>
      </c>
      <c r="O125" s="79" t="s">
        <v>976</v>
      </c>
      <c r="P125" s="79" t="s">
        <v>977</v>
      </c>
      <c r="Q125" s="79" t="s">
        <v>978</v>
      </c>
      <c r="R125" s="79" t="s">
        <v>966</v>
      </c>
    </row>
    <row r="126" spans="1:18" x14ac:dyDescent="0.25">
      <c r="A126" s="79" t="s">
        <v>78</v>
      </c>
    </row>
    <row r="127" spans="1:18" x14ac:dyDescent="0.25">
      <c r="A127" s="79" t="s">
        <v>78</v>
      </c>
      <c r="D127" s="79" t="s">
        <v>979</v>
      </c>
      <c r="E127" s="79" t="s">
        <v>980</v>
      </c>
      <c r="G127" s="79" t="s">
        <v>981</v>
      </c>
      <c r="H127" s="79" t="s">
        <v>982</v>
      </c>
      <c r="J127" s="79" t="s">
        <v>983</v>
      </c>
      <c r="K127" s="79" t="s">
        <v>984</v>
      </c>
      <c r="L127" s="79" t="s">
        <v>985</v>
      </c>
      <c r="M127" s="79" t="s">
        <v>986</v>
      </c>
      <c r="N127" s="79" t="s">
        <v>987</v>
      </c>
      <c r="O127" s="79" t="s">
        <v>988</v>
      </c>
      <c r="P127" s="79" t="s">
        <v>989</v>
      </c>
      <c r="Q127" s="79" t="s">
        <v>990</v>
      </c>
      <c r="R127" s="79" t="s">
        <v>991</v>
      </c>
    </row>
    <row r="128" spans="1:18" x14ac:dyDescent="0.25">
      <c r="A128" s="79" t="s">
        <v>78</v>
      </c>
      <c r="B128" s="79" t="s">
        <v>992</v>
      </c>
      <c r="D128" s="79" t="s">
        <v>993</v>
      </c>
      <c r="E128" s="79" t="s">
        <v>994</v>
      </c>
      <c r="F128" s="79" t="s">
        <v>995</v>
      </c>
      <c r="H128" s="79" t="s">
        <v>996</v>
      </c>
      <c r="J128" s="79" t="s">
        <v>997</v>
      </c>
      <c r="K128" s="79" t="s">
        <v>998</v>
      </c>
      <c r="M128" s="79" t="s">
        <v>999</v>
      </c>
      <c r="N128" s="79" t="s">
        <v>1000</v>
      </c>
      <c r="O128" s="79" t="s">
        <v>1001</v>
      </c>
      <c r="P128" s="79" t="s">
        <v>1002</v>
      </c>
      <c r="Q128" s="79" t="s">
        <v>1003</v>
      </c>
      <c r="R128" s="79" t="s">
        <v>991</v>
      </c>
    </row>
    <row r="129" spans="1:18" x14ac:dyDescent="0.25">
      <c r="A129" s="79" t="s">
        <v>78</v>
      </c>
    </row>
    <row r="130" spans="1:18" x14ac:dyDescent="0.25">
      <c r="A130" s="79" t="s">
        <v>78</v>
      </c>
      <c r="D130" s="79" t="s">
        <v>1004</v>
      </c>
      <c r="E130" s="79" t="s">
        <v>1005</v>
      </c>
      <c r="G130" s="79" t="s">
        <v>1006</v>
      </c>
      <c r="H130" s="79" t="s">
        <v>1007</v>
      </c>
      <c r="J130" s="79" t="s">
        <v>1008</v>
      </c>
      <c r="K130" s="79" t="s">
        <v>1009</v>
      </c>
      <c r="L130" s="79" t="s">
        <v>1010</v>
      </c>
      <c r="M130" s="79" t="s">
        <v>1011</v>
      </c>
      <c r="N130" s="79" t="s">
        <v>1012</v>
      </c>
      <c r="O130" s="79" t="s">
        <v>1013</v>
      </c>
      <c r="P130" s="79" t="s">
        <v>1014</v>
      </c>
      <c r="Q130" s="79" t="s">
        <v>1015</v>
      </c>
      <c r="R130" s="79" t="s">
        <v>1016</v>
      </c>
    </row>
    <row r="131" spans="1:18" x14ac:dyDescent="0.25">
      <c r="A131" s="79" t="s">
        <v>78</v>
      </c>
      <c r="B131" s="79" t="s">
        <v>1017</v>
      </c>
      <c r="D131" s="79" t="s">
        <v>1018</v>
      </c>
      <c r="E131" s="79" t="s">
        <v>1019</v>
      </c>
      <c r="F131" s="79" t="s">
        <v>1020</v>
      </c>
      <c r="H131" s="79" t="s">
        <v>1021</v>
      </c>
      <c r="J131" s="79" t="s">
        <v>1022</v>
      </c>
      <c r="K131" s="79" t="s">
        <v>1023</v>
      </c>
      <c r="M131" s="79" t="s">
        <v>1024</v>
      </c>
      <c r="N131" s="79" t="s">
        <v>1025</v>
      </c>
      <c r="O131" s="79" t="s">
        <v>1026</v>
      </c>
      <c r="P131" s="79" t="s">
        <v>1027</v>
      </c>
      <c r="Q131" s="79" t="s">
        <v>1028</v>
      </c>
      <c r="R131" s="79" t="s">
        <v>1016</v>
      </c>
    </row>
    <row r="132" spans="1:18" x14ac:dyDescent="0.25">
      <c r="A132" s="79" t="s">
        <v>78</v>
      </c>
    </row>
    <row r="133" spans="1:18" x14ac:dyDescent="0.25">
      <c r="A133" s="79" t="s">
        <v>78</v>
      </c>
      <c r="D133" s="79" t="s">
        <v>1029</v>
      </c>
      <c r="E133" s="79" t="s">
        <v>1030</v>
      </c>
      <c r="G133" s="79" t="s">
        <v>1031</v>
      </c>
      <c r="H133" s="79" t="s">
        <v>1032</v>
      </c>
      <c r="J133" s="79" t="s">
        <v>1033</v>
      </c>
      <c r="K133" s="79" t="s">
        <v>1034</v>
      </c>
      <c r="L133" s="79" t="s">
        <v>1035</v>
      </c>
      <c r="M133" s="79" t="s">
        <v>1036</v>
      </c>
      <c r="N133" s="79" t="s">
        <v>1037</v>
      </c>
      <c r="O133" s="79" t="s">
        <v>1038</v>
      </c>
      <c r="P133" s="79" t="s">
        <v>1039</v>
      </c>
      <c r="Q133" s="79" t="s">
        <v>1040</v>
      </c>
      <c r="R133" s="79" t="s">
        <v>1041</v>
      </c>
    </row>
    <row r="134" spans="1:18" x14ac:dyDescent="0.25">
      <c r="A134" s="79" t="s">
        <v>78</v>
      </c>
      <c r="B134" s="79" t="s">
        <v>1042</v>
      </c>
      <c r="D134" s="79" t="s">
        <v>1043</v>
      </c>
      <c r="E134" s="79" t="s">
        <v>1044</v>
      </c>
      <c r="F134" s="79" t="s">
        <v>1045</v>
      </c>
      <c r="H134" s="79" t="s">
        <v>1046</v>
      </c>
      <c r="J134" s="79" t="s">
        <v>1047</v>
      </c>
      <c r="K134" s="79" t="s">
        <v>1048</v>
      </c>
      <c r="M134" s="79" t="s">
        <v>1049</v>
      </c>
      <c r="N134" s="79" t="s">
        <v>1050</v>
      </c>
      <c r="O134" s="79" t="s">
        <v>1051</v>
      </c>
      <c r="P134" s="79" t="s">
        <v>1052</v>
      </c>
      <c r="Q134" s="79" t="s">
        <v>1053</v>
      </c>
      <c r="R134" s="79" t="s">
        <v>1041</v>
      </c>
    </row>
    <row r="135" spans="1:18" x14ac:dyDescent="0.25">
      <c r="A135" s="79" t="s">
        <v>78</v>
      </c>
    </row>
    <row r="136" spans="1:18" x14ac:dyDescent="0.25">
      <c r="A136" s="79" t="s">
        <v>78</v>
      </c>
      <c r="D136" s="79" t="s">
        <v>1054</v>
      </c>
      <c r="E136" s="79" t="s">
        <v>1055</v>
      </c>
      <c r="G136" s="79" t="s">
        <v>1056</v>
      </c>
      <c r="H136" s="79" t="s">
        <v>1057</v>
      </c>
      <c r="J136" s="79" t="s">
        <v>1058</v>
      </c>
      <c r="K136" s="79" t="s">
        <v>1059</v>
      </c>
      <c r="L136" s="79" t="s">
        <v>1060</v>
      </c>
      <c r="M136" s="79" t="s">
        <v>1061</v>
      </c>
      <c r="N136" s="79" t="s">
        <v>1062</v>
      </c>
      <c r="O136" s="79" t="s">
        <v>1063</v>
      </c>
      <c r="P136" s="79" t="s">
        <v>1064</v>
      </c>
      <c r="Q136" s="79" t="s">
        <v>1065</v>
      </c>
      <c r="R136" s="79" t="s">
        <v>1066</v>
      </c>
    </row>
    <row r="137" spans="1:18" x14ac:dyDescent="0.25">
      <c r="A137" s="79" t="s">
        <v>78</v>
      </c>
      <c r="B137" s="79" t="s">
        <v>1067</v>
      </c>
      <c r="D137" s="79" t="s">
        <v>1068</v>
      </c>
      <c r="E137" s="79" t="s">
        <v>1069</v>
      </c>
      <c r="F137" s="79" t="s">
        <v>1070</v>
      </c>
      <c r="H137" s="79" t="s">
        <v>1071</v>
      </c>
      <c r="J137" s="79" t="s">
        <v>1072</v>
      </c>
      <c r="K137" s="79" t="s">
        <v>1073</v>
      </c>
      <c r="M137" s="79" t="s">
        <v>1074</v>
      </c>
      <c r="N137" s="79" t="s">
        <v>1075</v>
      </c>
      <c r="O137" s="79" t="s">
        <v>1076</v>
      </c>
      <c r="P137" s="79" t="s">
        <v>1077</v>
      </c>
      <c r="Q137" s="79" t="s">
        <v>1078</v>
      </c>
      <c r="R137" s="79" t="s">
        <v>1066</v>
      </c>
    </row>
    <row r="138" spans="1:18" x14ac:dyDescent="0.25">
      <c r="A138" s="79" t="s">
        <v>78</v>
      </c>
    </row>
    <row r="139" spans="1:18" x14ac:dyDescent="0.25">
      <c r="A139" s="79" t="s">
        <v>78</v>
      </c>
      <c r="D139" s="79" t="s">
        <v>1079</v>
      </c>
      <c r="E139" s="79" t="s">
        <v>1080</v>
      </c>
      <c r="G139" s="79" t="s">
        <v>1081</v>
      </c>
      <c r="H139" s="79" t="s">
        <v>1082</v>
      </c>
      <c r="J139" s="79" t="s">
        <v>1083</v>
      </c>
      <c r="K139" s="79" t="s">
        <v>1084</v>
      </c>
      <c r="L139" s="79" t="s">
        <v>1085</v>
      </c>
      <c r="M139" s="79" t="s">
        <v>1086</v>
      </c>
      <c r="N139" s="79" t="s">
        <v>1087</v>
      </c>
      <c r="O139" s="79" t="s">
        <v>1088</v>
      </c>
      <c r="P139" s="79" t="s">
        <v>1089</v>
      </c>
      <c r="Q139" s="79" t="s">
        <v>1090</v>
      </c>
      <c r="R139" s="79" t="s">
        <v>1091</v>
      </c>
    </row>
    <row r="140" spans="1:18" x14ac:dyDescent="0.25">
      <c r="A140" s="79" t="s">
        <v>78</v>
      </c>
      <c r="B140" s="79" t="s">
        <v>1092</v>
      </c>
      <c r="D140" s="79" t="s">
        <v>1093</v>
      </c>
      <c r="E140" s="79" t="s">
        <v>1094</v>
      </c>
      <c r="F140" s="79" t="s">
        <v>1095</v>
      </c>
      <c r="H140" s="79" t="s">
        <v>1096</v>
      </c>
      <c r="J140" s="79" t="s">
        <v>1097</v>
      </c>
      <c r="K140" s="79" t="s">
        <v>1098</v>
      </c>
      <c r="M140" s="79" t="s">
        <v>1099</v>
      </c>
      <c r="N140" s="79" t="s">
        <v>1100</v>
      </c>
      <c r="O140" s="79" t="s">
        <v>1101</v>
      </c>
      <c r="P140" s="79" t="s">
        <v>1102</v>
      </c>
      <c r="Q140" s="79" t="s">
        <v>1103</v>
      </c>
      <c r="R140" s="79" t="s">
        <v>1091</v>
      </c>
    </row>
    <row r="141" spans="1:18" x14ac:dyDescent="0.25">
      <c r="A141" s="79" t="s">
        <v>78</v>
      </c>
    </row>
    <row r="142" spans="1:18" x14ac:dyDescent="0.25">
      <c r="A142" s="79" t="s">
        <v>78</v>
      </c>
      <c r="D142" s="79" t="s">
        <v>1104</v>
      </c>
      <c r="E142" s="79" t="s">
        <v>1105</v>
      </c>
      <c r="G142" s="79" t="s">
        <v>1106</v>
      </c>
      <c r="H142" s="79" t="s">
        <v>1846</v>
      </c>
      <c r="J142" s="79" t="s">
        <v>1108</v>
      </c>
      <c r="K142" s="79" t="s">
        <v>1109</v>
      </c>
      <c r="L142" s="79" t="s">
        <v>1110</v>
      </c>
      <c r="M142" s="79" t="s">
        <v>1111</v>
      </c>
      <c r="N142" s="79" t="s">
        <v>1112</v>
      </c>
      <c r="O142" s="79" t="s">
        <v>1113</v>
      </c>
      <c r="P142" s="79" t="s">
        <v>1114</v>
      </c>
      <c r="Q142" s="79" t="s">
        <v>1115</v>
      </c>
      <c r="R142" s="79" t="s">
        <v>1116</v>
      </c>
    </row>
    <row r="143" spans="1:18" x14ac:dyDescent="0.25">
      <c r="A143" s="79" t="s">
        <v>78</v>
      </c>
      <c r="B143" s="79" t="s">
        <v>1117</v>
      </c>
      <c r="D143" s="79" t="s">
        <v>1118</v>
      </c>
      <c r="E143" s="79" t="s">
        <v>1119</v>
      </c>
      <c r="F143" s="79" t="s">
        <v>1120</v>
      </c>
      <c r="H143" s="79" t="s">
        <v>1121</v>
      </c>
      <c r="J143" s="79" t="s">
        <v>1122</v>
      </c>
      <c r="K143" s="79" t="s">
        <v>1123</v>
      </c>
      <c r="M143" s="79" t="s">
        <v>1124</v>
      </c>
      <c r="N143" s="79" t="s">
        <v>1125</v>
      </c>
      <c r="O143" s="79" t="s">
        <v>1126</v>
      </c>
      <c r="P143" s="79" t="s">
        <v>1127</v>
      </c>
      <c r="Q143" s="79" t="s">
        <v>1128</v>
      </c>
      <c r="R143" s="79" t="s">
        <v>1116</v>
      </c>
    </row>
    <row r="144" spans="1:18" x14ac:dyDescent="0.25">
      <c r="A144" s="79" t="s">
        <v>78</v>
      </c>
    </row>
    <row r="145" spans="1:18" x14ac:dyDescent="0.25">
      <c r="A145" s="79" t="s">
        <v>78</v>
      </c>
      <c r="D145" s="79" t="s">
        <v>1129</v>
      </c>
      <c r="E145" s="79" t="s">
        <v>1130</v>
      </c>
      <c r="G145" s="79" t="s">
        <v>1131</v>
      </c>
      <c r="H145" s="79" t="s">
        <v>1847</v>
      </c>
      <c r="J145" s="79" t="s">
        <v>1133</v>
      </c>
      <c r="K145" s="79" t="s">
        <v>1134</v>
      </c>
      <c r="L145" s="79" t="s">
        <v>1135</v>
      </c>
      <c r="M145" s="79" t="s">
        <v>1136</v>
      </c>
      <c r="N145" s="79" t="s">
        <v>1137</v>
      </c>
      <c r="O145" s="79" t="s">
        <v>1138</v>
      </c>
      <c r="P145" s="79" t="s">
        <v>1139</v>
      </c>
      <c r="Q145" s="79" t="s">
        <v>1140</v>
      </c>
      <c r="R145" s="79" t="s">
        <v>1141</v>
      </c>
    </row>
    <row r="146" spans="1:18" x14ac:dyDescent="0.25">
      <c r="A146" s="79" t="s">
        <v>78</v>
      </c>
      <c r="B146" s="79" t="s">
        <v>1142</v>
      </c>
      <c r="D146" s="79" t="s">
        <v>1143</v>
      </c>
      <c r="E146" s="79" t="s">
        <v>1144</v>
      </c>
      <c r="F146" s="79" t="s">
        <v>1145</v>
      </c>
      <c r="H146" s="79" t="s">
        <v>1146</v>
      </c>
      <c r="J146" s="79" t="s">
        <v>1147</v>
      </c>
      <c r="K146" s="79" t="s">
        <v>1148</v>
      </c>
      <c r="M146" s="79" t="s">
        <v>1149</v>
      </c>
      <c r="N146" s="79" t="s">
        <v>1150</v>
      </c>
      <c r="O146" s="79" t="s">
        <v>1151</v>
      </c>
      <c r="P146" s="79" t="s">
        <v>1152</v>
      </c>
      <c r="Q146" s="79" t="s">
        <v>1153</v>
      </c>
      <c r="R146" s="79" t="s">
        <v>1141</v>
      </c>
    </row>
    <row r="147" spans="1:18" x14ac:dyDescent="0.25">
      <c r="A147" s="79" t="s">
        <v>78</v>
      </c>
    </row>
    <row r="148" spans="1:18" x14ac:dyDescent="0.25">
      <c r="A148" s="79" t="s">
        <v>78</v>
      </c>
      <c r="D148" s="79" t="s">
        <v>1154</v>
      </c>
      <c r="E148" s="79" t="s">
        <v>1155</v>
      </c>
      <c r="G148" s="79" t="s">
        <v>1156</v>
      </c>
      <c r="H148" s="79" t="s">
        <v>1848</v>
      </c>
      <c r="J148" s="79" t="s">
        <v>1158</v>
      </c>
      <c r="K148" s="79" t="s">
        <v>1159</v>
      </c>
      <c r="L148" s="79" t="s">
        <v>1160</v>
      </c>
      <c r="M148" s="79" t="s">
        <v>1161</v>
      </c>
      <c r="N148" s="79" t="s">
        <v>1162</v>
      </c>
      <c r="O148" s="79" t="s">
        <v>1163</v>
      </c>
      <c r="P148" s="79" t="s">
        <v>1164</v>
      </c>
      <c r="Q148" s="79" t="s">
        <v>1165</v>
      </c>
      <c r="R148" s="79" t="s">
        <v>1166</v>
      </c>
    </row>
    <row r="149" spans="1:18" x14ac:dyDescent="0.25">
      <c r="A149" s="79" t="s">
        <v>78</v>
      </c>
      <c r="B149" s="79" t="s">
        <v>1167</v>
      </c>
      <c r="D149" s="79" t="s">
        <v>1168</v>
      </c>
      <c r="E149" s="79" t="s">
        <v>1169</v>
      </c>
      <c r="F149" s="79" t="s">
        <v>1170</v>
      </c>
      <c r="H149" s="79" t="s">
        <v>1171</v>
      </c>
      <c r="J149" s="79" t="s">
        <v>1172</v>
      </c>
      <c r="K149" s="79" t="s">
        <v>1173</v>
      </c>
      <c r="M149" s="79" t="s">
        <v>1174</v>
      </c>
      <c r="N149" s="79" t="s">
        <v>1175</v>
      </c>
      <c r="O149" s="79" t="s">
        <v>1176</v>
      </c>
      <c r="P149" s="79" t="s">
        <v>1177</v>
      </c>
      <c r="Q149" s="79" t="s">
        <v>1178</v>
      </c>
      <c r="R149" s="79" t="s">
        <v>1166</v>
      </c>
    </row>
    <row r="150" spans="1:18" x14ac:dyDescent="0.25">
      <c r="A150" s="79" t="s">
        <v>78</v>
      </c>
    </row>
    <row r="151" spans="1:18" x14ac:dyDescent="0.25">
      <c r="A151" s="79" t="s">
        <v>78</v>
      </c>
      <c r="D151" s="79" t="s">
        <v>1849</v>
      </c>
      <c r="E151" s="79" t="s">
        <v>1850</v>
      </c>
      <c r="G151" s="79" t="s">
        <v>1851</v>
      </c>
      <c r="H151" s="79" t="s">
        <v>1852</v>
      </c>
      <c r="J151" s="79" t="s">
        <v>1853</v>
      </c>
      <c r="K151" s="79" t="s">
        <v>1854</v>
      </c>
      <c r="L151" s="79" t="s">
        <v>1855</v>
      </c>
      <c r="M151" s="79" t="s">
        <v>1856</v>
      </c>
      <c r="N151" s="79" t="s">
        <v>1857</v>
      </c>
      <c r="O151" s="79" t="s">
        <v>1858</v>
      </c>
      <c r="P151" s="79" t="s">
        <v>1859</v>
      </c>
      <c r="Q151" s="79" t="s">
        <v>1860</v>
      </c>
      <c r="R151" s="79" t="s">
        <v>1861</v>
      </c>
    </row>
    <row r="152" spans="1:18" x14ac:dyDescent="0.25">
      <c r="A152" s="79" t="s">
        <v>78</v>
      </c>
      <c r="B152" s="79" t="s">
        <v>1862</v>
      </c>
      <c r="D152" s="79" t="s">
        <v>1863</v>
      </c>
      <c r="E152" s="79" t="s">
        <v>1864</v>
      </c>
      <c r="F152" s="79" t="s">
        <v>1865</v>
      </c>
      <c r="H152" s="79" t="s">
        <v>1866</v>
      </c>
      <c r="J152" s="79" t="s">
        <v>1867</v>
      </c>
      <c r="K152" s="79" t="s">
        <v>1868</v>
      </c>
      <c r="M152" s="79" t="s">
        <v>1869</v>
      </c>
      <c r="N152" s="79" t="s">
        <v>1870</v>
      </c>
      <c r="O152" s="79" t="s">
        <v>1871</v>
      </c>
      <c r="P152" s="79" t="s">
        <v>1872</v>
      </c>
      <c r="Q152" s="79" t="s">
        <v>1873</v>
      </c>
      <c r="R152" s="79" t="s">
        <v>1861</v>
      </c>
    </row>
    <row r="153" spans="1:18" x14ac:dyDescent="0.25">
      <c r="A153" s="79" t="s">
        <v>78</v>
      </c>
    </row>
    <row r="154" spans="1:18" x14ac:dyDescent="0.25">
      <c r="A154" s="79" t="s">
        <v>78</v>
      </c>
      <c r="D154" s="79" t="s">
        <v>1180</v>
      </c>
      <c r="E154" s="79" t="s">
        <v>1874</v>
      </c>
      <c r="G154" s="79" t="s">
        <v>1875</v>
      </c>
      <c r="H154" s="79" t="s">
        <v>1876</v>
      </c>
      <c r="J154" s="79" t="s">
        <v>1877</v>
      </c>
      <c r="K154" s="79" t="s">
        <v>1878</v>
      </c>
      <c r="L154" s="79" t="s">
        <v>1879</v>
      </c>
      <c r="M154" s="79" t="s">
        <v>1880</v>
      </c>
      <c r="N154" s="79" t="s">
        <v>1881</v>
      </c>
      <c r="O154" s="79" t="s">
        <v>1882</v>
      </c>
      <c r="P154" s="79" t="s">
        <v>1883</v>
      </c>
      <c r="Q154" s="79" t="s">
        <v>1884</v>
      </c>
      <c r="R154" s="79" t="s">
        <v>1885</v>
      </c>
    </row>
    <row r="155" spans="1:18" x14ac:dyDescent="0.25">
      <c r="A155" s="79" t="s">
        <v>78</v>
      </c>
      <c r="B155" s="79" t="s">
        <v>1886</v>
      </c>
      <c r="D155" s="79" t="s">
        <v>1887</v>
      </c>
      <c r="E155" s="79" t="s">
        <v>1888</v>
      </c>
      <c r="F155" s="79" t="s">
        <v>1889</v>
      </c>
      <c r="H155" s="79" t="s">
        <v>1890</v>
      </c>
      <c r="J155" s="79" t="s">
        <v>1891</v>
      </c>
      <c r="K155" s="79" t="s">
        <v>1892</v>
      </c>
      <c r="M155" s="79" t="s">
        <v>1893</v>
      </c>
      <c r="N155" s="79" t="s">
        <v>1894</v>
      </c>
      <c r="O155" s="79" t="s">
        <v>1895</v>
      </c>
      <c r="P155" s="79" t="s">
        <v>1896</v>
      </c>
      <c r="Q155" s="79" t="s">
        <v>1897</v>
      </c>
      <c r="R155" s="79" t="s">
        <v>1885</v>
      </c>
    </row>
    <row r="156" spans="1:18" x14ac:dyDescent="0.25">
      <c r="A156" s="79" t="s">
        <v>78</v>
      </c>
    </row>
    <row r="157" spans="1:18" x14ac:dyDescent="0.25">
      <c r="A157" s="79" t="s">
        <v>78</v>
      </c>
      <c r="D157" s="79" t="s">
        <v>1898</v>
      </c>
      <c r="E157" s="79" t="s">
        <v>1899</v>
      </c>
      <c r="G157" s="79" t="s">
        <v>1900</v>
      </c>
      <c r="H157" s="79" t="s">
        <v>1901</v>
      </c>
      <c r="J157" s="79" t="s">
        <v>1902</v>
      </c>
      <c r="K157" s="79" t="s">
        <v>1903</v>
      </c>
      <c r="L157" s="79" t="s">
        <v>1904</v>
      </c>
      <c r="M157" s="79" t="s">
        <v>1905</v>
      </c>
      <c r="N157" s="79" t="s">
        <v>1906</v>
      </c>
      <c r="O157" s="79" t="s">
        <v>1907</v>
      </c>
      <c r="P157" s="79" t="s">
        <v>1908</v>
      </c>
      <c r="Q157" s="79" t="s">
        <v>1909</v>
      </c>
      <c r="R157" s="79" t="s">
        <v>1910</v>
      </c>
    </row>
    <row r="158" spans="1:18" x14ac:dyDescent="0.25">
      <c r="A158" s="79" t="s">
        <v>78</v>
      </c>
      <c r="B158" s="79" t="s">
        <v>1911</v>
      </c>
      <c r="D158" s="79" t="s">
        <v>1912</v>
      </c>
      <c r="E158" s="79" t="s">
        <v>1913</v>
      </c>
      <c r="F158" s="79" t="s">
        <v>1914</v>
      </c>
      <c r="H158" s="79" t="s">
        <v>1915</v>
      </c>
      <c r="J158" s="79" t="s">
        <v>1916</v>
      </c>
      <c r="K158" s="79" t="s">
        <v>1917</v>
      </c>
      <c r="M158" s="79" t="s">
        <v>1918</v>
      </c>
      <c r="N158" s="79" t="s">
        <v>1919</v>
      </c>
      <c r="O158" s="79" t="s">
        <v>1920</v>
      </c>
      <c r="P158" s="79" t="s">
        <v>1921</v>
      </c>
      <c r="Q158" s="79" t="s">
        <v>1922</v>
      </c>
      <c r="R158" s="79" t="s">
        <v>1910</v>
      </c>
    </row>
    <row r="159" spans="1:18" x14ac:dyDescent="0.25">
      <c r="A159" s="79" t="s">
        <v>78</v>
      </c>
    </row>
    <row r="160" spans="1:18" x14ac:dyDescent="0.25">
      <c r="A160" s="79" t="s">
        <v>78</v>
      </c>
      <c r="D160" s="79" t="s">
        <v>1923</v>
      </c>
      <c r="E160" s="79" t="s">
        <v>1924</v>
      </c>
      <c r="G160" s="79" t="s">
        <v>1925</v>
      </c>
      <c r="H160" s="79" t="s">
        <v>1926</v>
      </c>
      <c r="J160" s="79" t="s">
        <v>1927</v>
      </c>
      <c r="K160" s="79" t="s">
        <v>1928</v>
      </c>
      <c r="L160" s="79" t="s">
        <v>1929</v>
      </c>
      <c r="M160" s="79" t="s">
        <v>1930</v>
      </c>
      <c r="N160" s="79" t="s">
        <v>1931</v>
      </c>
      <c r="O160" s="79" t="s">
        <v>1932</v>
      </c>
      <c r="P160" s="79" t="s">
        <v>1933</v>
      </c>
      <c r="Q160" s="79" t="s">
        <v>1934</v>
      </c>
      <c r="R160" s="79" t="s">
        <v>1935</v>
      </c>
    </row>
    <row r="161" spans="1:18" x14ac:dyDescent="0.25">
      <c r="A161" s="79" t="s">
        <v>78</v>
      </c>
      <c r="B161" s="79" t="s">
        <v>1936</v>
      </c>
      <c r="D161" s="79" t="s">
        <v>1937</v>
      </c>
      <c r="E161" s="79" t="s">
        <v>1938</v>
      </c>
      <c r="F161" s="79" t="s">
        <v>1939</v>
      </c>
      <c r="H161" s="79" t="s">
        <v>1940</v>
      </c>
      <c r="J161" s="79" t="s">
        <v>1941</v>
      </c>
      <c r="K161" s="79" t="s">
        <v>1942</v>
      </c>
      <c r="M161" s="79" t="s">
        <v>1943</v>
      </c>
      <c r="N161" s="79" t="s">
        <v>1944</v>
      </c>
      <c r="O161" s="79" t="s">
        <v>1945</v>
      </c>
      <c r="P161" s="79" t="s">
        <v>1946</v>
      </c>
      <c r="Q161" s="79" t="s">
        <v>1947</v>
      </c>
      <c r="R161" s="79" t="s">
        <v>1935</v>
      </c>
    </row>
    <row r="162" spans="1:18" x14ac:dyDescent="0.25">
      <c r="A162" s="79" t="s">
        <v>78</v>
      </c>
    </row>
    <row r="163" spans="1:18" x14ac:dyDescent="0.25">
      <c r="A163" s="79" t="s">
        <v>78</v>
      </c>
      <c r="D163" s="79" t="s">
        <v>1182</v>
      </c>
      <c r="E163" s="79" t="s">
        <v>1948</v>
      </c>
      <c r="G163" s="79" t="s">
        <v>1949</v>
      </c>
      <c r="H163" s="79" t="s">
        <v>1950</v>
      </c>
      <c r="J163" s="79" t="s">
        <v>1951</v>
      </c>
      <c r="K163" s="79" t="s">
        <v>1952</v>
      </c>
      <c r="L163" s="79" t="s">
        <v>1953</v>
      </c>
      <c r="M163" s="79" t="s">
        <v>1954</v>
      </c>
      <c r="N163" s="79" t="s">
        <v>1955</v>
      </c>
      <c r="O163" s="79" t="s">
        <v>1956</v>
      </c>
      <c r="P163" s="79" t="s">
        <v>1957</v>
      </c>
      <c r="Q163" s="79" t="s">
        <v>1958</v>
      </c>
      <c r="R163" s="79" t="s">
        <v>1959</v>
      </c>
    </row>
    <row r="164" spans="1:18" x14ac:dyDescent="0.25">
      <c r="A164" s="79" t="s">
        <v>78</v>
      </c>
      <c r="B164" s="79" t="s">
        <v>1960</v>
      </c>
      <c r="D164" s="79" t="s">
        <v>1961</v>
      </c>
      <c r="E164" s="79" t="s">
        <v>1962</v>
      </c>
      <c r="F164" s="79" t="s">
        <v>1963</v>
      </c>
      <c r="H164" s="79" t="s">
        <v>1964</v>
      </c>
      <c r="J164" s="79" t="s">
        <v>1965</v>
      </c>
      <c r="K164" s="79" t="s">
        <v>1966</v>
      </c>
      <c r="M164" s="79" t="s">
        <v>1967</v>
      </c>
      <c r="N164" s="79" t="s">
        <v>1968</v>
      </c>
      <c r="O164" s="79" t="s">
        <v>1969</v>
      </c>
      <c r="P164" s="79" t="s">
        <v>1970</v>
      </c>
      <c r="Q164" s="79" t="s">
        <v>1971</v>
      </c>
      <c r="R164" s="79" t="s">
        <v>1959</v>
      </c>
    </row>
    <row r="165" spans="1:18" x14ac:dyDescent="0.25">
      <c r="A165" s="79" t="s">
        <v>78</v>
      </c>
    </row>
    <row r="166" spans="1:18" x14ac:dyDescent="0.25">
      <c r="A166" s="79" t="s">
        <v>78</v>
      </c>
      <c r="D166" s="79" t="s">
        <v>1972</v>
      </c>
      <c r="E166" s="79" t="s">
        <v>1973</v>
      </c>
      <c r="G166" s="79" t="s">
        <v>1974</v>
      </c>
      <c r="H166" s="79" t="s">
        <v>1975</v>
      </c>
      <c r="J166" s="79" t="s">
        <v>1976</v>
      </c>
      <c r="K166" s="79" t="s">
        <v>1977</v>
      </c>
      <c r="L166" s="79" t="s">
        <v>1978</v>
      </c>
      <c r="M166" s="79" t="s">
        <v>1979</v>
      </c>
      <c r="N166" s="79" t="s">
        <v>1980</v>
      </c>
      <c r="O166" s="79" t="s">
        <v>1981</v>
      </c>
      <c r="P166" s="79" t="s">
        <v>1982</v>
      </c>
      <c r="Q166" s="79" t="s">
        <v>1983</v>
      </c>
      <c r="R166" s="79" t="s">
        <v>1984</v>
      </c>
    </row>
    <row r="167" spans="1:18" x14ac:dyDescent="0.25">
      <c r="A167" s="79" t="s">
        <v>78</v>
      </c>
      <c r="B167" s="79" t="s">
        <v>1985</v>
      </c>
      <c r="D167" s="79" t="s">
        <v>1986</v>
      </c>
      <c r="E167" s="79" t="s">
        <v>1987</v>
      </c>
      <c r="F167" s="79" t="s">
        <v>1988</v>
      </c>
      <c r="H167" s="79" t="s">
        <v>1989</v>
      </c>
      <c r="J167" s="79" t="s">
        <v>1990</v>
      </c>
      <c r="K167" s="79" t="s">
        <v>1991</v>
      </c>
      <c r="M167" s="79" t="s">
        <v>1992</v>
      </c>
      <c r="N167" s="79" t="s">
        <v>1993</v>
      </c>
      <c r="O167" s="79" t="s">
        <v>1994</v>
      </c>
      <c r="P167" s="79" t="s">
        <v>1995</v>
      </c>
      <c r="Q167" s="79" t="s">
        <v>1996</v>
      </c>
      <c r="R167" s="79" t="s">
        <v>1984</v>
      </c>
    </row>
    <row r="168" spans="1:18" x14ac:dyDescent="0.25">
      <c r="A168" s="79" t="s">
        <v>78</v>
      </c>
    </row>
    <row r="169" spans="1:18" x14ac:dyDescent="0.25">
      <c r="A169" s="79" t="s">
        <v>78</v>
      </c>
      <c r="D169" s="79" t="s">
        <v>1997</v>
      </c>
      <c r="E169" s="79" t="s">
        <v>1998</v>
      </c>
      <c r="G169" s="79" t="s">
        <v>1999</v>
      </c>
      <c r="H169" s="79" t="s">
        <v>2000</v>
      </c>
      <c r="J169" s="79" t="s">
        <v>2001</v>
      </c>
      <c r="K169" s="79" t="s">
        <v>2002</v>
      </c>
      <c r="L169" s="79" t="s">
        <v>2003</v>
      </c>
      <c r="M169" s="79" t="s">
        <v>2004</v>
      </c>
      <c r="N169" s="79" t="s">
        <v>2005</v>
      </c>
      <c r="O169" s="79" t="s">
        <v>2006</v>
      </c>
      <c r="P169" s="79" t="s">
        <v>2007</v>
      </c>
      <c r="Q169" s="79" t="s">
        <v>2008</v>
      </c>
      <c r="R169" s="79" t="s">
        <v>2009</v>
      </c>
    </row>
    <row r="170" spans="1:18" x14ac:dyDescent="0.25">
      <c r="A170" s="79" t="s">
        <v>78</v>
      </c>
      <c r="B170" s="79" t="s">
        <v>2010</v>
      </c>
      <c r="D170" s="79" t="s">
        <v>2011</v>
      </c>
      <c r="E170" s="79" t="s">
        <v>2012</v>
      </c>
      <c r="F170" s="79" t="s">
        <v>2013</v>
      </c>
      <c r="H170" s="79" t="s">
        <v>2014</v>
      </c>
      <c r="J170" s="79" t="s">
        <v>2015</v>
      </c>
      <c r="K170" s="79" t="s">
        <v>2016</v>
      </c>
      <c r="M170" s="79" t="s">
        <v>2017</v>
      </c>
      <c r="N170" s="79" t="s">
        <v>2018</v>
      </c>
      <c r="O170" s="79" t="s">
        <v>2019</v>
      </c>
      <c r="P170" s="79" t="s">
        <v>2020</v>
      </c>
      <c r="Q170" s="79" t="s">
        <v>2021</v>
      </c>
      <c r="R170" s="79" t="s">
        <v>2009</v>
      </c>
    </row>
    <row r="171" spans="1:18" x14ac:dyDescent="0.25">
      <c r="A171" s="79" t="s">
        <v>78</v>
      </c>
    </row>
    <row r="172" spans="1:18" x14ac:dyDescent="0.25">
      <c r="A172" s="79" t="s">
        <v>78</v>
      </c>
      <c r="D172" s="79" t="s">
        <v>2022</v>
      </c>
      <c r="E172" s="79" t="s">
        <v>2023</v>
      </c>
      <c r="G172" s="79" t="s">
        <v>2024</v>
      </c>
      <c r="H172" s="79" t="s">
        <v>2025</v>
      </c>
      <c r="J172" s="79" t="s">
        <v>2026</v>
      </c>
      <c r="K172" s="79" t="s">
        <v>2027</v>
      </c>
      <c r="L172" s="79" t="s">
        <v>2028</v>
      </c>
      <c r="M172" s="79" t="s">
        <v>2029</v>
      </c>
      <c r="N172" s="79" t="s">
        <v>2030</v>
      </c>
      <c r="O172" s="79" t="s">
        <v>2031</v>
      </c>
      <c r="P172" s="79" t="s">
        <v>2032</v>
      </c>
      <c r="Q172" s="79" t="s">
        <v>2033</v>
      </c>
      <c r="R172" s="79" t="s">
        <v>2034</v>
      </c>
    </row>
    <row r="173" spans="1:18" x14ac:dyDescent="0.25">
      <c r="A173" s="79" t="s">
        <v>78</v>
      </c>
      <c r="B173" s="79" t="s">
        <v>2035</v>
      </c>
      <c r="D173" s="79" t="s">
        <v>2036</v>
      </c>
      <c r="E173" s="79" t="s">
        <v>2037</v>
      </c>
      <c r="F173" s="79" t="s">
        <v>2038</v>
      </c>
      <c r="H173" s="79" t="s">
        <v>2039</v>
      </c>
      <c r="J173" s="79" t="s">
        <v>2040</v>
      </c>
      <c r="K173" s="79" t="s">
        <v>2041</v>
      </c>
      <c r="M173" s="79" t="s">
        <v>2042</v>
      </c>
      <c r="N173" s="79" t="s">
        <v>2043</v>
      </c>
      <c r="O173" s="79" t="s">
        <v>2044</v>
      </c>
      <c r="P173" s="79" t="s">
        <v>2045</v>
      </c>
      <c r="Q173" s="79" t="s">
        <v>2046</v>
      </c>
      <c r="R173" s="79" t="s">
        <v>2034</v>
      </c>
    </row>
    <row r="174" spans="1:18" x14ac:dyDescent="0.25">
      <c r="A174" s="79" t="s">
        <v>78</v>
      </c>
    </row>
    <row r="175" spans="1:18" x14ac:dyDescent="0.25">
      <c r="A175" s="79" t="s">
        <v>78</v>
      </c>
      <c r="D175" s="79" t="s">
        <v>2047</v>
      </c>
      <c r="E175" s="79" t="s">
        <v>2048</v>
      </c>
      <c r="G175" s="79" t="s">
        <v>2049</v>
      </c>
      <c r="H175" s="79" t="s">
        <v>2050</v>
      </c>
      <c r="J175" s="79" t="s">
        <v>2051</v>
      </c>
      <c r="K175" s="79" t="s">
        <v>2052</v>
      </c>
      <c r="L175" s="79" t="s">
        <v>2053</v>
      </c>
      <c r="M175" s="79" t="s">
        <v>2054</v>
      </c>
      <c r="N175" s="79" t="s">
        <v>2055</v>
      </c>
      <c r="O175" s="79" t="s">
        <v>2056</v>
      </c>
      <c r="P175" s="79" t="s">
        <v>2057</v>
      </c>
      <c r="Q175" s="79" t="s">
        <v>2058</v>
      </c>
      <c r="R175" s="79" t="s">
        <v>2059</v>
      </c>
    </row>
    <row r="176" spans="1:18" x14ac:dyDescent="0.25">
      <c r="A176" s="79" t="s">
        <v>78</v>
      </c>
      <c r="B176" s="79" t="s">
        <v>2060</v>
      </c>
      <c r="D176" s="79" t="s">
        <v>2061</v>
      </c>
      <c r="E176" s="79" t="s">
        <v>2062</v>
      </c>
      <c r="F176" s="79" t="s">
        <v>2063</v>
      </c>
      <c r="H176" s="79" t="s">
        <v>2064</v>
      </c>
      <c r="J176" s="79" t="s">
        <v>2065</v>
      </c>
      <c r="K176" s="79" t="s">
        <v>2066</v>
      </c>
      <c r="M176" s="79" t="s">
        <v>2067</v>
      </c>
      <c r="N176" s="79" t="s">
        <v>2068</v>
      </c>
      <c r="O176" s="79" t="s">
        <v>2069</v>
      </c>
      <c r="P176" s="79" t="s">
        <v>2070</v>
      </c>
      <c r="Q176" s="79" t="s">
        <v>2071</v>
      </c>
      <c r="R176" s="79" t="s">
        <v>2059</v>
      </c>
    </row>
    <row r="177" spans="1:18" x14ac:dyDescent="0.25">
      <c r="A177" s="79" t="s">
        <v>78</v>
      </c>
    </row>
    <row r="178" spans="1:18" x14ac:dyDescent="0.25">
      <c r="A178" s="79" t="s">
        <v>78</v>
      </c>
      <c r="D178" s="79" t="s">
        <v>2072</v>
      </c>
      <c r="E178" s="79" t="s">
        <v>2073</v>
      </c>
      <c r="G178" s="79" t="s">
        <v>2074</v>
      </c>
      <c r="H178" s="79" t="s">
        <v>2075</v>
      </c>
      <c r="J178" s="79" t="s">
        <v>2076</v>
      </c>
      <c r="K178" s="79" t="s">
        <v>2077</v>
      </c>
      <c r="L178" s="79" t="s">
        <v>2078</v>
      </c>
      <c r="M178" s="79" t="s">
        <v>2079</v>
      </c>
      <c r="N178" s="79" t="s">
        <v>2080</v>
      </c>
      <c r="O178" s="79" t="s">
        <v>2081</v>
      </c>
      <c r="P178" s="79" t="s">
        <v>2082</v>
      </c>
      <c r="Q178" s="79" t="s">
        <v>2083</v>
      </c>
      <c r="R178" s="79" t="s">
        <v>2084</v>
      </c>
    </row>
    <row r="179" spans="1:18" x14ac:dyDescent="0.25">
      <c r="A179" s="79" t="s">
        <v>78</v>
      </c>
      <c r="B179" s="79" t="s">
        <v>2085</v>
      </c>
      <c r="D179" s="79" t="s">
        <v>2086</v>
      </c>
      <c r="E179" s="79" t="s">
        <v>2087</v>
      </c>
      <c r="F179" s="79" t="s">
        <v>2088</v>
      </c>
      <c r="H179" s="79" t="s">
        <v>2089</v>
      </c>
      <c r="J179" s="79" t="s">
        <v>2090</v>
      </c>
      <c r="K179" s="79" t="s">
        <v>2091</v>
      </c>
      <c r="M179" s="79" t="s">
        <v>2092</v>
      </c>
      <c r="N179" s="79" t="s">
        <v>2093</v>
      </c>
      <c r="O179" s="79" t="s">
        <v>2094</v>
      </c>
      <c r="P179" s="79" t="s">
        <v>2095</v>
      </c>
      <c r="Q179" s="79" t="s">
        <v>2096</v>
      </c>
      <c r="R179" s="79" t="s">
        <v>2084</v>
      </c>
    </row>
    <row r="180" spans="1:18" x14ac:dyDescent="0.25">
      <c r="A180" s="79" t="s">
        <v>78</v>
      </c>
    </row>
    <row r="181" spans="1:18" x14ac:dyDescent="0.25">
      <c r="A181" s="79" t="s">
        <v>78</v>
      </c>
      <c r="D181" s="79" t="s">
        <v>2097</v>
      </c>
      <c r="E181" s="79" t="s">
        <v>2098</v>
      </c>
      <c r="G181" s="79" t="s">
        <v>2099</v>
      </c>
      <c r="H181" s="79" t="s">
        <v>2100</v>
      </c>
      <c r="J181" s="79" t="s">
        <v>2101</v>
      </c>
      <c r="K181" s="79" t="s">
        <v>2102</v>
      </c>
      <c r="L181" s="79" t="s">
        <v>2103</v>
      </c>
      <c r="M181" s="79" t="s">
        <v>2104</v>
      </c>
      <c r="N181" s="79" t="s">
        <v>2105</v>
      </c>
      <c r="O181" s="79" t="s">
        <v>2106</v>
      </c>
      <c r="P181" s="79" t="s">
        <v>2107</v>
      </c>
      <c r="Q181" s="79" t="s">
        <v>2108</v>
      </c>
      <c r="R181" s="79" t="s">
        <v>2109</v>
      </c>
    </row>
    <row r="182" spans="1:18" x14ac:dyDescent="0.25">
      <c r="A182" s="79" t="s">
        <v>78</v>
      </c>
      <c r="B182" s="79" t="s">
        <v>2110</v>
      </c>
      <c r="D182" s="79" t="s">
        <v>2111</v>
      </c>
      <c r="E182" s="79" t="s">
        <v>2112</v>
      </c>
      <c r="F182" s="79" t="s">
        <v>2113</v>
      </c>
      <c r="H182" s="79" t="s">
        <v>2114</v>
      </c>
      <c r="J182" s="79" t="s">
        <v>2115</v>
      </c>
      <c r="K182" s="79" t="s">
        <v>2116</v>
      </c>
      <c r="M182" s="79" t="s">
        <v>2117</v>
      </c>
      <c r="N182" s="79" t="s">
        <v>2118</v>
      </c>
      <c r="O182" s="79" t="s">
        <v>2119</v>
      </c>
      <c r="P182" s="79" t="s">
        <v>2120</v>
      </c>
      <c r="Q182" s="79" t="s">
        <v>2121</v>
      </c>
      <c r="R182" s="79" t="s">
        <v>2109</v>
      </c>
    </row>
    <row r="183" spans="1:18" x14ac:dyDescent="0.25">
      <c r="A183" s="79" t="s">
        <v>78</v>
      </c>
    </row>
    <row r="184" spans="1:18" x14ac:dyDescent="0.25">
      <c r="A184" s="79" t="s">
        <v>78</v>
      </c>
      <c r="D184" s="79" t="s">
        <v>2122</v>
      </c>
      <c r="E184" s="79" t="s">
        <v>2123</v>
      </c>
      <c r="G184" s="79" t="s">
        <v>2124</v>
      </c>
      <c r="H184" s="79" t="s">
        <v>2125</v>
      </c>
      <c r="J184" s="79" t="s">
        <v>2126</v>
      </c>
      <c r="K184" s="79" t="s">
        <v>2127</v>
      </c>
      <c r="L184" s="79" t="s">
        <v>2128</v>
      </c>
      <c r="M184" s="79" t="s">
        <v>2129</v>
      </c>
      <c r="N184" s="79" t="s">
        <v>2130</v>
      </c>
      <c r="O184" s="79" t="s">
        <v>2131</v>
      </c>
      <c r="P184" s="79" t="s">
        <v>2132</v>
      </c>
      <c r="Q184" s="79" t="s">
        <v>2133</v>
      </c>
      <c r="R184" s="79" t="s">
        <v>2134</v>
      </c>
    </row>
    <row r="185" spans="1:18" x14ac:dyDescent="0.25">
      <c r="A185" s="79" t="s">
        <v>78</v>
      </c>
      <c r="B185" s="79" t="s">
        <v>2135</v>
      </c>
      <c r="D185" s="79" t="s">
        <v>2136</v>
      </c>
      <c r="E185" s="79" t="s">
        <v>2137</v>
      </c>
      <c r="F185" s="79" t="s">
        <v>2138</v>
      </c>
      <c r="H185" s="79" t="s">
        <v>2139</v>
      </c>
      <c r="J185" s="79" t="s">
        <v>2140</v>
      </c>
      <c r="K185" s="79" t="s">
        <v>2141</v>
      </c>
      <c r="M185" s="79" t="s">
        <v>2142</v>
      </c>
      <c r="N185" s="79" t="s">
        <v>2143</v>
      </c>
      <c r="O185" s="79" t="s">
        <v>2144</v>
      </c>
      <c r="P185" s="79" t="s">
        <v>2145</v>
      </c>
      <c r="Q185" s="79" t="s">
        <v>2146</v>
      </c>
      <c r="R185" s="79" t="s">
        <v>2134</v>
      </c>
    </row>
    <row r="186" spans="1:18" x14ac:dyDescent="0.25">
      <c r="A186" s="79" t="s">
        <v>78</v>
      </c>
    </row>
    <row r="187" spans="1:18" x14ac:dyDescent="0.25">
      <c r="A187" s="79" t="s">
        <v>78</v>
      </c>
      <c r="D187" s="79" t="s">
        <v>2147</v>
      </c>
      <c r="E187" s="79" t="s">
        <v>2148</v>
      </c>
      <c r="G187" s="79" t="s">
        <v>2149</v>
      </c>
      <c r="H187" s="79" t="s">
        <v>2150</v>
      </c>
      <c r="J187" s="79" t="s">
        <v>2151</v>
      </c>
      <c r="K187" s="79" t="s">
        <v>2152</v>
      </c>
      <c r="L187" s="79" t="s">
        <v>2153</v>
      </c>
      <c r="M187" s="79" t="s">
        <v>2154</v>
      </c>
      <c r="N187" s="79" t="s">
        <v>2155</v>
      </c>
      <c r="O187" s="79" t="s">
        <v>2156</v>
      </c>
      <c r="P187" s="79" t="s">
        <v>2157</v>
      </c>
      <c r="Q187" s="79" t="s">
        <v>2158</v>
      </c>
      <c r="R187" s="79" t="s">
        <v>2159</v>
      </c>
    </row>
    <row r="188" spans="1:18" x14ac:dyDescent="0.25">
      <c r="A188" s="79" t="s">
        <v>78</v>
      </c>
      <c r="B188" s="79" t="s">
        <v>2160</v>
      </c>
      <c r="D188" s="79" t="s">
        <v>2161</v>
      </c>
      <c r="E188" s="79" t="s">
        <v>2162</v>
      </c>
      <c r="F188" s="79" t="s">
        <v>2163</v>
      </c>
      <c r="H188" s="79" t="s">
        <v>2164</v>
      </c>
      <c r="J188" s="79" t="s">
        <v>2165</v>
      </c>
      <c r="K188" s="79" t="s">
        <v>2166</v>
      </c>
      <c r="M188" s="79" t="s">
        <v>2167</v>
      </c>
      <c r="N188" s="79" t="s">
        <v>2168</v>
      </c>
      <c r="O188" s="79" t="s">
        <v>2169</v>
      </c>
      <c r="P188" s="79" t="s">
        <v>2170</v>
      </c>
      <c r="Q188" s="79" t="s">
        <v>2171</v>
      </c>
      <c r="R188" s="79" t="s">
        <v>2159</v>
      </c>
    </row>
    <row r="189" spans="1:18" x14ac:dyDescent="0.25">
      <c r="A189" s="79" t="s">
        <v>78</v>
      </c>
    </row>
    <row r="190" spans="1:18" x14ac:dyDescent="0.25">
      <c r="A190" s="79" t="s">
        <v>78</v>
      </c>
      <c r="D190" s="79" t="s">
        <v>2172</v>
      </c>
      <c r="E190" s="79" t="s">
        <v>2173</v>
      </c>
      <c r="G190" s="79" t="s">
        <v>2174</v>
      </c>
      <c r="H190" s="79" t="s">
        <v>2175</v>
      </c>
      <c r="J190" s="79" t="s">
        <v>2176</v>
      </c>
      <c r="K190" s="79" t="s">
        <v>2177</v>
      </c>
      <c r="L190" s="79" t="s">
        <v>2178</v>
      </c>
      <c r="M190" s="79" t="s">
        <v>2179</v>
      </c>
      <c r="N190" s="79" t="s">
        <v>2180</v>
      </c>
      <c r="O190" s="79" t="s">
        <v>2181</v>
      </c>
      <c r="P190" s="79" t="s">
        <v>2182</v>
      </c>
      <c r="Q190" s="79" t="s">
        <v>2183</v>
      </c>
      <c r="R190" s="79" t="s">
        <v>2184</v>
      </c>
    </row>
    <row r="191" spans="1:18" x14ac:dyDescent="0.25">
      <c r="A191" s="79" t="s">
        <v>78</v>
      </c>
      <c r="B191" s="79" t="s">
        <v>2185</v>
      </c>
      <c r="D191" s="79" t="s">
        <v>2186</v>
      </c>
      <c r="E191" s="79" t="s">
        <v>2187</v>
      </c>
      <c r="F191" s="79" t="s">
        <v>2188</v>
      </c>
      <c r="H191" s="79" t="s">
        <v>2189</v>
      </c>
      <c r="J191" s="79" t="s">
        <v>2190</v>
      </c>
      <c r="K191" s="79" t="s">
        <v>2191</v>
      </c>
      <c r="M191" s="79" t="s">
        <v>2192</v>
      </c>
      <c r="N191" s="79" t="s">
        <v>2193</v>
      </c>
      <c r="O191" s="79" t="s">
        <v>2194</v>
      </c>
      <c r="P191" s="79" t="s">
        <v>2195</v>
      </c>
      <c r="Q191" s="79" t="s">
        <v>2196</v>
      </c>
      <c r="R191" s="79" t="s">
        <v>2184</v>
      </c>
    </row>
    <row r="192" spans="1:18" x14ac:dyDescent="0.25">
      <c r="A192" s="79" t="s">
        <v>78</v>
      </c>
    </row>
    <row r="193" spans="1:18" x14ac:dyDescent="0.25">
      <c r="A193" s="79" t="s">
        <v>78</v>
      </c>
      <c r="D193" s="79" t="s">
        <v>2197</v>
      </c>
      <c r="E193" s="79" t="s">
        <v>2198</v>
      </c>
      <c r="G193" s="79" t="s">
        <v>2199</v>
      </c>
      <c r="H193" s="79" t="s">
        <v>2200</v>
      </c>
      <c r="J193" s="79" t="s">
        <v>2201</v>
      </c>
      <c r="K193" s="79" t="s">
        <v>2202</v>
      </c>
      <c r="L193" s="79" t="s">
        <v>2203</v>
      </c>
      <c r="M193" s="79" t="s">
        <v>2204</v>
      </c>
      <c r="N193" s="79" t="s">
        <v>2205</v>
      </c>
      <c r="O193" s="79" t="s">
        <v>2206</v>
      </c>
      <c r="P193" s="79" t="s">
        <v>2207</v>
      </c>
      <c r="Q193" s="79" t="s">
        <v>2208</v>
      </c>
      <c r="R193" s="79" t="s">
        <v>2209</v>
      </c>
    </row>
    <row r="194" spans="1:18" x14ac:dyDescent="0.25">
      <c r="A194" s="79" t="s">
        <v>78</v>
      </c>
      <c r="B194" s="79" t="s">
        <v>2210</v>
      </c>
      <c r="D194" s="79" t="s">
        <v>2211</v>
      </c>
      <c r="E194" s="79" t="s">
        <v>2212</v>
      </c>
      <c r="F194" s="79" t="s">
        <v>2213</v>
      </c>
      <c r="H194" s="79" t="s">
        <v>2214</v>
      </c>
      <c r="J194" s="79" t="s">
        <v>2215</v>
      </c>
      <c r="K194" s="79" t="s">
        <v>2216</v>
      </c>
      <c r="M194" s="79" t="s">
        <v>2217</v>
      </c>
      <c r="N194" s="79" t="s">
        <v>2218</v>
      </c>
      <c r="O194" s="79" t="s">
        <v>2219</v>
      </c>
      <c r="P194" s="79" t="s">
        <v>2220</v>
      </c>
      <c r="Q194" s="79" t="s">
        <v>2221</v>
      </c>
      <c r="R194" s="79" t="s">
        <v>2209</v>
      </c>
    </row>
    <row r="195" spans="1:18" x14ac:dyDescent="0.25">
      <c r="A195" s="79" t="s">
        <v>78</v>
      </c>
    </row>
    <row r="196" spans="1:18" x14ac:dyDescent="0.25">
      <c r="A196" s="79" t="s">
        <v>78</v>
      </c>
      <c r="D196" s="79" t="s">
        <v>2222</v>
      </c>
      <c r="E196" s="79" t="s">
        <v>2223</v>
      </c>
      <c r="G196" s="79" t="s">
        <v>2224</v>
      </c>
      <c r="H196" s="79" t="s">
        <v>2225</v>
      </c>
      <c r="J196" s="79" t="s">
        <v>2226</v>
      </c>
      <c r="K196" s="79" t="s">
        <v>2227</v>
      </c>
      <c r="L196" s="79" t="s">
        <v>2228</v>
      </c>
      <c r="M196" s="79" t="s">
        <v>2229</v>
      </c>
      <c r="N196" s="79" t="s">
        <v>2230</v>
      </c>
      <c r="O196" s="79" t="s">
        <v>2231</v>
      </c>
      <c r="P196" s="79" t="s">
        <v>2232</v>
      </c>
      <c r="Q196" s="79" t="s">
        <v>2233</v>
      </c>
      <c r="R196" s="79" t="s">
        <v>2234</v>
      </c>
    </row>
    <row r="197" spans="1:18" x14ac:dyDescent="0.25">
      <c r="A197" s="79" t="s">
        <v>78</v>
      </c>
      <c r="B197" s="79" t="s">
        <v>2235</v>
      </c>
      <c r="D197" s="79" t="s">
        <v>2236</v>
      </c>
      <c r="E197" s="79" t="s">
        <v>2237</v>
      </c>
      <c r="F197" s="79" t="s">
        <v>2238</v>
      </c>
      <c r="H197" s="79" t="s">
        <v>2239</v>
      </c>
      <c r="J197" s="79" t="s">
        <v>2240</v>
      </c>
      <c r="K197" s="79" t="s">
        <v>2241</v>
      </c>
      <c r="M197" s="79" t="s">
        <v>2242</v>
      </c>
      <c r="N197" s="79" t="s">
        <v>2243</v>
      </c>
      <c r="O197" s="79" t="s">
        <v>2244</v>
      </c>
      <c r="P197" s="79" t="s">
        <v>2245</v>
      </c>
      <c r="Q197" s="79" t="s">
        <v>2246</v>
      </c>
      <c r="R197" s="79" t="s">
        <v>2234</v>
      </c>
    </row>
    <row r="198" spans="1:18" x14ac:dyDescent="0.25">
      <c r="A198" s="79" t="s">
        <v>78</v>
      </c>
    </row>
    <row r="199" spans="1:18" x14ac:dyDescent="0.25">
      <c r="A199" s="79" t="s">
        <v>78</v>
      </c>
      <c r="D199" s="79" t="s">
        <v>2247</v>
      </c>
      <c r="E199" s="79" t="s">
        <v>2248</v>
      </c>
      <c r="G199" s="79" t="s">
        <v>2249</v>
      </c>
      <c r="H199" s="79" t="s">
        <v>2250</v>
      </c>
      <c r="J199" s="79" t="s">
        <v>2251</v>
      </c>
      <c r="K199" s="79" t="s">
        <v>2252</v>
      </c>
      <c r="L199" s="79" t="s">
        <v>2253</v>
      </c>
      <c r="M199" s="79" t="s">
        <v>2254</v>
      </c>
      <c r="N199" s="79" t="s">
        <v>2255</v>
      </c>
      <c r="O199" s="79" t="s">
        <v>2256</v>
      </c>
      <c r="P199" s="79" t="s">
        <v>2257</v>
      </c>
      <c r="Q199" s="79" t="s">
        <v>2258</v>
      </c>
      <c r="R199" s="79" t="s">
        <v>2259</v>
      </c>
    </row>
    <row r="200" spans="1:18" x14ac:dyDescent="0.25">
      <c r="A200" s="79" t="s">
        <v>78</v>
      </c>
      <c r="B200" s="79" t="s">
        <v>2260</v>
      </c>
      <c r="D200" s="79" t="s">
        <v>2261</v>
      </c>
      <c r="E200" s="79" t="s">
        <v>2262</v>
      </c>
      <c r="F200" s="79" t="s">
        <v>2263</v>
      </c>
      <c r="H200" s="79" t="s">
        <v>2264</v>
      </c>
      <c r="J200" s="79" t="s">
        <v>2265</v>
      </c>
      <c r="K200" s="79" t="s">
        <v>2266</v>
      </c>
      <c r="M200" s="79" t="s">
        <v>2267</v>
      </c>
      <c r="N200" s="79" t="s">
        <v>2268</v>
      </c>
      <c r="O200" s="79" t="s">
        <v>2269</v>
      </c>
      <c r="P200" s="79" t="s">
        <v>2270</v>
      </c>
      <c r="Q200" s="79" t="s">
        <v>2271</v>
      </c>
      <c r="R200" s="79" t="s">
        <v>2259</v>
      </c>
    </row>
    <row r="201" spans="1:18" x14ac:dyDescent="0.25">
      <c r="A201" s="79" t="s">
        <v>78</v>
      </c>
    </row>
    <row r="202" spans="1:18" x14ac:dyDescent="0.25">
      <c r="A202" s="79" t="s">
        <v>78</v>
      </c>
      <c r="D202" s="79" t="s">
        <v>2272</v>
      </c>
      <c r="E202" s="79" t="s">
        <v>2273</v>
      </c>
      <c r="G202" s="79" t="s">
        <v>2274</v>
      </c>
      <c r="H202" s="79" t="s">
        <v>2275</v>
      </c>
      <c r="J202" s="79" t="s">
        <v>2276</v>
      </c>
      <c r="K202" s="79" t="s">
        <v>2277</v>
      </c>
      <c r="L202" s="79" t="s">
        <v>2278</v>
      </c>
      <c r="M202" s="79" t="s">
        <v>2279</v>
      </c>
      <c r="N202" s="79" t="s">
        <v>2280</v>
      </c>
      <c r="O202" s="79" t="s">
        <v>2281</v>
      </c>
      <c r="P202" s="79" t="s">
        <v>2282</v>
      </c>
      <c r="Q202" s="79" t="s">
        <v>2283</v>
      </c>
      <c r="R202" s="79" t="s">
        <v>2284</v>
      </c>
    </row>
    <row r="203" spans="1:18" x14ac:dyDescent="0.25">
      <c r="A203" s="79" t="s">
        <v>78</v>
      </c>
      <c r="B203" s="79" t="s">
        <v>2285</v>
      </c>
      <c r="D203" s="79" t="s">
        <v>2286</v>
      </c>
      <c r="E203" s="79" t="s">
        <v>2287</v>
      </c>
      <c r="F203" s="79" t="s">
        <v>2288</v>
      </c>
      <c r="H203" s="79" t="s">
        <v>2289</v>
      </c>
      <c r="J203" s="79" t="s">
        <v>2290</v>
      </c>
      <c r="K203" s="79" t="s">
        <v>2291</v>
      </c>
      <c r="M203" s="79" t="s">
        <v>2292</v>
      </c>
      <c r="N203" s="79" t="s">
        <v>2293</v>
      </c>
      <c r="O203" s="79" t="s">
        <v>2294</v>
      </c>
      <c r="P203" s="79" t="s">
        <v>2295</v>
      </c>
      <c r="Q203" s="79" t="s">
        <v>2296</v>
      </c>
      <c r="R203" s="79" t="s">
        <v>2284</v>
      </c>
    </row>
    <row r="204" spans="1:18" x14ac:dyDescent="0.25">
      <c r="A204" s="79" t="s">
        <v>78</v>
      </c>
    </row>
    <row r="205" spans="1:18" x14ac:dyDescent="0.25">
      <c r="A205" s="79" t="s">
        <v>78</v>
      </c>
      <c r="D205" s="79" t="s">
        <v>1193</v>
      </c>
      <c r="E205" s="79" t="s">
        <v>1194</v>
      </c>
      <c r="G205" s="79" t="s">
        <v>1195</v>
      </c>
      <c r="H205" s="79" t="s">
        <v>2297</v>
      </c>
      <c r="J205" s="79" t="s">
        <v>1196</v>
      </c>
      <c r="K205" s="79" t="s">
        <v>1197</v>
      </c>
      <c r="L205" s="79" t="s">
        <v>1198</v>
      </c>
      <c r="M205" s="79" t="s">
        <v>1199</v>
      </c>
      <c r="N205" s="79" t="s">
        <v>1200</v>
      </c>
      <c r="O205" s="79" t="s">
        <v>1201</v>
      </c>
      <c r="P205" s="79" t="s">
        <v>1202</v>
      </c>
      <c r="Q205" s="79" t="s">
        <v>1203</v>
      </c>
      <c r="R205" s="79" t="s">
        <v>1204</v>
      </c>
    </row>
    <row r="206" spans="1:18" x14ac:dyDescent="0.25">
      <c r="A206" s="79" t="s">
        <v>78</v>
      </c>
      <c r="B206" s="79" t="s">
        <v>1205</v>
      </c>
      <c r="D206" s="79" t="s">
        <v>1206</v>
      </c>
      <c r="E206" s="79" t="s">
        <v>1207</v>
      </c>
      <c r="F206" s="79" t="s">
        <v>1208</v>
      </c>
      <c r="H206" s="79" t="s">
        <v>1209</v>
      </c>
      <c r="J206" s="79" t="s">
        <v>1210</v>
      </c>
      <c r="K206" s="79" t="s">
        <v>1211</v>
      </c>
      <c r="M206" s="79" t="s">
        <v>1212</v>
      </c>
      <c r="N206" s="79" t="s">
        <v>1213</v>
      </c>
      <c r="O206" s="79" t="s">
        <v>1214</v>
      </c>
      <c r="P206" s="79" t="s">
        <v>1215</v>
      </c>
      <c r="Q206" s="79" t="s">
        <v>1216</v>
      </c>
      <c r="R206" s="79" t="s">
        <v>1204</v>
      </c>
    </row>
    <row r="207" spans="1:18" x14ac:dyDescent="0.25">
      <c r="A207" s="79" t="s">
        <v>78</v>
      </c>
    </row>
    <row r="208" spans="1:18" x14ac:dyDescent="0.25">
      <c r="A208" s="79" t="s">
        <v>78</v>
      </c>
      <c r="D208" s="79" t="s">
        <v>1217</v>
      </c>
      <c r="E208" s="79" t="s">
        <v>1218</v>
      </c>
      <c r="G208" s="79" t="s">
        <v>1219</v>
      </c>
      <c r="H208" s="79" t="s">
        <v>2298</v>
      </c>
      <c r="J208" s="79" t="s">
        <v>1221</v>
      </c>
      <c r="K208" s="79" t="s">
        <v>1222</v>
      </c>
      <c r="L208" s="79" t="s">
        <v>1223</v>
      </c>
      <c r="M208" s="79" t="s">
        <v>1224</v>
      </c>
      <c r="N208" s="79" t="s">
        <v>1225</v>
      </c>
      <c r="O208" s="79" t="s">
        <v>1226</v>
      </c>
      <c r="P208" s="79" t="s">
        <v>1227</v>
      </c>
      <c r="Q208" s="79" t="s">
        <v>1228</v>
      </c>
      <c r="R208" s="79" t="s">
        <v>1229</v>
      </c>
    </row>
    <row r="209" spans="1:18" x14ac:dyDescent="0.25">
      <c r="A209" s="79" t="s">
        <v>78</v>
      </c>
      <c r="B209" s="79" t="s">
        <v>1230</v>
      </c>
      <c r="D209" s="79" t="s">
        <v>1231</v>
      </c>
      <c r="E209" s="79" t="s">
        <v>1232</v>
      </c>
      <c r="F209" s="79" t="s">
        <v>1233</v>
      </c>
      <c r="H209" s="79" t="s">
        <v>1234</v>
      </c>
      <c r="J209" s="79" t="s">
        <v>1235</v>
      </c>
      <c r="K209" s="79" t="s">
        <v>1236</v>
      </c>
      <c r="M209" s="79" t="s">
        <v>1237</v>
      </c>
      <c r="N209" s="79" t="s">
        <v>1238</v>
      </c>
      <c r="O209" s="79" t="s">
        <v>1239</v>
      </c>
      <c r="P209" s="79" t="s">
        <v>1240</v>
      </c>
      <c r="Q209" s="79" t="s">
        <v>1241</v>
      </c>
      <c r="R209" s="79" t="s">
        <v>1229</v>
      </c>
    </row>
    <row r="210" spans="1:18" x14ac:dyDescent="0.25">
      <c r="A210" s="79" t="s">
        <v>78</v>
      </c>
    </row>
    <row r="211" spans="1:18" x14ac:dyDescent="0.25">
      <c r="A211" s="79" t="s">
        <v>78</v>
      </c>
      <c r="D211" s="79" t="s">
        <v>1242</v>
      </c>
      <c r="E211" s="79" t="s">
        <v>1243</v>
      </c>
      <c r="G211" s="79" t="s">
        <v>1244</v>
      </c>
      <c r="H211" s="79" t="s">
        <v>2299</v>
      </c>
      <c r="J211" s="79" t="s">
        <v>1246</v>
      </c>
      <c r="K211" s="79" t="s">
        <v>1247</v>
      </c>
      <c r="L211" s="79" t="s">
        <v>1248</v>
      </c>
      <c r="M211" s="79" t="s">
        <v>1249</v>
      </c>
      <c r="N211" s="79" t="s">
        <v>1250</v>
      </c>
      <c r="O211" s="79" t="s">
        <v>1251</v>
      </c>
      <c r="P211" s="79" t="s">
        <v>1252</v>
      </c>
      <c r="Q211" s="79" t="s">
        <v>1253</v>
      </c>
      <c r="R211" s="79" t="s">
        <v>1254</v>
      </c>
    </row>
    <row r="212" spans="1:18" x14ac:dyDescent="0.25">
      <c r="A212" s="79" t="s">
        <v>78</v>
      </c>
      <c r="B212" s="79" t="s">
        <v>1255</v>
      </c>
      <c r="D212" s="79" t="s">
        <v>1256</v>
      </c>
      <c r="E212" s="79" t="s">
        <v>1257</v>
      </c>
      <c r="F212" s="79" t="s">
        <v>1258</v>
      </c>
      <c r="H212" s="79" t="s">
        <v>1259</v>
      </c>
      <c r="J212" s="79" t="s">
        <v>1260</v>
      </c>
      <c r="K212" s="79" t="s">
        <v>1261</v>
      </c>
      <c r="M212" s="79" t="s">
        <v>1262</v>
      </c>
      <c r="N212" s="79" t="s">
        <v>1263</v>
      </c>
      <c r="O212" s="79" t="s">
        <v>1264</v>
      </c>
      <c r="P212" s="79" t="s">
        <v>1265</v>
      </c>
      <c r="Q212" s="79" t="s">
        <v>1266</v>
      </c>
      <c r="R212" s="79" t="s">
        <v>1254</v>
      </c>
    </row>
    <row r="213" spans="1:18" x14ac:dyDescent="0.25">
      <c r="A213" s="79" t="s">
        <v>78</v>
      </c>
    </row>
    <row r="214" spans="1:18" x14ac:dyDescent="0.25">
      <c r="A214" s="79" t="s">
        <v>78</v>
      </c>
      <c r="D214" s="79" t="s">
        <v>1267</v>
      </c>
      <c r="E214" s="79" t="s">
        <v>1268</v>
      </c>
      <c r="G214" s="79" t="s">
        <v>1269</v>
      </c>
      <c r="H214" s="79" t="s">
        <v>2300</v>
      </c>
      <c r="J214" s="79" t="s">
        <v>1271</v>
      </c>
      <c r="K214" s="79" t="s">
        <v>1272</v>
      </c>
      <c r="L214" s="79" t="s">
        <v>1273</v>
      </c>
      <c r="M214" s="79" t="s">
        <v>1274</v>
      </c>
      <c r="N214" s="79" t="s">
        <v>1275</v>
      </c>
      <c r="O214" s="79" t="s">
        <v>1276</v>
      </c>
      <c r="P214" s="79" t="s">
        <v>1277</v>
      </c>
      <c r="Q214" s="79" t="s">
        <v>1278</v>
      </c>
      <c r="R214" s="79" t="s">
        <v>1279</v>
      </c>
    </row>
    <row r="215" spans="1:18" x14ac:dyDescent="0.25">
      <c r="A215" s="79" t="s">
        <v>78</v>
      </c>
      <c r="B215" s="79" t="s">
        <v>1280</v>
      </c>
      <c r="D215" s="79" t="s">
        <v>1281</v>
      </c>
      <c r="E215" s="79" t="s">
        <v>1282</v>
      </c>
      <c r="F215" s="79" t="s">
        <v>1283</v>
      </c>
      <c r="H215" s="79" t="s">
        <v>1284</v>
      </c>
      <c r="J215" s="79" t="s">
        <v>1285</v>
      </c>
      <c r="K215" s="79" t="s">
        <v>1286</v>
      </c>
      <c r="M215" s="79" t="s">
        <v>1287</v>
      </c>
      <c r="N215" s="79" t="s">
        <v>1288</v>
      </c>
      <c r="O215" s="79" t="s">
        <v>1289</v>
      </c>
      <c r="P215" s="79" t="s">
        <v>1290</v>
      </c>
      <c r="Q215" s="79" t="s">
        <v>1291</v>
      </c>
      <c r="R215" s="79" t="s">
        <v>1279</v>
      </c>
    </row>
    <row r="216" spans="1:18" x14ac:dyDescent="0.25">
      <c r="A216" s="79" t="s">
        <v>78</v>
      </c>
    </row>
    <row r="217" spans="1:18" x14ac:dyDescent="0.25">
      <c r="A217" s="79" t="s">
        <v>78</v>
      </c>
      <c r="D217" s="79" t="s">
        <v>1292</v>
      </c>
      <c r="E217" s="79" t="s">
        <v>1293</v>
      </c>
      <c r="G217" s="79" t="s">
        <v>1294</v>
      </c>
      <c r="H217" s="79" t="s">
        <v>1107</v>
      </c>
      <c r="J217" s="79" t="s">
        <v>1296</v>
      </c>
      <c r="K217" s="79" t="s">
        <v>1297</v>
      </c>
      <c r="L217" s="79" t="s">
        <v>1298</v>
      </c>
      <c r="M217" s="79" t="s">
        <v>1299</v>
      </c>
      <c r="N217" s="79" t="s">
        <v>1300</v>
      </c>
      <c r="O217" s="79" t="s">
        <v>1301</v>
      </c>
      <c r="P217" s="79" t="s">
        <v>1302</v>
      </c>
      <c r="Q217" s="79" t="s">
        <v>1303</v>
      </c>
      <c r="R217" s="79" t="s">
        <v>1304</v>
      </c>
    </row>
    <row r="218" spans="1:18" x14ac:dyDescent="0.25">
      <c r="A218" s="79" t="s">
        <v>78</v>
      </c>
      <c r="B218" s="79" t="s">
        <v>1305</v>
      </c>
      <c r="D218" s="79" t="s">
        <v>1306</v>
      </c>
      <c r="E218" s="79" t="s">
        <v>1307</v>
      </c>
      <c r="F218" s="79" t="s">
        <v>1308</v>
      </c>
      <c r="H218" s="79" t="s">
        <v>1309</v>
      </c>
      <c r="J218" s="79" t="s">
        <v>1310</v>
      </c>
      <c r="K218" s="79" t="s">
        <v>1311</v>
      </c>
      <c r="M218" s="79" t="s">
        <v>1312</v>
      </c>
      <c r="N218" s="79" t="s">
        <v>1313</v>
      </c>
      <c r="O218" s="79" t="s">
        <v>1314</v>
      </c>
      <c r="P218" s="79" t="s">
        <v>1315</v>
      </c>
      <c r="Q218" s="79" t="s">
        <v>1316</v>
      </c>
      <c r="R218" s="79" t="s">
        <v>1304</v>
      </c>
    </row>
    <row r="219" spans="1:18" x14ac:dyDescent="0.25">
      <c r="A219" s="79" t="s">
        <v>78</v>
      </c>
    </row>
    <row r="220" spans="1:18" x14ac:dyDescent="0.25">
      <c r="A220" s="79" t="s">
        <v>78</v>
      </c>
      <c r="D220" s="79" t="s">
        <v>1317</v>
      </c>
      <c r="E220" s="79" t="s">
        <v>1318</v>
      </c>
      <c r="G220" s="79" t="s">
        <v>1319</v>
      </c>
      <c r="H220" s="79" t="s">
        <v>1132</v>
      </c>
      <c r="J220" s="79" t="s">
        <v>1321</v>
      </c>
      <c r="K220" s="79" t="s">
        <v>1322</v>
      </c>
      <c r="L220" s="79" t="s">
        <v>1323</v>
      </c>
      <c r="M220" s="79" t="s">
        <v>1324</v>
      </c>
      <c r="N220" s="79" t="s">
        <v>1325</v>
      </c>
      <c r="O220" s="79" t="s">
        <v>1326</v>
      </c>
      <c r="P220" s="79" t="s">
        <v>1327</v>
      </c>
      <c r="Q220" s="79" t="s">
        <v>1328</v>
      </c>
      <c r="R220" s="79" t="s">
        <v>1329</v>
      </c>
    </row>
    <row r="221" spans="1:18" x14ac:dyDescent="0.25">
      <c r="A221" s="79" t="s">
        <v>78</v>
      </c>
      <c r="B221" s="79" t="s">
        <v>1330</v>
      </c>
      <c r="D221" s="79" t="s">
        <v>1331</v>
      </c>
      <c r="E221" s="79" t="s">
        <v>1332</v>
      </c>
      <c r="F221" s="79" t="s">
        <v>1333</v>
      </c>
      <c r="H221" s="79" t="s">
        <v>1334</v>
      </c>
      <c r="J221" s="79" t="s">
        <v>1335</v>
      </c>
      <c r="K221" s="79" t="s">
        <v>1336</v>
      </c>
      <c r="M221" s="79" t="s">
        <v>1337</v>
      </c>
      <c r="N221" s="79" t="s">
        <v>1338</v>
      </c>
      <c r="O221" s="79" t="s">
        <v>1339</v>
      </c>
      <c r="P221" s="79" t="s">
        <v>1340</v>
      </c>
      <c r="Q221" s="79" t="s">
        <v>1341</v>
      </c>
      <c r="R221" s="79" t="s">
        <v>1329</v>
      </c>
    </row>
    <row r="222" spans="1:18" x14ac:dyDescent="0.25">
      <c r="A222" s="79" t="s">
        <v>78</v>
      </c>
    </row>
    <row r="223" spans="1:18" x14ac:dyDescent="0.25">
      <c r="A223" s="79" t="s">
        <v>78</v>
      </c>
      <c r="D223" s="79" t="s">
        <v>1342</v>
      </c>
      <c r="E223" s="79" t="s">
        <v>1343</v>
      </c>
      <c r="G223" s="79" t="s">
        <v>1344</v>
      </c>
      <c r="H223" s="79" t="s">
        <v>1157</v>
      </c>
      <c r="J223" s="79" t="s">
        <v>1346</v>
      </c>
      <c r="K223" s="79" t="s">
        <v>1347</v>
      </c>
      <c r="L223" s="79" t="s">
        <v>1348</v>
      </c>
      <c r="M223" s="79" t="s">
        <v>1349</v>
      </c>
      <c r="N223" s="79" t="s">
        <v>1350</v>
      </c>
      <c r="O223" s="79" t="s">
        <v>1351</v>
      </c>
      <c r="P223" s="79" t="s">
        <v>1352</v>
      </c>
      <c r="Q223" s="79" t="s">
        <v>1353</v>
      </c>
      <c r="R223" s="79" t="s">
        <v>1354</v>
      </c>
    </row>
    <row r="224" spans="1:18" x14ac:dyDescent="0.25">
      <c r="A224" s="79" t="s">
        <v>78</v>
      </c>
      <c r="B224" s="79" t="s">
        <v>1355</v>
      </c>
      <c r="D224" s="79" t="s">
        <v>1356</v>
      </c>
      <c r="E224" s="79" t="s">
        <v>1357</v>
      </c>
      <c r="F224" s="79" t="s">
        <v>1358</v>
      </c>
      <c r="H224" s="79" t="s">
        <v>1359</v>
      </c>
      <c r="J224" s="79" t="s">
        <v>1360</v>
      </c>
      <c r="K224" s="79" t="s">
        <v>1361</v>
      </c>
      <c r="M224" s="79" t="s">
        <v>1362</v>
      </c>
      <c r="N224" s="79" t="s">
        <v>1363</v>
      </c>
      <c r="O224" s="79" t="s">
        <v>1364</v>
      </c>
      <c r="P224" s="79" t="s">
        <v>1365</v>
      </c>
      <c r="Q224" s="79" t="s">
        <v>1366</v>
      </c>
      <c r="R224" s="79" t="s">
        <v>1354</v>
      </c>
    </row>
    <row r="225" spans="1:18" x14ac:dyDescent="0.25">
      <c r="A225" s="79" t="s">
        <v>78</v>
      </c>
    </row>
    <row r="227" spans="1:18" x14ac:dyDescent="0.25">
      <c r="Q227" s="79" t="s">
        <v>75</v>
      </c>
      <c r="R227" s="79" t="s">
        <v>2301</v>
      </c>
    </row>
    <row r="228" spans="1:18" x14ac:dyDescent="0.25">
      <c r="A228" s="79" t="s">
        <v>78</v>
      </c>
      <c r="H228" s="79" t="s">
        <v>1179</v>
      </c>
      <c r="I228" s="79" t="s">
        <v>2302</v>
      </c>
    </row>
    <row r="229" spans="1:18" x14ac:dyDescent="0.25">
      <c r="A229" s="79" t="s">
        <v>78</v>
      </c>
      <c r="H229" s="79" t="s">
        <v>2303</v>
      </c>
      <c r="I229" s="79" t="s">
        <v>2304</v>
      </c>
    </row>
    <row r="230" spans="1:18" x14ac:dyDescent="0.25">
      <c r="A230" s="79" t="s">
        <v>78</v>
      </c>
      <c r="H230" s="79" t="s">
        <v>1368</v>
      </c>
      <c r="I230" s="79" t="s">
        <v>2305</v>
      </c>
      <c r="N230" s="79" t="s">
        <v>22</v>
      </c>
      <c r="Q230" s="79" t="s">
        <v>23</v>
      </c>
    </row>
    <row r="231" spans="1:18" x14ac:dyDescent="0.25">
      <c r="A231" s="79" t="s">
        <v>78</v>
      </c>
      <c r="P231" s="79" t="s">
        <v>20</v>
      </c>
      <c r="R231" s="79" t="s">
        <v>20</v>
      </c>
    </row>
    <row r="232" spans="1:18" x14ac:dyDescent="0.25">
      <c r="A232" s="79" t="s">
        <v>78</v>
      </c>
      <c r="D232" s="79" t="s">
        <v>16</v>
      </c>
      <c r="E232" s="79" t="s">
        <v>32</v>
      </c>
      <c r="F232" s="79" t="s">
        <v>14</v>
      </c>
      <c r="G232" s="79" t="s">
        <v>14</v>
      </c>
      <c r="J232" s="79" t="s">
        <v>7</v>
      </c>
      <c r="K232" s="79" t="s">
        <v>11</v>
      </c>
      <c r="L232" s="79" t="s">
        <v>2</v>
      </c>
      <c r="M232" s="79" t="s">
        <v>3</v>
      </c>
      <c r="N232" s="79" t="s">
        <v>21</v>
      </c>
      <c r="O232" s="79" t="s">
        <v>19</v>
      </c>
      <c r="P232" s="79" t="s">
        <v>16</v>
      </c>
      <c r="Q232" s="79" t="s">
        <v>12</v>
      </c>
      <c r="R232" s="79" t="s">
        <v>12</v>
      </c>
    </row>
    <row r="233" spans="1:18" x14ac:dyDescent="0.25">
      <c r="A233" s="79" t="s">
        <v>78</v>
      </c>
      <c r="D233" s="79" t="s">
        <v>2306</v>
      </c>
      <c r="E233" s="79" t="s">
        <v>2307</v>
      </c>
      <c r="G233" s="79" t="s">
        <v>2308</v>
      </c>
      <c r="H233" s="79" t="s">
        <v>2309</v>
      </c>
      <c r="J233" s="79" t="s">
        <v>2310</v>
      </c>
      <c r="K233" s="79" t="s">
        <v>2311</v>
      </c>
      <c r="L233" s="79" t="s">
        <v>2312</v>
      </c>
      <c r="M233" s="79" t="s">
        <v>2313</v>
      </c>
      <c r="N233" s="79" t="s">
        <v>2314</v>
      </c>
      <c r="O233" s="79" t="s">
        <v>2315</v>
      </c>
      <c r="P233" s="79" t="s">
        <v>2316</v>
      </c>
      <c r="Q233" s="79" t="s">
        <v>2317</v>
      </c>
      <c r="R233" s="79" t="s">
        <v>2318</v>
      </c>
    </row>
    <row r="234" spans="1:18" x14ac:dyDescent="0.25">
      <c r="A234" s="79" t="s">
        <v>78</v>
      </c>
      <c r="B234" s="79" t="s">
        <v>2319</v>
      </c>
      <c r="D234" s="79" t="s">
        <v>2320</v>
      </c>
      <c r="E234" s="79" t="s">
        <v>2321</v>
      </c>
      <c r="F234" s="79" t="s">
        <v>2322</v>
      </c>
      <c r="H234" s="79" t="s">
        <v>2323</v>
      </c>
      <c r="J234" s="79" t="s">
        <v>2324</v>
      </c>
      <c r="K234" s="79" t="s">
        <v>2325</v>
      </c>
      <c r="M234" s="79" t="s">
        <v>2326</v>
      </c>
      <c r="N234" s="79" t="s">
        <v>2327</v>
      </c>
      <c r="O234" s="79" t="s">
        <v>2328</v>
      </c>
      <c r="P234" s="79" t="s">
        <v>2329</v>
      </c>
      <c r="Q234" s="79" t="s">
        <v>2330</v>
      </c>
      <c r="R234" s="79" t="s">
        <v>2318</v>
      </c>
    </row>
    <row r="235" spans="1:18" x14ac:dyDescent="0.25">
      <c r="A235" s="79" t="s">
        <v>78</v>
      </c>
    </row>
    <row r="236" spans="1:18" x14ac:dyDescent="0.25">
      <c r="A236" s="79" t="s">
        <v>78</v>
      </c>
    </row>
    <row r="237" spans="1:18" x14ac:dyDescent="0.25">
      <c r="A237" s="79" t="s">
        <v>78</v>
      </c>
      <c r="Q237" s="79" t="s">
        <v>2331</v>
      </c>
      <c r="R237" s="79" t="s">
        <v>2332</v>
      </c>
    </row>
    <row r="238" spans="1:18" x14ac:dyDescent="0.25">
      <c r="A238" s="79" t="s">
        <v>78</v>
      </c>
      <c r="H238" s="79" t="s">
        <v>1181</v>
      </c>
      <c r="I238" s="79" t="s">
        <v>2333</v>
      </c>
    </row>
    <row r="239" spans="1:18" x14ac:dyDescent="0.25">
      <c r="A239" s="79" t="s">
        <v>78</v>
      </c>
      <c r="H239" s="79" t="s">
        <v>2334</v>
      </c>
      <c r="I239" s="79" t="s">
        <v>2335</v>
      </c>
    </row>
    <row r="240" spans="1:18" x14ac:dyDescent="0.25">
      <c r="A240" s="79" t="s">
        <v>78</v>
      </c>
      <c r="H240" s="79" t="s">
        <v>1371</v>
      </c>
      <c r="I240" s="79" t="s">
        <v>2336</v>
      </c>
      <c r="N240" s="79" t="s">
        <v>22</v>
      </c>
      <c r="Q240" s="79" t="s">
        <v>23</v>
      </c>
    </row>
    <row r="241" spans="1:18" x14ac:dyDescent="0.25">
      <c r="A241" s="79" t="s">
        <v>78</v>
      </c>
      <c r="P241" s="79" t="s">
        <v>20</v>
      </c>
      <c r="R241" s="79" t="s">
        <v>20</v>
      </c>
    </row>
    <row r="242" spans="1:18" x14ac:dyDescent="0.25">
      <c r="A242" s="79" t="s">
        <v>78</v>
      </c>
      <c r="D242" s="79" t="s">
        <v>16</v>
      </c>
      <c r="E242" s="79" t="s">
        <v>32</v>
      </c>
      <c r="F242" s="79" t="s">
        <v>14</v>
      </c>
      <c r="G242" s="79" t="s">
        <v>14</v>
      </c>
      <c r="J242" s="79" t="s">
        <v>7</v>
      </c>
      <c r="K242" s="79" t="s">
        <v>11</v>
      </c>
      <c r="L242" s="79" t="s">
        <v>2</v>
      </c>
      <c r="M242" s="79" t="s">
        <v>3</v>
      </c>
      <c r="N242" s="79" t="s">
        <v>21</v>
      </c>
      <c r="O242" s="79" t="s">
        <v>19</v>
      </c>
      <c r="P242" s="79" t="s">
        <v>16</v>
      </c>
      <c r="Q242" s="79" t="s">
        <v>12</v>
      </c>
      <c r="R242" s="79" t="s">
        <v>12</v>
      </c>
    </row>
    <row r="243" spans="1:18" x14ac:dyDescent="0.25">
      <c r="A243" s="79" t="s">
        <v>78</v>
      </c>
      <c r="D243" s="79" t="s">
        <v>2337</v>
      </c>
      <c r="E243" s="79" t="s">
        <v>2338</v>
      </c>
      <c r="G243" s="79" t="s">
        <v>2339</v>
      </c>
      <c r="H243" s="79" t="s">
        <v>2340</v>
      </c>
      <c r="J243" s="79" t="s">
        <v>2341</v>
      </c>
      <c r="K243" s="79" t="s">
        <v>2342</v>
      </c>
      <c r="L243" s="79" t="s">
        <v>2343</v>
      </c>
      <c r="M243" s="79" t="s">
        <v>2344</v>
      </c>
      <c r="N243" s="79" t="s">
        <v>2345</v>
      </c>
      <c r="O243" s="79" t="s">
        <v>2346</v>
      </c>
      <c r="P243" s="79" t="s">
        <v>2347</v>
      </c>
      <c r="Q243" s="79" t="s">
        <v>2348</v>
      </c>
      <c r="R243" s="79" t="s">
        <v>2349</v>
      </c>
    </row>
    <row r="244" spans="1:18" x14ac:dyDescent="0.25">
      <c r="A244" s="79" t="s">
        <v>78</v>
      </c>
      <c r="B244" s="79" t="s">
        <v>2350</v>
      </c>
      <c r="D244" s="79" t="s">
        <v>2351</v>
      </c>
      <c r="E244" s="79" t="s">
        <v>2352</v>
      </c>
      <c r="F244" s="79" t="s">
        <v>2353</v>
      </c>
      <c r="H244" s="79" t="s">
        <v>2354</v>
      </c>
      <c r="J244" s="79" t="s">
        <v>2355</v>
      </c>
      <c r="K244" s="79" t="s">
        <v>2356</v>
      </c>
      <c r="M244" s="79" t="s">
        <v>2357</v>
      </c>
      <c r="N244" s="79" t="s">
        <v>2358</v>
      </c>
      <c r="O244" s="79" t="s">
        <v>2359</v>
      </c>
      <c r="P244" s="79" t="s">
        <v>2360</v>
      </c>
      <c r="Q244" s="79" t="s">
        <v>2361</v>
      </c>
      <c r="R244" s="79" t="s">
        <v>2349</v>
      </c>
    </row>
    <row r="245" spans="1:18" x14ac:dyDescent="0.25">
      <c r="A245" s="79" t="s">
        <v>78</v>
      </c>
    </row>
    <row r="246" spans="1:18" x14ac:dyDescent="0.25">
      <c r="A246" s="79" t="s">
        <v>78</v>
      </c>
      <c r="D246" s="79" t="s">
        <v>2362</v>
      </c>
      <c r="E246" s="79" t="s">
        <v>2363</v>
      </c>
      <c r="G246" s="79" t="s">
        <v>2364</v>
      </c>
      <c r="H246" s="79" t="s">
        <v>1183</v>
      </c>
      <c r="J246" s="79" t="s">
        <v>2365</v>
      </c>
      <c r="K246" s="79" t="s">
        <v>2366</v>
      </c>
      <c r="L246" s="79" t="s">
        <v>2367</v>
      </c>
      <c r="M246" s="79" t="s">
        <v>2368</v>
      </c>
      <c r="N246" s="79" t="s">
        <v>2369</v>
      </c>
      <c r="O246" s="79" t="s">
        <v>2370</v>
      </c>
      <c r="P246" s="79" t="s">
        <v>2371</v>
      </c>
      <c r="Q246" s="79" t="s">
        <v>2372</v>
      </c>
      <c r="R246" s="79" t="s">
        <v>2373</v>
      </c>
    </row>
    <row r="247" spans="1:18" x14ac:dyDescent="0.25">
      <c r="A247" s="79" t="s">
        <v>78</v>
      </c>
      <c r="B247" s="79" t="s">
        <v>2374</v>
      </c>
      <c r="D247" s="79" t="s">
        <v>2375</v>
      </c>
      <c r="E247" s="79" t="s">
        <v>2376</v>
      </c>
      <c r="F247" s="79" t="s">
        <v>2377</v>
      </c>
      <c r="H247" s="79" t="s">
        <v>2378</v>
      </c>
      <c r="J247" s="79" t="s">
        <v>2379</v>
      </c>
      <c r="K247" s="79" t="s">
        <v>2380</v>
      </c>
      <c r="M247" s="79" t="s">
        <v>2381</v>
      </c>
      <c r="N247" s="79" t="s">
        <v>2382</v>
      </c>
      <c r="O247" s="79" t="s">
        <v>2383</v>
      </c>
      <c r="P247" s="79" t="s">
        <v>2384</v>
      </c>
      <c r="Q247" s="79" t="s">
        <v>2385</v>
      </c>
      <c r="R247" s="79" t="s">
        <v>2373</v>
      </c>
    </row>
    <row r="248" spans="1:18" x14ac:dyDescent="0.25">
      <c r="A248" s="79" t="s">
        <v>78</v>
      </c>
    </row>
    <row r="249" spans="1:18" x14ac:dyDescent="0.25">
      <c r="A249" s="79" t="s">
        <v>78</v>
      </c>
      <c r="D249" s="79" t="s">
        <v>2386</v>
      </c>
      <c r="E249" s="79" t="s">
        <v>2387</v>
      </c>
      <c r="G249" s="79" t="s">
        <v>2388</v>
      </c>
      <c r="H249" s="79" t="s">
        <v>1184</v>
      </c>
      <c r="J249" s="79" t="s">
        <v>2389</v>
      </c>
      <c r="K249" s="79" t="s">
        <v>2390</v>
      </c>
      <c r="L249" s="79" t="s">
        <v>2391</v>
      </c>
      <c r="M249" s="79" t="s">
        <v>2392</v>
      </c>
      <c r="N249" s="79" t="s">
        <v>2393</v>
      </c>
      <c r="O249" s="79" t="s">
        <v>2394</v>
      </c>
      <c r="P249" s="79" t="s">
        <v>2395</v>
      </c>
      <c r="Q249" s="79" t="s">
        <v>2396</v>
      </c>
      <c r="R249" s="79" t="s">
        <v>2397</v>
      </c>
    </row>
    <row r="250" spans="1:18" x14ac:dyDescent="0.25">
      <c r="A250" s="79" t="s">
        <v>78</v>
      </c>
      <c r="B250" s="79" t="s">
        <v>2398</v>
      </c>
      <c r="D250" s="79" t="s">
        <v>2399</v>
      </c>
      <c r="E250" s="79" t="s">
        <v>2400</v>
      </c>
      <c r="F250" s="79" t="s">
        <v>2401</v>
      </c>
      <c r="H250" s="79" t="s">
        <v>2402</v>
      </c>
      <c r="J250" s="79" t="s">
        <v>2403</v>
      </c>
      <c r="K250" s="79" t="s">
        <v>2404</v>
      </c>
      <c r="M250" s="79" t="s">
        <v>2405</v>
      </c>
      <c r="N250" s="79" t="s">
        <v>2406</v>
      </c>
      <c r="O250" s="79" t="s">
        <v>2407</v>
      </c>
      <c r="P250" s="79" t="s">
        <v>2408</v>
      </c>
      <c r="Q250" s="79" t="s">
        <v>2409</v>
      </c>
      <c r="R250" s="79" t="s">
        <v>2397</v>
      </c>
    </row>
    <row r="251" spans="1:18" x14ac:dyDescent="0.25">
      <c r="A251" s="79" t="s">
        <v>78</v>
      </c>
    </row>
    <row r="252" spans="1:18" x14ac:dyDescent="0.25">
      <c r="A252" s="79" t="s">
        <v>78</v>
      </c>
      <c r="D252" s="79" t="s">
        <v>2410</v>
      </c>
      <c r="E252" s="79" t="s">
        <v>2411</v>
      </c>
      <c r="G252" s="79" t="s">
        <v>2412</v>
      </c>
      <c r="H252" s="79" t="s">
        <v>1185</v>
      </c>
      <c r="J252" s="79" t="s">
        <v>2413</v>
      </c>
      <c r="K252" s="79" t="s">
        <v>2414</v>
      </c>
      <c r="L252" s="79" t="s">
        <v>2415</v>
      </c>
      <c r="M252" s="79" t="s">
        <v>2416</v>
      </c>
      <c r="N252" s="79" t="s">
        <v>2417</v>
      </c>
      <c r="O252" s="79" t="s">
        <v>2418</v>
      </c>
      <c r="P252" s="79" t="s">
        <v>2419</v>
      </c>
      <c r="Q252" s="79" t="s">
        <v>2420</v>
      </c>
      <c r="R252" s="79" t="s">
        <v>2421</v>
      </c>
    </row>
    <row r="253" spans="1:18" x14ac:dyDescent="0.25">
      <c r="A253" s="79" t="s">
        <v>78</v>
      </c>
      <c r="B253" s="79" t="s">
        <v>2422</v>
      </c>
      <c r="D253" s="79" t="s">
        <v>2423</v>
      </c>
      <c r="E253" s="79" t="s">
        <v>2424</v>
      </c>
      <c r="F253" s="79" t="s">
        <v>2425</v>
      </c>
      <c r="H253" s="79" t="s">
        <v>2426</v>
      </c>
      <c r="J253" s="79" t="s">
        <v>2427</v>
      </c>
      <c r="K253" s="79" t="s">
        <v>2428</v>
      </c>
      <c r="M253" s="79" t="s">
        <v>2429</v>
      </c>
      <c r="N253" s="79" t="s">
        <v>2430</v>
      </c>
      <c r="O253" s="79" t="s">
        <v>2431</v>
      </c>
      <c r="P253" s="79" t="s">
        <v>2432</v>
      </c>
      <c r="Q253" s="79" t="s">
        <v>2433</v>
      </c>
      <c r="R253" s="79" t="s">
        <v>2421</v>
      </c>
    </row>
    <row r="254" spans="1:18" x14ac:dyDescent="0.25">
      <c r="A254" s="79" t="s">
        <v>78</v>
      </c>
    </row>
    <row r="255" spans="1:18" x14ac:dyDescent="0.25">
      <c r="A255" s="79" t="s">
        <v>78</v>
      </c>
      <c r="D255" s="79" t="s">
        <v>2434</v>
      </c>
      <c r="E255" s="79" t="s">
        <v>2435</v>
      </c>
      <c r="G255" s="79" t="s">
        <v>2436</v>
      </c>
      <c r="H255" s="79" t="s">
        <v>1186</v>
      </c>
      <c r="J255" s="79" t="s">
        <v>2437</v>
      </c>
      <c r="K255" s="79" t="s">
        <v>2438</v>
      </c>
      <c r="L255" s="79" t="s">
        <v>2439</v>
      </c>
      <c r="M255" s="79" t="s">
        <v>2440</v>
      </c>
      <c r="N255" s="79" t="s">
        <v>2441</v>
      </c>
      <c r="O255" s="79" t="s">
        <v>2442</v>
      </c>
      <c r="P255" s="79" t="s">
        <v>2443</v>
      </c>
      <c r="Q255" s="79" t="s">
        <v>2444</v>
      </c>
      <c r="R255" s="79" t="s">
        <v>2445</v>
      </c>
    </row>
    <row r="256" spans="1:18" x14ac:dyDescent="0.25">
      <c r="A256" s="79" t="s">
        <v>78</v>
      </c>
      <c r="B256" s="79" t="s">
        <v>2446</v>
      </c>
      <c r="D256" s="79" t="s">
        <v>2447</v>
      </c>
      <c r="E256" s="79" t="s">
        <v>2448</v>
      </c>
      <c r="F256" s="79" t="s">
        <v>2449</v>
      </c>
      <c r="H256" s="79" t="s">
        <v>2450</v>
      </c>
      <c r="J256" s="79" t="s">
        <v>2451</v>
      </c>
      <c r="K256" s="79" t="s">
        <v>2452</v>
      </c>
      <c r="M256" s="79" t="s">
        <v>2453</v>
      </c>
      <c r="N256" s="79" t="s">
        <v>2454</v>
      </c>
      <c r="O256" s="79" t="s">
        <v>2455</v>
      </c>
      <c r="P256" s="79" t="s">
        <v>2456</v>
      </c>
      <c r="Q256" s="79" t="s">
        <v>2457</v>
      </c>
      <c r="R256" s="79" t="s">
        <v>2445</v>
      </c>
    </row>
    <row r="257" spans="1:18" x14ac:dyDescent="0.25">
      <c r="A257" s="79" t="s">
        <v>78</v>
      </c>
    </row>
    <row r="258" spans="1:18" x14ac:dyDescent="0.25">
      <c r="A258" s="79" t="s">
        <v>78</v>
      </c>
      <c r="D258" s="79" t="s">
        <v>2458</v>
      </c>
      <c r="E258" s="79" t="s">
        <v>2459</v>
      </c>
      <c r="G258" s="79" t="s">
        <v>2460</v>
      </c>
      <c r="H258" s="79" t="s">
        <v>1187</v>
      </c>
      <c r="J258" s="79" t="s">
        <v>2461</v>
      </c>
      <c r="K258" s="79" t="s">
        <v>2462</v>
      </c>
      <c r="L258" s="79" t="s">
        <v>2463</v>
      </c>
      <c r="M258" s="79" t="s">
        <v>2464</v>
      </c>
      <c r="N258" s="79" t="s">
        <v>2465</v>
      </c>
      <c r="O258" s="79" t="s">
        <v>2466</v>
      </c>
      <c r="P258" s="79" t="s">
        <v>2467</v>
      </c>
      <c r="Q258" s="79" t="s">
        <v>2468</v>
      </c>
      <c r="R258" s="79" t="s">
        <v>2469</v>
      </c>
    </row>
    <row r="259" spans="1:18" x14ac:dyDescent="0.25">
      <c r="A259" s="79" t="s">
        <v>78</v>
      </c>
      <c r="B259" s="79" t="s">
        <v>2470</v>
      </c>
      <c r="D259" s="79" t="s">
        <v>2471</v>
      </c>
      <c r="E259" s="79" t="s">
        <v>2472</v>
      </c>
      <c r="F259" s="79" t="s">
        <v>2473</v>
      </c>
      <c r="H259" s="79" t="s">
        <v>2474</v>
      </c>
      <c r="J259" s="79" t="s">
        <v>2475</v>
      </c>
      <c r="K259" s="79" t="s">
        <v>2476</v>
      </c>
      <c r="M259" s="79" t="s">
        <v>2477</v>
      </c>
      <c r="N259" s="79" t="s">
        <v>2478</v>
      </c>
      <c r="O259" s="79" t="s">
        <v>2479</v>
      </c>
      <c r="P259" s="79" t="s">
        <v>2480</v>
      </c>
      <c r="Q259" s="79" t="s">
        <v>2481</v>
      </c>
      <c r="R259" s="79" t="s">
        <v>2469</v>
      </c>
    </row>
    <row r="260" spans="1:18" x14ac:dyDescent="0.25">
      <c r="A260" s="79" t="s">
        <v>78</v>
      </c>
    </row>
    <row r="261" spans="1:18" x14ac:dyDescent="0.25">
      <c r="A261" s="79" t="s">
        <v>78</v>
      </c>
      <c r="D261" s="79" t="s">
        <v>2482</v>
      </c>
      <c r="E261" s="79" t="s">
        <v>2483</v>
      </c>
      <c r="G261" s="79" t="s">
        <v>2484</v>
      </c>
      <c r="H261" s="79" t="s">
        <v>1188</v>
      </c>
      <c r="J261" s="79" t="s">
        <v>2485</v>
      </c>
      <c r="K261" s="79" t="s">
        <v>2486</v>
      </c>
      <c r="L261" s="79" t="s">
        <v>2487</v>
      </c>
      <c r="M261" s="79" t="s">
        <v>2488</v>
      </c>
      <c r="N261" s="79" t="s">
        <v>2489</v>
      </c>
      <c r="O261" s="79" t="s">
        <v>2490</v>
      </c>
      <c r="P261" s="79" t="s">
        <v>2491</v>
      </c>
      <c r="Q261" s="79" t="s">
        <v>2492</v>
      </c>
      <c r="R261" s="79" t="s">
        <v>2493</v>
      </c>
    </row>
    <row r="262" spans="1:18" x14ac:dyDescent="0.25">
      <c r="A262" s="79" t="s">
        <v>78</v>
      </c>
      <c r="B262" s="79" t="s">
        <v>2494</v>
      </c>
      <c r="D262" s="79" t="s">
        <v>2495</v>
      </c>
      <c r="E262" s="79" t="s">
        <v>2496</v>
      </c>
      <c r="F262" s="79" t="s">
        <v>2497</v>
      </c>
      <c r="H262" s="79" t="s">
        <v>2498</v>
      </c>
      <c r="J262" s="79" t="s">
        <v>2499</v>
      </c>
      <c r="K262" s="79" t="s">
        <v>2500</v>
      </c>
      <c r="M262" s="79" t="s">
        <v>2501</v>
      </c>
      <c r="N262" s="79" t="s">
        <v>2502</v>
      </c>
      <c r="O262" s="79" t="s">
        <v>2503</v>
      </c>
      <c r="P262" s="79" t="s">
        <v>2504</v>
      </c>
      <c r="Q262" s="79" t="s">
        <v>2505</v>
      </c>
      <c r="R262" s="79" t="s">
        <v>2493</v>
      </c>
    </row>
    <row r="263" spans="1:18" x14ac:dyDescent="0.25">
      <c r="A263" s="79" t="s">
        <v>78</v>
      </c>
    </row>
    <row r="264" spans="1:18" x14ac:dyDescent="0.25">
      <c r="A264" s="79" t="s">
        <v>78</v>
      </c>
      <c r="D264" s="79" t="s">
        <v>2506</v>
      </c>
      <c r="E264" s="79" t="s">
        <v>2507</v>
      </c>
      <c r="G264" s="79" t="s">
        <v>2508</v>
      </c>
      <c r="H264" s="79" t="s">
        <v>1189</v>
      </c>
      <c r="J264" s="79" t="s">
        <v>2509</v>
      </c>
      <c r="K264" s="79" t="s">
        <v>2510</v>
      </c>
      <c r="L264" s="79" t="s">
        <v>2511</v>
      </c>
      <c r="M264" s="79" t="s">
        <v>2512</v>
      </c>
      <c r="N264" s="79" t="s">
        <v>2513</v>
      </c>
      <c r="O264" s="79" t="s">
        <v>2514</v>
      </c>
      <c r="P264" s="79" t="s">
        <v>2515</v>
      </c>
      <c r="Q264" s="79" t="s">
        <v>2516</v>
      </c>
      <c r="R264" s="79" t="s">
        <v>2517</v>
      </c>
    </row>
    <row r="265" spans="1:18" x14ac:dyDescent="0.25">
      <c r="A265" s="79" t="s">
        <v>78</v>
      </c>
      <c r="B265" s="79" t="s">
        <v>2518</v>
      </c>
      <c r="D265" s="79" t="s">
        <v>2519</v>
      </c>
      <c r="E265" s="79" t="s">
        <v>2520</v>
      </c>
      <c r="F265" s="79" t="s">
        <v>2521</v>
      </c>
      <c r="H265" s="79" t="s">
        <v>2522</v>
      </c>
      <c r="J265" s="79" t="s">
        <v>2523</v>
      </c>
      <c r="K265" s="79" t="s">
        <v>2524</v>
      </c>
      <c r="M265" s="79" t="s">
        <v>2525</v>
      </c>
      <c r="N265" s="79" t="s">
        <v>2526</v>
      </c>
      <c r="O265" s="79" t="s">
        <v>2527</v>
      </c>
      <c r="P265" s="79" t="s">
        <v>2528</v>
      </c>
      <c r="Q265" s="79" t="s">
        <v>2529</v>
      </c>
      <c r="R265" s="79" t="s">
        <v>2517</v>
      </c>
    </row>
    <row r="266" spans="1:18" x14ac:dyDescent="0.25">
      <c r="A266" s="79" t="s">
        <v>78</v>
      </c>
    </row>
    <row r="267" spans="1:18" x14ac:dyDescent="0.25">
      <c r="A267" s="79" t="s">
        <v>78</v>
      </c>
      <c r="D267" s="79" t="s">
        <v>2530</v>
      </c>
      <c r="E267" s="79" t="s">
        <v>2531</v>
      </c>
      <c r="G267" s="79" t="s">
        <v>2532</v>
      </c>
      <c r="H267" s="79" t="s">
        <v>1190</v>
      </c>
      <c r="J267" s="79" t="s">
        <v>2533</v>
      </c>
      <c r="K267" s="79" t="s">
        <v>2534</v>
      </c>
      <c r="L267" s="79" t="s">
        <v>2535</v>
      </c>
      <c r="M267" s="79" t="s">
        <v>2536</v>
      </c>
      <c r="N267" s="79" t="s">
        <v>2537</v>
      </c>
      <c r="O267" s="79" t="s">
        <v>2538</v>
      </c>
      <c r="P267" s="79" t="s">
        <v>2539</v>
      </c>
      <c r="Q267" s="79" t="s">
        <v>2540</v>
      </c>
      <c r="R267" s="79" t="s">
        <v>2541</v>
      </c>
    </row>
    <row r="268" spans="1:18" x14ac:dyDescent="0.25">
      <c r="A268" s="79" t="s">
        <v>78</v>
      </c>
      <c r="B268" s="79" t="s">
        <v>2542</v>
      </c>
      <c r="D268" s="79" t="s">
        <v>2543</v>
      </c>
      <c r="E268" s="79" t="s">
        <v>2544</v>
      </c>
      <c r="F268" s="79" t="s">
        <v>2545</v>
      </c>
      <c r="H268" s="79" t="s">
        <v>2546</v>
      </c>
      <c r="J268" s="79" t="s">
        <v>2547</v>
      </c>
      <c r="K268" s="79" t="s">
        <v>2548</v>
      </c>
      <c r="M268" s="79" t="s">
        <v>2549</v>
      </c>
      <c r="N268" s="79" t="s">
        <v>2550</v>
      </c>
      <c r="O268" s="79" t="s">
        <v>2551</v>
      </c>
      <c r="P268" s="79" t="s">
        <v>2552</v>
      </c>
      <c r="Q268" s="79" t="s">
        <v>2553</v>
      </c>
      <c r="R268" s="79" t="s">
        <v>2541</v>
      </c>
    </row>
    <row r="269" spans="1:18" x14ac:dyDescent="0.25">
      <c r="A269" s="79" t="s">
        <v>78</v>
      </c>
    </row>
    <row r="270" spans="1:18" x14ac:dyDescent="0.25">
      <c r="A270" s="79" t="s">
        <v>78</v>
      </c>
      <c r="D270" s="79" t="s">
        <v>2554</v>
      </c>
      <c r="E270" s="79" t="s">
        <v>2555</v>
      </c>
      <c r="G270" s="79" t="s">
        <v>2556</v>
      </c>
      <c r="H270" s="79" t="s">
        <v>1191</v>
      </c>
      <c r="J270" s="79" t="s">
        <v>2557</v>
      </c>
      <c r="K270" s="79" t="s">
        <v>2558</v>
      </c>
      <c r="L270" s="79" t="s">
        <v>2559</v>
      </c>
      <c r="M270" s="79" t="s">
        <v>2560</v>
      </c>
      <c r="N270" s="79" t="s">
        <v>2561</v>
      </c>
      <c r="O270" s="79" t="s">
        <v>2562</v>
      </c>
      <c r="P270" s="79" t="s">
        <v>2563</v>
      </c>
      <c r="Q270" s="79" t="s">
        <v>2564</v>
      </c>
      <c r="R270" s="79" t="s">
        <v>2565</v>
      </c>
    </row>
    <row r="271" spans="1:18" x14ac:dyDescent="0.25">
      <c r="A271" s="79" t="s">
        <v>78</v>
      </c>
      <c r="B271" s="79" t="s">
        <v>2566</v>
      </c>
      <c r="D271" s="79" t="s">
        <v>2567</v>
      </c>
      <c r="E271" s="79" t="s">
        <v>2568</v>
      </c>
      <c r="F271" s="79" t="s">
        <v>2569</v>
      </c>
      <c r="H271" s="79" t="s">
        <v>2570</v>
      </c>
      <c r="J271" s="79" t="s">
        <v>2571</v>
      </c>
      <c r="K271" s="79" t="s">
        <v>2572</v>
      </c>
      <c r="M271" s="79" t="s">
        <v>2573</v>
      </c>
      <c r="N271" s="79" t="s">
        <v>2574</v>
      </c>
      <c r="O271" s="79" t="s">
        <v>2575</v>
      </c>
      <c r="P271" s="79" t="s">
        <v>2576</v>
      </c>
      <c r="Q271" s="79" t="s">
        <v>2577</v>
      </c>
      <c r="R271" s="79" t="s">
        <v>2565</v>
      </c>
    </row>
    <row r="272" spans="1:18" x14ac:dyDescent="0.25">
      <c r="A272" s="79" t="s">
        <v>78</v>
      </c>
    </row>
    <row r="273" spans="1:18" x14ac:dyDescent="0.25">
      <c r="A273" s="79" t="s">
        <v>78</v>
      </c>
      <c r="D273" s="79" t="s">
        <v>1381</v>
      </c>
      <c r="E273" s="79" t="s">
        <v>1382</v>
      </c>
      <c r="G273" s="79" t="s">
        <v>1383</v>
      </c>
      <c r="H273" s="79" t="s">
        <v>2578</v>
      </c>
      <c r="J273" s="79" t="s">
        <v>1384</v>
      </c>
      <c r="K273" s="79" t="s">
        <v>1385</v>
      </c>
      <c r="L273" s="79" t="s">
        <v>1386</v>
      </c>
      <c r="M273" s="79" t="s">
        <v>1387</v>
      </c>
      <c r="N273" s="79" t="s">
        <v>1388</v>
      </c>
      <c r="O273" s="79" t="s">
        <v>1389</v>
      </c>
      <c r="P273" s="79" t="s">
        <v>1390</v>
      </c>
      <c r="Q273" s="79" t="s">
        <v>1391</v>
      </c>
      <c r="R273" s="79" t="s">
        <v>1392</v>
      </c>
    </row>
    <row r="274" spans="1:18" x14ac:dyDescent="0.25">
      <c r="A274" s="79" t="s">
        <v>78</v>
      </c>
      <c r="B274" s="79" t="s">
        <v>1393</v>
      </c>
      <c r="D274" s="79" t="s">
        <v>1394</v>
      </c>
      <c r="E274" s="79" t="s">
        <v>1395</v>
      </c>
      <c r="F274" s="79" t="s">
        <v>1396</v>
      </c>
      <c r="H274" s="79" t="s">
        <v>1397</v>
      </c>
      <c r="J274" s="79" t="s">
        <v>1398</v>
      </c>
      <c r="K274" s="79" t="s">
        <v>1399</v>
      </c>
      <c r="M274" s="79" t="s">
        <v>1400</v>
      </c>
      <c r="N274" s="79" t="s">
        <v>1401</v>
      </c>
      <c r="O274" s="79" t="s">
        <v>1402</v>
      </c>
      <c r="P274" s="79" t="s">
        <v>1403</v>
      </c>
      <c r="Q274" s="79" t="s">
        <v>1404</v>
      </c>
      <c r="R274" s="79" t="s">
        <v>1392</v>
      </c>
    </row>
    <row r="275" spans="1:18" x14ac:dyDescent="0.25">
      <c r="A275" s="79" t="s">
        <v>78</v>
      </c>
    </row>
    <row r="276" spans="1:18" x14ac:dyDescent="0.25">
      <c r="A276" s="79" t="s">
        <v>78</v>
      </c>
      <c r="D276" s="79" t="s">
        <v>1405</v>
      </c>
      <c r="E276" s="79" t="s">
        <v>1406</v>
      </c>
      <c r="G276" s="79" t="s">
        <v>1407</v>
      </c>
      <c r="H276" s="79" t="s">
        <v>2579</v>
      </c>
      <c r="J276" s="79" t="s">
        <v>1409</v>
      </c>
      <c r="K276" s="79" t="s">
        <v>1410</v>
      </c>
      <c r="L276" s="79" t="s">
        <v>1411</v>
      </c>
      <c r="M276" s="79" t="s">
        <v>1412</v>
      </c>
      <c r="N276" s="79" t="s">
        <v>1413</v>
      </c>
      <c r="O276" s="79" t="s">
        <v>1414</v>
      </c>
      <c r="P276" s="79" t="s">
        <v>1415</v>
      </c>
      <c r="Q276" s="79" t="s">
        <v>1416</v>
      </c>
      <c r="R276" s="79" t="s">
        <v>1417</v>
      </c>
    </row>
    <row r="277" spans="1:18" x14ac:dyDescent="0.25">
      <c r="A277" s="79" t="s">
        <v>78</v>
      </c>
      <c r="B277" s="79" t="s">
        <v>1418</v>
      </c>
      <c r="D277" s="79" t="s">
        <v>1419</v>
      </c>
      <c r="E277" s="79" t="s">
        <v>1420</v>
      </c>
      <c r="F277" s="79" t="s">
        <v>1421</v>
      </c>
      <c r="H277" s="79" t="s">
        <v>1422</v>
      </c>
      <c r="J277" s="79" t="s">
        <v>1423</v>
      </c>
      <c r="K277" s="79" t="s">
        <v>1424</v>
      </c>
      <c r="M277" s="79" t="s">
        <v>1425</v>
      </c>
      <c r="N277" s="79" t="s">
        <v>1426</v>
      </c>
      <c r="O277" s="79" t="s">
        <v>1427</v>
      </c>
      <c r="P277" s="79" t="s">
        <v>1428</v>
      </c>
      <c r="Q277" s="79" t="s">
        <v>1429</v>
      </c>
      <c r="R277" s="79" t="s">
        <v>1417</v>
      </c>
    </row>
    <row r="278" spans="1:18" x14ac:dyDescent="0.25">
      <c r="A278" s="79" t="s">
        <v>78</v>
      </c>
    </row>
    <row r="279" spans="1:18" x14ac:dyDescent="0.25">
      <c r="A279" s="79" t="s">
        <v>78</v>
      </c>
      <c r="D279" s="79" t="s">
        <v>1430</v>
      </c>
      <c r="E279" s="79" t="s">
        <v>1431</v>
      </c>
      <c r="G279" s="79" t="s">
        <v>1432</v>
      </c>
      <c r="H279" s="79" t="s">
        <v>2580</v>
      </c>
      <c r="J279" s="79" t="s">
        <v>1434</v>
      </c>
      <c r="K279" s="79" t="s">
        <v>1435</v>
      </c>
      <c r="L279" s="79" t="s">
        <v>1436</v>
      </c>
      <c r="M279" s="79" t="s">
        <v>1437</v>
      </c>
      <c r="N279" s="79" t="s">
        <v>1438</v>
      </c>
      <c r="O279" s="79" t="s">
        <v>1439</v>
      </c>
      <c r="P279" s="79" t="s">
        <v>1440</v>
      </c>
      <c r="Q279" s="79" t="s">
        <v>1441</v>
      </c>
      <c r="R279" s="79" t="s">
        <v>1442</v>
      </c>
    </row>
    <row r="280" spans="1:18" x14ac:dyDescent="0.25">
      <c r="A280" s="79" t="s">
        <v>78</v>
      </c>
      <c r="B280" s="79" t="s">
        <v>1443</v>
      </c>
      <c r="D280" s="79" t="s">
        <v>1444</v>
      </c>
      <c r="E280" s="79" t="s">
        <v>1445</v>
      </c>
      <c r="F280" s="79" t="s">
        <v>1446</v>
      </c>
      <c r="H280" s="79" t="s">
        <v>1447</v>
      </c>
      <c r="J280" s="79" t="s">
        <v>1448</v>
      </c>
      <c r="K280" s="79" t="s">
        <v>1449</v>
      </c>
      <c r="M280" s="79" t="s">
        <v>1450</v>
      </c>
      <c r="N280" s="79" t="s">
        <v>1451</v>
      </c>
      <c r="O280" s="79" t="s">
        <v>1452</v>
      </c>
      <c r="P280" s="79" t="s">
        <v>1453</v>
      </c>
      <c r="Q280" s="79" t="s">
        <v>1454</v>
      </c>
      <c r="R280" s="79" t="s">
        <v>1442</v>
      </c>
    </row>
    <row r="281" spans="1:18" x14ac:dyDescent="0.25">
      <c r="A281" s="79" t="s">
        <v>78</v>
      </c>
    </row>
    <row r="282" spans="1:18" x14ac:dyDescent="0.25">
      <c r="A282" s="79" t="s">
        <v>78</v>
      </c>
      <c r="D282" s="79" t="s">
        <v>1455</v>
      </c>
      <c r="E282" s="79" t="s">
        <v>1456</v>
      </c>
      <c r="G282" s="79" t="s">
        <v>1457</v>
      </c>
      <c r="H282" s="79" t="s">
        <v>2581</v>
      </c>
      <c r="J282" s="79" t="s">
        <v>1459</v>
      </c>
      <c r="K282" s="79" t="s">
        <v>1460</v>
      </c>
      <c r="L282" s="79" t="s">
        <v>1461</v>
      </c>
      <c r="M282" s="79" t="s">
        <v>1462</v>
      </c>
      <c r="N282" s="79" t="s">
        <v>1463</v>
      </c>
      <c r="O282" s="79" t="s">
        <v>1464</v>
      </c>
      <c r="P282" s="79" t="s">
        <v>1465</v>
      </c>
      <c r="Q282" s="79" t="s">
        <v>1466</v>
      </c>
      <c r="R282" s="79" t="s">
        <v>1467</v>
      </c>
    </row>
    <row r="283" spans="1:18" x14ac:dyDescent="0.25">
      <c r="A283" s="79" t="s">
        <v>78</v>
      </c>
      <c r="B283" s="79" t="s">
        <v>1468</v>
      </c>
      <c r="D283" s="79" t="s">
        <v>1469</v>
      </c>
      <c r="E283" s="79" t="s">
        <v>1470</v>
      </c>
      <c r="F283" s="79" t="s">
        <v>1471</v>
      </c>
      <c r="H283" s="79" t="s">
        <v>1472</v>
      </c>
      <c r="J283" s="79" t="s">
        <v>1473</v>
      </c>
      <c r="K283" s="79" t="s">
        <v>1474</v>
      </c>
      <c r="M283" s="79" t="s">
        <v>1475</v>
      </c>
      <c r="N283" s="79" t="s">
        <v>1476</v>
      </c>
      <c r="O283" s="79" t="s">
        <v>1477</v>
      </c>
      <c r="P283" s="79" t="s">
        <v>1478</v>
      </c>
      <c r="Q283" s="79" t="s">
        <v>1479</v>
      </c>
      <c r="R283" s="79" t="s">
        <v>1467</v>
      </c>
    </row>
    <row r="284" spans="1:18" x14ac:dyDescent="0.25">
      <c r="A284" s="79" t="s">
        <v>78</v>
      </c>
    </row>
    <row r="285" spans="1:18" x14ac:dyDescent="0.25">
      <c r="A285" s="79" t="s">
        <v>78</v>
      </c>
      <c r="D285" s="79" t="s">
        <v>2582</v>
      </c>
      <c r="E285" s="79" t="s">
        <v>2583</v>
      </c>
      <c r="G285" s="79" t="s">
        <v>2584</v>
      </c>
      <c r="H285" s="79" t="s">
        <v>2585</v>
      </c>
      <c r="J285" s="79" t="s">
        <v>2586</v>
      </c>
      <c r="K285" s="79" t="s">
        <v>2587</v>
      </c>
      <c r="L285" s="79" t="s">
        <v>2588</v>
      </c>
      <c r="M285" s="79" t="s">
        <v>2589</v>
      </c>
      <c r="N285" s="79" t="s">
        <v>2590</v>
      </c>
      <c r="O285" s="79" t="s">
        <v>2591</v>
      </c>
      <c r="P285" s="79" t="s">
        <v>2592</v>
      </c>
      <c r="Q285" s="79" t="s">
        <v>2593</v>
      </c>
      <c r="R285" s="79" t="s">
        <v>2594</v>
      </c>
    </row>
    <row r="286" spans="1:18" x14ac:dyDescent="0.25">
      <c r="A286" s="79" t="s">
        <v>78</v>
      </c>
      <c r="B286" s="79" t="s">
        <v>2595</v>
      </c>
      <c r="D286" s="79" t="s">
        <v>2596</v>
      </c>
      <c r="E286" s="79" t="s">
        <v>2597</v>
      </c>
      <c r="F286" s="79" t="s">
        <v>2598</v>
      </c>
      <c r="H286" s="79" t="s">
        <v>2599</v>
      </c>
      <c r="J286" s="79" t="s">
        <v>2600</v>
      </c>
      <c r="K286" s="79" t="s">
        <v>2601</v>
      </c>
      <c r="M286" s="79" t="s">
        <v>2602</v>
      </c>
      <c r="N286" s="79" t="s">
        <v>2603</v>
      </c>
      <c r="O286" s="79" t="s">
        <v>2604</v>
      </c>
      <c r="P286" s="79" t="s">
        <v>2605</v>
      </c>
      <c r="Q286" s="79" t="s">
        <v>2606</v>
      </c>
      <c r="R286" s="79" t="s">
        <v>2594</v>
      </c>
    </row>
    <row r="287" spans="1:18" x14ac:dyDescent="0.25">
      <c r="A287" s="79" t="s">
        <v>78</v>
      </c>
    </row>
    <row r="288" spans="1:18" x14ac:dyDescent="0.25">
      <c r="A288" s="79" t="s">
        <v>78</v>
      </c>
      <c r="D288" s="79" t="s">
        <v>1481</v>
      </c>
      <c r="E288" s="79" t="s">
        <v>2607</v>
      </c>
      <c r="G288" s="79" t="s">
        <v>2608</v>
      </c>
      <c r="H288" s="79" t="s">
        <v>2609</v>
      </c>
      <c r="J288" s="79" t="s">
        <v>2610</v>
      </c>
      <c r="K288" s="79" t="s">
        <v>2611</v>
      </c>
      <c r="L288" s="79" t="s">
        <v>2612</v>
      </c>
      <c r="M288" s="79" t="s">
        <v>2613</v>
      </c>
      <c r="N288" s="79" t="s">
        <v>2614</v>
      </c>
      <c r="O288" s="79" t="s">
        <v>2615</v>
      </c>
      <c r="P288" s="79" t="s">
        <v>2616</v>
      </c>
      <c r="Q288" s="79" t="s">
        <v>2617</v>
      </c>
      <c r="R288" s="79" t="s">
        <v>2618</v>
      </c>
    </row>
    <row r="289" spans="1:18" x14ac:dyDescent="0.25">
      <c r="A289" s="79" t="s">
        <v>78</v>
      </c>
      <c r="B289" s="79" t="s">
        <v>2619</v>
      </c>
      <c r="D289" s="79" t="s">
        <v>2620</v>
      </c>
      <c r="E289" s="79" t="s">
        <v>2621</v>
      </c>
      <c r="F289" s="79" t="s">
        <v>2622</v>
      </c>
      <c r="H289" s="79" t="s">
        <v>2623</v>
      </c>
      <c r="J289" s="79" t="s">
        <v>2624</v>
      </c>
      <c r="K289" s="79" t="s">
        <v>2625</v>
      </c>
      <c r="M289" s="79" t="s">
        <v>2626</v>
      </c>
      <c r="N289" s="79" t="s">
        <v>2627</v>
      </c>
      <c r="O289" s="79" t="s">
        <v>2628</v>
      </c>
      <c r="P289" s="79" t="s">
        <v>2629</v>
      </c>
      <c r="Q289" s="79" t="s">
        <v>2630</v>
      </c>
      <c r="R289" s="79" t="s">
        <v>2618</v>
      </c>
    </row>
    <row r="290" spans="1:18" x14ac:dyDescent="0.25">
      <c r="A290" s="79" t="s">
        <v>78</v>
      </c>
    </row>
    <row r="291" spans="1:18" x14ac:dyDescent="0.25">
      <c r="A291" s="79" t="s">
        <v>78</v>
      </c>
      <c r="D291" s="79" t="s">
        <v>2631</v>
      </c>
      <c r="E291" s="79" t="s">
        <v>2632</v>
      </c>
      <c r="G291" s="79" t="s">
        <v>2633</v>
      </c>
      <c r="H291" s="79" t="s">
        <v>2634</v>
      </c>
      <c r="J291" s="79" t="s">
        <v>2635</v>
      </c>
      <c r="K291" s="79" t="s">
        <v>2636</v>
      </c>
      <c r="L291" s="79" t="s">
        <v>2637</v>
      </c>
      <c r="M291" s="79" t="s">
        <v>2638</v>
      </c>
      <c r="N291" s="79" t="s">
        <v>2639</v>
      </c>
      <c r="O291" s="79" t="s">
        <v>2640</v>
      </c>
      <c r="P291" s="79" t="s">
        <v>2641</v>
      </c>
      <c r="Q291" s="79" t="s">
        <v>2642</v>
      </c>
      <c r="R291" s="79" t="s">
        <v>2643</v>
      </c>
    </row>
    <row r="292" spans="1:18" x14ac:dyDescent="0.25">
      <c r="A292" s="79" t="s">
        <v>78</v>
      </c>
      <c r="B292" s="79" t="s">
        <v>2644</v>
      </c>
      <c r="D292" s="79" t="s">
        <v>2645</v>
      </c>
      <c r="E292" s="79" t="s">
        <v>2646</v>
      </c>
      <c r="F292" s="79" t="s">
        <v>2647</v>
      </c>
      <c r="H292" s="79" t="s">
        <v>2648</v>
      </c>
      <c r="J292" s="79" t="s">
        <v>2649</v>
      </c>
      <c r="K292" s="79" t="s">
        <v>2650</v>
      </c>
      <c r="M292" s="79" t="s">
        <v>2651</v>
      </c>
      <c r="N292" s="79" t="s">
        <v>2652</v>
      </c>
      <c r="O292" s="79" t="s">
        <v>2653</v>
      </c>
      <c r="P292" s="79" t="s">
        <v>2654</v>
      </c>
      <c r="Q292" s="79" t="s">
        <v>2655</v>
      </c>
      <c r="R292" s="79" t="s">
        <v>2643</v>
      </c>
    </row>
    <row r="293" spans="1:18" x14ac:dyDescent="0.25">
      <c r="A293" s="79" t="s">
        <v>78</v>
      </c>
    </row>
    <row r="294" spans="1:18" x14ac:dyDescent="0.25">
      <c r="A294" s="79" t="s">
        <v>78</v>
      </c>
      <c r="D294" s="79" t="s">
        <v>2656</v>
      </c>
      <c r="E294" s="79" t="s">
        <v>2657</v>
      </c>
      <c r="G294" s="79" t="s">
        <v>2658</v>
      </c>
      <c r="H294" s="79" t="s">
        <v>2659</v>
      </c>
      <c r="J294" s="79" t="s">
        <v>2660</v>
      </c>
      <c r="K294" s="79" t="s">
        <v>2661</v>
      </c>
      <c r="L294" s="79" t="s">
        <v>2662</v>
      </c>
      <c r="M294" s="79" t="s">
        <v>2663</v>
      </c>
      <c r="N294" s="79" t="s">
        <v>2664</v>
      </c>
      <c r="O294" s="79" t="s">
        <v>2665</v>
      </c>
      <c r="P294" s="79" t="s">
        <v>2666</v>
      </c>
      <c r="Q294" s="79" t="s">
        <v>2667</v>
      </c>
      <c r="R294" s="79" t="s">
        <v>2668</v>
      </c>
    </row>
    <row r="295" spans="1:18" x14ac:dyDescent="0.25">
      <c r="A295" s="79" t="s">
        <v>78</v>
      </c>
      <c r="B295" s="79" t="s">
        <v>2669</v>
      </c>
      <c r="D295" s="79" t="s">
        <v>2670</v>
      </c>
      <c r="E295" s="79" t="s">
        <v>2671</v>
      </c>
      <c r="F295" s="79" t="s">
        <v>2672</v>
      </c>
      <c r="H295" s="79" t="s">
        <v>2673</v>
      </c>
      <c r="J295" s="79" t="s">
        <v>2674</v>
      </c>
      <c r="K295" s="79" t="s">
        <v>2675</v>
      </c>
      <c r="M295" s="79" t="s">
        <v>2676</v>
      </c>
      <c r="N295" s="79" t="s">
        <v>2677</v>
      </c>
      <c r="O295" s="79" t="s">
        <v>2678</v>
      </c>
      <c r="P295" s="79" t="s">
        <v>2679</v>
      </c>
      <c r="Q295" s="79" t="s">
        <v>2680</v>
      </c>
      <c r="R295" s="79" t="s">
        <v>2668</v>
      </c>
    </row>
    <row r="296" spans="1:18" x14ac:dyDescent="0.25">
      <c r="A296" s="79" t="s">
        <v>78</v>
      </c>
    </row>
    <row r="297" spans="1:18" x14ac:dyDescent="0.25">
      <c r="A297" s="79" t="s">
        <v>78</v>
      </c>
      <c r="D297" s="79" t="s">
        <v>1483</v>
      </c>
      <c r="E297" s="79" t="s">
        <v>2681</v>
      </c>
      <c r="G297" s="79" t="s">
        <v>2682</v>
      </c>
      <c r="H297" s="79" t="s">
        <v>2683</v>
      </c>
      <c r="J297" s="79" t="s">
        <v>2684</v>
      </c>
      <c r="K297" s="79" t="s">
        <v>2685</v>
      </c>
      <c r="L297" s="79" t="s">
        <v>2686</v>
      </c>
      <c r="M297" s="79" t="s">
        <v>2687</v>
      </c>
      <c r="N297" s="79" t="s">
        <v>2688</v>
      </c>
      <c r="O297" s="79" t="s">
        <v>2689</v>
      </c>
      <c r="P297" s="79" t="s">
        <v>2690</v>
      </c>
      <c r="Q297" s="79" t="s">
        <v>2691</v>
      </c>
      <c r="R297" s="79" t="s">
        <v>2692</v>
      </c>
    </row>
    <row r="298" spans="1:18" x14ac:dyDescent="0.25">
      <c r="A298" s="79" t="s">
        <v>78</v>
      </c>
      <c r="B298" s="79" t="s">
        <v>2693</v>
      </c>
      <c r="D298" s="79" t="s">
        <v>2694</v>
      </c>
      <c r="E298" s="79" t="s">
        <v>2695</v>
      </c>
      <c r="F298" s="79" t="s">
        <v>2696</v>
      </c>
      <c r="H298" s="79" t="s">
        <v>2697</v>
      </c>
      <c r="J298" s="79" t="s">
        <v>2698</v>
      </c>
      <c r="K298" s="79" t="s">
        <v>2699</v>
      </c>
      <c r="M298" s="79" t="s">
        <v>2700</v>
      </c>
      <c r="N298" s="79" t="s">
        <v>2701</v>
      </c>
      <c r="O298" s="79" t="s">
        <v>2702</v>
      </c>
      <c r="P298" s="79" t="s">
        <v>2703</v>
      </c>
      <c r="Q298" s="79" t="s">
        <v>2704</v>
      </c>
      <c r="R298" s="79" t="s">
        <v>2692</v>
      </c>
    </row>
    <row r="299" spans="1:18" x14ac:dyDescent="0.25">
      <c r="A299" s="79" t="s">
        <v>78</v>
      </c>
    </row>
    <row r="300" spans="1:18" x14ac:dyDescent="0.25">
      <c r="A300" s="79" t="s">
        <v>78</v>
      </c>
      <c r="D300" s="79" t="s">
        <v>2705</v>
      </c>
      <c r="E300" s="79" t="s">
        <v>2706</v>
      </c>
      <c r="G300" s="79" t="s">
        <v>2707</v>
      </c>
      <c r="H300" s="79" t="s">
        <v>2708</v>
      </c>
      <c r="J300" s="79" t="s">
        <v>2709</v>
      </c>
      <c r="K300" s="79" t="s">
        <v>2710</v>
      </c>
      <c r="L300" s="79" t="s">
        <v>2711</v>
      </c>
      <c r="M300" s="79" t="s">
        <v>2712</v>
      </c>
      <c r="N300" s="79" t="s">
        <v>2713</v>
      </c>
      <c r="O300" s="79" t="s">
        <v>2714</v>
      </c>
      <c r="P300" s="79" t="s">
        <v>2715</v>
      </c>
      <c r="Q300" s="79" t="s">
        <v>2716</v>
      </c>
      <c r="R300" s="79" t="s">
        <v>2717</v>
      </c>
    </row>
    <row r="301" spans="1:18" x14ac:dyDescent="0.25">
      <c r="A301" s="79" t="s">
        <v>78</v>
      </c>
      <c r="B301" s="79" t="s">
        <v>2718</v>
      </c>
      <c r="D301" s="79" t="s">
        <v>2719</v>
      </c>
      <c r="E301" s="79" t="s">
        <v>2720</v>
      </c>
      <c r="F301" s="79" t="s">
        <v>2721</v>
      </c>
      <c r="H301" s="79" t="s">
        <v>2722</v>
      </c>
      <c r="J301" s="79" t="s">
        <v>2723</v>
      </c>
      <c r="K301" s="79" t="s">
        <v>2724</v>
      </c>
      <c r="M301" s="79" t="s">
        <v>2725</v>
      </c>
      <c r="N301" s="79" t="s">
        <v>2726</v>
      </c>
      <c r="O301" s="79" t="s">
        <v>2727</v>
      </c>
      <c r="P301" s="79" t="s">
        <v>2728</v>
      </c>
      <c r="Q301" s="79" t="s">
        <v>2729</v>
      </c>
      <c r="R301" s="79" t="s">
        <v>2717</v>
      </c>
    </row>
    <row r="302" spans="1:18" x14ac:dyDescent="0.25">
      <c r="A302" s="79" t="s">
        <v>78</v>
      </c>
    </row>
    <row r="303" spans="1:18" x14ac:dyDescent="0.25">
      <c r="A303" s="79" t="s">
        <v>78</v>
      </c>
      <c r="D303" s="79" t="s">
        <v>2730</v>
      </c>
      <c r="E303" s="79" t="s">
        <v>2731</v>
      </c>
      <c r="G303" s="79" t="s">
        <v>2732</v>
      </c>
      <c r="H303" s="79" t="s">
        <v>2733</v>
      </c>
      <c r="J303" s="79" t="s">
        <v>2734</v>
      </c>
      <c r="K303" s="79" t="s">
        <v>2735</v>
      </c>
      <c r="L303" s="79" t="s">
        <v>2736</v>
      </c>
      <c r="M303" s="79" t="s">
        <v>2737</v>
      </c>
      <c r="N303" s="79" t="s">
        <v>2738</v>
      </c>
      <c r="O303" s="79" t="s">
        <v>2739</v>
      </c>
      <c r="P303" s="79" t="s">
        <v>2740</v>
      </c>
      <c r="Q303" s="79" t="s">
        <v>2741</v>
      </c>
      <c r="R303" s="79" t="s">
        <v>2742</v>
      </c>
    </row>
    <row r="304" spans="1:18" x14ac:dyDescent="0.25">
      <c r="A304" s="79" t="s">
        <v>78</v>
      </c>
      <c r="B304" s="79" t="s">
        <v>2743</v>
      </c>
      <c r="D304" s="79" t="s">
        <v>2744</v>
      </c>
      <c r="E304" s="79" t="s">
        <v>2745</v>
      </c>
      <c r="F304" s="79" t="s">
        <v>2746</v>
      </c>
      <c r="H304" s="79" t="s">
        <v>2747</v>
      </c>
      <c r="J304" s="79" t="s">
        <v>2748</v>
      </c>
      <c r="K304" s="79" t="s">
        <v>2749</v>
      </c>
      <c r="M304" s="79" t="s">
        <v>2750</v>
      </c>
      <c r="N304" s="79" t="s">
        <v>2751</v>
      </c>
      <c r="O304" s="79" t="s">
        <v>2752</v>
      </c>
      <c r="P304" s="79" t="s">
        <v>2753</v>
      </c>
      <c r="Q304" s="79" t="s">
        <v>2754</v>
      </c>
      <c r="R304" s="79" t="s">
        <v>2742</v>
      </c>
    </row>
    <row r="305" spans="1:18" x14ac:dyDescent="0.25">
      <c r="A305" s="79" t="s">
        <v>78</v>
      </c>
    </row>
    <row r="306" spans="1:18" x14ac:dyDescent="0.25">
      <c r="A306" s="79" t="s">
        <v>78</v>
      </c>
      <c r="D306" s="79" t="s">
        <v>2755</v>
      </c>
      <c r="E306" s="79" t="s">
        <v>2756</v>
      </c>
      <c r="G306" s="79" t="s">
        <v>2757</v>
      </c>
      <c r="H306" s="79" t="s">
        <v>2758</v>
      </c>
      <c r="J306" s="79" t="s">
        <v>2759</v>
      </c>
      <c r="K306" s="79" t="s">
        <v>2760</v>
      </c>
      <c r="L306" s="79" t="s">
        <v>2761</v>
      </c>
      <c r="M306" s="79" t="s">
        <v>2762</v>
      </c>
      <c r="N306" s="79" t="s">
        <v>2763</v>
      </c>
      <c r="O306" s="79" t="s">
        <v>2764</v>
      </c>
      <c r="P306" s="79" t="s">
        <v>2765</v>
      </c>
      <c r="Q306" s="79" t="s">
        <v>2766</v>
      </c>
      <c r="R306" s="79" t="s">
        <v>2767</v>
      </c>
    </row>
    <row r="307" spans="1:18" x14ac:dyDescent="0.25">
      <c r="A307" s="79" t="s">
        <v>78</v>
      </c>
      <c r="B307" s="79" t="s">
        <v>2768</v>
      </c>
      <c r="D307" s="79" t="s">
        <v>2769</v>
      </c>
      <c r="E307" s="79" t="s">
        <v>2770</v>
      </c>
      <c r="F307" s="79" t="s">
        <v>2771</v>
      </c>
      <c r="H307" s="79" t="s">
        <v>2772</v>
      </c>
      <c r="J307" s="79" t="s">
        <v>2773</v>
      </c>
      <c r="K307" s="79" t="s">
        <v>2774</v>
      </c>
      <c r="M307" s="79" t="s">
        <v>2775</v>
      </c>
      <c r="N307" s="79" t="s">
        <v>2776</v>
      </c>
      <c r="O307" s="79" t="s">
        <v>2777</v>
      </c>
      <c r="P307" s="79" t="s">
        <v>2778</v>
      </c>
      <c r="Q307" s="79" t="s">
        <v>2779</v>
      </c>
      <c r="R307" s="79" t="s">
        <v>2767</v>
      </c>
    </row>
    <row r="308" spans="1:18" x14ac:dyDescent="0.25">
      <c r="A308" s="79" t="s">
        <v>78</v>
      </c>
    </row>
    <row r="309" spans="1:18" x14ac:dyDescent="0.25">
      <c r="A309" s="79" t="s">
        <v>78</v>
      </c>
      <c r="D309" s="79" t="s">
        <v>2780</v>
      </c>
      <c r="E309" s="79" t="s">
        <v>2781</v>
      </c>
      <c r="G309" s="79" t="s">
        <v>2782</v>
      </c>
      <c r="H309" s="79" t="s">
        <v>2783</v>
      </c>
      <c r="J309" s="79" t="s">
        <v>2784</v>
      </c>
      <c r="K309" s="79" t="s">
        <v>2785</v>
      </c>
      <c r="L309" s="79" t="s">
        <v>2786</v>
      </c>
      <c r="M309" s="79" t="s">
        <v>2787</v>
      </c>
      <c r="N309" s="79" t="s">
        <v>2788</v>
      </c>
      <c r="O309" s="79" t="s">
        <v>2789</v>
      </c>
      <c r="P309" s="79" t="s">
        <v>2790</v>
      </c>
      <c r="Q309" s="79" t="s">
        <v>2791</v>
      </c>
      <c r="R309" s="79" t="s">
        <v>2792</v>
      </c>
    </row>
    <row r="310" spans="1:18" x14ac:dyDescent="0.25">
      <c r="A310" s="79" t="s">
        <v>78</v>
      </c>
      <c r="B310" s="79" t="s">
        <v>2793</v>
      </c>
      <c r="D310" s="79" t="s">
        <v>2794</v>
      </c>
      <c r="E310" s="79" t="s">
        <v>2795</v>
      </c>
      <c r="F310" s="79" t="s">
        <v>2796</v>
      </c>
      <c r="H310" s="79" t="s">
        <v>2797</v>
      </c>
      <c r="J310" s="79" t="s">
        <v>2798</v>
      </c>
      <c r="K310" s="79" t="s">
        <v>2799</v>
      </c>
      <c r="M310" s="79" t="s">
        <v>2800</v>
      </c>
      <c r="N310" s="79" t="s">
        <v>2801</v>
      </c>
      <c r="O310" s="79" t="s">
        <v>2802</v>
      </c>
      <c r="P310" s="79" t="s">
        <v>2803</v>
      </c>
      <c r="Q310" s="79" t="s">
        <v>2804</v>
      </c>
      <c r="R310" s="79" t="s">
        <v>2792</v>
      </c>
    </row>
    <row r="311" spans="1:18" x14ac:dyDescent="0.25">
      <c r="A311" s="79" t="s">
        <v>78</v>
      </c>
    </row>
    <row r="312" spans="1:18" x14ac:dyDescent="0.25">
      <c r="A312" s="79" t="s">
        <v>78</v>
      </c>
      <c r="D312" s="79" t="s">
        <v>2805</v>
      </c>
      <c r="E312" s="79" t="s">
        <v>2806</v>
      </c>
      <c r="G312" s="79" t="s">
        <v>2807</v>
      </c>
      <c r="H312" s="79" t="s">
        <v>2808</v>
      </c>
      <c r="J312" s="79" t="s">
        <v>2809</v>
      </c>
      <c r="K312" s="79" t="s">
        <v>2810</v>
      </c>
      <c r="L312" s="79" t="s">
        <v>2811</v>
      </c>
      <c r="M312" s="79" t="s">
        <v>2812</v>
      </c>
      <c r="N312" s="79" t="s">
        <v>2813</v>
      </c>
      <c r="O312" s="79" t="s">
        <v>2814</v>
      </c>
      <c r="P312" s="79" t="s">
        <v>2815</v>
      </c>
      <c r="Q312" s="79" t="s">
        <v>2816</v>
      </c>
      <c r="R312" s="79" t="s">
        <v>2817</v>
      </c>
    </row>
    <row r="313" spans="1:18" x14ac:dyDescent="0.25">
      <c r="A313" s="79" t="s">
        <v>78</v>
      </c>
      <c r="B313" s="79" t="s">
        <v>2818</v>
      </c>
      <c r="D313" s="79" t="s">
        <v>2819</v>
      </c>
      <c r="E313" s="79" t="s">
        <v>2820</v>
      </c>
      <c r="F313" s="79" t="s">
        <v>2821</v>
      </c>
      <c r="H313" s="79" t="s">
        <v>2822</v>
      </c>
      <c r="J313" s="79" t="s">
        <v>2823</v>
      </c>
      <c r="K313" s="79" t="s">
        <v>2824</v>
      </c>
      <c r="M313" s="79" t="s">
        <v>2825</v>
      </c>
      <c r="N313" s="79" t="s">
        <v>2826</v>
      </c>
      <c r="O313" s="79" t="s">
        <v>2827</v>
      </c>
      <c r="P313" s="79" t="s">
        <v>2828</v>
      </c>
      <c r="Q313" s="79" t="s">
        <v>2829</v>
      </c>
      <c r="R313" s="79" t="s">
        <v>2817</v>
      </c>
    </row>
    <row r="314" spans="1:18" x14ac:dyDescent="0.25">
      <c r="A314" s="79" t="s">
        <v>78</v>
      </c>
    </row>
    <row r="315" spans="1:18" x14ac:dyDescent="0.25">
      <c r="A315" s="79" t="s">
        <v>78</v>
      </c>
      <c r="D315" s="79" t="s">
        <v>1486</v>
      </c>
      <c r="E315" s="79" t="s">
        <v>1487</v>
      </c>
      <c r="G315" s="79" t="s">
        <v>1488</v>
      </c>
      <c r="H315" s="79" t="s">
        <v>2830</v>
      </c>
      <c r="J315" s="79" t="s">
        <v>1489</v>
      </c>
      <c r="K315" s="79" t="s">
        <v>1490</v>
      </c>
      <c r="L315" s="79" t="s">
        <v>1491</v>
      </c>
      <c r="M315" s="79" t="s">
        <v>1492</v>
      </c>
      <c r="N315" s="79" t="s">
        <v>1493</v>
      </c>
      <c r="O315" s="79" t="s">
        <v>1494</v>
      </c>
      <c r="P315" s="79" t="s">
        <v>1495</v>
      </c>
      <c r="Q315" s="79" t="s">
        <v>1496</v>
      </c>
      <c r="R315" s="79" t="s">
        <v>1497</v>
      </c>
    </row>
    <row r="316" spans="1:18" x14ac:dyDescent="0.25">
      <c r="A316" s="79" t="s">
        <v>78</v>
      </c>
      <c r="B316" s="79" t="s">
        <v>1498</v>
      </c>
      <c r="D316" s="79" t="s">
        <v>1499</v>
      </c>
      <c r="E316" s="79" t="s">
        <v>1500</v>
      </c>
      <c r="F316" s="79" t="s">
        <v>1501</v>
      </c>
      <c r="H316" s="79" t="s">
        <v>1502</v>
      </c>
      <c r="J316" s="79" t="s">
        <v>1503</v>
      </c>
      <c r="K316" s="79" t="s">
        <v>1504</v>
      </c>
      <c r="M316" s="79" t="s">
        <v>1505</v>
      </c>
      <c r="N316" s="79" t="s">
        <v>1506</v>
      </c>
      <c r="O316" s="79" t="s">
        <v>1507</v>
      </c>
      <c r="P316" s="79" t="s">
        <v>1508</v>
      </c>
      <c r="Q316" s="79" t="s">
        <v>1509</v>
      </c>
      <c r="R316" s="79" t="s">
        <v>1497</v>
      </c>
    </row>
    <row r="317" spans="1:18" x14ac:dyDescent="0.25">
      <c r="A317" s="79" t="s">
        <v>78</v>
      </c>
    </row>
    <row r="318" spans="1:18" x14ac:dyDescent="0.25">
      <c r="A318" s="79" t="s">
        <v>78</v>
      </c>
      <c r="D318" s="79" t="s">
        <v>1510</v>
      </c>
      <c r="E318" s="79" t="s">
        <v>1511</v>
      </c>
      <c r="G318" s="79" t="s">
        <v>1512</v>
      </c>
      <c r="H318" s="79" t="s">
        <v>2831</v>
      </c>
      <c r="J318" s="79" t="s">
        <v>1514</v>
      </c>
      <c r="K318" s="79" t="s">
        <v>1515</v>
      </c>
      <c r="L318" s="79" t="s">
        <v>1516</v>
      </c>
      <c r="M318" s="79" t="s">
        <v>1517</v>
      </c>
      <c r="N318" s="79" t="s">
        <v>1518</v>
      </c>
      <c r="O318" s="79" t="s">
        <v>1519</v>
      </c>
      <c r="P318" s="79" t="s">
        <v>1520</v>
      </c>
      <c r="Q318" s="79" t="s">
        <v>1521</v>
      </c>
      <c r="R318" s="79" t="s">
        <v>1522</v>
      </c>
    </row>
    <row r="319" spans="1:18" x14ac:dyDescent="0.25">
      <c r="A319" s="79" t="s">
        <v>78</v>
      </c>
      <c r="B319" s="79" t="s">
        <v>1523</v>
      </c>
      <c r="D319" s="79" t="s">
        <v>1524</v>
      </c>
      <c r="E319" s="79" t="s">
        <v>1525</v>
      </c>
      <c r="F319" s="79" t="s">
        <v>1526</v>
      </c>
      <c r="H319" s="79" t="s">
        <v>1527</v>
      </c>
      <c r="J319" s="79" t="s">
        <v>1528</v>
      </c>
      <c r="K319" s="79" t="s">
        <v>1529</v>
      </c>
      <c r="M319" s="79" t="s">
        <v>1530</v>
      </c>
      <c r="N319" s="79" t="s">
        <v>1531</v>
      </c>
      <c r="O319" s="79" t="s">
        <v>1532</v>
      </c>
      <c r="P319" s="79" t="s">
        <v>1533</v>
      </c>
      <c r="Q319" s="79" t="s">
        <v>1534</v>
      </c>
      <c r="R319" s="79" t="s">
        <v>1522</v>
      </c>
    </row>
    <row r="320" spans="1:18" x14ac:dyDescent="0.25">
      <c r="A320" s="79" t="s">
        <v>78</v>
      </c>
    </row>
    <row r="321" spans="1:18" x14ac:dyDescent="0.25">
      <c r="A321" s="79" t="s">
        <v>78</v>
      </c>
      <c r="D321" s="79" t="s">
        <v>1535</v>
      </c>
      <c r="E321" s="79" t="s">
        <v>1536</v>
      </c>
      <c r="G321" s="79" t="s">
        <v>1537</v>
      </c>
      <c r="H321" s="79" t="s">
        <v>2832</v>
      </c>
      <c r="J321" s="79" t="s">
        <v>1539</v>
      </c>
      <c r="K321" s="79" t="s">
        <v>1540</v>
      </c>
      <c r="L321" s="79" t="s">
        <v>1541</v>
      </c>
      <c r="M321" s="79" t="s">
        <v>1542</v>
      </c>
      <c r="N321" s="79" t="s">
        <v>1543</v>
      </c>
      <c r="O321" s="79" t="s">
        <v>1544</v>
      </c>
      <c r="P321" s="79" t="s">
        <v>1545</v>
      </c>
      <c r="Q321" s="79" t="s">
        <v>1546</v>
      </c>
      <c r="R321" s="79" t="s">
        <v>1547</v>
      </c>
    </row>
    <row r="322" spans="1:18" x14ac:dyDescent="0.25">
      <c r="A322" s="79" t="s">
        <v>78</v>
      </c>
      <c r="B322" s="79" t="s">
        <v>1548</v>
      </c>
      <c r="D322" s="79" t="s">
        <v>1549</v>
      </c>
      <c r="E322" s="79" t="s">
        <v>1550</v>
      </c>
      <c r="F322" s="79" t="s">
        <v>1551</v>
      </c>
      <c r="H322" s="79" t="s">
        <v>1552</v>
      </c>
      <c r="J322" s="79" t="s">
        <v>1553</v>
      </c>
      <c r="K322" s="79" t="s">
        <v>1554</v>
      </c>
      <c r="M322" s="79" t="s">
        <v>1555</v>
      </c>
      <c r="N322" s="79" t="s">
        <v>1556</v>
      </c>
      <c r="O322" s="79" t="s">
        <v>1557</v>
      </c>
      <c r="P322" s="79" t="s">
        <v>1558</v>
      </c>
      <c r="Q322" s="79" t="s">
        <v>1559</v>
      </c>
      <c r="R322" s="79" t="s">
        <v>1547</v>
      </c>
    </row>
    <row r="323" spans="1:18" x14ac:dyDescent="0.25">
      <c r="A323" s="79" t="s">
        <v>78</v>
      </c>
    </row>
    <row r="324" spans="1:18" x14ac:dyDescent="0.25">
      <c r="A324" s="79" t="s">
        <v>78</v>
      </c>
      <c r="D324" s="79" t="s">
        <v>1560</v>
      </c>
      <c r="E324" s="79" t="s">
        <v>1561</v>
      </c>
      <c r="G324" s="79" t="s">
        <v>1562</v>
      </c>
      <c r="H324" s="79" t="s">
        <v>2833</v>
      </c>
      <c r="J324" s="79" t="s">
        <v>1564</v>
      </c>
      <c r="K324" s="79" t="s">
        <v>1565</v>
      </c>
      <c r="L324" s="79" t="s">
        <v>1566</v>
      </c>
      <c r="M324" s="79" t="s">
        <v>1567</v>
      </c>
      <c r="N324" s="79" t="s">
        <v>1568</v>
      </c>
      <c r="O324" s="79" t="s">
        <v>1569</v>
      </c>
      <c r="P324" s="79" t="s">
        <v>1570</v>
      </c>
      <c r="Q324" s="79" t="s">
        <v>1571</v>
      </c>
      <c r="R324" s="79" t="s">
        <v>1572</v>
      </c>
    </row>
    <row r="325" spans="1:18" x14ac:dyDescent="0.25">
      <c r="A325" s="79" t="s">
        <v>78</v>
      </c>
      <c r="B325" s="79" t="s">
        <v>1573</v>
      </c>
      <c r="D325" s="79" t="s">
        <v>1574</v>
      </c>
      <c r="E325" s="79" t="s">
        <v>1575</v>
      </c>
      <c r="F325" s="79" t="s">
        <v>1576</v>
      </c>
      <c r="H325" s="79" t="s">
        <v>1577</v>
      </c>
      <c r="J325" s="79" t="s">
        <v>1578</v>
      </c>
      <c r="K325" s="79" t="s">
        <v>1579</v>
      </c>
      <c r="M325" s="79" t="s">
        <v>1580</v>
      </c>
      <c r="N325" s="79" t="s">
        <v>1581</v>
      </c>
      <c r="O325" s="79" t="s">
        <v>1582</v>
      </c>
      <c r="P325" s="79" t="s">
        <v>1583</v>
      </c>
      <c r="Q325" s="79" t="s">
        <v>1584</v>
      </c>
      <c r="R325" s="79" t="s">
        <v>1572</v>
      </c>
    </row>
    <row r="326" spans="1:18" x14ac:dyDescent="0.25">
      <c r="A326" s="79" t="s">
        <v>78</v>
      </c>
    </row>
    <row r="327" spans="1:18" x14ac:dyDescent="0.25">
      <c r="A327" s="79" t="s">
        <v>78</v>
      </c>
      <c r="D327" s="79" t="s">
        <v>1585</v>
      </c>
      <c r="E327" s="79" t="s">
        <v>1586</v>
      </c>
      <c r="G327" s="79" t="s">
        <v>1587</v>
      </c>
      <c r="H327" s="79" t="s">
        <v>2834</v>
      </c>
      <c r="J327" s="79" t="s">
        <v>1589</v>
      </c>
      <c r="K327" s="79" t="s">
        <v>1590</v>
      </c>
      <c r="L327" s="79" t="s">
        <v>1591</v>
      </c>
      <c r="M327" s="79" t="s">
        <v>1592</v>
      </c>
      <c r="N327" s="79" t="s">
        <v>1593</v>
      </c>
      <c r="O327" s="79" t="s">
        <v>1594</v>
      </c>
      <c r="P327" s="79" t="s">
        <v>1595</v>
      </c>
      <c r="Q327" s="79" t="s">
        <v>1596</v>
      </c>
      <c r="R327" s="79" t="s">
        <v>1597</v>
      </c>
    </row>
    <row r="328" spans="1:18" x14ac:dyDescent="0.25">
      <c r="A328" s="79" t="s">
        <v>78</v>
      </c>
      <c r="B328" s="79" t="s">
        <v>1598</v>
      </c>
      <c r="D328" s="79" t="s">
        <v>1599</v>
      </c>
      <c r="E328" s="79" t="s">
        <v>1600</v>
      </c>
      <c r="F328" s="79" t="s">
        <v>1601</v>
      </c>
      <c r="H328" s="79" t="s">
        <v>1602</v>
      </c>
      <c r="J328" s="79" t="s">
        <v>1603</v>
      </c>
      <c r="K328" s="79" t="s">
        <v>1604</v>
      </c>
      <c r="M328" s="79" t="s">
        <v>1605</v>
      </c>
      <c r="N328" s="79" t="s">
        <v>1606</v>
      </c>
      <c r="O328" s="79" t="s">
        <v>1607</v>
      </c>
      <c r="P328" s="79" t="s">
        <v>1608</v>
      </c>
      <c r="Q328" s="79" t="s">
        <v>1609</v>
      </c>
      <c r="R328" s="79" t="s">
        <v>1597</v>
      </c>
    </row>
    <row r="329" spans="1:18" x14ac:dyDescent="0.25">
      <c r="A329" s="79" t="s">
        <v>78</v>
      </c>
    </row>
    <row r="330" spans="1:18" x14ac:dyDescent="0.25">
      <c r="A330" s="79" t="s">
        <v>78</v>
      </c>
      <c r="D330" s="79" t="s">
        <v>1610</v>
      </c>
      <c r="E330" s="79" t="s">
        <v>1611</v>
      </c>
      <c r="G330" s="79" t="s">
        <v>1612</v>
      </c>
      <c r="H330" s="79" t="s">
        <v>2835</v>
      </c>
      <c r="J330" s="79" t="s">
        <v>1614</v>
      </c>
      <c r="K330" s="79" t="s">
        <v>1615</v>
      </c>
      <c r="L330" s="79" t="s">
        <v>1616</v>
      </c>
      <c r="M330" s="79" t="s">
        <v>1617</v>
      </c>
      <c r="N330" s="79" t="s">
        <v>1618</v>
      </c>
      <c r="O330" s="79" t="s">
        <v>1619</v>
      </c>
      <c r="P330" s="79" t="s">
        <v>1620</v>
      </c>
      <c r="Q330" s="79" t="s">
        <v>1621</v>
      </c>
      <c r="R330" s="79" t="s">
        <v>1622</v>
      </c>
    </row>
    <row r="331" spans="1:18" x14ac:dyDescent="0.25">
      <c r="A331" s="79" t="s">
        <v>78</v>
      </c>
      <c r="B331" s="79" t="s">
        <v>1623</v>
      </c>
      <c r="D331" s="79" t="s">
        <v>1624</v>
      </c>
      <c r="E331" s="79" t="s">
        <v>1625</v>
      </c>
      <c r="F331" s="79" t="s">
        <v>1626</v>
      </c>
      <c r="H331" s="79" t="s">
        <v>1627</v>
      </c>
      <c r="J331" s="79" t="s">
        <v>1628</v>
      </c>
      <c r="K331" s="79" t="s">
        <v>1629</v>
      </c>
      <c r="M331" s="79" t="s">
        <v>1630</v>
      </c>
      <c r="N331" s="79" t="s">
        <v>1631</v>
      </c>
      <c r="O331" s="79" t="s">
        <v>1632</v>
      </c>
      <c r="P331" s="79" t="s">
        <v>1633</v>
      </c>
      <c r="Q331" s="79" t="s">
        <v>1634</v>
      </c>
      <c r="R331" s="79" t="s">
        <v>1622</v>
      </c>
    </row>
    <row r="332" spans="1:18" x14ac:dyDescent="0.25">
      <c r="A332" s="79" t="s">
        <v>78</v>
      </c>
    </row>
    <row r="333" spans="1:18" x14ac:dyDescent="0.25">
      <c r="A333" s="79" t="s">
        <v>78</v>
      </c>
      <c r="D333" s="79" t="s">
        <v>1635</v>
      </c>
      <c r="E333" s="79" t="s">
        <v>1636</v>
      </c>
      <c r="G333" s="79" t="s">
        <v>1637</v>
      </c>
      <c r="H333" s="79" t="s">
        <v>2836</v>
      </c>
      <c r="J333" s="79" t="s">
        <v>1639</v>
      </c>
      <c r="K333" s="79" t="s">
        <v>1640</v>
      </c>
      <c r="L333" s="79" t="s">
        <v>1641</v>
      </c>
      <c r="M333" s="79" t="s">
        <v>1642</v>
      </c>
      <c r="N333" s="79" t="s">
        <v>1643</v>
      </c>
      <c r="O333" s="79" t="s">
        <v>1644</v>
      </c>
      <c r="P333" s="79" t="s">
        <v>1645</v>
      </c>
      <c r="Q333" s="79" t="s">
        <v>1646</v>
      </c>
      <c r="R333" s="79" t="s">
        <v>1647</v>
      </c>
    </row>
    <row r="334" spans="1:18" x14ac:dyDescent="0.25">
      <c r="A334" s="79" t="s">
        <v>78</v>
      </c>
      <c r="B334" s="79" t="s">
        <v>1648</v>
      </c>
      <c r="D334" s="79" t="s">
        <v>1649</v>
      </c>
      <c r="E334" s="79" t="s">
        <v>1650</v>
      </c>
      <c r="F334" s="79" t="s">
        <v>1651</v>
      </c>
      <c r="H334" s="79" t="s">
        <v>1652</v>
      </c>
      <c r="J334" s="79" t="s">
        <v>1653</v>
      </c>
      <c r="K334" s="79" t="s">
        <v>1654</v>
      </c>
      <c r="M334" s="79" t="s">
        <v>1655</v>
      </c>
      <c r="N334" s="79" t="s">
        <v>1656</v>
      </c>
      <c r="O334" s="79" t="s">
        <v>1657</v>
      </c>
      <c r="P334" s="79" t="s">
        <v>1658</v>
      </c>
      <c r="Q334" s="79" t="s">
        <v>1659</v>
      </c>
      <c r="R334" s="79" t="s">
        <v>1647</v>
      </c>
    </row>
    <row r="335" spans="1:18" x14ac:dyDescent="0.25">
      <c r="A335" s="79" t="s">
        <v>78</v>
      </c>
    </row>
    <row r="336" spans="1:18" x14ac:dyDescent="0.25">
      <c r="A336" s="79" t="s">
        <v>78</v>
      </c>
    </row>
    <row r="337" spans="1:18" x14ac:dyDescent="0.25">
      <c r="A337" s="79" t="s">
        <v>78</v>
      </c>
      <c r="Q337" s="79" t="s">
        <v>2837</v>
      </c>
      <c r="R337" s="79" t="s">
        <v>2838</v>
      </c>
    </row>
    <row r="338" spans="1:18" x14ac:dyDescent="0.25">
      <c r="A338" s="79" t="s">
        <v>78</v>
      </c>
      <c r="H338" s="79" t="s">
        <v>1192</v>
      </c>
      <c r="I338" s="79" t="s">
        <v>1661</v>
      </c>
    </row>
    <row r="339" spans="1:18" x14ac:dyDescent="0.25">
      <c r="A339" s="79" t="s">
        <v>78</v>
      </c>
      <c r="H339" s="79" t="s">
        <v>1662</v>
      </c>
      <c r="I339" s="79" t="s">
        <v>1663</v>
      </c>
    </row>
    <row r="340" spans="1:18" x14ac:dyDescent="0.25">
      <c r="A340" s="79" t="s">
        <v>78</v>
      </c>
      <c r="H340" s="79" t="s">
        <v>1664</v>
      </c>
      <c r="I340" s="79" t="s">
        <v>1665</v>
      </c>
      <c r="N340" s="79" t="s">
        <v>22</v>
      </c>
      <c r="Q340" s="79" t="s">
        <v>23</v>
      </c>
    </row>
    <row r="341" spans="1:18" x14ac:dyDescent="0.25">
      <c r="A341" s="79" t="s">
        <v>78</v>
      </c>
      <c r="P341" s="79" t="s">
        <v>20</v>
      </c>
      <c r="R341" s="79" t="s">
        <v>20</v>
      </c>
    </row>
    <row r="342" spans="1:18" x14ac:dyDescent="0.25">
      <c r="A342" s="79" t="s">
        <v>78</v>
      </c>
      <c r="D342" s="79" t="s">
        <v>16</v>
      </c>
      <c r="E342" s="79" t="s">
        <v>32</v>
      </c>
      <c r="F342" s="79" t="s">
        <v>14</v>
      </c>
      <c r="G342" s="79" t="s">
        <v>14</v>
      </c>
      <c r="J342" s="79" t="s">
        <v>7</v>
      </c>
      <c r="K342" s="79" t="s">
        <v>11</v>
      </c>
      <c r="L342" s="79" t="s">
        <v>2</v>
      </c>
      <c r="M342" s="79" t="s">
        <v>3</v>
      </c>
      <c r="N342" s="79" t="s">
        <v>21</v>
      </c>
      <c r="O342" s="79" t="s">
        <v>19</v>
      </c>
      <c r="P342" s="79" t="s">
        <v>16</v>
      </c>
      <c r="Q342" s="79" t="s">
        <v>12</v>
      </c>
      <c r="R342" s="79" t="s">
        <v>12</v>
      </c>
    </row>
    <row r="343" spans="1:18" x14ac:dyDescent="0.25">
      <c r="A343" s="79" t="s">
        <v>78</v>
      </c>
      <c r="D343" s="79" t="s">
        <v>1666</v>
      </c>
      <c r="E343" s="79" t="s">
        <v>1667</v>
      </c>
      <c r="G343" s="79" t="s">
        <v>1668</v>
      </c>
      <c r="H343" s="79" t="s">
        <v>1669</v>
      </c>
      <c r="J343" s="79" t="s">
        <v>1670</v>
      </c>
      <c r="K343" s="79" t="s">
        <v>1671</v>
      </c>
      <c r="L343" s="79" t="s">
        <v>1672</v>
      </c>
      <c r="M343" s="79" t="s">
        <v>1673</v>
      </c>
      <c r="N343" s="79" t="s">
        <v>1674</v>
      </c>
      <c r="O343" s="79" t="s">
        <v>1675</v>
      </c>
      <c r="P343" s="79" t="s">
        <v>1676</v>
      </c>
      <c r="Q343" s="79" t="s">
        <v>1677</v>
      </c>
      <c r="R343" s="79" t="s">
        <v>1678</v>
      </c>
    </row>
    <row r="344" spans="1:18" x14ac:dyDescent="0.25">
      <c r="A344" s="79" t="s">
        <v>78</v>
      </c>
      <c r="B344" s="79" t="s">
        <v>1679</v>
      </c>
      <c r="D344" s="79" t="s">
        <v>1680</v>
      </c>
      <c r="E344" s="79" t="s">
        <v>1681</v>
      </c>
      <c r="F344" s="79" t="s">
        <v>1682</v>
      </c>
      <c r="H344" s="79" t="s">
        <v>1683</v>
      </c>
      <c r="J344" s="79" t="s">
        <v>1684</v>
      </c>
      <c r="K344" s="79" t="s">
        <v>1685</v>
      </c>
      <c r="M344" s="79" t="s">
        <v>1686</v>
      </c>
      <c r="N344" s="79" t="s">
        <v>1687</v>
      </c>
      <c r="O344" s="79" t="s">
        <v>1688</v>
      </c>
      <c r="P344" s="79" t="s">
        <v>1689</v>
      </c>
      <c r="Q344" s="79" t="s">
        <v>1690</v>
      </c>
      <c r="R344" s="79" t="s">
        <v>1678</v>
      </c>
    </row>
    <row r="345" spans="1:18" x14ac:dyDescent="0.25">
      <c r="A345" s="79" t="s">
        <v>78</v>
      </c>
    </row>
    <row r="346" spans="1:18" x14ac:dyDescent="0.25">
      <c r="A346" s="79" t="s">
        <v>78</v>
      </c>
      <c r="D346" s="79" t="s">
        <v>1691</v>
      </c>
      <c r="E346" s="79" t="s">
        <v>1692</v>
      </c>
      <c r="G346" s="79" t="s">
        <v>1693</v>
      </c>
      <c r="H346" s="79" t="s">
        <v>1220</v>
      </c>
      <c r="J346" s="79" t="s">
        <v>1695</v>
      </c>
      <c r="K346" s="79" t="s">
        <v>1696</v>
      </c>
      <c r="L346" s="79" t="s">
        <v>1697</v>
      </c>
      <c r="M346" s="79" t="s">
        <v>1698</v>
      </c>
      <c r="N346" s="79" t="s">
        <v>1699</v>
      </c>
      <c r="O346" s="79" t="s">
        <v>1700</v>
      </c>
      <c r="P346" s="79" t="s">
        <v>1701</v>
      </c>
      <c r="Q346" s="79" t="s">
        <v>1702</v>
      </c>
      <c r="R346" s="79" t="s">
        <v>1703</v>
      </c>
    </row>
    <row r="347" spans="1:18" x14ac:dyDescent="0.25">
      <c r="A347" s="79" t="s">
        <v>78</v>
      </c>
      <c r="B347" s="79" t="s">
        <v>1704</v>
      </c>
      <c r="D347" s="79" t="s">
        <v>1705</v>
      </c>
      <c r="E347" s="79" t="s">
        <v>1706</v>
      </c>
      <c r="F347" s="79" t="s">
        <v>1707</v>
      </c>
      <c r="H347" s="79" t="s">
        <v>1708</v>
      </c>
      <c r="J347" s="79" t="s">
        <v>1709</v>
      </c>
      <c r="K347" s="79" t="s">
        <v>1710</v>
      </c>
      <c r="M347" s="79" t="s">
        <v>1711</v>
      </c>
      <c r="N347" s="79" t="s">
        <v>1712</v>
      </c>
      <c r="O347" s="79" t="s">
        <v>1713</v>
      </c>
      <c r="P347" s="79" t="s">
        <v>1714</v>
      </c>
      <c r="Q347" s="79" t="s">
        <v>1715</v>
      </c>
      <c r="R347" s="79" t="s">
        <v>1703</v>
      </c>
    </row>
    <row r="348" spans="1:18" x14ac:dyDescent="0.25">
      <c r="A348" s="79" t="s">
        <v>78</v>
      </c>
    </row>
    <row r="349" spans="1:18" x14ac:dyDescent="0.25">
      <c r="A349" s="79" t="s">
        <v>78</v>
      </c>
      <c r="D349" s="79" t="s">
        <v>1716</v>
      </c>
      <c r="E349" s="79" t="s">
        <v>1717</v>
      </c>
      <c r="G349" s="79" t="s">
        <v>1718</v>
      </c>
      <c r="H349" s="79" t="s">
        <v>1245</v>
      </c>
      <c r="J349" s="79" t="s">
        <v>1720</v>
      </c>
      <c r="K349" s="79" t="s">
        <v>1721</v>
      </c>
      <c r="L349" s="79" t="s">
        <v>1722</v>
      </c>
      <c r="M349" s="79" t="s">
        <v>1723</v>
      </c>
      <c r="N349" s="79" t="s">
        <v>1724</v>
      </c>
      <c r="O349" s="79" t="s">
        <v>1725</v>
      </c>
      <c r="P349" s="79" t="s">
        <v>1726</v>
      </c>
      <c r="Q349" s="79" t="s">
        <v>1727</v>
      </c>
      <c r="R349" s="79" t="s">
        <v>1728</v>
      </c>
    </row>
    <row r="350" spans="1:18" x14ac:dyDescent="0.25">
      <c r="A350" s="79" t="s">
        <v>78</v>
      </c>
      <c r="B350" s="79" t="s">
        <v>1729</v>
      </c>
      <c r="D350" s="79" t="s">
        <v>1730</v>
      </c>
      <c r="E350" s="79" t="s">
        <v>1731</v>
      </c>
      <c r="F350" s="79" t="s">
        <v>1732</v>
      </c>
      <c r="H350" s="79" t="s">
        <v>1733</v>
      </c>
      <c r="J350" s="79" t="s">
        <v>1734</v>
      </c>
      <c r="K350" s="79" t="s">
        <v>1735</v>
      </c>
      <c r="M350" s="79" t="s">
        <v>1736</v>
      </c>
      <c r="N350" s="79" t="s">
        <v>1737</v>
      </c>
      <c r="O350" s="79" t="s">
        <v>1738</v>
      </c>
      <c r="P350" s="79" t="s">
        <v>1739</v>
      </c>
      <c r="Q350" s="79" t="s">
        <v>1740</v>
      </c>
      <c r="R350" s="79" t="s">
        <v>1728</v>
      </c>
    </row>
    <row r="351" spans="1:18" x14ac:dyDescent="0.25">
      <c r="A351" s="79" t="s">
        <v>78</v>
      </c>
    </row>
    <row r="352" spans="1:18" x14ac:dyDescent="0.25">
      <c r="A352" s="79" t="s">
        <v>78</v>
      </c>
      <c r="D352" s="79" t="s">
        <v>1741</v>
      </c>
      <c r="E352" s="79" t="s">
        <v>1742</v>
      </c>
      <c r="G352" s="79" t="s">
        <v>1743</v>
      </c>
      <c r="H352" s="79" t="s">
        <v>1270</v>
      </c>
      <c r="J352" s="79" t="s">
        <v>1745</v>
      </c>
      <c r="K352" s="79" t="s">
        <v>1746</v>
      </c>
      <c r="L352" s="79" t="s">
        <v>1747</v>
      </c>
      <c r="M352" s="79" t="s">
        <v>1748</v>
      </c>
      <c r="N352" s="79" t="s">
        <v>1749</v>
      </c>
      <c r="O352" s="79" t="s">
        <v>1750</v>
      </c>
      <c r="P352" s="79" t="s">
        <v>1751</v>
      </c>
      <c r="Q352" s="79" t="s">
        <v>1752</v>
      </c>
      <c r="R352" s="79" t="s">
        <v>1753</v>
      </c>
    </row>
    <row r="353" spans="1:18" x14ac:dyDescent="0.25">
      <c r="A353" s="79" t="s">
        <v>78</v>
      </c>
      <c r="B353" s="79" t="s">
        <v>1754</v>
      </c>
      <c r="D353" s="79" t="s">
        <v>1755</v>
      </c>
      <c r="E353" s="79" t="s">
        <v>1756</v>
      </c>
      <c r="F353" s="79" t="s">
        <v>1757</v>
      </c>
      <c r="H353" s="79" t="s">
        <v>1758</v>
      </c>
      <c r="J353" s="79" t="s">
        <v>1759</v>
      </c>
      <c r="K353" s="79" t="s">
        <v>1760</v>
      </c>
      <c r="M353" s="79" t="s">
        <v>1761</v>
      </c>
      <c r="N353" s="79" t="s">
        <v>1762</v>
      </c>
      <c r="O353" s="79" t="s">
        <v>1763</v>
      </c>
      <c r="P353" s="79" t="s">
        <v>1764</v>
      </c>
      <c r="Q353" s="79" t="s">
        <v>1765</v>
      </c>
      <c r="R353" s="79" t="s">
        <v>1753</v>
      </c>
    </row>
    <row r="354" spans="1:18" x14ac:dyDescent="0.25">
      <c r="A354" s="79" t="s">
        <v>78</v>
      </c>
    </row>
    <row r="355" spans="1:18" x14ac:dyDescent="0.25">
      <c r="A355" s="79" t="s">
        <v>78</v>
      </c>
      <c r="D355" s="79" t="s">
        <v>1766</v>
      </c>
      <c r="E355" s="79" t="s">
        <v>1767</v>
      </c>
      <c r="G355" s="79" t="s">
        <v>1768</v>
      </c>
      <c r="H355" s="79" t="s">
        <v>1295</v>
      </c>
      <c r="J355" s="79" t="s">
        <v>1770</v>
      </c>
      <c r="K355" s="79" t="s">
        <v>1771</v>
      </c>
      <c r="L355" s="79" t="s">
        <v>1772</v>
      </c>
      <c r="M355" s="79" t="s">
        <v>1773</v>
      </c>
      <c r="N355" s="79" t="s">
        <v>1774</v>
      </c>
      <c r="O355" s="79" t="s">
        <v>1775</v>
      </c>
      <c r="P355" s="79" t="s">
        <v>1776</v>
      </c>
      <c r="Q355" s="79" t="s">
        <v>1777</v>
      </c>
      <c r="R355" s="79" t="s">
        <v>1778</v>
      </c>
    </row>
    <row r="356" spans="1:18" x14ac:dyDescent="0.25">
      <c r="A356" s="79" t="s">
        <v>78</v>
      </c>
      <c r="B356" s="79" t="s">
        <v>1779</v>
      </c>
      <c r="D356" s="79" t="s">
        <v>1780</v>
      </c>
      <c r="E356" s="79" t="s">
        <v>1781</v>
      </c>
      <c r="F356" s="79" t="s">
        <v>1782</v>
      </c>
      <c r="H356" s="79" t="s">
        <v>1783</v>
      </c>
      <c r="J356" s="79" t="s">
        <v>1784</v>
      </c>
      <c r="K356" s="79" t="s">
        <v>1785</v>
      </c>
      <c r="M356" s="79" t="s">
        <v>1786</v>
      </c>
      <c r="N356" s="79" t="s">
        <v>1787</v>
      </c>
      <c r="O356" s="79" t="s">
        <v>1788</v>
      </c>
      <c r="P356" s="79" t="s">
        <v>1789</v>
      </c>
      <c r="Q356" s="79" t="s">
        <v>1790</v>
      </c>
      <c r="R356" s="79" t="s">
        <v>1778</v>
      </c>
    </row>
    <row r="357" spans="1:18" x14ac:dyDescent="0.25">
      <c r="A357" s="79" t="s">
        <v>78</v>
      </c>
    </row>
    <row r="358" spans="1:18" x14ac:dyDescent="0.25">
      <c r="A358" s="79" t="s">
        <v>78</v>
      </c>
      <c r="D358" s="79" t="s">
        <v>1791</v>
      </c>
      <c r="E358" s="79" t="s">
        <v>1792</v>
      </c>
      <c r="G358" s="79" t="s">
        <v>1793</v>
      </c>
      <c r="H358" s="79" t="s">
        <v>1320</v>
      </c>
      <c r="J358" s="79" t="s">
        <v>1795</v>
      </c>
      <c r="K358" s="79" t="s">
        <v>1796</v>
      </c>
      <c r="L358" s="79" t="s">
        <v>1797</v>
      </c>
      <c r="M358" s="79" t="s">
        <v>1798</v>
      </c>
      <c r="N358" s="79" t="s">
        <v>1799</v>
      </c>
      <c r="O358" s="79" t="s">
        <v>1800</v>
      </c>
      <c r="P358" s="79" t="s">
        <v>1801</v>
      </c>
      <c r="Q358" s="79" t="s">
        <v>1802</v>
      </c>
      <c r="R358" s="79" t="s">
        <v>1803</v>
      </c>
    </row>
    <row r="359" spans="1:18" x14ac:dyDescent="0.25">
      <c r="A359" s="79" t="s">
        <v>78</v>
      </c>
      <c r="B359" s="79" t="s">
        <v>1804</v>
      </c>
      <c r="D359" s="79" t="s">
        <v>1805</v>
      </c>
      <c r="E359" s="79" t="s">
        <v>1806</v>
      </c>
      <c r="F359" s="79" t="s">
        <v>1807</v>
      </c>
      <c r="H359" s="79" t="s">
        <v>1808</v>
      </c>
      <c r="J359" s="79" t="s">
        <v>1809</v>
      </c>
      <c r="K359" s="79" t="s">
        <v>1810</v>
      </c>
      <c r="M359" s="79" t="s">
        <v>1811</v>
      </c>
      <c r="N359" s="79" t="s">
        <v>1812</v>
      </c>
      <c r="O359" s="79" t="s">
        <v>1813</v>
      </c>
      <c r="P359" s="79" t="s">
        <v>1814</v>
      </c>
      <c r="Q359" s="79" t="s">
        <v>1815</v>
      </c>
      <c r="R359" s="79" t="s">
        <v>1803</v>
      </c>
    </row>
    <row r="360" spans="1:18" x14ac:dyDescent="0.25">
      <c r="A360" s="79" t="s">
        <v>78</v>
      </c>
    </row>
    <row r="361" spans="1:18" x14ac:dyDescent="0.25">
      <c r="A361" s="79" t="s">
        <v>78</v>
      </c>
      <c r="D361" s="79" t="s">
        <v>1816</v>
      </c>
      <c r="E361" s="79" t="s">
        <v>1817</v>
      </c>
      <c r="G361" s="79" t="s">
        <v>1818</v>
      </c>
      <c r="H361" s="79" t="s">
        <v>1345</v>
      </c>
      <c r="J361" s="79" t="s">
        <v>1820</v>
      </c>
      <c r="K361" s="79" t="s">
        <v>1821</v>
      </c>
      <c r="L361" s="79" t="s">
        <v>1822</v>
      </c>
      <c r="M361" s="79" t="s">
        <v>1823</v>
      </c>
      <c r="N361" s="79" t="s">
        <v>1824</v>
      </c>
      <c r="O361" s="79" t="s">
        <v>1825</v>
      </c>
      <c r="P361" s="79" t="s">
        <v>1826</v>
      </c>
      <c r="Q361" s="79" t="s">
        <v>1827</v>
      </c>
      <c r="R361" s="79" t="s">
        <v>1828</v>
      </c>
    </row>
    <row r="362" spans="1:18" x14ac:dyDescent="0.25">
      <c r="A362" s="79" t="s">
        <v>78</v>
      </c>
      <c r="B362" s="79" t="s">
        <v>1829</v>
      </c>
      <c r="D362" s="79" t="s">
        <v>1830</v>
      </c>
      <c r="E362" s="79" t="s">
        <v>1831</v>
      </c>
      <c r="F362" s="79" t="s">
        <v>1832</v>
      </c>
      <c r="H362" s="79" t="s">
        <v>1833</v>
      </c>
      <c r="J362" s="79" t="s">
        <v>1834</v>
      </c>
      <c r="K362" s="79" t="s">
        <v>1835</v>
      </c>
      <c r="M362" s="79" t="s">
        <v>1836</v>
      </c>
      <c r="N362" s="79" t="s">
        <v>1837</v>
      </c>
      <c r="O362" s="79" t="s">
        <v>1838</v>
      </c>
      <c r="P362" s="79" t="s">
        <v>1839</v>
      </c>
      <c r="Q362" s="79" t="s">
        <v>1840</v>
      </c>
      <c r="R362" s="79" t="s">
        <v>1828</v>
      </c>
    </row>
    <row r="363" spans="1:18" x14ac:dyDescent="0.25">
      <c r="A363" s="79" t="s">
        <v>78</v>
      </c>
    </row>
    <row r="364" spans="1:18" x14ac:dyDescent="0.25">
      <c r="A364" s="79" t="s">
        <v>78</v>
      </c>
      <c r="D364" s="79" t="s">
        <v>2839</v>
      </c>
      <c r="E364" s="79" t="s">
        <v>2840</v>
      </c>
      <c r="G364" s="79" t="s">
        <v>2841</v>
      </c>
      <c r="H364" s="79" t="s">
        <v>1367</v>
      </c>
      <c r="J364" s="79" t="s">
        <v>2842</v>
      </c>
      <c r="K364" s="79" t="s">
        <v>2843</v>
      </c>
      <c r="L364" s="79" t="s">
        <v>2844</v>
      </c>
      <c r="M364" s="79" t="s">
        <v>2845</v>
      </c>
      <c r="N364" s="79" t="s">
        <v>2846</v>
      </c>
      <c r="O364" s="79" t="s">
        <v>2847</v>
      </c>
      <c r="P364" s="79" t="s">
        <v>2848</v>
      </c>
      <c r="Q364" s="79" t="s">
        <v>2849</v>
      </c>
      <c r="R364" s="79" t="s">
        <v>2850</v>
      </c>
    </row>
    <row r="365" spans="1:18" x14ac:dyDescent="0.25">
      <c r="A365" s="79" t="s">
        <v>78</v>
      </c>
      <c r="B365" s="79" t="s">
        <v>2851</v>
      </c>
      <c r="D365" s="79" t="s">
        <v>2852</v>
      </c>
      <c r="E365" s="79" t="s">
        <v>2853</v>
      </c>
      <c r="F365" s="79" t="s">
        <v>2854</v>
      </c>
      <c r="H365" s="79" t="s">
        <v>2855</v>
      </c>
      <c r="J365" s="79" t="s">
        <v>2856</v>
      </c>
      <c r="K365" s="79" t="s">
        <v>2857</v>
      </c>
      <c r="M365" s="79" t="s">
        <v>2858</v>
      </c>
      <c r="N365" s="79" t="s">
        <v>2859</v>
      </c>
      <c r="O365" s="79" t="s">
        <v>2860</v>
      </c>
      <c r="P365" s="79" t="s">
        <v>2861</v>
      </c>
      <c r="Q365" s="79" t="s">
        <v>2862</v>
      </c>
      <c r="R365" s="79" t="s">
        <v>2850</v>
      </c>
    </row>
    <row r="366" spans="1:18" x14ac:dyDescent="0.25">
      <c r="A366" s="79" t="s">
        <v>78</v>
      </c>
    </row>
    <row r="367" spans="1:18" x14ac:dyDescent="0.25">
      <c r="A367" s="79" t="s">
        <v>78</v>
      </c>
      <c r="D367" s="79" t="s">
        <v>2863</v>
      </c>
      <c r="E367" s="79" t="s">
        <v>2864</v>
      </c>
      <c r="G367" s="79" t="s">
        <v>2865</v>
      </c>
      <c r="H367" s="79" t="s">
        <v>1369</v>
      </c>
      <c r="J367" s="79" t="s">
        <v>2866</v>
      </c>
      <c r="K367" s="79" t="s">
        <v>2867</v>
      </c>
      <c r="L367" s="79" t="s">
        <v>2868</v>
      </c>
      <c r="M367" s="79" t="s">
        <v>2869</v>
      </c>
      <c r="N367" s="79" t="s">
        <v>2870</v>
      </c>
      <c r="O367" s="79" t="s">
        <v>2871</v>
      </c>
      <c r="P367" s="79" t="s">
        <v>2872</v>
      </c>
      <c r="Q367" s="79" t="s">
        <v>2873</v>
      </c>
      <c r="R367" s="79" t="s">
        <v>2874</v>
      </c>
    </row>
    <row r="368" spans="1:18" x14ac:dyDescent="0.25">
      <c r="A368" s="79" t="s">
        <v>78</v>
      </c>
      <c r="B368" s="79" t="s">
        <v>2875</v>
      </c>
      <c r="D368" s="79" t="s">
        <v>2876</v>
      </c>
      <c r="E368" s="79" t="s">
        <v>2877</v>
      </c>
      <c r="F368" s="79" t="s">
        <v>2878</v>
      </c>
      <c r="H368" s="79" t="s">
        <v>2879</v>
      </c>
      <c r="J368" s="79" t="s">
        <v>2880</v>
      </c>
      <c r="K368" s="79" t="s">
        <v>2881</v>
      </c>
      <c r="M368" s="79" t="s">
        <v>2882</v>
      </c>
      <c r="N368" s="79" t="s">
        <v>2883</v>
      </c>
      <c r="O368" s="79" t="s">
        <v>2884</v>
      </c>
      <c r="P368" s="79" t="s">
        <v>2885</v>
      </c>
      <c r="Q368" s="79" t="s">
        <v>2886</v>
      </c>
      <c r="R368" s="79" t="s">
        <v>2874</v>
      </c>
    </row>
    <row r="369" spans="1:18" x14ac:dyDescent="0.25">
      <c r="A369" s="79" t="s">
        <v>78</v>
      </c>
    </row>
    <row r="370" spans="1:18" x14ac:dyDescent="0.25">
      <c r="A370" s="79" t="s">
        <v>78</v>
      </c>
    </row>
    <row r="371" spans="1:18" x14ac:dyDescent="0.25">
      <c r="A371" s="79" t="s">
        <v>78</v>
      </c>
      <c r="Q371" s="79" t="s">
        <v>1841</v>
      </c>
      <c r="R371" s="79" t="s">
        <v>2887</v>
      </c>
    </row>
    <row r="372" spans="1:18" x14ac:dyDescent="0.25">
      <c r="A372" s="79" t="s">
        <v>78</v>
      </c>
      <c r="H372" s="79" t="s">
        <v>1370</v>
      </c>
      <c r="I372" s="79" t="s">
        <v>2888</v>
      </c>
    </row>
    <row r="373" spans="1:18" x14ac:dyDescent="0.25">
      <c r="A373" s="79" t="s">
        <v>78</v>
      </c>
      <c r="H373" s="79" t="s">
        <v>2889</v>
      </c>
      <c r="I373" s="79" t="s">
        <v>2890</v>
      </c>
    </row>
    <row r="374" spans="1:18" x14ac:dyDescent="0.25">
      <c r="A374" s="79" t="s">
        <v>78</v>
      </c>
      <c r="H374" s="79" t="s">
        <v>2891</v>
      </c>
      <c r="I374" s="79" t="s">
        <v>2892</v>
      </c>
      <c r="N374" s="79" t="s">
        <v>22</v>
      </c>
      <c r="Q374" s="79" t="s">
        <v>23</v>
      </c>
    </row>
    <row r="375" spans="1:18" x14ac:dyDescent="0.25">
      <c r="A375" s="79" t="s">
        <v>78</v>
      </c>
      <c r="P375" s="79" t="s">
        <v>20</v>
      </c>
      <c r="R375" s="79" t="s">
        <v>20</v>
      </c>
    </row>
    <row r="376" spans="1:18" x14ac:dyDescent="0.25">
      <c r="A376" s="79" t="s">
        <v>78</v>
      </c>
      <c r="D376" s="79" t="s">
        <v>16</v>
      </c>
      <c r="E376" s="79" t="s">
        <v>32</v>
      </c>
      <c r="F376" s="79" t="s">
        <v>14</v>
      </c>
      <c r="G376" s="79" t="s">
        <v>14</v>
      </c>
      <c r="J376" s="79" t="s">
        <v>7</v>
      </c>
      <c r="K376" s="79" t="s">
        <v>11</v>
      </c>
      <c r="L376" s="79" t="s">
        <v>2</v>
      </c>
      <c r="M376" s="79" t="s">
        <v>3</v>
      </c>
      <c r="N376" s="79" t="s">
        <v>21</v>
      </c>
      <c r="O376" s="79" t="s">
        <v>19</v>
      </c>
      <c r="P376" s="79" t="s">
        <v>16</v>
      </c>
      <c r="Q376" s="79" t="s">
        <v>12</v>
      </c>
      <c r="R376" s="79" t="s">
        <v>12</v>
      </c>
    </row>
    <row r="377" spans="1:18" x14ac:dyDescent="0.25">
      <c r="A377" s="79" t="s">
        <v>78</v>
      </c>
      <c r="D377" s="79" t="s">
        <v>2893</v>
      </c>
      <c r="E377" s="79" t="s">
        <v>2894</v>
      </c>
      <c r="G377" s="79" t="s">
        <v>2895</v>
      </c>
      <c r="H377" s="79" t="s">
        <v>2896</v>
      </c>
      <c r="J377" s="79" t="s">
        <v>2897</v>
      </c>
      <c r="K377" s="79" t="s">
        <v>2898</v>
      </c>
      <c r="L377" s="79" t="s">
        <v>2899</v>
      </c>
      <c r="M377" s="79" t="s">
        <v>2900</v>
      </c>
      <c r="N377" s="79" t="s">
        <v>2901</v>
      </c>
      <c r="O377" s="79" t="s">
        <v>2902</v>
      </c>
      <c r="P377" s="79" t="s">
        <v>2903</v>
      </c>
      <c r="Q377" s="79" t="s">
        <v>2904</v>
      </c>
      <c r="R377" s="79" t="s">
        <v>2905</v>
      </c>
    </row>
    <row r="378" spans="1:18" x14ac:dyDescent="0.25">
      <c r="A378" s="79" t="s">
        <v>78</v>
      </c>
      <c r="B378" s="79" t="s">
        <v>2906</v>
      </c>
      <c r="D378" s="79" t="s">
        <v>2907</v>
      </c>
      <c r="E378" s="79" t="s">
        <v>2908</v>
      </c>
      <c r="F378" s="79" t="s">
        <v>2909</v>
      </c>
      <c r="H378" s="79" t="s">
        <v>2910</v>
      </c>
      <c r="J378" s="79" t="s">
        <v>2911</v>
      </c>
      <c r="K378" s="79" t="s">
        <v>2912</v>
      </c>
      <c r="M378" s="79" t="s">
        <v>2913</v>
      </c>
      <c r="N378" s="79" t="s">
        <v>2914</v>
      </c>
      <c r="O378" s="79" t="s">
        <v>2915</v>
      </c>
      <c r="P378" s="79" t="s">
        <v>2916</v>
      </c>
      <c r="Q378" s="79" t="s">
        <v>2917</v>
      </c>
      <c r="R378" s="79" t="s">
        <v>2905</v>
      </c>
    </row>
    <row r="379" spans="1:18" x14ac:dyDescent="0.25">
      <c r="A379" s="79" t="s">
        <v>78</v>
      </c>
    </row>
    <row r="380" spans="1:18" x14ac:dyDescent="0.25">
      <c r="A380" s="79" t="s">
        <v>78</v>
      </c>
      <c r="D380" s="79" t="s">
        <v>2918</v>
      </c>
      <c r="E380" s="79" t="s">
        <v>2919</v>
      </c>
      <c r="G380" s="79" t="s">
        <v>2920</v>
      </c>
      <c r="H380" s="79" t="s">
        <v>1372</v>
      </c>
      <c r="J380" s="79" t="s">
        <v>2921</v>
      </c>
      <c r="K380" s="79" t="s">
        <v>2922</v>
      </c>
      <c r="L380" s="79" t="s">
        <v>2923</v>
      </c>
      <c r="M380" s="79" t="s">
        <v>2924</v>
      </c>
      <c r="N380" s="79" t="s">
        <v>2925</v>
      </c>
      <c r="O380" s="79" t="s">
        <v>2926</v>
      </c>
      <c r="P380" s="79" t="s">
        <v>2927</v>
      </c>
      <c r="Q380" s="79" t="s">
        <v>2928</v>
      </c>
      <c r="R380" s="79" t="s">
        <v>2929</v>
      </c>
    </row>
    <row r="381" spans="1:18" x14ac:dyDescent="0.25">
      <c r="A381" s="79" t="s">
        <v>78</v>
      </c>
      <c r="B381" s="79" t="s">
        <v>2930</v>
      </c>
      <c r="D381" s="79" t="s">
        <v>2931</v>
      </c>
      <c r="E381" s="79" t="s">
        <v>2932</v>
      </c>
      <c r="F381" s="79" t="s">
        <v>2933</v>
      </c>
      <c r="H381" s="79" t="s">
        <v>2934</v>
      </c>
      <c r="J381" s="79" t="s">
        <v>2935</v>
      </c>
      <c r="K381" s="79" t="s">
        <v>2936</v>
      </c>
      <c r="M381" s="79" t="s">
        <v>2937</v>
      </c>
      <c r="N381" s="79" t="s">
        <v>2938</v>
      </c>
      <c r="O381" s="79" t="s">
        <v>2939</v>
      </c>
      <c r="P381" s="79" t="s">
        <v>2940</v>
      </c>
      <c r="Q381" s="79" t="s">
        <v>2941</v>
      </c>
      <c r="R381" s="79" t="s">
        <v>2929</v>
      </c>
    </row>
    <row r="382" spans="1:18" x14ac:dyDescent="0.25">
      <c r="A382" s="79" t="s">
        <v>78</v>
      </c>
    </row>
    <row r="383" spans="1:18" x14ac:dyDescent="0.25">
      <c r="A383" s="79" t="s">
        <v>78</v>
      </c>
      <c r="D383" s="79" t="s">
        <v>2942</v>
      </c>
      <c r="E383" s="79" t="s">
        <v>2943</v>
      </c>
      <c r="G383" s="79" t="s">
        <v>2944</v>
      </c>
      <c r="H383" s="79" t="s">
        <v>1373</v>
      </c>
      <c r="J383" s="79" t="s">
        <v>2945</v>
      </c>
      <c r="K383" s="79" t="s">
        <v>2946</v>
      </c>
      <c r="L383" s="79" t="s">
        <v>2947</v>
      </c>
      <c r="M383" s="79" t="s">
        <v>2948</v>
      </c>
      <c r="N383" s="79" t="s">
        <v>2949</v>
      </c>
      <c r="O383" s="79" t="s">
        <v>2950</v>
      </c>
      <c r="P383" s="79" t="s">
        <v>2951</v>
      </c>
      <c r="Q383" s="79" t="s">
        <v>2952</v>
      </c>
      <c r="R383" s="79" t="s">
        <v>2953</v>
      </c>
    </row>
    <row r="384" spans="1:18" x14ac:dyDescent="0.25">
      <c r="A384" s="79" t="s">
        <v>78</v>
      </c>
      <c r="B384" s="79" t="s">
        <v>2954</v>
      </c>
      <c r="D384" s="79" t="s">
        <v>2955</v>
      </c>
      <c r="E384" s="79" t="s">
        <v>2956</v>
      </c>
      <c r="F384" s="79" t="s">
        <v>2957</v>
      </c>
      <c r="H384" s="79" t="s">
        <v>2958</v>
      </c>
      <c r="J384" s="79" t="s">
        <v>2959</v>
      </c>
      <c r="K384" s="79" t="s">
        <v>2960</v>
      </c>
      <c r="M384" s="79" t="s">
        <v>2961</v>
      </c>
      <c r="N384" s="79" t="s">
        <v>2962</v>
      </c>
      <c r="O384" s="79" t="s">
        <v>2963</v>
      </c>
      <c r="P384" s="79" t="s">
        <v>2964</v>
      </c>
      <c r="Q384" s="79" t="s">
        <v>2965</v>
      </c>
      <c r="R384" s="79" t="s">
        <v>2953</v>
      </c>
    </row>
    <row r="385" spans="1:18" x14ac:dyDescent="0.25">
      <c r="A385" s="79" t="s">
        <v>78</v>
      </c>
    </row>
    <row r="386" spans="1:18" x14ac:dyDescent="0.25">
      <c r="A386" s="79" t="s">
        <v>78</v>
      </c>
      <c r="D386" s="79" t="s">
        <v>2966</v>
      </c>
      <c r="E386" s="79" t="s">
        <v>2967</v>
      </c>
      <c r="G386" s="79" t="s">
        <v>2968</v>
      </c>
      <c r="H386" s="79" t="s">
        <v>1374</v>
      </c>
      <c r="J386" s="79" t="s">
        <v>2969</v>
      </c>
      <c r="K386" s="79" t="s">
        <v>2970</v>
      </c>
      <c r="L386" s="79" t="s">
        <v>2971</v>
      </c>
      <c r="M386" s="79" t="s">
        <v>2972</v>
      </c>
      <c r="N386" s="79" t="s">
        <v>2973</v>
      </c>
      <c r="O386" s="79" t="s">
        <v>2974</v>
      </c>
      <c r="P386" s="79" t="s">
        <v>2975</v>
      </c>
      <c r="Q386" s="79" t="s">
        <v>2976</v>
      </c>
      <c r="R386" s="79" t="s">
        <v>2977</v>
      </c>
    </row>
    <row r="387" spans="1:18" x14ac:dyDescent="0.25">
      <c r="A387" s="79" t="s">
        <v>78</v>
      </c>
      <c r="B387" s="79" t="s">
        <v>2978</v>
      </c>
      <c r="D387" s="79" t="s">
        <v>2979</v>
      </c>
      <c r="E387" s="79" t="s">
        <v>2980</v>
      </c>
      <c r="F387" s="79" t="s">
        <v>2981</v>
      </c>
      <c r="H387" s="79" t="s">
        <v>2982</v>
      </c>
      <c r="J387" s="79" t="s">
        <v>2983</v>
      </c>
      <c r="K387" s="79" t="s">
        <v>2984</v>
      </c>
      <c r="M387" s="79" t="s">
        <v>2985</v>
      </c>
      <c r="N387" s="79" t="s">
        <v>2986</v>
      </c>
      <c r="O387" s="79" t="s">
        <v>2987</v>
      </c>
      <c r="P387" s="79" t="s">
        <v>2988</v>
      </c>
      <c r="Q387" s="79" t="s">
        <v>2989</v>
      </c>
      <c r="R387" s="79" t="s">
        <v>2977</v>
      </c>
    </row>
    <row r="388" spans="1:18" x14ac:dyDescent="0.25">
      <c r="A388" s="79" t="s">
        <v>78</v>
      </c>
    </row>
    <row r="389" spans="1:18" x14ac:dyDescent="0.25">
      <c r="A389" s="79" t="s">
        <v>78</v>
      </c>
      <c r="D389" s="79" t="s">
        <v>2990</v>
      </c>
      <c r="E389" s="79" t="s">
        <v>2991</v>
      </c>
      <c r="G389" s="79" t="s">
        <v>2992</v>
      </c>
      <c r="H389" s="79" t="s">
        <v>1375</v>
      </c>
      <c r="J389" s="79" t="s">
        <v>2993</v>
      </c>
      <c r="K389" s="79" t="s">
        <v>2994</v>
      </c>
      <c r="L389" s="79" t="s">
        <v>2995</v>
      </c>
      <c r="M389" s="79" t="s">
        <v>2996</v>
      </c>
      <c r="N389" s="79" t="s">
        <v>2997</v>
      </c>
      <c r="O389" s="79" t="s">
        <v>2998</v>
      </c>
      <c r="P389" s="79" t="s">
        <v>2999</v>
      </c>
      <c r="Q389" s="79" t="s">
        <v>3000</v>
      </c>
      <c r="R389" s="79" t="s">
        <v>3001</v>
      </c>
    </row>
    <row r="390" spans="1:18" x14ac:dyDescent="0.25">
      <c r="A390" s="79" t="s">
        <v>78</v>
      </c>
      <c r="B390" s="79" t="s">
        <v>3002</v>
      </c>
      <c r="D390" s="79" t="s">
        <v>3003</v>
      </c>
      <c r="E390" s="79" t="s">
        <v>3004</v>
      </c>
      <c r="F390" s="79" t="s">
        <v>3005</v>
      </c>
      <c r="H390" s="79" t="s">
        <v>3006</v>
      </c>
      <c r="J390" s="79" t="s">
        <v>3007</v>
      </c>
      <c r="K390" s="79" t="s">
        <v>3008</v>
      </c>
      <c r="M390" s="79" t="s">
        <v>3009</v>
      </c>
      <c r="N390" s="79" t="s">
        <v>3010</v>
      </c>
      <c r="O390" s="79" t="s">
        <v>3011</v>
      </c>
      <c r="P390" s="79" t="s">
        <v>3012</v>
      </c>
      <c r="Q390" s="79" t="s">
        <v>3013</v>
      </c>
      <c r="R390" s="79" t="s">
        <v>3001</v>
      </c>
    </row>
    <row r="391" spans="1:18" x14ac:dyDescent="0.25">
      <c r="A391" s="79" t="s">
        <v>78</v>
      </c>
    </row>
    <row r="392" spans="1:18" x14ac:dyDescent="0.25">
      <c r="A392" s="79" t="s">
        <v>78</v>
      </c>
      <c r="D392" s="79" t="s">
        <v>3014</v>
      </c>
      <c r="E392" s="79" t="s">
        <v>3015</v>
      </c>
      <c r="G392" s="79" t="s">
        <v>3016</v>
      </c>
      <c r="H392" s="79" t="s">
        <v>1376</v>
      </c>
      <c r="J392" s="79" t="s">
        <v>3017</v>
      </c>
      <c r="K392" s="79" t="s">
        <v>3018</v>
      </c>
      <c r="L392" s="79" t="s">
        <v>3019</v>
      </c>
      <c r="M392" s="79" t="s">
        <v>3020</v>
      </c>
      <c r="N392" s="79" t="s">
        <v>3021</v>
      </c>
      <c r="O392" s="79" t="s">
        <v>3022</v>
      </c>
      <c r="P392" s="79" t="s">
        <v>3023</v>
      </c>
      <c r="Q392" s="79" t="s">
        <v>3024</v>
      </c>
      <c r="R392" s="79" t="s">
        <v>3025</v>
      </c>
    </row>
    <row r="393" spans="1:18" x14ac:dyDescent="0.25">
      <c r="A393" s="79" t="s">
        <v>78</v>
      </c>
      <c r="B393" s="79" t="s">
        <v>3026</v>
      </c>
      <c r="D393" s="79" t="s">
        <v>3027</v>
      </c>
      <c r="E393" s="79" t="s">
        <v>3028</v>
      </c>
      <c r="F393" s="79" t="s">
        <v>3029</v>
      </c>
      <c r="H393" s="79" t="s">
        <v>3030</v>
      </c>
      <c r="J393" s="79" t="s">
        <v>3031</v>
      </c>
      <c r="K393" s="79" t="s">
        <v>3032</v>
      </c>
      <c r="M393" s="79" t="s">
        <v>3033</v>
      </c>
      <c r="N393" s="79" t="s">
        <v>3034</v>
      </c>
      <c r="O393" s="79" t="s">
        <v>3035</v>
      </c>
      <c r="P393" s="79" t="s">
        <v>3036</v>
      </c>
      <c r="Q393" s="79" t="s">
        <v>3037</v>
      </c>
      <c r="R393" s="79" t="s">
        <v>3025</v>
      </c>
    </row>
    <row r="394" spans="1:18" x14ac:dyDescent="0.25">
      <c r="A394" s="79" t="s">
        <v>78</v>
      </c>
    </row>
    <row r="395" spans="1:18" x14ac:dyDescent="0.25">
      <c r="A395" s="79" t="s">
        <v>78</v>
      </c>
      <c r="D395" s="79" t="s">
        <v>3038</v>
      </c>
      <c r="E395" s="79" t="s">
        <v>3039</v>
      </c>
      <c r="G395" s="79" t="s">
        <v>3040</v>
      </c>
      <c r="H395" s="79" t="s">
        <v>1377</v>
      </c>
      <c r="J395" s="79" t="s">
        <v>3041</v>
      </c>
      <c r="K395" s="79" t="s">
        <v>3042</v>
      </c>
      <c r="L395" s="79" t="s">
        <v>3043</v>
      </c>
      <c r="M395" s="79" t="s">
        <v>3044</v>
      </c>
      <c r="N395" s="79" t="s">
        <v>3045</v>
      </c>
      <c r="O395" s="79" t="s">
        <v>3046</v>
      </c>
      <c r="P395" s="79" t="s">
        <v>3047</v>
      </c>
      <c r="Q395" s="79" t="s">
        <v>3048</v>
      </c>
      <c r="R395" s="79" t="s">
        <v>3049</v>
      </c>
    </row>
    <row r="396" spans="1:18" x14ac:dyDescent="0.25">
      <c r="A396" s="79" t="s">
        <v>78</v>
      </c>
      <c r="B396" s="79" t="s">
        <v>3050</v>
      </c>
      <c r="D396" s="79" t="s">
        <v>3051</v>
      </c>
      <c r="E396" s="79" t="s">
        <v>3052</v>
      </c>
      <c r="F396" s="79" t="s">
        <v>3053</v>
      </c>
      <c r="H396" s="79" t="s">
        <v>3054</v>
      </c>
      <c r="J396" s="79" t="s">
        <v>3055</v>
      </c>
      <c r="K396" s="79" t="s">
        <v>3056</v>
      </c>
      <c r="M396" s="79" t="s">
        <v>3057</v>
      </c>
      <c r="N396" s="79" t="s">
        <v>3058</v>
      </c>
      <c r="O396" s="79" t="s">
        <v>3059</v>
      </c>
      <c r="P396" s="79" t="s">
        <v>3060</v>
      </c>
      <c r="Q396" s="79" t="s">
        <v>3061</v>
      </c>
      <c r="R396" s="79" t="s">
        <v>3049</v>
      </c>
    </row>
    <row r="397" spans="1:18" x14ac:dyDescent="0.25">
      <c r="A397" s="79" t="s">
        <v>78</v>
      </c>
    </row>
    <row r="398" spans="1:18" x14ac:dyDescent="0.25">
      <c r="A398" s="79" t="s">
        <v>78</v>
      </c>
      <c r="D398" s="79" t="s">
        <v>3062</v>
      </c>
      <c r="E398" s="79" t="s">
        <v>3063</v>
      </c>
      <c r="G398" s="79" t="s">
        <v>3064</v>
      </c>
      <c r="H398" s="79" t="s">
        <v>1378</v>
      </c>
      <c r="J398" s="79" t="s">
        <v>3065</v>
      </c>
      <c r="K398" s="79" t="s">
        <v>3066</v>
      </c>
      <c r="L398" s="79" t="s">
        <v>3067</v>
      </c>
      <c r="M398" s="79" t="s">
        <v>3068</v>
      </c>
      <c r="N398" s="79" t="s">
        <v>3069</v>
      </c>
      <c r="O398" s="79" t="s">
        <v>3070</v>
      </c>
      <c r="P398" s="79" t="s">
        <v>3071</v>
      </c>
      <c r="Q398" s="79" t="s">
        <v>3072</v>
      </c>
      <c r="R398" s="79" t="s">
        <v>3073</v>
      </c>
    </row>
    <row r="399" spans="1:18" x14ac:dyDescent="0.25">
      <c r="A399" s="79" t="s">
        <v>78</v>
      </c>
      <c r="B399" s="79" t="s">
        <v>3074</v>
      </c>
      <c r="D399" s="79" t="s">
        <v>3075</v>
      </c>
      <c r="E399" s="79" t="s">
        <v>3076</v>
      </c>
      <c r="F399" s="79" t="s">
        <v>3077</v>
      </c>
      <c r="H399" s="79" t="s">
        <v>3078</v>
      </c>
      <c r="J399" s="79" t="s">
        <v>3079</v>
      </c>
      <c r="K399" s="79" t="s">
        <v>3080</v>
      </c>
      <c r="M399" s="79" t="s">
        <v>3081</v>
      </c>
      <c r="N399" s="79" t="s">
        <v>3082</v>
      </c>
      <c r="O399" s="79" t="s">
        <v>3083</v>
      </c>
      <c r="P399" s="79" t="s">
        <v>3084</v>
      </c>
      <c r="Q399" s="79" t="s">
        <v>3085</v>
      </c>
      <c r="R399" s="79" t="s">
        <v>3073</v>
      </c>
    </row>
    <row r="400" spans="1:18" x14ac:dyDescent="0.25">
      <c r="A400" s="79" t="s">
        <v>78</v>
      </c>
    </row>
    <row r="401" spans="1:18" x14ac:dyDescent="0.25">
      <c r="A401" s="79" t="s">
        <v>78</v>
      </c>
      <c r="D401" s="79" t="s">
        <v>3086</v>
      </c>
      <c r="E401" s="79" t="s">
        <v>3087</v>
      </c>
      <c r="G401" s="79" t="s">
        <v>3088</v>
      </c>
      <c r="H401" s="79" t="s">
        <v>3089</v>
      </c>
      <c r="J401" s="79" t="s">
        <v>3090</v>
      </c>
      <c r="K401" s="79" t="s">
        <v>3091</v>
      </c>
      <c r="L401" s="79" t="s">
        <v>3092</v>
      </c>
      <c r="M401" s="79" t="s">
        <v>3093</v>
      </c>
      <c r="N401" s="79" t="s">
        <v>3094</v>
      </c>
      <c r="O401" s="79" t="s">
        <v>3095</v>
      </c>
      <c r="P401" s="79" t="s">
        <v>3096</v>
      </c>
      <c r="Q401" s="79" t="s">
        <v>3097</v>
      </c>
      <c r="R401" s="79" t="s">
        <v>3098</v>
      </c>
    </row>
    <row r="402" spans="1:18" x14ac:dyDescent="0.25">
      <c r="A402" s="79" t="s">
        <v>78</v>
      </c>
      <c r="B402" s="79" t="s">
        <v>3099</v>
      </c>
      <c r="D402" s="79" t="s">
        <v>3100</v>
      </c>
      <c r="E402" s="79" t="s">
        <v>3101</v>
      </c>
      <c r="F402" s="79" t="s">
        <v>3102</v>
      </c>
      <c r="H402" s="79" t="s">
        <v>3103</v>
      </c>
      <c r="J402" s="79" t="s">
        <v>3104</v>
      </c>
      <c r="K402" s="79" t="s">
        <v>3105</v>
      </c>
      <c r="M402" s="79" t="s">
        <v>3106</v>
      </c>
      <c r="N402" s="79" t="s">
        <v>3107</v>
      </c>
      <c r="O402" s="79" t="s">
        <v>3108</v>
      </c>
      <c r="P402" s="79" t="s">
        <v>3109</v>
      </c>
      <c r="Q402" s="79" t="s">
        <v>3110</v>
      </c>
      <c r="R402" s="79" t="s">
        <v>3098</v>
      </c>
    </row>
    <row r="403" spans="1:18" x14ac:dyDescent="0.25">
      <c r="A403" s="79" t="s">
        <v>78</v>
      </c>
    </row>
    <row r="404" spans="1:18" x14ac:dyDescent="0.25">
      <c r="A404" s="79" t="s">
        <v>78</v>
      </c>
      <c r="D404" s="79" t="s">
        <v>3111</v>
      </c>
      <c r="E404" s="79" t="s">
        <v>3112</v>
      </c>
      <c r="G404" s="79" t="s">
        <v>3113</v>
      </c>
      <c r="H404" s="79" t="s">
        <v>1379</v>
      </c>
      <c r="J404" s="79" t="s">
        <v>3114</v>
      </c>
      <c r="K404" s="79" t="s">
        <v>3115</v>
      </c>
      <c r="L404" s="79" t="s">
        <v>3116</v>
      </c>
      <c r="M404" s="79" t="s">
        <v>3117</v>
      </c>
      <c r="N404" s="79" t="s">
        <v>3118</v>
      </c>
      <c r="O404" s="79" t="s">
        <v>3119</v>
      </c>
      <c r="P404" s="79" t="s">
        <v>3120</v>
      </c>
      <c r="Q404" s="79" t="s">
        <v>3121</v>
      </c>
      <c r="R404" s="79" t="s">
        <v>3122</v>
      </c>
    </row>
    <row r="405" spans="1:18" x14ac:dyDescent="0.25">
      <c r="A405" s="79" t="s">
        <v>78</v>
      </c>
      <c r="B405" s="79" t="s">
        <v>3123</v>
      </c>
      <c r="D405" s="79" t="s">
        <v>3124</v>
      </c>
      <c r="E405" s="79" t="s">
        <v>3125</v>
      </c>
      <c r="F405" s="79" t="s">
        <v>3126</v>
      </c>
      <c r="H405" s="79" t="s">
        <v>3127</v>
      </c>
      <c r="J405" s="79" t="s">
        <v>3128</v>
      </c>
      <c r="K405" s="79" t="s">
        <v>3129</v>
      </c>
      <c r="M405" s="79" t="s">
        <v>3130</v>
      </c>
      <c r="N405" s="79" t="s">
        <v>3131</v>
      </c>
      <c r="O405" s="79" t="s">
        <v>3132</v>
      </c>
      <c r="P405" s="79" t="s">
        <v>3133</v>
      </c>
      <c r="Q405" s="79" t="s">
        <v>3134</v>
      </c>
      <c r="R405" s="79" t="s">
        <v>3122</v>
      </c>
    </row>
    <row r="406" spans="1:18" x14ac:dyDescent="0.25">
      <c r="A406" s="79" t="s">
        <v>78</v>
      </c>
    </row>
    <row r="407" spans="1:18" x14ac:dyDescent="0.25">
      <c r="A407" s="79" t="s">
        <v>78</v>
      </c>
    </row>
    <row r="408" spans="1:18" x14ac:dyDescent="0.25">
      <c r="A408" s="79" t="s">
        <v>78</v>
      </c>
      <c r="Q408" s="79" t="s">
        <v>3135</v>
      </c>
      <c r="R408" s="79" t="s">
        <v>3136</v>
      </c>
    </row>
    <row r="409" spans="1:18" x14ac:dyDescent="0.25">
      <c r="A409" s="79" t="s">
        <v>78</v>
      </c>
      <c r="H409" s="79" t="s">
        <v>1380</v>
      </c>
      <c r="I409" s="79" t="s">
        <v>3137</v>
      </c>
    </row>
    <row r="410" spans="1:18" x14ac:dyDescent="0.25">
      <c r="A410" s="79" t="s">
        <v>78</v>
      </c>
      <c r="H410" s="79" t="s">
        <v>3138</v>
      </c>
      <c r="I410" s="79" t="s">
        <v>3139</v>
      </c>
    </row>
    <row r="411" spans="1:18" x14ac:dyDescent="0.25">
      <c r="A411" s="79" t="s">
        <v>78</v>
      </c>
      <c r="H411" s="79" t="s">
        <v>3140</v>
      </c>
      <c r="I411" s="79" t="s">
        <v>3141</v>
      </c>
      <c r="N411" s="79" t="s">
        <v>22</v>
      </c>
      <c r="Q411" s="79" t="s">
        <v>23</v>
      </c>
    </row>
    <row r="412" spans="1:18" x14ac:dyDescent="0.25">
      <c r="A412" s="79" t="s">
        <v>78</v>
      </c>
      <c r="P412" s="79" t="s">
        <v>20</v>
      </c>
      <c r="R412" s="79" t="s">
        <v>20</v>
      </c>
    </row>
    <row r="413" spans="1:18" x14ac:dyDescent="0.25">
      <c r="A413" s="79" t="s">
        <v>78</v>
      </c>
      <c r="D413" s="79" t="s">
        <v>16</v>
      </c>
      <c r="E413" s="79" t="s">
        <v>32</v>
      </c>
      <c r="F413" s="79" t="s">
        <v>14</v>
      </c>
      <c r="G413" s="79" t="s">
        <v>14</v>
      </c>
      <c r="J413" s="79" t="s">
        <v>7</v>
      </c>
      <c r="K413" s="79" t="s">
        <v>11</v>
      </c>
      <c r="L413" s="79" t="s">
        <v>2</v>
      </c>
      <c r="M413" s="79" t="s">
        <v>3</v>
      </c>
      <c r="N413" s="79" t="s">
        <v>21</v>
      </c>
      <c r="O413" s="79" t="s">
        <v>19</v>
      </c>
      <c r="P413" s="79" t="s">
        <v>16</v>
      </c>
      <c r="Q413" s="79" t="s">
        <v>12</v>
      </c>
      <c r="R413" s="79" t="s">
        <v>12</v>
      </c>
    </row>
    <row r="414" spans="1:18" x14ac:dyDescent="0.25">
      <c r="A414" s="79" t="s">
        <v>78</v>
      </c>
      <c r="D414" s="79" t="s">
        <v>3142</v>
      </c>
      <c r="E414" s="79" t="s">
        <v>3143</v>
      </c>
      <c r="G414" s="79" t="s">
        <v>3144</v>
      </c>
      <c r="H414" s="79" t="s">
        <v>3145</v>
      </c>
      <c r="J414" s="79" t="s">
        <v>3146</v>
      </c>
      <c r="K414" s="79" t="s">
        <v>3147</v>
      </c>
      <c r="L414" s="79" t="s">
        <v>3148</v>
      </c>
      <c r="M414" s="79" t="s">
        <v>3149</v>
      </c>
      <c r="N414" s="79" t="s">
        <v>3150</v>
      </c>
      <c r="O414" s="79" t="s">
        <v>3151</v>
      </c>
      <c r="P414" s="79" t="s">
        <v>3152</v>
      </c>
      <c r="Q414" s="79" t="s">
        <v>3153</v>
      </c>
      <c r="R414" s="79" t="s">
        <v>3154</v>
      </c>
    </row>
    <row r="415" spans="1:18" x14ac:dyDescent="0.25">
      <c r="A415" s="79" t="s">
        <v>78</v>
      </c>
      <c r="B415" s="79" t="s">
        <v>3155</v>
      </c>
      <c r="D415" s="79" t="s">
        <v>3156</v>
      </c>
      <c r="E415" s="79" t="s">
        <v>3157</v>
      </c>
      <c r="F415" s="79" t="s">
        <v>3158</v>
      </c>
      <c r="H415" s="79" t="s">
        <v>3159</v>
      </c>
      <c r="J415" s="79" t="s">
        <v>3160</v>
      </c>
      <c r="K415" s="79" t="s">
        <v>3161</v>
      </c>
      <c r="M415" s="79" t="s">
        <v>3162</v>
      </c>
      <c r="N415" s="79" t="s">
        <v>3163</v>
      </c>
      <c r="O415" s="79" t="s">
        <v>3164</v>
      </c>
      <c r="P415" s="79" t="s">
        <v>3165</v>
      </c>
      <c r="Q415" s="79" t="s">
        <v>3166</v>
      </c>
      <c r="R415" s="79" t="s">
        <v>3154</v>
      </c>
    </row>
    <row r="416" spans="1:18" x14ac:dyDescent="0.25">
      <c r="A416" s="79" t="s">
        <v>78</v>
      </c>
    </row>
    <row r="417" spans="1:18" x14ac:dyDescent="0.25">
      <c r="A417" s="79" t="s">
        <v>78</v>
      </c>
      <c r="D417" s="79" t="s">
        <v>3167</v>
      </c>
      <c r="E417" s="79" t="s">
        <v>3168</v>
      </c>
      <c r="G417" s="79" t="s">
        <v>3169</v>
      </c>
      <c r="H417" s="79" t="s">
        <v>1408</v>
      </c>
      <c r="J417" s="79" t="s">
        <v>3170</v>
      </c>
      <c r="K417" s="79" t="s">
        <v>3171</v>
      </c>
      <c r="L417" s="79" t="s">
        <v>3172</v>
      </c>
      <c r="M417" s="79" t="s">
        <v>3173</v>
      </c>
      <c r="N417" s="79" t="s">
        <v>3174</v>
      </c>
      <c r="O417" s="79" t="s">
        <v>3175</v>
      </c>
      <c r="P417" s="79" t="s">
        <v>3176</v>
      </c>
      <c r="Q417" s="79" t="s">
        <v>3177</v>
      </c>
      <c r="R417" s="79" t="s">
        <v>3178</v>
      </c>
    </row>
    <row r="418" spans="1:18" x14ac:dyDescent="0.25">
      <c r="A418" s="79" t="s">
        <v>78</v>
      </c>
      <c r="B418" s="79" t="s">
        <v>3179</v>
      </c>
      <c r="D418" s="79" t="s">
        <v>3180</v>
      </c>
      <c r="E418" s="79" t="s">
        <v>3181</v>
      </c>
      <c r="F418" s="79" t="s">
        <v>3182</v>
      </c>
      <c r="H418" s="79" t="s">
        <v>3183</v>
      </c>
      <c r="J418" s="79" t="s">
        <v>3184</v>
      </c>
      <c r="K418" s="79" t="s">
        <v>3185</v>
      </c>
      <c r="M418" s="79" t="s">
        <v>3186</v>
      </c>
      <c r="N418" s="79" t="s">
        <v>3187</v>
      </c>
      <c r="O418" s="79" t="s">
        <v>3188</v>
      </c>
      <c r="P418" s="79" t="s">
        <v>3189</v>
      </c>
      <c r="Q418" s="79" t="s">
        <v>3190</v>
      </c>
      <c r="R418" s="79" t="s">
        <v>3178</v>
      </c>
    </row>
    <row r="419" spans="1:18" x14ac:dyDescent="0.25">
      <c r="A419" s="79" t="s">
        <v>78</v>
      </c>
    </row>
    <row r="420" spans="1:18" x14ac:dyDescent="0.25">
      <c r="A420" s="79" t="s">
        <v>78</v>
      </c>
      <c r="D420" s="79" t="s">
        <v>3191</v>
      </c>
      <c r="E420" s="79" t="s">
        <v>3192</v>
      </c>
      <c r="G420" s="79" t="s">
        <v>3193</v>
      </c>
      <c r="H420" s="79" t="s">
        <v>1433</v>
      </c>
      <c r="J420" s="79" t="s">
        <v>3194</v>
      </c>
      <c r="K420" s="79" t="s">
        <v>3195</v>
      </c>
      <c r="L420" s="79" t="s">
        <v>3196</v>
      </c>
      <c r="M420" s="79" t="s">
        <v>3197</v>
      </c>
      <c r="N420" s="79" t="s">
        <v>3198</v>
      </c>
      <c r="O420" s="79" t="s">
        <v>3199</v>
      </c>
      <c r="P420" s="79" t="s">
        <v>3200</v>
      </c>
      <c r="Q420" s="79" t="s">
        <v>3201</v>
      </c>
      <c r="R420" s="79" t="s">
        <v>3202</v>
      </c>
    </row>
    <row r="421" spans="1:18" x14ac:dyDescent="0.25">
      <c r="A421" s="79" t="s">
        <v>78</v>
      </c>
      <c r="B421" s="79" t="s">
        <v>3203</v>
      </c>
      <c r="D421" s="79" t="s">
        <v>3204</v>
      </c>
      <c r="E421" s="79" t="s">
        <v>3205</v>
      </c>
      <c r="F421" s="79" t="s">
        <v>3206</v>
      </c>
      <c r="H421" s="79" t="s">
        <v>3207</v>
      </c>
      <c r="J421" s="79" t="s">
        <v>3208</v>
      </c>
      <c r="K421" s="79" t="s">
        <v>3209</v>
      </c>
      <c r="M421" s="79" t="s">
        <v>3210</v>
      </c>
      <c r="N421" s="79" t="s">
        <v>3211</v>
      </c>
      <c r="O421" s="79" t="s">
        <v>3212</v>
      </c>
      <c r="P421" s="79" t="s">
        <v>3213</v>
      </c>
      <c r="Q421" s="79" t="s">
        <v>3214</v>
      </c>
      <c r="R421" s="79" t="s">
        <v>3202</v>
      </c>
    </row>
    <row r="422" spans="1:18" x14ac:dyDescent="0.25">
      <c r="A422" s="79" t="s">
        <v>78</v>
      </c>
    </row>
    <row r="423" spans="1:18" x14ac:dyDescent="0.25">
      <c r="A423" s="79" t="s">
        <v>78</v>
      </c>
      <c r="D423" s="79" t="s">
        <v>3215</v>
      </c>
      <c r="E423" s="79" t="s">
        <v>3216</v>
      </c>
      <c r="G423" s="79" t="s">
        <v>3217</v>
      </c>
      <c r="H423" s="79" t="s">
        <v>1458</v>
      </c>
      <c r="J423" s="79" t="s">
        <v>3218</v>
      </c>
      <c r="K423" s="79" t="s">
        <v>3219</v>
      </c>
      <c r="L423" s="79" t="s">
        <v>3220</v>
      </c>
      <c r="M423" s="79" t="s">
        <v>3221</v>
      </c>
      <c r="N423" s="79" t="s">
        <v>3222</v>
      </c>
      <c r="O423" s="79" t="s">
        <v>3223</v>
      </c>
      <c r="P423" s="79" t="s">
        <v>3224</v>
      </c>
      <c r="Q423" s="79" t="s">
        <v>3225</v>
      </c>
      <c r="R423" s="79" t="s">
        <v>3226</v>
      </c>
    </row>
    <row r="424" spans="1:18" x14ac:dyDescent="0.25">
      <c r="A424" s="79" t="s">
        <v>78</v>
      </c>
      <c r="B424" s="79" t="s">
        <v>3227</v>
      </c>
      <c r="D424" s="79" t="s">
        <v>3228</v>
      </c>
      <c r="E424" s="79" t="s">
        <v>3229</v>
      </c>
      <c r="F424" s="79" t="s">
        <v>3230</v>
      </c>
      <c r="H424" s="79" t="s">
        <v>3231</v>
      </c>
      <c r="J424" s="79" t="s">
        <v>3232</v>
      </c>
      <c r="K424" s="79" t="s">
        <v>3233</v>
      </c>
      <c r="M424" s="79" t="s">
        <v>3234</v>
      </c>
      <c r="N424" s="79" t="s">
        <v>3235</v>
      </c>
      <c r="O424" s="79" t="s">
        <v>3236</v>
      </c>
      <c r="P424" s="79" t="s">
        <v>3237</v>
      </c>
      <c r="Q424" s="79" t="s">
        <v>3238</v>
      </c>
      <c r="R424" s="79" t="s">
        <v>3226</v>
      </c>
    </row>
    <row r="425" spans="1:18" x14ac:dyDescent="0.25">
      <c r="A425" s="79" t="s">
        <v>78</v>
      </c>
    </row>
    <row r="426" spans="1:18" x14ac:dyDescent="0.25">
      <c r="A426" s="79" t="s">
        <v>78</v>
      </c>
    </row>
    <row r="427" spans="1:18" x14ac:dyDescent="0.25">
      <c r="A427" s="79" t="s">
        <v>78</v>
      </c>
      <c r="Q427" s="79" t="s">
        <v>3239</v>
      </c>
      <c r="R427" s="79" t="s">
        <v>3240</v>
      </c>
    </row>
    <row r="428" spans="1:18" x14ac:dyDescent="0.25">
      <c r="A428" s="79" t="s">
        <v>78</v>
      </c>
      <c r="H428" s="79" t="s">
        <v>1480</v>
      </c>
      <c r="I428" s="79" t="s">
        <v>3241</v>
      </c>
    </row>
    <row r="429" spans="1:18" x14ac:dyDescent="0.25">
      <c r="A429" s="79" t="s">
        <v>78</v>
      </c>
      <c r="H429" s="79" t="s">
        <v>3242</v>
      </c>
      <c r="I429" s="79" t="s">
        <v>3243</v>
      </c>
    </row>
    <row r="430" spans="1:18" x14ac:dyDescent="0.25">
      <c r="A430" s="79" t="s">
        <v>78</v>
      </c>
      <c r="H430" s="79" t="s">
        <v>3244</v>
      </c>
      <c r="I430" s="79" t="s">
        <v>3245</v>
      </c>
      <c r="N430" s="79" t="s">
        <v>22</v>
      </c>
      <c r="Q430" s="79" t="s">
        <v>23</v>
      </c>
    </row>
    <row r="431" spans="1:18" x14ac:dyDescent="0.25">
      <c r="A431" s="79" t="s">
        <v>78</v>
      </c>
      <c r="P431" s="79" t="s">
        <v>20</v>
      </c>
      <c r="R431" s="79" t="s">
        <v>20</v>
      </c>
    </row>
    <row r="432" spans="1:18" x14ac:dyDescent="0.25">
      <c r="A432" s="79" t="s">
        <v>78</v>
      </c>
      <c r="D432" s="79" t="s">
        <v>16</v>
      </c>
      <c r="E432" s="79" t="s">
        <v>32</v>
      </c>
      <c r="F432" s="79" t="s">
        <v>14</v>
      </c>
      <c r="G432" s="79" t="s">
        <v>14</v>
      </c>
      <c r="J432" s="79" t="s">
        <v>7</v>
      </c>
      <c r="K432" s="79" t="s">
        <v>11</v>
      </c>
      <c r="L432" s="79" t="s">
        <v>2</v>
      </c>
      <c r="M432" s="79" t="s">
        <v>3</v>
      </c>
      <c r="N432" s="79" t="s">
        <v>21</v>
      </c>
      <c r="O432" s="79" t="s">
        <v>19</v>
      </c>
      <c r="P432" s="79" t="s">
        <v>16</v>
      </c>
      <c r="Q432" s="79" t="s">
        <v>12</v>
      </c>
      <c r="R432" s="79" t="s">
        <v>12</v>
      </c>
    </row>
    <row r="433" spans="1:18" x14ac:dyDescent="0.25">
      <c r="A433" s="79" t="s">
        <v>78</v>
      </c>
      <c r="D433" s="79" t="s">
        <v>3246</v>
      </c>
      <c r="E433" s="79" t="s">
        <v>3247</v>
      </c>
      <c r="G433" s="79" t="s">
        <v>3248</v>
      </c>
      <c r="H433" s="79" t="s">
        <v>3249</v>
      </c>
      <c r="J433" s="79" t="s">
        <v>3250</v>
      </c>
      <c r="K433" s="79" t="s">
        <v>3251</v>
      </c>
      <c r="L433" s="79" t="s">
        <v>3252</v>
      </c>
      <c r="M433" s="79" t="s">
        <v>3253</v>
      </c>
      <c r="N433" s="79" t="s">
        <v>3254</v>
      </c>
      <c r="O433" s="79" t="s">
        <v>3255</v>
      </c>
      <c r="P433" s="79" t="s">
        <v>3256</v>
      </c>
      <c r="Q433" s="79" t="s">
        <v>3257</v>
      </c>
      <c r="R433" s="79" t="s">
        <v>3258</v>
      </c>
    </row>
    <row r="434" spans="1:18" x14ac:dyDescent="0.25">
      <c r="A434" s="79" t="s">
        <v>78</v>
      </c>
      <c r="B434" s="79" t="s">
        <v>3259</v>
      </c>
      <c r="D434" s="79" t="s">
        <v>3260</v>
      </c>
      <c r="E434" s="79" t="s">
        <v>3261</v>
      </c>
      <c r="F434" s="79" t="s">
        <v>3262</v>
      </c>
      <c r="H434" s="79" t="s">
        <v>3263</v>
      </c>
      <c r="J434" s="79" t="s">
        <v>3264</v>
      </c>
      <c r="K434" s="79" t="s">
        <v>3265</v>
      </c>
      <c r="M434" s="79" t="s">
        <v>3266</v>
      </c>
      <c r="N434" s="79" t="s">
        <v>3267</v>
      </c>
      <c r="O434" s="79" t="s">
        <v>3268</v>
      </c>
      <c r="P434" s="79" t="s">
        <v>3269</v>
      </c>
      <c r="Q434" s="79" t="s">
        <v>3270</v>
      </c>
      <c r="R434" s="79" t="s">
        <v>3258</v>
      </c>
    </row>
    <row r="435" spans="1:18" x14ac:dyDescent="0.25">
      <c r="A435" s="79" t="s">
        <v>78</v>
      </c>
    </row>
    <row r="436" spans="1:18" x14ac:dyDescent="0.25">
      <c r="A436" s="79" t="s">
        <v>78</v>
      </c>
    </row>
    <row r="437" spans="1:18" x14ac:dyDescent="0.25">
      <c r="A437" s="79" t="s">
        <v>78</v>
      </c>
      <c r="Q437" s="79" t="s">
        <v>3271</v>
      </c>
      <c r="R437" s="79" t="s">
        <v>3272</v>
      </c>
    </row>
    <row r="438" spans="1:18" x14ac:dyDescent="0.25">
      <c r="A438" s="79" t="s">
        <v>78</v>
      </c>
      <c r="H438" s="79" t="s">
        <v>1482</v>
      </c>
      <c r="I438" s="79" t="s">
        <v>3273</v>
      </c>
    </row>
    <row r="439" spans="1:18" x14ac:dyDescent="0.25">
      <c r="A439" s="79" t="s">
        <v>78</v>
      </c>
      <c r="H439" s="79" t="s">
        <v>3274</v>
      </c>
      <c r="I439" s="79" t="s">
        <v>3275</v>
      </c>
    </row>
    <row r="440" spans="1:18" x14ac:dyDescent="0.25">
      <c r="A440" s="79" t="s">
        <v>78</v>
      </c>
      <c r="H440" s="79" t="s">
        <v>3276</v>
      </c>
      <c r="I440" s="79" t="s">
        <v>3277</v>
      </c>
      <c r="N440" s="79" t="s">
        <v>22</v>
      </c>
      <c r="Q440" s="79" t="s">
        <v>23</v>
      </c>
    </row>
    <row r="441" spans="1:18" x14ac:dyDescent="0.25">
      <c r="A441" s="79" t="s">
        <v>78</v>
      </c>
      <c r="P441" s="79" t="s">
        <v>20</v>
      </c>
      <c r="R441" s="79" t="s">
        <v>20</v>
      </c>
    </row>
    <row r="442" spans="1:18" x14ac:dyDescent="0.25">
      <c r="A442" s="79" t="s">
        <v>78</v>
      </c>
      <c r="D442" s="79" t="s">
        <v>16</v>
      </c>
      <c r="E442" s="79" t="s">
        <v>32</v>
      </c>
      <c r="F442" s="79" t="s">
        <v>14</v>
      </c>
      <c r="G442" s="79" t="s">
        <v>14</v>
      </c>
      <c r="J442" s="79" t="s">
        <v>7</v>
      </c>
      <c r="K442" s="79" t="s">
        <v>11</v>
      </c>
      <c r="L442" s="79" t="s">
        <v>2</v>
      </c>
      <c r="M442" s="79" t="s">
        <v>3</v>
      </c>
      <c r="N442" s="79" t="s">
        <v>21</v>
      </c>
      <c r="O442" s="79" t="s">
        <v>19</v>
      </c>
      <c r="P442" s="79" t="s">
        <v>16</v>
      </c>
      <c r="Q442" s="79" t="s">
        <v>12</v>
      </c>
      <c r="R442" s="79" t="s">
        <v>12</v>
      </c>
    </row>
    <row r="443" spans="1:18" x14ac:dyDescent="0.25">
      <c r="A443" s="79" t="s">
        <v>78</v>
      </c>
      <c r="D443" s="79" t="s">
        <v>3278</v>
      </c>
      <c r="E443" s="79" t="s">
        <v>3279</v>
      </c>
      <c r="G443" s="79" t="s">
        <v>3280</v>
      </c>
      <c r="H443" s="79" t="s">
        <v>3281</v>
      </c>
      <c r="J443" s="79" t="s">
        <v>3282</v>
      </c>
      <c r="K443" s="79" t="s">
        <v>3283</v>
      </c>
      <c r="L443" s="79" t="s">
        <v>3284</v>
      </c>
      <c r="M443" s="79" t="s">
        <v>3285</v>
      </c>
      <c r="N443" s="79" t="s">
        <v>3286</v>
      </c>
      <c r="O443" s="79" t="s">
        <v>3287</v>
      </c>
      <c r="P443" s="79" t="s">
        <v>3288</v>
      </c>
      <c r="Q443" s="79" t="s">
        <v>3289</v>
      </c>
      <c r="R443" s="79" t="s">
        <v>3290</v>
      </c>
    </row>
    <row r="444" spans="1:18" x14ac:dyDescent="0.25">
      <c r="A444" s="79" t="s">
        <v>78</v>
      </c>
      <c r="B444" s="79" t="s">
        <v>3291</v>
      </c>
      <c r="D444" s="79" t="s">
        <v>3292</v>
      </c>
      <c r="E444" s="79" t="s">
        <v>3293</v>
      </c>
      <c r="F444" s="79" t="s">
        <v>3294</v>
      </c>
      <c r="H444" s="79" t="s">
        <v>3295</v>
      </c>
      <c r="J444" s="79" t="s">
        <v>3296</v>
      </c>
      <c r="K444" s="79" t="s">
        <v>3297</v>
      </c>
      <c r="M444" s="79" t="s">
        <v>3298</v>
      </c>
      <c r="N444" s="79" t="s">
        <v>3299</v>
      </c>
      <c r="O444" s="79" t="s">
        <v>3300</v>
      </c>
      <c r="P444" s="79" t="s">
        <v>3301</v>
      </c>
      <c r="Q444" s="79" t="s">
        <v>3302</v>
      </c>
      <c r="R444" s="79" t="s">
        <v>3290</v>
      </c>
    </row>
    <row r="445" spans="1:18" x14ac:dyDescent="0.25">
      <c r="A445" s="79" t="s">
        <v>78</v>
      </c>
    </row>
    <row r="446" spans="1:18" x14ac:dyDescent="0.25">
      <c r="A446" s="79" t="s">
        <v>78</v>
      </c>
      <c r="D446" s="79" t="s">
        <v>3303</v>
      </c>
      <c r="E446" s="79" t="s">
        <v>3304</v>
      </c>
      <c r="G446" s="79" t="s">
        <v>3305</v>
      </c>
      <c r="H446" s="79" t="s">
        <v>1484</v>
      </c>
      <c r="J446" s="79" t="s">
        <v>3306</v>
      </c>
      <c r="K446" s="79" t="s">
        <v>3307</v>
      </c>
      <c r="L446" s="79" t="s">
        <v>3308</v>
      </c>
      <c r="M446" s="79" t="s">
        <v>3309</v>
      </c>
      <c r="N446" s="79" t="s">
        <v>3310</v>
      </c>
      <c r="O446" s="79" t="s">
        <v>3311</v>
      </c>
      <c r="P446" s="79" t="s">
        <v>3312</v>
      </c>
      <c r="Q446" s="79" t="s">
        <v>3313</v>
      </c>
      <c r="R446" s="79" t="s">
        <v>3314</v>
      </c>
    </row>
    <row r="447" spans="1:18" x14ac:dyDescent="0.25">
      <c r="A447" s="79" t="s">
        <v>78</v>
      </c>
      <c r="B447" s="79" t="s">
        <v>3315</v>
      </c>
      <c r="D447" s="79" t="s">
        <v>3316</v>
      </c>
      <c r="E447" s="79" t="s">
        <v>3317</v>
      </c>
      <c r="F447" s="79" t="s">
        <v>3318</v>
      </c>
      <c r="H447" s="79" t="s">
        <v>3319</v>
      </c>
      <c r="J447" s="79" t="s">
        <v>3320</v>
      </c>
      <c r="K447" s="79" t="s">
        <v>3321</v>
      </c>
      <c r="M447" s="79" t="s">
        <v>3322</v>
      </c>
      <c r="N447" s="79" t="s">
        <v>3323</v>
      </c>
      <c r="O447" s="79" t="s">
        <v>3324</v>
      </c>
      <c r="P447" s="79" t="s">
        <v>3325</v>
      </c>
      <c r="Q447" s="79" t="s">
        <v>3326</v>
      </c>
      <c r="R447" s="79" t="s">
        <v>3314</v>
      </c>
    </row>
    <row r="448" spans="1:18" x14ac:dyDescent="0.25">
      <c r="A448" s="79" t="s">
        <v>78</v>
      </c>
    </row>
    <row r="449" spans="1:18" x14ac:dyDescent="0.25">
      <c r="A449" s="79" t="s">
        <v>78</v>
      </c>
    </row>
    <row r="450" spans="1:18" x14ac:dyDescent="0.25">
      <c r="A450" s="79" t="s">
        <v>78</v>
      </c>
      <c r="Q450" s="79" t="s">
        <v>3327</v>
      </c>
      <c r="R450" s="79" t="s">
        <v>3328</v>
      </c>
    </row>
    <row r="451" spans="1:18" x14ac:dyDescent="0.25">
      <c r="A451" s="79" t="s">
        <v>78</v>
      </c>
      <c r="H451" s="79" t="s">
        <v>1485</v>
      </c>
      <c r="I451" s="79" t="s">
        <v>3329</v>
      </c>
    </row>
    <row r="452" spans="1:18" x14ac:dyDescent="0.25">
      <c r="A452" s="79" t="s">
        <v>78</v>
      </c>
      <c r="H452" s="79" t="s">
        <v>3330</v>
      </c>
      <c r="I452" s="79" t="s">
        <v>3331</v>
      </c>
    </row>
    <row r="453" spans="1:18" x14ac:dyDescent="0.25">
      <c r="A453" s="79" t="s">
        <v>78</v>
      </c>
      <c r="H453" s="79" t="s">
        <v>3332</v>
      </c>
      <c r="I453" s="79" t="s">
        <v>3333</v>
      </c>
      <c r="N453" s="79" t="s">
        <v>22</v>
      </c>
      <c r="Q453" s="79" t="s">
        <v>23</v>
      </c>
    </row>
    <row r="454" spans="1:18" x14ac:dyDescent="0.25">
      <c r="A454" s="79" t="s">
        <v>78</v>
      </c>
      <c r="P454" s="79" t="s">
        <v>20</v>
      </c>
      <c r="R454" s="79" t="s">
        <v>20</v>
      </c>
    </row>
    <row r="455" spans="1:18" x14ac:dyDescent="0.25">
      <c r="A455" s="79" t="s">
        <v>78</v>
      </c>
      <c r="D455" s="79" t="s">
        <v>16</v>
      </c>
      <c r="E455" s="79" t="s">
        <v>32</v>
      </c>
      <c r="F455" s="79" t="s">
        <v>14</v>
      </c>
      <c r="G455" s="79" t="s">
        <v>14</v>
      </c>
      <c r="J455" s="79" t="s">
        <v>7</v>
      </c>
      <c r="K455" s="79" t="s">
        <v>11</v>
      </c>
      <c r="L455" s="79" t="s">
        <v>2</v>
      </c>
      <c r="M455" s="79" t="s">
        <v>3</v>
      </c>
      <c r="N455" s="79" t="s">
        <v>21</v>
      </c>
      <c r="O455" s="79" t="s">
        <v>19</v>
      </c>
      <c r="P455" s="79" t="s">
        <v>16</v>
      </c>
      <c r="Q455" s="79" t="s">
        <v>12</v>
      </c>
      <c r="R455" s="79" t="s">
        <v>12</v>
      </c>
    </row>
    <row r="456" spans="1:18" x14ac:dyDescent="0.25">
      <c r="A456" s="79" t="s">
        <v>78</v>
      </c>
      <c r="D456" s="79" t="s">
        <v>3334</v>
      </c>
      <c r="E456" s="79" t="s">
        <v>3335</v>
      </c>
      <c r="G456" s="79" t="s">
        <v>3336</v>
      </c>
      <c r="H456" s="79" t="s">
        <v>3337</v>
      </c>
      <c r="J456" s="79" t="s">
        <v>3338</v>
      </c>
      <c r="K456" s="79" t="s">
        <v>3339</v>
      </c>
      <c r="L456" s="79" t="s">
        <v>3340</v>
      </c>
      <c r="M456" s="79" t="s">
        <v>3341</v>
      </c>
      <c r="N456" s="79" t="s">
        <v>3342</v>
      </c>
      <c r="O456" s="79" t="s">
        <v>3343</v>
      </c>
      <c r="P456" s="79" t="s">
        <v>3344</v>
      </c>
      <c r="Q456" s="79" t="s">
        <v>3345</v>
      </c>
      <c r="R456" s="79" t="s">
        <v>3346</v>
      </c>
    </row>
    <row r="457" spans="1:18" x14ac:dyDescent="0.25">
      <c r="A457" s="79" t="s">
        <v>78</v>
      </c>
      <c r="B457" s="79" t="s">
        <v>3347</v>
      </c>
      <c r="D457" s="79" t="s">
        <v>3348</v>
      </c>
      <c r="E457" s="79" t="s">
        <v>3349</v>
      </c>
      <c r="F457" s="79" t="s">
        <v>3350</v>
      </c>
      <c r="H457" s="79" t="s">
        <v>3351</v>
      </c>
      <c r="J457" s="79" t="s">
        <v>3352</v>
      </c>
      <c r="K457" s="79" t="s">
        <v>3353</v>
      </c>
      <c r="M457" s="79" t="s">
        <v>3354</v>
      </c>
      <c r="N457" s="79" t="s">
        <v>3355</v>
      </c>
      <c r="O457" s="79" t="s">
        <v>3356</v>
      </c>
      <c r="P457" s="79" t="s">
        <v>3357</v>
      </c>
      <c r="Q457" s="79" t="s">
        <v>3358</v>
      </c>
      <c r="R457" s="79" t="s">
        <v>3346</v>
      </c>
    </row>
    <row r="458" spans="1:18" x14ac:dyDescent="0.25">
      <c r="A458" s="79" t="s">
        <v>78</v>
      </c>
    </row>
    <row r="459" spans="1:18" x14ac:dyDescent="0.25">
      <c r="A459" s="79" t="s">
        <v>78</v>
      </c>
      <c r="D459" s="79" t="s">
        <v>3359</v>
      </c>
      <c r="E459" s="79" t="s">
        <v>3360</v>
      </c>
      <c r="G459" s="79" t="s">
        <v>3361</v>
      </c>
      <c r="H459" s="79" t="s">
        <v>1513</v>
      </c>
      <c r="J459" s="79" t="s">
        <v>3362</v>
      </c>
      <c r="K459" s="79" t="s">
        <v>3363</v>
      </c>
      <c r="L459" s="79" t="s">
        <v>3364</v>
      </c>
      <c r="M459" s="79" t="s">
        <v>3365</v>
      </c>
      <c r="N459" s="79" t="s">
        <v>3366</v>
      </c>
      <c r="O459" s="79" t="s">
        <v>3367</v>
      </c>
      <c r="P459" s="79" t="s">
        <v>3368</v>
      </c>
      <c r="Q459" s="79" t="s">
        <v>3369</v>
      </c>
      <c r="R459" s="79" t="s">
        <v>3370</v>
      </c>
    </row>
    <row r="460" spans="1:18" x14ac:dyDescent="0.25">
      <c r="A460" s="79" t="s">
        <v>78</v>
      </c>
      <c r="B460" s="79" t="s">
        <v>3371</v>
      </c>
      <c r="D460" s="79" t="s">
        <v>3372</v>
      </c>
      <c r="E460" s="79" t="s">
        <v>3373</v>
      </c>
      <c r="F460" s="79" t="s">
        <v>3374</v>
      </c>
      <c r="H460" s="79" t="s">
        <v>3375</v>
      </c>
      <c r="J460" s="79" t="s">
        <v>3376</v>
      </c>
      <c r="K460" s="79" t="s">
        <v>3377</v>
      </c>
      <c r="M460" s="79" t="s">
        <v>3378</v>
      </c>
      <c r="N460" s="79" t="s">
        <v>3379</v>
      </c>
      <c r="O460" s="79" t="s">
        <v>3380</v>
      </c>
      <c r="P460" s="79" t="s">
        <v>3381</v>
      </c>
      <c r="Q460" s="79" t="s">
        <v>3382</v>
      </c>
      <c r="R460" s="79" t="s">
        <v>3370</v>
      </c>
    </row>
    <row r="461" spans="1:18" x14ac:dyDescent="0.25">
      <c r="A461" s="79" t="s">
        <v>78</v>
      </c>
    </row>
    <row r="462" spans="1:18" x14ac:dyDescent="0.25">
      <c r="A462" s="79" t="s">
        <v>78</v>
      </c>
      <c r="D462" s="79" t="s">
        <v>3383</v>
      </c>
      <c r="E462" s="79" t="s">
        <v>3384</v>
      </c>
      <c r="G462" s="79" t="s">
        <v>3385</v>
      </c>
      <c r="H462" s="79" t="s">
        <v>1538</v>
      </c>
      <c r="J462" s="79" t="s">
        <v>3386</v>
      </c>
      <c r="K462" s="79" t="s">
        <v>3387</v>
      </c>
      <c r="L462" s="79" t="s">
        <v>3388</v>
      </c>
      <c r="M462" s="79" t="s">
        <v>3389</v>
      </c>
      <c r="N462" s="79" t="s">
        <v>3390</v>
      </c>
      <c r="O462" s="79" t="s">
        <v>3391</v>
      </c>
      <c r="P462" s="79" t="s">
        <v>3392</v>
      </c>
      <c r="Q462" s="79" t="s">
        <v>3393</v>
      </c>
      <c r="R462" s="79" t="s">
        <v>3394</v>
      </c>
    </row>
    <row r="463" spans="1:18" x14ac:dyDescent="0.25">
      <c r="A463" s="79" t="s">
        <v>78</v>
      </c>
      <c r="B463" s="79" t="s">
        <v>3395</v>
      </c>
      <c r="D463" s="79" t="s">
        <v>3396</v>
      </c>
      <c r="E463" s="79" t="s">
        <v>3397</v>
      </c>
      <c r="F463" s="79" t="s">
        <v>3398</v>
      </c>
      <c r="H463" s="79" t="s">
        <v>3399</v>
      </c>
      <c r="J463" s="79" t="s">
        <v>3400</v>
      </c>
      <c r="K463" s="79" t="s">
        <v>3401</v>
      </c>
      <c r="M463" s="79" t="s">
        <v>3402</v>
      </c>
      <c r="N463" s="79" t="s">
        <v>3403</v>
      </c>
      <c r="O463" s="79" t="s">
        <v>3404</v>
      </c>
      <c r="P463" s="79" t="s">
        <v>3405</v>
      </c>
      <c r="Q463" s="79" t="s">
        <v>3406</v>
      </c>
      <c r="R463" s="79" t="s">
        <v>3394</v>
      </c>
    </row>
    <row r="464" spans="1:18" x14ac:dyDescent="0.25">
      <c r="A464" s="79" t="s">
        <v>78</v>
      </c>
    </row>
    <row r="465" spans="1:18" x14ac:dyDescent="0.25">
      <c r="A465" s="79" t="s">
        <v>78</v>
      </c>
      <c r="D465" s="79" t="s">
        <v>3407</v>
      </c>
      <c r="E465" s="79" t="s">
        <v>3408</v>
      </c>
      <c r="G465" s="79" t="s">
        <v>3409</v>
      </c>
      <c r="H465" s="79" t="s">
        <v>1563</v>
      </c>
      <c r="J465" s="79" t="s">
        <v>3410</v>
      </c>
      <c r="K465" s="79" t="s">
        <v>3411</v>
      </c>
      <c r="L465" s="79" t="s">
        <v>3412</v>
      </c>
      <c r="M465" s="79" t="s">
        <v>3413</v>
      </c>
      <c r="N465" s="79" t="s">
        <v>3414</v>
      </c>
      <c r="O465" s="79" t="s">
        <v>3415</v>
      </c>
      <c r="P465" s="79" t="s">
        <v>3416</v>
      </c>
      <c r="Q465" s="79" t="s">
        <v>3417</v>
      </c>
      <c r="R465" s="79" t="s">
        <v>3418</v>
      </c>
    </row>
    <row r="466" spans="1:18" x14ac:dyDescent="0.25">
      <c r="A466" s="79" t="s">
        <v>78</v>
      </c>
      <c r="B466" s="79" t="s">
        <v>3419</v>
      </c>
      <c r="D466" s="79" t="s">
        <v>3420</v>
      </c>
      <c r="E466" s="79" t="s">
        <v>3421</v>
      </c>
      <c r="F466" s="79" t="s">
        <v>3422</v>
      </c>
      <c r="H466" s="79" t="s">
        <v>3423</v>
      </c>
      <c r="J466" s="79" t="s">
        <v>3424</v>
      </c>
      <c r="K466" s="79" t="s">
        <v>3425</v>
      </c>
      <c r="M466" s="79" t="s">
        <v>3426</v>
      </c>
      <c r="N466" s="79" t="s">
        <v>3427</v>
      </c>
      <c r="O466" s="79" t="s">
        <v>3428</v>
      </c>
      <c r="P466" s="79" t="s">
        <v>3429</v>
      </c>
      <c r="Q466" s="79" t="s">
        <v>3430</v>
      </c>
      <c r="R466" s="79" t="s">
        <v>3418</v>
      </c>
    </row>
    <row r="467" spans="1:18" x14ac:dyDescent="0.25">
      <c r="A467" s="79" t="s">
        <v>78</v>
      </c>
    </row>
    <row r="468" spans="1:18" x14ac:dyDescent="0.25">
      <c r="A468" s="79" t="s">
        <v>78</v>
      </c>
      <c r="D468" s="79" t="s">
        <v>3431</v>
      </c>
      <c r="E468" s="79" t="s">
        <v>3432</v>
      </c>
      <c r="G468" s="79" t="s">
        <v>3433</v>
      </c>
      <c r="H468" s="79" t="s">
        <v>1588</v>
      </c>
      <c r="J468" s="79" t="s">
        <v>3434</v>
      </c>
      <c r="K468" s="79" t="s">
        <v>3435</v>
      </c>
      <c r="L468" s="79" t="s">
        <v>3436</v>
      </c>
      <c r="M468" s="79" t="s">
        <v>3437</v>
      </c>
      <c r="N468" s="79" t="s">
        <v>3438</v>
      </c>
      <c r="O468" s="79" t="s">
        <v>3439</v>
      </c>
      <c r="P468" s="79" t="s">
        <v>3440</v>
      </c>
      <c r="Q468" s="79" t="s">
        <v>3441</v>
      </c>
      <c r="R468" s="79" t="s">
        <v>3442</v>
      </c>
    </row>
    <row r="469" spans="1:18" x14ac:dyDescent="0.25">
      <c r="A469" s="79" t="s">
        <v>78</v>
      </c>
      <c r="B469" s="79" t="s">
        <v>3443</v>
      </c>
      <c r="D469" s="79" t="s">
        <v>3444</v>
      </c>
      <c r="E469" s="79" t="s">
        <v>3445</v>
      </c>
      <c r="F469" s="79" t="s">
        <v>3446</v>
      </c>
      <c r="H469" s="79" t="s">
        <v>3447</v>
      </c>
      <c r="J469" s="79" t="s">
        <v>3448</v>
      </c>
      <c r="K469" s="79" t="s">
        <v>3449</v>
      </c>
      <c r="M469" s="79" t="s">
        <v>3450</v>
      </c>
      <c r="N469" s="79" t="s">
        <v>3451</v>
      </c>
      <c r="O469" s="79" t="s">
        <v>3452</v>
      </c>
      <c r="P469" s="79" t="s">
        <v>3453</v>
      </c>
      <c r="Q469" s="79" t="s">
        <v>3454</v>
      </c>
      <c r="R469" s="79" t="s">
        <v>3442</v>
      </c>
    </row>
    <row r="470" spans="1:18" x14ac:dyDescent="0.25">
      <c r="A470" s="79" t="s">
        <v>78</v>
      </c>
    </row>
    <row r="471" spans="1:18" x14ac:dyDescent="0.25">
      <c r="A471" s="79" t="s">
        <v>78</v>
      </c>
      <c r="D471" s="79" t="s">
        <v>3455</v>
      </c>
      <c r="E471" s="79" t="s">
        <v>3456</v>
      </c>
      <c r="G471" s="79" t="s">
        <v>3457</v>
      </c>
      <c r="H471" s="79" t="s">
        <v>1613</v>
      </c>
      <c r="J471" s="79" t="s">
        <v>3458</v>
      </c>
      <c r="K471" s="79" t="s">
        <v>3459</v>
      </c>
      <c r="L471" s="79" t="s">
        <v>3460</v>
      </c>
      <c r="M471" s="79" t="s">
        <v>3461</v>
      </c>
      <c r="N471" s="79" t="s">
        <v>3462</v>
      </c>
      <c r="O471" s="79" t="s">
        <v>3463</v>
      </c>
      <c r="P471" s="79" t="s">
        <v>3464</v>
      </c>
      <c r="Q471" s="79" t="s">
        <v>3465</v>
      </c>
      <c r="R471" s="79" t="s">
        <v>3466</v>
      </c>
    </row>
    <row r="472" spans="1:18" x14ac:dyDescent="0.25">
      <c r="A472" s="79" t="s">
        <v>78</v>
      </c>
      <c r="B472" s="79" t="s">
        <v>3467</v>
      </c>
      <c r="D472" s="79" t="s">
        <v>3468</v>
      </c>
      <c r="E472" s="79" t="s">
        <v>3469</v>
      </c>
      <c r="F472" s="79" t="s">
        <v>3470</v>
      </c>
      <c r="H472" s="79" t="s">
        <v>3471</v>
      </c>
      <c r="J472" s="79" t="s">
        <v>3472</v>
      </c>
      <c r="K472" s="79" t="s">
        <v>3473</v>
      </c>
      <c r="M472" s="79" t="s">
        <v>3474</v>
      </c>
      <c r="N472" s="79" t="s">
        <v>3475</v>
      </c>
      <c r="O472" s="79" t="s">
        <v>3476</v>
      </c>
      <c r="P472" s="79" t="s">
        <v>3477</v>
      </c>
      <c r="Q472" s="79" t="s">
        <v>3478</v>
      </c>
      <c r="R472" s="79" t="s">
        <v>3466</v>
      </c>
    </row>
    <row r="473" spans="1:18" x14ac:dyDescent="0.25">
      <c r="A473" s="79" t="s">
        <v>78</v>
      </c>
    </row>
    <row r="474" spans="1:18" x14ac:dyDescent="0.25">
      <c r="A474" s="79" t="s">
        <v>78</v>
      </c>
      <c r="D474" s="79" t="s">
        <v>3479</v>
      </c>
      <c r="E474" s="79" t="s">
        <v>3480</v>
      </c>
      <c r="G474" s="79" t="s">
        <v>3481</v>
      </c>
      <c r="H474" s="79" t="s">
        <v>1638</v>
      </c>
      <c r="J474" s="79" t="s">
        <v>3482</v>
      </c>
      <c r="K474" s="79" t="s">
        <v>3483</v>
      </c>
      <c r="L474" s="79" t="s">
        <v>3484</v>
      </c>
      <c r="M474" s="79" t="s">
        <v>3485</v>
      </c>
      <c r="N474" s="79" t="s">
        <v>3486</v>
      </c>
      <c r="O474" s="79" t="s">
        <v>3487</v>
      </c>
      <c r="P474" s="79" t="s">
        <v>3488</v>
      </c>
      <c r="Q474" s="79" t="s">
        <v>3489</v>
      </c>
      <c r="R474" s="79" t="s">
        <v>3490</v>
      </c>
    </row>
    <row r="475" spans="1:18" x14ac:dyDescent="0.25">
      <c r="A475" s="79" t="s">
        <v>78</v>
      </c>
      <c r="B475" s="79" t="s">
        <v>3491</v>
      </c>
      <c r="D475" s="79" t="s">
        <v>3492</v>
      </c>
      <c r="E475" s="79" t="s">
        <v>3493</v>
      </c>
      <c r="F475" s="79" t="s">
        <v>3494</v>
      </c>
      <c r="H475" s="79" t="s">
        <v>3495</v>
      </c>
      <c r="J475" s="79" t="s">
        <v>3496</v>
      </c>
      <c r="K475" s="79" t="s">
        <v>3497</v>
      </c>
      <c r="M475" s="79" t="s">
        <v>3498</v>
      </c>
      <c r="N475" s="79" t="s">
        <v>3499</v>
      </c>
      <c r="O475" s="79" t="s">
        <v>3500</v>
      </c>
      <c r="P475" s="79" t="s">
        <v>3501</v>
      </c>
      <c r="Q475" s="79" t="s">
        <v>3502</v>
      </c>
      <c r="R475" s="79" t="s">
        <v>3490</v>
      </c>
    </row>
    <row r="476" spans="1:18" x14ac:dyDescent="0.25">
      <c r="A476" s="79" t="s">
        <v>78</v>
      </c>
    </row>
    <row r="477" spans="1:18" x14ac:dyDescent="0.25">
      <c r="A477" s="79" t="s">
        <v>78</v>
      </c>
    </row>
    <row r="478" spans="1:18" x14ac:dyDescent="0.25">
      <c r="A478" s="79" t="s">
        <v>78</v>
      </c>
      <c r="Q478" s="79" t="s">
        <v>3503</v>
      </c>
      <c r="R478" s="79" t="s">
        <v>3504</v>
      </c>
    </row>
    <row r="479" spans="1:18" x14ac:dyDescent="0.25">
      <c r="A479" s="79" t="s">
        <v>78</v>
      </c>
      <c r="H479" s="79" t="s">
        <v>1660</v>
      </c>
      <c r="I479" s="79" t="s">
        <v>3505</v>
      </c>
    </row>
    <row r="480" spans="1:18" x14ac:dyDescent="0.25">
      <c r="A480" s="79" t="s">
        <v>78</v>
      </c>
      <c r="H480" s="79" t="s">
        <v>3506</v>
      </c>
      <c r="I480" s="79" t="s">
        <v>3507</v>
      </c>
    </row>
    <row r="481" spans="1:18" x14ac:dyDescent="0.25">
      <c r="A481" s="79" t="s">
        <v>78</v>
      </c>
      <c r="H481" s="79" t="s">
        <v>3508</v>
      </c>
      <c r="I481" s="79" t="s">
        <v>3509</v>
      </c>
      <c r="N481" s="79" t="s">
        <v>22</v>
      </c>
      <c r="Q481" s="79" t="s">
        <v>23</v>
      </c>
    </row>
    <row r="482" spans="1:18" x14ac:dyDescent="0.25">
      <c r="A482" s="79" t="s">
        <v>78</v>
      </c>
      <c r="P482" s="79" t="s">
        <v>20</v>
      </c>
      <c r="R482" s="79" t="s">
        <v>20</v>
      </c>
    </row>
    <row r="483" spans="1:18" x14ac:dyDescent="0.25">
      <c r="A483" s="79" t="s">
        <v>78</v>
      </c>
      <c r="D483" s="79" t="s">
        <v>16</v>
      </c>
      <c r="E483" s="79" t="s">
        <v>32</v>
      </c>
      <c r="F483" s="79" t="s">
        <v>14</v>
      </c>
      <c r="G483" s="79" t="s">
        <v>14</v>
      </c>
      <c r="J483" s="79" t="s">
        <v>7</v>
      </c>
      <c r="K483" s="79" t="s">
        <v>11</v>
      </c>
      <c r="L483" s="79" t="s">
        <v>2</v>
      </c>
      <c r="M483" s="79" t="s">
        <v>3</v>
      </c>
      <c r="N483" s="79" t="s">
        <v>21</v>
      </c>
      <c r="O483" s="79" t="s">
        <v>19</v>
      </c>
      <c r="P483" s="79" t="s">
        <v>16</v>
      </c>
      <c r="Q483" s="79" t="s">
        <v>12</v>
      </c>
      <c r="R483" s="79" t="s">
        <v>12</v>
      </c>
    </row>
    <row r="484" spans="1:18" x14ac:dyDescent="0.25">
      <c r="A484" s="79" t="s">
        <v>78</v>
      </c>
      <c r="D484" s="79" t="s">
        <v>3510</v>
      </c>
      <c r="E484" s="79" t="s">
        <v>3511</v>
      </c>
      <c r="G484" s="79" t="s">
        <v>3512</v>
      </c>
      <c r="H484" s="79" t="s">
        <v>3513</v>
      </c>
      <c r="J484" s="79" t="s">
        <v>3514</v>
      </c>
      <c r="K484" s="79" t="s">
        <v>3515</v>
      </c>
      <c r="L484" s="79" t="s">
        <v>3516</v>
      </c>
      <c r="M484" s="79" t="s">
        <v>3517</v>
      </c>
      <c r="N484" s="79" t="s">
        <v>3518</v>
      </c>
      <c r="O484" s="79" t="s">
        <v>3519</v>
      </c>
      <c r="P484" s="79" t="s">
        <v>3520</v>
      </c>
      <c r="Q484" s="79" t="s">
        <v>3521</v>
      </c>
      <c r="R484" s="79" t="s">
        <v>3522</v>
      </c>
    </row>
    <row r="485" spans="1:18" x14ac:dyDescent="0.25">
      <c r="A485" s="79" t="s">
        <v>78</v>
      </c>
      <c r="B485" s="79" t="s">
        <v>3523</v>
      </c>
      <c r="D485" s="79" t="s">
        <v>3524</v>
      </c>
      <c r="E485" s="79" t="s">
        <v>3525</v>
      </c>
      <c r="F485" s="79" t="s">
        <v>3526</v>
      </c>
      <c r="H485" s="79" t="s">
        <v>3527</v>
      </c>
      <c r="J485" s="79" t="s">
        <v>3528</v>
      </c>
      <c r="K485" s="79" t="s">
        <v>3529</v>
      </c>
      <c r="M485" s="79" t="s">
        <v>3530</v>
      </c>
      <c r="N485" s="79" t="s">
        <v>3531</v>
      </c>
      <c r="O485" s="79" t="s">
        <v>3532</v>
      </c>
      <c r="P485" s="79" t="s">
        <v>3533</v>
      </c>
      <c r="Q485" s="79" t="s">
        <v>3534</v>
      </c>
      <c r="R485" s="79" t="s">
        <v>3522</v>
      </c>
    </row>
    <row r="486" spans="1:18" x14ac:dyDescent="0.25">
      <c r="A486" s="79" t="s">
        <v>78</v>
      </c>
    </row>
    <row r="487" spans="1:18" x14ac:dyDescent="0.25">
      <c r="A487" s="79" t="s">
        <v>78</v>
      </c>
      <c r="D487" s="79" t="s">
        <v>3535</v>
      </c>
      <c r="E487" s="79" t="s">
        <v>3536</v>
      </c>
      <c r="G487" s="79" t="s">
        <v>3537</v>
      </c>
      <c r="H487" s="79" t="s">
        <v>1694</v>
      </c>
      <c r="J487" s="79" t="s">
        <v>3538</v>
      </c>
      <c r="K487" s="79" t="s">
        <v>3539</v>
      </c>
      <c r="L487" s="79" t="s">
        <v>3540</v>
      </c>
      <c r="M487" s="79" t="s">
        <v>3541</v>
      </c>
      <c r="N487" s="79" t="s">
        <v>3542</v>
      </c>
      <c r="O487" s="79" t="s">
        <v>3543</v>
      </c>
      <c r="P487" s="79" t="s">
        <v>3544</v>
      </c>
      <c r="Q487" s="79" t="s">
        <v>3545</v>
      </c>
      <c r="R487" s="79" t="s">
        <v>3546</v>
      </c>
    </row>
    <row r="488" spans="1:18" x14ac:dyDescent="0.25">
      <c r="A488" s="79" t="s">
        <v>78</v>
      </c>
      <c r="B488" s="79" t="s">
        <v>3547</v>
      </c>
      <c r="D488" s="79" t="s">
        <v>3548</v>
      </c>
      <c r="E488" s="79" t="s">
        <v>3549</v>
      </c>
      <c r="F488" s="79" t="s">
        <v>3550</v>
      </c>
      <c r="H488" s="79" t="s">
        <v>3551</v>
      </c>
      <c r="J488" s="79" t="s">
        <v>3552</v>
      </c>
      <c r="K488" s="79" t="s">
        <v>3553</v>
      </c>
      <c r="M488" s="79" t="s">
        <v>3554</v>
      </c>
      <c r="N488" s="79" t="s">
        <v>3555</v>
      </c>
      <c r="O488" s="79" t="s">
        <v>3556</v>
      </c>
      <c r="P488" s="79" t="s">
        <v>3557</v>
      </c>
      <c r="Q488" s="79" t="s">
        <v>3558</v>
      </c>
      <c r="R488" s="79" t="s">
        <v>3546</v>
      </c>
    </row>
    <row r="489" spans="1:18" x14ac:dyDescent="0.25">
      <c r="A489" s="79" t="s">
        <v>78</v>
      </c>
    </row>
    <row r="490" spans="1:18" x14ac:dyDescent="0.25">
      <c r="A490" s="79" t="s">
        <v>78</v>
      </c>
      <c r="D490" s="79" t="s">
        <v>3559</v>
      </c>
      <c r="E490" s="79" t="s">
        <v>3560</v>
      </c>
      <c r="G490" s="79" t="s">
        <v>3561</v>
      </c>
      <c r="H490" s="79" t="s">
        <v>1719</v>
      </c>
      <c r="J490" s="79" t="s">
        <v>3562</v>
      </c>
      <c r="K490" s="79" t="s">
        <v>3563</v>
      </c>
      <c r="L490" s="79" t="s">
        <v>3564</v>
      </c>
      <c r="M490" s="79" t="s">
        <v>3565</v>
      </c>
      <c r="N490" s="79" t="s">
        <v>3566</v>
      </c>
      <c r="O490" s="79" t="s">
        <v>3567</v>
      </c>
      <c r="P490" s="79" t="s">
        <v>3568</v>
      </c>
      <c r="Q490" s="79" t="s">
        <v>3569</v>
      </c>
      <c r="R490" s="79" t="s">
        <v>3570</v>
      </c>
    </row>
    <row r="491" spans="1:18" x14ac:dyDescent="0.25">
      <c r="A491" s="79" t="s">
        <v>78</v>
      </c>
      <c r="B491" s="79" t="s">
        <v>3571</v>
      </c>
      <c r="D491" s="79" t="s">
        <v>3572</v>
      </c>
      <c r="E491" s="79" t="s">
        <v>3573</v>
      </c>
      <c r="F491" s="79" t="s">
        <v>3574</v>
      </c>
      <c r="H491" s="79" t="s">
        <v>3575</v>
      </c>
      <c r="J491" s="79" t="s">
        <v>3576</v>
      </c>
      <c r="K491" s="79" t="s">
        <v>3577</v>
      </c>
      <c r="M491" s="79" t="s">
        <v>3578</v>
      </c>
      <c r="N491" s="79" t="s">
        <v>3579</v>
      </c>
      <c r="O491" s="79" t="s">
        <v>3580</v>
      </c>
      <c r="P491" s="79" t="s">
        <v>3581</v>
      </c>
      <c r="Q491" s="79" t="s">
        <v>3582</v>
      </c>
      <c r="R491" s="79" t="s">
        <v>3570</v>
      </c>
    </row>
    <row r="492" spans="1:18" x14ac:dyDescent="0.25">
      <c r="A492" s="79" t="s">
        <v>78</v>
      </c>
    </row>
    <row r="493" spans="1:18" x14ac:dyDescent="0.25">
      <c r="A493" s="79" t="s">
        <v>78</v>
      </c>
      <c r="D493" s="79" t="s">
        <v>3583</v>
      </c>
      <c r="E493" s="79" t="s">
        <v>3584</v>
      </c>
      <c r="G493" s="79" t="s">
        <v>3585</v>
      </c>
      <c r="H493" s="79" t="s">
        <v>1744</v>
      </c>
      <c r="J493" s="79" t="s">
        <v>3586</v>
      </c>
      <c r="K493" s="79" t="s">
        <v>3587</v>
      </c>
      <c r="L493" s="79" t="s">
        <v>3588</v>
      </c>
      <c r="M493" s="79" t="s">
        <v>3589</v>
      </c>
      <c r="N493" s="79" t="s">
        <v>3590</v>
      </c>
      <c r="O493" s="79" t="s">
        <v>3591</v>
      </c>
      <c r="P493" s="79" t="s">
        <v>3592</v>
      </c>
      <c r="Q493" s="79" t="s">
        <v>3593</v>
      </c>
      <c r="R493" s="79" t="s">
        <v>3594</v>
      </c>
    </row>
    <row r="494" spans="1:18" x14ac:dyDescent="0.25">
      <c r="A494" s="79" t="s">
        <v>78</v>
      </c>
      <c r="B494" s="79" t="s">
        <v>3595</v>
      </c>
      <c r="D494" s="79" t="s">
        <v>3596</v>
      </c>
      <c r="E494" s="79" t="s">
        <v>3597</v>
      </c>
      <c r="F494" s="79" t="s">
        <v>3598</v>
      </c>
      <c r="H494" s="79" t="s">
        <v>3599</v>
      </c>
      <c r="J494" s="79" t="s">
        <v>3600</v>
      </c>
      <c r="K494" s="79" t="s">
        <v>3601</v>
      </c>
      <c r="M494" s="79" t="s">
        <v>3602</v>
      </c>
      <c r="N494" s="79" t="s">
        <v>3603</v>
      </c>
      <c r="O494" s="79" t="s">
        <v>3604</v>
      </c>
      <c r="P494" s="79" t="s">
        <v>3605</v>
      </c>
      <c r="Q494" s="79" t="s">
        <v>3606</v>
      </c>
      <c r="R494" s="79" t="s">
        <v>3594</v>
      </c>
    </row>
    <row r="495" spans="1:18" x14ac:dyDescent="0.25">
      <c r="A495" s="79" t="s">
        <v>78</v>
      </c>
    </row>
    <row r="496" spans="1:18" x14ac:dyDescent="0.25">
      <c r="A496" s="79" t="s">
        <v>78</v>
      </c>
      <c r="D496" s="79" t="s">
        <v>3607</v>
      </c>
      <c r="E496" s="79" t="s">
        <v>3608</v>
      </c>
      <c r="G496" s="79" t="s">
        <v>3609</v>
      </c>
      <c r="H496" s="79" t="s">
        <v>1769</v>
      </c>
      <c r="J496" s="79" t="s">
        <v>3610</v>
      </c>
      <c r="K496" s="79" t="s">
        <v>3611</v>
      </c>
      <c r="L496" s="79" t="s">
        <v>3612</v>
      </c>
      <c r="M496" s="79" t="s">
        <v>3613</v>
      </c>
      <c r="N496" s="79" t="s">
        <v>3614</v>
      </c>
      <c r="O496" s="79" t="s">
        <v>3615</v>
      </c>
      <c r="P496" s="79" t="s">
        <v>3616</v>
      </c>
      <c r="Q496" s="79" t="s">
        <v>3617</v>
      </c>
      <c r="R496" s="79" t="s">
        <v>3618</v>
      </c>
    </row>
    <row r="497" spans="1:18" x14ac:dyDescent="0.25">
      <c r="A497" s="79" t="s">
        <v>78</v>
      </c>
      <c r="B497" s="79" t="s">
        <v>3619</v>
      </c>
      <c r="D497" s="79" t="s">
        <v>3620</v>
      </c>
      <c r="E497" s="79" t="s">
        <v>3621</v>
      </c>
      <c r="F497" s="79" t="s">
        <v>3622</v>
      </c>
      <c r="H497" s="79" t="s">
        <v>3623</v>
      </c>
      <c r="J497" s="79" t="s">
        <v>3624</v>
      </c>
      <c r="K497" s="79" t="s">
        <v>3625</v>
      </c>
      <c r="M497" s="79" t="s">
        <v>3626</v>
      </c>
      <c r="N497" s="79" t="s">
        <v>3627</v>
      </c>
      <c r="O497" s="79" t="s">
        <v>3628</v>
      </c>
      <c r="P497" s="79" t="s">
        <v>3629</v>
      </c>
      <c r="Q497" s="79" t="s">
        <v>3630</v>
      </c>
      <c r="R497" s="79" t="s">
        <v>3618</v>
      </c>
    </row>
    <row r="498" spans="1:18" x14ac:dyDescent="0.25">
      <c r="A498" s="79" t="s">
        <v>78</v>
      </c>
    </row>
    <row r="499" spans="1:18" x14ac:dyDescent="0.25">
      <c r="A499" s="79" t="s">
        <v>78</v>
      </c>
      <c r="D499" s="79" t="s">
        <v>3631</v>
      </c>
      <c r="E499" s="79" t="s">
        <v>3632</v>
      </c>
      <c r="G499" s="79" t="s">
        <v>3633</v>
      </c>
      <c r="H499" s="79" t="s">
        <v>1794</v>
      </c>
      <c r="J499" s="79" t="s">
        <v>3634</v>
      </c>
      <c r="K499" s="79" t="s">
        <v>3635</v>
      </c>
      <c r="L499" s="79" t="s">
        <v>3636</v>
      </c>
      <c r="M499" s="79" t="s">
        <v>3637</v>
      </c>
      <c r="N499" s="79" t="s">
        <v>3638</v>
      </c>
      <c r="O499" s="79" t="s">
        <v>3639</v>
      </c>
      <c r="P499" s="79" t="s">
        <v>3640</v>
      </c>
      <c r="Q499" s="79" t="s">
        <v>3641</v>
      </c>
      <c r="R499" s="79" t="s">
        <v>3642</v>
      </c>
    </row>
    <row r="500" spans="1:18" x14ac:dyDescent="0.25">
      <c r="A500" s="79" t="s">
        <v>78</v>
      </c>
      <c r="B500" s="79" t="s">
        <v>3643</v>
      </c>
      <c r="D500" s="79" t="s">
        <v>3644</v>
      </c>
      <c r="E500" s="79" t="s">
        <v>3645</v>
      </c>
      <c r="F500" s="79" t="s">
        <v>3646</v>
      </c>
      <c r="H500" s="79" t="s">
        <v>3647</v>
      </c>
      <c r="J500" s="79" t="s">
        <v>3648</v>
      </c>
      <c r="K500" s="79" t="s">
        <v>3649</v>
      </c>
      <c r="M500" s="79" t="s">
        <v>3650</v>
      </c>
      <c r="N500" s="79" t="s">
        <v>3651</v>
      </c>
      <c r="O500" s="79" t="s">
        <v>3652</v>
      </c>
      <c r="P500" s="79" t="s">
        <v>3653</v>
      </c>
      <c r="Q500" s="79" t="s">
        <v>3654</v>
      </c>
      <c r="R500" s="79" t="s">
        <v>3642</v>
      </c>
    </row>
    <row r="501" spans="1:18" x14ac:dyDescent="0.25">
      <c r="A501" s="79" t="s">
        <v>78</v>
      </c>
    </row>
    <row r="502" spans="1:18" x14ac:dyDescent="0.25">
      <c r="A502" s="79" t="s">
        <v>78</v>
      </c>
      <c r="D502" s="79" t="s">
        <v>3655</v>
      </c>
      <c r="E502" s="79" t="s">
        <v>3656</v>
      </c>
      <c r="G502" s="79" t="s">
        <v>3657</v>
      </c>
      <c r="H502" s="79" t="s">
        <v>1819</v>
      </c>
      <c r="J502" s="79" t="s">
        <v>3658</v>
      </c>
      <c r="K502" s="79" t="s">
        <v>3659</v>
      </c>
      <c r="L502" s="79" t="s">
        <v>3660</v>
      </c>
      <c r="M502" s="79" t="s">
        <v>3661</v>
      </c>
      <c r="N502" s="79" t="s">
        <v>3662</v>
      </c>
      <c r="O502" s="79" t="s">
        <v>3663</v>
      </c>
      <c r="P502" s="79" t="s">
        <v>3664</v>
      </c>
      <c r="Q502" s="79" t="s">
        <v>3665</v>
      </c>
      <c r="R502" s="79" t="s">
        <v>3666</v>
      </c>
    </row>
    <row r="503" spans="1:18" x14ac:dyDescent="0.25">
      <c r="A503" s="79" t="s">
        <v>78</v>
      </c>
      <c r="B503" s="79" t="s">
        <v>3667</v>
      </c>
      <c r="D503" s="79" t="s">
        <v>3668</v>
      </c>
      <c r="E503" s="79" t="s">
        <v>3669</v>
      </c>
      <c r="F503" s="79" t="s">
        <v>3670</v>
      </c>
      <c r="H503" s="79" t="s">
        <v>3671</v>
      </c>
      <c r="J503" s="79" t="s">
        <v>3672</v>
      </c>
      <c r="K503" s="79" t="s">
        <v>3673</v>
      </c>
      <c r="M503" s="79" t="s">
        <v>3674</v>
      </c>
      <c r="N503" s="79" t="s">
        <v>3675</v>
      </c>
      <c r="O503" s="79" t="s">
        <v>3676</v>
      </c>
      <c r="P503" s="79" t="s">
        <v>3677</v>
      </c>
      <c r="Q503" s="79" t="s">
        <v>3678</v>
      </c>
      <c r="R503" s="79" t="s">
        <v>3666</v>
      </c>
    </row>
    <row r="504" spans="1:18" x14ac:dyDescent="0.25">
      <c r="A504" s="79" t="s">
        <v>78</v>
      </c>
    </row>
    <row r="505" spans="1:18" x14ac:dyDescent="0.25">
      <c r="A505" s="79" t="s">
        <v>78</v>
      </c>
    </row>
    <row r="506" spans="1:18" x14ac:dyDescent="0.25">
      <c r="A506" s="79" t="s">
        <v>78</v>
      </c>
      <c r="Q506" s="79" t="s">
        <v>3679</v>
      </c>
      <c r="R506" s="79" t="s">
        <v>3680</v>
      </c>
    </row>
    <row r="507" spans="1:18" x14ac:dyDescent="0.25">
      <c r="A507" s="79" t="s">
        <v>78</v>
      </c>
      <c r="H507" s="79" t="s">
        <v>3681</v>
      </c>
      <c r="I507" s="79" t="s">
        <v>3682</v>
      </c>
    </row>
    <row r="508" spans="1:18" x14ac:dyDescent="0.25">
      <c r="A508" s="79" t="s">
        <v>78</v>
      </c>
      <c r="H508" s="79" t="s">
        <v>3683</v>
      </c>
      <c r="I508" s="79" t="s">
        <v>3684</v>
      </c>
    </row>
    <row r="509" spans="1:18" x14ac:dyDescent="0.25">
      <c r="A509" s="79" t="s">
        <v>78</v>
      </c>
      <c r="H509" s="79" t="s">
        <v>3685</v>
      </c>
      <c r="I509" s="79" t="s">
        <v>3686</v>
      </c>
      <c r="N509" s="79" t="s">
        <v>22</v>
      </c>
      <c r="Q509" s="79" t="s">
        <v>23</v>
      </c>
    </row>
    <row r="510" spans="1:18" x14ac:dyDescent="0.25">
      <c r="A510" s="79" t="s">
        <v>78</v>
      </c>
      <c r="P510" s="79" t="s">
        <v>20</v>
      </c>
      <c r="R510" s="79" t="s">
        <v>20</v>
      </c>
    </row>
    <row r="511" spans="1:18" x14ac:dyDescent="0.25">
      <c r="A511" s="79" t="s">
        <v>78</v>
      </c>
      <c r="D511" s="79" t="s">
        <v>16</v>
      </c>
      <c r="E511" s="79" t="s">
        <v>32</v>
      </c>
      <c r="F511" s="79" t="s">
        <v>14</v>
      </c>
      <c r="G511" s="79" t="s">
        <v>14</v>
      </c>
      <c r="J511" s="79" t="s">
        <v>7</v>
      </c>
      <c r="K511" s="79" t="s">
        <v>11</v>
      </c>
      <c r="L511" s="79" t="s">
        <v>2</v>
      </c>
      <c r="M511" s="79" t="s">
        <v>3</v>
      </c>
      <c r="N511" s="79" t="s">
        <v>21</v>
      </c>
      <c r="O511" s="79" t="s">
        <v>19</v>
      </c>
      <c r="P511" s="79" t="s">
        <v>16</v>
      </c>
      <c r="Q511" s="79" t="s">
        <v>12</v>
      </c>
      <c r="R511" s="79" t="s">
        <v>12</v>
      </c>
    </row>
    <row r="512" spans="1:18" x14ac:dyDescent="0.25">
      <c r="A512" s="79" t="s">
        <v>78</v>
      </c>
      <c r="D512" s="79" t="s">
        <v>3687</v>
      </c>
      <c r="E512" s="79" t="s">
        <v>3688</v>
      </c>
      <c r="G512" s="79" t="s">
        <v>3689</v>
      </c>
      <c r="H512" s="79" t="s">
        <v>3690</v>
      </c>
      <c r="J512" s="79" t="s">
        <v>3691</v>
      </c>
      <c r="K512" s="79" t="s">
        <v>3692</v>
      </c>
      <c r="L512" s="79" t="s">
        <v>3693</v>
      </c>
      <c r="M512" s="79" t="s">
        <v>3694</v>
      </c>
      <c r="N512" s="79" t="s">
        <v>3695</v>
      </c>
      <c r="O512" s="79" t="s">
        <v>3696</v>
      </c>
      <c r="P512" s="79" t="s">
        <v>3697</v>
      </c>
      <c r="Q512" s="79" t="s">
        <v>3698</v>
      </c>
      <c r="R512" s="79" t="s">
        <v>3699</v>
      </c>
    </row>
    <row r="513" spans="1:18" x14ac:dyDescent="0.25">
      <c r="A513" s="79" t="s">
        <v>78</v>
      </c>
      <c r="B513" s="79" t="s">
        <v>3700</v>
      </c>
      <c r="D513" s="79" t="s">
        <v>3701</v>
      </c>
      <c r="E513" s="79" t="s">
        <v>3702</v>
      </c>
      <c r="F513" s="79" t="s">
        <v>3703</v>
      </c>
      <c r="H513" s="79" t="s">
        <v>3704</v>
      </c>
      <c r="J513" s="79" t="s">
        <v>3705</v>
      </c>
      <c r="K513" s="79" t="s">
        <v>3706</v>
      </c>
      <c r="M513" s="79" t="s">
        <v>3707</v>
      </c>
      <c r="N513" s="79" t="s">
        <v>3708</v>
      </c>
      <c r="O513" s="79" t="s">
        <v>3709</v>
      </c>
      <c r="P513" s="79" t="s">
        <v>3710</v>
      </c>
      <c r="Q513" s="79" t="s">
        <v>3711</v>
      </c>
      <c r="R513" s="79" t="s">
        <v>3699</v>
      </c>
    </row>
    <row r="514" spans="1:18" x14ac:dyDescent="0.25">
      <c r="A514" s="79" t="s">
        <v>78</v>
      </c>
    </row>
    <row r="515" spans="1:18" x14ac:dyDescent="0.25">
      <c r="A515" s="79" t="s">
        <v>78</v>
      </c>
      <c r="D515" s="79" t="s">
        <v>3712</v>
      </c>
      <c r="E515" s="79" t="s">
        <v>3713</v>
      </c>
      <c r="G515" s="79" t="s">
        <v>3714</v>
      </c>
      <c r="H515" s="79" t="s">
        <v>3715</v>
      </c>
      <c r="J515" s="79" t="s">
        <v>3716</v>
      </c>
      <c r="K515" s="79" t="s">
        <v>3717</v>
      </c>
      <c r="L515" s="79" t="s">
        <v>3718</v>
      </c>
      <c r="M515" s="79" t="s">
        <v>3719</v>
      </c>
      <c r="N515" s="79" t="s">
        <v>3720</v>
      </c>
      <c r="O515" s="79" t="s">
        <v>3721</v>
      </c>
      <c r="P515" s="79" t="s">
        <v>3722</v>
      </c>
      <c r="Q515" s="79" t="s">
        <v>3723</v>
      </c>
      <c r="R515" s="79" t="s">
        <v>3724</v>
      </c>
    </row>
    <row r="516" spans="1:18" x14ac:dyDescent="0.25">
      <c r="A516" s="79" t="s">
        <v>78</v>
      </c>
      <c r="B516" s="79" t="s">
        <v>3725</v>
      </c>
      <c r="D516" s="79" t="s">
        <v>3726</v>
      </c>
      <c r="E516" s="79" t="s">
        <v>3727</v>
      </c>
      <c r="F516" s="79" t="s">
        <v>3728</v>
      </c>
      <c r="H516" s="79" t="s">
        <v>3729</v>
      </c>
      <c r="J516" s="79" t="s">
        <v>3730</v>
      </c>
      <c r="K516" s="79" t="s">
        <v>3731</v>
      </c>
      <c r="M516" s="79" t="s">
        <v>3732</v>
      </c>
      <c r="N516" s="79" t="s">
        <v>3733</v>
      </c>
      <c r="O516" s="79" t="s">
        <v>3734</v>
      </c>
      <c r="P516" s="79" t="s">
        <v>3735</v>
      </c>
      <c r="Q516" s="79" t="s">
        <v>3736</v>
      </c>
      <c r="R516" s="79" t="s">
        <v>3724</v>
      </c>
    </row>
    <row r="517" spans="1:18" x14ac:dyDescent="0.25">
      <c r="A517" s="79" t="s">
        <v>78</v>
      </c>
    </row>
    <row r="518" spans="1:18" x14ac:dyDescent="0.25">
      <c r="A518" s="79" t="s">
        <v>78</v>
      </c>
      <c r="D518" s="79" t="s">
        <v>3737</v>
      </c>
      <c r="E518" s="79" t="s">
        <v>3738</v>
      </c>
      <c r="G518" s="79" t="s">
        <v>3739</v>
      </c>
      <c r="H518" s="79" t="s">
        <v>3740</v>
      </c>
      <c r="J518" s="79" t="s">
        <v>3741</v>
      </c>
      <c r="K518" s="79" t="s">
        <v>3742</v>
      </c>
      <c r="L518" s="79" t="s">
        <v>3743</v>
      </c>
      <c r="M518" s="79" t="s">
        <v>3744</v>
      </c>
      <c r="N518" s="79" t="s">
        <v>3745</v>
      </c>
      <c r="O518" s="79" t="s">
        <v>3746</v>
      </c>
      <c r="P518" s="79" t="s">
        <v>3747</v>
      </c>
      <c r="Q518" s="79" t="s">
        <v>3748</v>
      </c>
      <c r="R518" s="79" t="s">
        <v>3749</v>
      </c>
    </row>
    <row r="519" spans="1:18" x14ac:dyDescent="0.25">
      <c r="A519" s="79" t="s">
        <v>78</v>
      </c>
      <c r="B519" s="79" t="s">
        <v>3750</v>
      </c>
      <c r="D519" s="79" t="s">
        <v>3751</v>
      </c>
      <c r="E519" s="79" t="s">
        <v>3752</v>
      </c>
      <c r="F519" s="79" t="s">
        <v>3753</v>
      </c>
      <c r="H519" s="79" t="s">
        <v>3754</v>
      </c>
      <c r="J519" s="79" t="s">
        <v>3755</v>
      </c>
      <c r="K519" s="79" t="s">
        <v>3756</v>
      </c>
      <c r="M519" s="79" t="s">
        <v>3757</v>
      </c>
      <c r="N519" s="79" t="s">
        <v>3758</v>
      </c>
      <c r="O519" s="79" t="s">
        <v>3759</v>
      </c>
      <c r="P519" s="79" t="s">
        <v>3760</v>
      </c>
      <c r="Q519" s="79" t="s">
        <v>3761</v>
      </c>
      <c r="R519" s="79" t="s">
        <v>3749</v>
      </c>
    </row>
    <row r="520" spans="1:18" x14ac:dyDescent="0.25">
      <c r="A520" s="79" t="s">
        <v>78</v>
      </c>
    </row>
    <row r="521" spans="1:18" x14ac:dyDescent="0.25">
      <c r="A521" s="79" t="s">
        <v>78</v>
      </c>
      <c r="D521" s="79" t="s">
        <v>3762</v>
      </c>
      <c r="E521" s="79" t="s">
        <v>3763</v>
      </c>
      <c r="G521" s="79" t="s">
        <v>3764</v>
      </c>
      <c r="H521" s="79" t="s">
        <v>3765</v>
      </c>
      <c r="J521" s="79" t="s">
        <v>3766</v>
      </c>
      <c r="K521" s="79" t="s">
        <v>3767</v>
      </c>
      <c r="L521" s="79" t="s">
        <v>3768</v>
      </c>
      <c r="M521" s="79" t="s">
        <v>3769</v>
      </c>
      <c r="N521" s="79" t="s">
        <v>3770</v>
      </c>
      <c r="O521" s="79" t="s">
        <v>3771</v>
      </c>
      <c r="P521" s="79" t="s">
        <v>3772</v>
      </c>
      <c r="Q521" s="79" t="s">
        <v>3773</v>
      </c>
      <c r="R521" s="79" t="s">
        <v>3774</v>
      </c>
    </row>
    <row r="522" spans="1:18" x14ac:dyDescent="0.25">
      <c r="A522" s="79" t="s">
        <v>78</v>
      </c>
      <c r="B522" s="79" t="s">
        <v>3775</v>
      </c>
      <c r="D522" s="79" t="s">
        <v>3776</v>
      </c>
      <c r="E522" s="79" t="s">
        <v>3777</v>
      </c>
      <c r="F522" s="79" t="s">
        <v>3778</v>
      </c>
      <c r="H522" s="79" t="s">
        <v>3779</v>
      </c>
      <c r="J522" s="79" t="s">
        <v>3780</v>
      </c>
      <c r="K522" s="79" t="s">
        <v>3781</v>
      </c>
      <c r="M522" s="79" t="s">
        <v>3782</v>
      </c>
      <c r="N522" s="79" t="s">
        <v>3783</v>
      </c>
      <c r="O522" s="79" t="s">
        <v>3784</v>
      </c>
      <c r="P522" s="79" t="s">
        <v>3785</v>
      </c>
      <c r="Q522" s="79" t="s">
        <v>3786</v>
      </c>
      <c r="R522" s="79" t="s">
        <v>3774</v>
      </c>
    </row>
    <row r="523" spans="1:18" x14ac:dyDescent="0.25">
      <c r="A523" s="79" t="s">
        <v>78</v>
      </c>
    </row>
    <row r="524" spans="1:18" x14ac:dyDescent="0.25">
      <c r="A524" s="79" t="s">
        <v>78</v>
      </c>
      <c r="D524" s="79" t="s">
        <v>3787</v>
      </c>
      <c r="E524" s="79" t="s">
        <v>3788</v>
      </c>
      <c r="G524" s="79" t="s">
        <v>3789</v>
      </c>
      <c r="H524" s="79" t="s">
        <v>3790</v>
      </c>
      <c r="J524" s="79" t="s">
        <v>3791</v>
      </c>
      <c r="K524" s="79" t="s">
        <v>3792</v>
      </c>
      <c r="L524" s="79" t="s">
        <v>3793</v>
      </c>
      <c r="M524" s="79" t="s">
        <v>3794</v>
      </c>
      <c r="N524" s="79" t="s">
        <v>3795</v>
      </c>
      <c r="O524" s="79" t="s">
        <v>3796</v>
      </c>
      <c r="P524" s="79" t="s">
        <v>3797</v>
      </c>
      <c r="Q524" s="79" t="s">
        <v>3798</v>
      </c>
      <c r="R524" s="79" t="s">
        <v>3799</v>
      </c>
    </row>
    <row r="525" spans="1:18" x14ac:dyDescent="0.25">
      <c r="A525" s="79" t="s">
        <v>78</v>
      </c>
      <c r="B525" s="79" t="s">
        <v>3800</v>
      </c>
      <c r="D525" s="79" t="s">
        <v>3801</v>
      </c>
      <c r="E525" s="79" t="s">
        <v>3802</v>
      </c>
      <c r="F525" s="79" t="s">
        <v>3803</v>
      </c>
      <c r="H525" s="79" t="s">
        <v>3804</v>
      </c>
      <c r="J525" s="79" t="s">
        <v>3805</v>
      </c>
      <c r="K525" s="79" t="s">
        <v>3806</v>
      </c>
      <c r="M525" s="79" t="s">
        <v>3807</v>
      </c>
      <c r="N525" s="79" t="s">
        <v>3808</v>
      </c>
      <c r="O525" s="79" t="s">
        <v>3809</v>
      </c>
      <c r="P525" s="79" t="s">
        <v>3810</v>
      </c>
      <c r="Q525" s="79" t="s">
        <v>3811</v>
      </c>
      <c r="R525" s="79" t="s">
        <v>3799</v>
      </c>
    </row>
    <row r="526" spans="1:18" x14ac:dyDescent="0.25">
      <c r="A526" s="79" t="s">
        <v>78</v>
      </c>
    </row>
    <row r="527" spans="1:18" x14ac:dyDescent="0.25">
      <c r="A527" s="79" t="s">
        <v>78</v>
      </c>
      <c r="D527" s="79" t="s">
        <v>3812</v>
      </c>
      <c r="E527" s="79" t="s">
        <v>3813</v>
      </c>
      <c r="G527" s="79" t="s">
        <v>3814</v>
      </c>
      <c r="H527" s="79" t="s">
        <v>3815</v>
      </c>
      <c r="J527" s="79" t="s">
        <v>3816</v>
      </c>
      <c r="K527" s="79" t="s">
        <v>3817</v>
      </c>
      <c r="L527" s="79" t="s">
        <v>3818</v>
      </c>
      <c r="M527" s="79" t="s">
        <v>3819</v>
      </c>
      <c r="N527" s="79" t="s">
        <v>3820</v>
      </c>
      <c r="O527" s="79" t="s">
        <v>3821</v>
      </c>
      <c r="P527" s="79" t="s">
        <v>3822</v>
      </c>
      <c r="Q527" s="79" t="s">
        <v>3823</v>
      </c>
      <c r="R527" s="79" t="s">
        <v>3824</v>
      </c>
    </row>
    <row r="528" spans="1:18" x14ac:dyDescent="0.25">
      <c r="A528" s="79" t="s">
        <v>78</v>
      </c>
      <c r="B528" s="79" t="s">
        <v>3825</v>
      </c>
      <c r="D528" s="79" t="s">
        <v>3826</v>
      </c>
      <c r="E528" s="79" t="s">
        <v>3827</v>
      </c>
      <c r="F528" s="79" t="s">
        <v>3828</v>
      </c>
      <c r="H528" s="79" t="s">
        <v>3829</v>
      </c>
      <c r="J528" s="79" t="s">
        <v>3830</v>
      </c>
      <c r="K528" s="79" t="s">
        <v>3831</v>
      </c>
      <c r="M528" s="79" t="s">
        <v>3832</v>
      </c>
      <c r="N528" s="79" t="s">
        <v>3833</v>
      </c>
      <c r="O528" s="79" t="s">
        <v>3834</v>
      </c>
      <c r="P528" s="79" t="s">
        <v>3835</v>
      </c>
      <c r="Q528" s="79" t="s">
        <v>3836</v>
      </c>
      <c r="R528" s="79" t="s">
        <v>3824</v>
      </c>
    </row>
    <row r="529" spans="1:18" x14ac:dyDescent="0.25">
      <c r="A529" s="79" t="s">
        <v>78</v>
      </c>
    </row>
    <row r="530" spans="1:18" x14ac:dyDescent="0.25">
      <c r="A530" s="79" t="s">
        <v>78</v>
      </c>
      <c r="D530" s="79" t="s">
        <v>3837</v>
      </c>
      <c r="E530" s="79" t="s">
        <v>3838</v>
      </c>
      <c r="G530" s="79" t="s">
        <v>3839</v>
      </c>
      <c r="H530" s="79" t="s">
        <v>3840</v>
      </c>
      <c r="J530" s="79" t="s">
        <v>3841</v>
      </c>
      <c r="K530" s="79" t="s">
        <v>3842</v>
      </c>
      <c r="L530" s="79" t="s">
        <v>3843</v>
      </c>
      <c r="M530" s="79" t="s">
        <v>3844</v>
      </c>
      <c r="N530" s="79" t="s">
        <v>3845</v>
      </c>
      <c r="O530" s="79" t="s">
        <v>3846</v>
      </c>
      <c r="P530" s="79" t="s">
        <v>3847</v>
      </c>
      <c r="Q530" s="79" t="s">
        <v>3848</v>
      </c>
      <c r="R530" s="79" t="s">
        <v>3849</v>
      </c>
    </row>
    <row r="531" spans="1:18" x14ac:dyDescent="0.25">
      <c r="A531" s="79" t="s">
        <v>78</v>
      </c>
      <c r="B531" s="79" t="s">
        <v>3850</v>
      </c>
      <c r="D531" s="79" t="s">
        <v>3851</v>
      </c>
      <c r="E531" s="79" t="s">
        <v>3852</v>
      </c>
      <c r="F531" s="79" t="s">
        <v>3853</v>
      </c>
      <c r="H531" s="79" t="s">
        <v>3854</v>
      </c>
      <c r="J531" s="79" t="s">
        <v>3855</v>
      </c>
      <c r="K531" s="79" t="s">
        <v>3856</v>
      </c>
      <c r="M531" s="79" t="s">
        <v>3857</v>
      </c>
      <c r="N531" s="79" t="s">
        <v>3858</v>
      </c>
      <c r="O531" s="79" t="s">
        <v>3859</v>
      </c>
      <c r="P531" s="79" t="s">
        <v>3860</v>
      </c>
      <c r="Q531" s="79" t="s">
        <v>3861</v>
      </c>
      <c r="R531" s="79" t="s">
        <v>3849</v>
      </c>
    </row>
    <row r="532" spans="1:18" x14ac:dyDescent="0.25">
      <c r="A532" s="79" t="s">
        <v>78</v>
      </c>
    </row>
    <row r="533" spans="1:18" x14ac:dyDescent="0.25">
      <c r="A533" s="79" t="s">
        <v>78</v>
      </c>
      <c r="D533" s="79" t="s">
        <v>3862</v>
      </c>
      <c r="E533" s="79" t="s">
        <v>3863</v>
      </c>
      <c r="G533" s="79" t="s">
        <v>3864</v>
      </c>
      <c r="H533" s="79" t="s">
        <v>3865</v>
      </c>
      <c r="J533" s="79" t="s">
        <v>3866</v>
      </c>
      <c r="K533" s="79" t="s">
        <v>3867</v>
      </c>
      <c r="L533" s="79" t="s">
        <v>3868</v>
      </c>
      <c r="M533" s="79" t="s">
        <v>3869</v>
      </c>
      <c r="N533" s="79" t="s">
        <v>3870</v>
      </c>
      <c r="O533" s="79" t="s">
        <v>3871</v>
      </c>
      <c r="P533" s="79" t="s">
        <v>3872</v>
      </c>
      <c r="Q533" s="79" t="s">
        <v>3873</v>
      </c>
      <c r="R533" s="79" t="s">
        <v>3874</v>
      </c>
    </row>
    <row r="534" spans="1:18" x14ac:dyDescent="0.25">
      <c r="A534" s="79" t="s">
        <v>78</v>
      </c>
      <c r="B534" s="79" t="s">
        <v>3875</v>
      </c>
      <c r="D534" s="79" t="s">
        <v>3876</v>
      </c>
      <c r="E534" s="79" t="s">
        <v>3877</v>
      </c>
      <c r="F534" s="79" t="s">
        <v>3878</v>
      </c>
      <c r="H534" s="79" t="s">
        <v>3879</v>
      </c>
      <c r="J534" s="79" t="s">
        <v>3880</v>
      </c>
      <c r="K534" s="79" t="s">
        <v>3881</v>
      </c>
      <c r="M534" s="79" t="s">
        <v>3882</v>
      </c>
      <c r="N534" s="79" t="s">
        <v>3883</v>
      </c>
      <c r="O534" s="79" t="s">
        <v>3884</v>
      </c>
      <c r="P534" s="79" t="s">
        <v>3885</v>
      </c>
      <c r="Q534" s="79" t="s">
        <v>3886</v>
      </c>
      <c r="R534" s="79" t="s">
        <v>3874</v>
      </c>
    </row>
    <row r="535" spans="1:18" x14ac:dyDescent="0.25">
      <c r="A535" s="79" t="s">
        <v>78</v>
      </c>
    </row>
    <row r="536" spans="1:18" x14ac:dyDescent="0.25">
      <c r="A536" s="79" t="s">
        <v>78</v>
      </c>
      <c r="D536" s="79" t="s">
        <v>3887</v>
      </c>
      <c r="E536" s="79" t="s">
        <v>3888</v>
      </c>
      <c r="G536" s="79" t="s">
        <v>3889</v>
      </c>
      <c r="H536" s="79" t="s">
        <v>3890</v>
      </c>
      <c r="J536" s="79" t="s">
        <v>3891</v>
      </c>
      <c r="K536" s="79" t="s">
        <v>3892</v>
      </c>
      <c r="L536" s="79" t="s">
        <v>3893</v>
      </c>
      <c r="M536" s="79" t="s">
        <v>3894</v>
      </c>
      <c r="N536" s="79" t="s">
        <v>3895</v>
      </c>
      <c r="O536" s="79" t="s">
        <v>3896</v>
      </c>
      <c r="P536" s="79" t="s">
        <v>3897</v>
      </c>
      <c r="Q536" s="79" t="s">
        <v>3898</v>
      </c>
      <c r="R536" s="79" t="s">
        <v>3899</v>
      </c>
    </row>
    <row r="537" spans="1:18" x14ac:dyDescent="0.25">
      <c r="A537" s="79" t="s">
        <v>78</v>
      </c>
      <c r="B537" s="79" t="s">
        <v>3900</v>
      </c>
      <c r="D537" s="79" t="s">
        <v>3901</v>
      </c>
      <c r="E537" s="79" t="s">
        <v>3902</v>
      </c>
      <c r="F537" s="79" t="s">
        <v>3903</v>
      </c>
      <c r="H537" s="79" t="s">
        <v>3904</v>
      </c>
      <c r="J537" s="79" t="s">
        <v>3905</v>
      </c>
      <c r="K537" s="79" t="s">
        <v>3906</v>
      </c>
      <c r="M537" s="79" t="s">
        <v>3907</v>
      </c>
      <c r="N537" s="79" t="s">
        <v>3908</v>
      </c>
      <c r="O537" s="79" t="s">
        <v>3909</v>
      </c>
      <c r="P537" s="79" t="s">
        <v>3910</v>
      </c>
      <c r="Q537" s="79" t="s">
        <v>3911</v>
      </c>
      <c r="R537" s="79" t="s">
        <v>3899</v>
      </c>
    </row>
    <row r="538" spans="1:18" x14ac:dyDescent="0.25">
      <c r="A538" s="79" t="s">
        <v>78</v>
      </c>
    </row>
    <row r="539" spans="1:18" x14ac:dyDescent="0.25">
      <c r="A539" s="79" t="s">
        <v>78</v>
      </c>
      <c r="D539" s="79" t="s">
        <v>3912</v>
      </c>
      <c r="E539" s="79" t="s">
        <v>3913</v>
      </c>
      <c r="G539" s="79" t="s">
        <v>3914</v>
      </c>
      <c r="H539" s="79" t="s">
        <v>3915</v>
      </c>
      <c r="J539" s="79" t="s">
        <v>3916</v>
      </c>
      <c r="K539" s="79" t="s">
        <v>3917</v>
      </c>
      <c r="L539" s="79" t="s">
        <v>3918</v>
      </c>
      <c r="M539" s="79" t="s">
        <v>3919</v>
      </c>
      <c r="N539" s="79" t="s">
        <v>3920</v>
      </c>
      <c r="O539" s="79" t="s">
        <v>3921</v>
      </c>
      <c r="P539" s="79" t="s">
        <v>3922</v>
      </c>
      <c r="Q539" s="79" t="s">
        <v>3923</v>
      </c>
      <c r="R539" s="79" t="s">
        <v>3924</v>
      </c>
    </row>
    <row r="540" spans="1:18" x14ac:dyDescent="0.25">
      <c r="A540" s="79" t="s">
        <v>78</v>
      </c>
      <c r="B540" s="79" t="s">
        <v>3925</v>
      </c>
      <c r="D540" s="79" t="s">
        <v>3926</v>
      </c>
      <c r="E540" s="79" t="s">
        <v>3927</v>
      </c>
      <c r="F540" s="79" t="s">
        <v>3928</v>
      </c>
      <c r="H540" s="79" t="s">
        <v>3929</v>
      </c>
      <c r="J540" s="79" t="s">
        <v>3930</v>
      </c>
      <c r="K540" s="79" t="s">
        <v>3931</v>
      </c>
      <c r="M540" s="79" t="s">
        <v>3932</v>
      </c>
      <c r="N540" s="79" t="s">
        <v>3933</v>
      </c>
      <c r="O540" s="79" t="s">
        <v>3934</v>
      </c>
      <c r="P540" s="79" t="s">
        <v>3935</v>
      </c>
      <c r="Q540" s="79" t="s">
        <v>3936</v>
      </c>
      <c r="R540" s="79" t="s">
        <v>3924</v>
      </c>
    </row>
    <row r="541" spans="1:18" x14ac:dyDescent="0.25">
      <c r="A541" s="79" t="s">
        <v>78</v>
      </c>
    </row>
    <row r="542" spans="1:18" x14ac:dyDescent="0.25">
      <c r="A542" s="79" t="s">
        <v>78</v>
      </c>
      <c r="D542" s="79" t="s">
        <v>3937</v>
      </c>
      <c r="E542" s="79" t="s">
        <v>3938</v>
      </c>
      <c r="G542" s="79" t="s">
        <v>3939</v>
      </c>
      <c r="H542" s="79" t="s">
        <v>3940</v>
      </c>
      <c r="J542" s="79" t="s">
        <v>3941</v>
      </c>
      <c r="K542" s="79" t="s">
        <v>3942</v>
      </c>
      <c r="L542" s="79" t="s">
        <v>3943</v>
      </c>
      <c r="M542" s="79" t="s">
        <v>3944</v>
      </c>
      <c r="N542" s="79" t="s">
        <v>3945</v>
      </c>
      <c r="O542" s="79" t="s">
        <v>3946</v>
      </c>
      <c r="P542" s="79" t="s">
        <v>3947</v>
      </c>
      <c r="Q542" s="79" t="s">
        <v>3948</v>
      </c>
      <c r="R542" s="79" t="s">
        <v>3949</v>
      </c>
    </row>
    <row r="543" spans="1:18" x14ac:dyDescent="0.25">
      <c r="A543" s="79" t="s">
        <v>78</v>
      </c>
      <c r="B543" s="79" t="s">
        <v>3950</v>
      </c>
      <c r="D543" s="79" t="s">
        <v>3951</v>
      </c>
      <c r="E543" s="79" t="s">
        <v>3952</v>
      </c>
      <c r="F543" s="79" t="s">
        <v>3953</v>
      </c>
      <c r="H543" s="79" t="s">
        <v>3954</v>
      </c>
      <c r="J543" s="79" t="s">
        <v>3955</v>
      </c>
      <c r="K543" s="79" t="s">
        <v>3956</v>
      </c>
      <c r="M543" s="79" t="s">
        <v>3957</v>
      </c>
      <c r="N543" s="79" t="s">
        <v>3958</v>
      </c>
      <c r="O543" s="79" t="s">
        <v>3959</v>
      </c>
      <c r="P543" s="79" t="s">
        <v>3960</v>
      </c>
      <c r="Q543" s="79" t="s">
        <v>3961</v>
      </c>
      <c r="R543" s="79" t="s">
        <v>3949</v>
      </c>
    </row>
    <row r="544" spans="1:18" x14ac:dyDescent="0.25">
      <c r="A544" s="79" t="s">
        <v>78</v>
      </c>
    </row>
    <row r="545" spans="1:18" x14ac:dyDescent="0.25">
      <c r="A545" s="79" t="s">
        <v>78</v>
      </c>
      <c r="D545" s="79" t="s">
        <v>3962</v>
      </c>
      <c r="E545" s="79" t="s">
        <v>3963</v>
      </c>
      <c r="G545" s="79" t="s">
        <v>3964</v>
      </c>
      <c r="H545" s="79" t="s">
        <v>3965</v>
      </c>
      <c r="J545" s="79" t="s">
        <v>3966</v>
      </c>
      <c r="K545" s="79" t="s">
        <v>3967</v>
      </c>
      <c r="L545" s="79" t="s">
        <v>3968</v>
      </c>
      <c r="M545" s="79" t="s">
        <v>3969</v>
      </c>
      <c r="N545" s="79" t="s">
        <v>3970</v>
      </c>
      <c r="O545" s="79" t="s">
        <v>3971</v>
      </c>
      <c r="P545" s="79" t="s">
        <v>3972</v>
      </c>
      <c r="Q545" s="79" t="s">
        <v>3973</v>
      </c>
      <c r="R545" s="79" t="s">
        <v>3974</v>
      </c>
    </row>
    <row r="546" spans="1:18" x14ac:dyDescent="0.25">
      <c r="A546" s="79" t="s">
        <v>78</v>
      </c>
      <c r="B546" s="79" t="s">
        <v>3975</v>
      </c>
      <c r="D546" s="79" t="s">
        <v>3976</v>
      </c>
      <c r="E546" s="79" t="s">
        <v>3977</v>
      </c>
      <c r="F546" s="79" t="s">
        <v>3978</v>
      </c>
      <c r="H546" s="79" t="s">
        <v>3979</v>
      </c>
      <c r="J546" s="79" t="s">
        <v>3980</v>
      </c>
      <c r="K546" s="79" t="s">
        <v>3981</v>
      </c>
      <c r="M546" s="79" t="s">
        <v>3982</v>
      </c>
      <c r="N546" s="79" t="s">
        <v>3983</v>
      </c>
      <c r="O546" s="79" t="s">
        <v>3984</v>
      </c>
      <c r="P546" s="79" t="s">
        <v>3985</v>
      </c>
      <c r="Q546" s="79" t="s">
        <v>3986</v>
      </c>
      <c r="R546" s="79" t="s">
        <v>3974</v>
      </c>
    </row>
    <row r="547" spans="1:18" x14ac:dyDescent="0.25">
      <c r="A547" s="79" t="s">
        <v>78</v>
      </c>
    </row>
    <row r="548" spans="1:18" x14ac:dyDescent="0.25">
      <c r="A548" s="79" t="s">
        <v>78</v>
      </c>
      <c r="D548" s="79" t="s">
        <v>3987</v>
      </c>
      <c r="E548" s="79" t="s">
        <v>3988</v>
      </c>
      <c r="G548" s="79" t="s">
        <v>3989</v>
      </c>
      <c r="H548" s="79" t="s">
        <v>3990</v>
      </c>
      <c r="J548" s="79" t="s">
        <v>3991</v>
      </c>
      <c r="K548" s="79" t="s">
        <v>3992</v>
      </c>
      <c r="L548" s="79" t="s">
        <v>3993</v>
      </c>
      <c r="M548" s="79" t="s">
        <v>3994</v>
      </c>
      <c r="N548" s="79" t="s">
        <v>3995</v>
      </c>
      <c r="O548" s="79" t="s">
        <v>3996</v>
      </c>
      <c r="P548" s="79" t="s">
        <v>3997</v>
      </c>
      <c r="Q548" s="79" t="s">
        <v>3998</v>
      </c>
      <c r="R548" s="79" t="s">
        <v>3999</v>
      </c>
    </row>
    <row r="549" spans="1:18" x14ac:dyDescent="0.25">
      <c r="A549" s="79" t="s">
        <v>78</v>
      </c>
      <c r="B549" s="79" t="s">
        <v>4000</v>
      </c>
      <c r="D549" s="79" t="s">
        <v>4001</v>
      </c>
      <c r="E549" s="79" t="s">
        <v>4002</v>
      </c>
      <c r="F549" s="79" t="s">
        <v>4003</v>
      </c>
      <c r="H549" s="79" t="s">
        <v>4004</v>
      </c>
      <c r="J549" s="79" t="s">
        <v>4005</v>
      </c>
      <c r="K549" s="79" t="s">
        <v>4006</v>
      </c>
      <c r="M549" s="79" t="s">
        <v>4007</v>
      </c>
      <c r="N549" s="79" t="s">
        <v>4008</v>
      </c>
      <c r="O549" s="79" t="s">
        <v>4009</v>
      </c>
      <c r="P549" s="79" t="s">
        <v>4010</v>
      </c>
      <c r="Q549" s="79" t="s">
        <v>4011</v>
      </c>
      <c r="R549" s="79" t="s">
        <v>3999</v>
      </c>
    </row>
    <row r="550" spans="1:18" x14ac:dyDescent="0.25">
      <c r="A550" s="79" t="s">
        <v>78</v>
      </c>
    </row>
    <row r="551" spans="1:18" x14ac:dyDescent="0.25">
      <c r="A551" s="79" t="s">
        <v>78</v>
      </c>
      <c r="D551" s="79" t="s">
        <v>4012</v>
      </c>
      <c r="E551" s="79" t="s">
        <v>4013</v>
      </c>
      <c r="G551" s="79" t="s">
        <v>4014</v>
      </c>
      <c r="H551" s="79" t="s">
        <v>4015</v>
      </c>
      <c r="J551" s="79" t="s">
        <v>4016</v>
      </c>
      <c r="K551" s="79" t="s">
        <v>4017</v>
      </c>
      <c r="L551" s="79" t="s">
        <v>4018</v>
      </c>
      <c r="M551" s="79" t="s">
        <v>4019</v>
      </c>
      <c r="N551" s="79" t="s">
        <v>4020</v>
      </c>
      <c r="O551" s="79" t="s">
        <v>4021</v>
      </c>
      <c r="P551" s="79" t="s">
        <v>4022</v>
      </c>
      <c r="Q551" s="79" t="s">
        <v>4023</v>
      </c>
      <c r="R551" s="79" t="s">
        <v>4024</v>
      </c>
    </row>
    <row r="552" spans="1:18" x14ac:dyDescent="0.25">
      <c r="A552" s="79" t="s">
        <v>78</v>
      </c>
      <c r="B552" s="79" t="s">
        <v>4025</v>
      </c>
      <c r="D552" s="79" t="s">
        <v>4026</v>
      </c>
      <c r="E552" s="79" t="s">
        <v>4027</v>
      </c>
      <c r="F552" s="79" t="s">
        <v>4028</v>
      </c>
      <c r="H552" s="79" t="s">
        <v>4029</v>
      </c>
      <c r="J552" s="79" t="s">
        <v>4030</v>
      </c>
      <c r="K552" s="79" t="s">
        <v>4031</v>
      </c>
      <c r="M552" s="79" t="s">
        <v>4032</v>
      </c>
      <c r="N552" s="79" t="s">
        <v>4033</v>
      </c>
      <c r="O552" s="79" t="s">
        <v>4034</v>
      </c>
      <c r="P552" s="79" t="s">
        <v>4035</v>
      </c>
      <c r="Q552" s="79" t="s">
        <v>4036</v>
      </c>
      <c r="R552" s="79" t="s">
        <v>4024</v>
      </c>
    </row>
    <row r="553" spans="1:18" x14ac:dyDescent="0.25">
      <c r="A553" s="79" t="s">
        <v>78</v>
      </c>
    </row>
    <row r="554" spans="1:18" x14ac:dyDescent="0.25">
      <c r="A554" s="79" t="s">
        <v>78</v>
      </c>
      <c r="D554" s="79" t="s">
        <v>4037</v>
      </c>
      <c r="E554" s="79" t="s">
        <v>4038</v>
      </c>
      <c r="G554" s="79" t="s">
        <v>4039</v>
      </c>
      <c r="H554" s="79" t="s">
        <v>4040</v>
      </c>
      <c r="J554" s="79" t="s">
        <v>4041</v>
      </c>
      <c r="K554" s="79" t="s">
        <v>4042</v>
      </c>
      <c r="L554" s="79" t="s">
        <v>4043</v>
      </c>
      <c r="M554" s="79" t="s">
        <v>4044</v>
      </c>
      <c r="N554" s="79" t="s">
        <v>4045</v>
      </c>
      <c r="O554" s="79" t="s">
        <v>4046</v>
      </c>
      <c r="P554" s="79" t="s">
        <v>4047</v>
      </c>
      <c r="Q554" s="79" t="s">
        <v>4048</v>
      </c>
      <c r="R554" s="79" t="s">
        <v>4049</v>
      </c>
    </row>
    <row r="555" spans="1:18" x14ac:dyDescent="0.25">
      <c r="A555" s="79" t="s">
        <v>78</v>
      </c>
      <c r="B555" s="79" t="s">
        <v>4050</v>
      </c>
      <c r="D555" s="79" t="s">
        <v>4051</v>
      </c>
      <c r="E555" s="79" t="s">
        <v>4052</v>
      </c>
      <c r="F555" s="79" t="s">
        <v>4053</v>
      </c>
      <c r="H555" s="79" t="s">
        <v>4054</v>
      </c>
      <c r="J555" s="79" t="s">
        <v>4055</v>
      </c>
      <c r="K555" s="79" t="s">
        <v>4056</v>
      </c>
      <c r="M555" s="79" t="s">
        <v>4057</v>
      </c>
      <c r="N555" s="79" t="s">
        <v>4058</v>
      </c>
      <c r="O555" s="79" t="s">
        <v>4059</v>
      </c>
      <c r="P555" s="79" t="s">
        <v>4060</v>
      </c>
      <c r="Q555" s="79" t="s">
        <v>4061</v>
      </c>
      <c r="R555" s="79" t="s">
        <v>4049</v>
      </c>
    </row>
    <row r="556" spans="1:18" x14ac:dyDescent="0.25">
      <c r="A556" s="79" t="s">
        <v>78</v>
      </c>
    </row>
    <row r="557" spans="1:18" x14ac:dyDescent="0.25">
      <c r="A557" s="79" t="s">
        <v>78</v>
      </c>
      <c r="D557" s="79" t="s">
        <v>4062</v>
      </c>
      <c r="E557" s="79" t="s">
        <v>4063</v>
      </c>
      <c r="G557" s="79" t="s">
        <v>4064</v>
      </c>
      <c r="H557" s="79" t="s">
        <v>4065</v>
      </c>
      <c r="J557" s="79" t="s">
        <v>4066</v>
      </c>
      <c r="K557" s="79" t="s">
        <v>4067</v>
      </c>
      <c r="L557" s="79" t="s">
        <v>4068</v>
      </c>
      <c r="M557" s="79" t="s">
        <v>4069</v>
      </c>
      <c r="N557" s="79" t="s">
        <v>4070</v>
      </c>
      <c r="O557" s="79" t="s">
        <v>4071</v>
      </c>
      <c r="P557" s="79" t="s">
        <v>4072</v>
      </c>
      <c r="Q557" s="79" t="s">
        <v>4073</v>
      </c>
      <c r="R557" s="79" t="s">
        <v>4074</v>
      </c>
    </row>
    <row r="558" spans="1:18" x14ac:dyDescent="0.25">
      <c r="A558" s="79" t="s">
        <v>78</v>
      </c>
      <c r="B558" s="79" t="s">
        <v>4075</v>
      </c>
      <c r="D558" s="79" t="s">
        <v>4076</v>
      </c>
      <c r="E558" s="79" t="s">
        <v>4077</v>
      </c>
      <c r="F558" s="79" t="s">
        <v>4078</v>
      </c>
      <c r="H558" s="79" t="s">
        <v>4079</v>
      </c>
      <c r="J558" s="79" t="s">
        <v>4080</v>
      </c>
      <c r="K558" s="79" t="s">
        <v>4081</v>
      </c>
      <c r="M558" s="79" t="s">
        <v>4082</v>
      </c>
      <c r="N558" s="79" t="s">
        <v>4083</v>
      </c>
      <c r="O558" s="79" t="s">
        <v>4084</v>
      </c>
      <c r="P558" s="79" t="s">
        <v>4085</v>
      </c>
      <c r="Q558" s="79" t="s">
        <v>4086</v>
      </c>
      <c r="R558" s="79" t="s">
        <v>4074</v>
      </c>
    </row>
    <row r="559" spans="1:18" x14ac:dyDescent="0.25">
      <c r="A559" s="79" t="s">
        <v>78</v>
      </c>
    </row>
    <row r="560" spans="1:18" x14ac:dyDescent="0.25">
      <c r="A560" s="79" t="s">
        <v>78</v>
      </c>
      <c r="D560" s="79" t="s">
        <v>4087</v>
      </c>
      <c r="E560" s="79" t="s">
        <v>4088</v>
      </c>
      <c r="G560" s="79" t="s">
        <v>4089</v>
      </c>
      <c r="H560" s="79" t="s">
        <v>4090</v>
      </c>
      <c r="J560" s="79" t="s">
        <v>4091</v>
      </c>
      <c r="K560" s="79" t="s">
        <v>4092</v>
      </c>
      <c r="L560" s="79" t="s">
        <v>4093</v>
      </c>
      <c r="M560" s="79" t="s">
        <v>4094</v>
      </c>
      <c r="N560" s="79" t="s">
        <v>4095</v>
      </c>
      <c r="O560" s="79" t="s">
        <v>4096</v>
      </c>
      <c r="P560" s="79" t="s">
        <v>4097</v>
      </c>
      <c r="Q560" s="79" t="s">
        <v>4098</v>
      </c>
      <c r="R560" s="79" t="s">
        <v>4099</v>
      </c>
    </row>
    <row r="561" spans="1:18" x14ac:dyDescent="0.25">
      <c r="A561" s="79" t="s">
        <v>78</v>
      </c>
      <c r="B561" s="79" t="s">
        <v>4100</v>
      </c>
      <c r="D561" s="79" t="s">
        <v>4101</v>
      </c>
      <c r="E561" s="79" t="s">
        <v>4102</v>
      </c>
      <c r="F561" s="79" t="s">
        <v>4103</v>
      </c>
      <c r="H561" s="79" t="s">
        <v>4104</v>
      </c>
      <c r="J561" s="79" t="s">
        <v>4105</v>
      </c>
      <c r="K561" s="79" t="s">
        <v>4106</v>
      </c>
      <c r="M561" s="79" t="s">
        <v>4107</v>
      </c>
      <c r="N561" s="79" t="s">
        <v>4108</v>
      </c>
      <c r="O561" s="79" t="s">
        <v>4109</v>
      </c>
      <c r="P561" s="79" t="s">
        <v>4110</v>
      </c>
      <c r="Q561" s="79" t="s">
        <v>4111</v>
      </c>
      <c r="R561" s="79" t="s">
        <v>4099</v>
      </c>
    </row>
    <row r="562" spans="1:18" x14ac:dyDescent="0.25">
      <c r="A562" s="79" t="s">
        <v>78</v>
      </c>
    </row>
    <row r="563" spans="1:18" x14ac:dyDescent="0.25">
      <c r="A563" s="79" t="s">
        <v>78</v>
      </c>
      <c r="D563" s="79" t="s">
        <v>4112</v>
      </c>
      <c r="E563" s="79" t="s">
        <v>4113</v>
      </c>
      <c r="G563" s="79" t="s">
        <v>4114</v>
      </c>
      <c r="H563" s="79" t="s">
        <v>4115</v>
      </c>
      <c r="J563" s="79" t="s">
        <v>4116</v>
      </c>
      <c r="K563" s="79" t="s">
        <v>4117</v>
      </c>
      <c r="L563" s="79" t="s">
        <v>4118</v>
      </c>
      <c r="M563" s="79" t="s">
        <v>4119</v>
      </c>
      <c r="N563" s="79" t="s">
        <v>4120</v>
      </c>
      <c r="O563" s="79" t="s">
        <v>4121</v>
      </c>
      <c r="P563" s="79" t="s">
        <v>4122</v>
      </c>
      <c r="Q563" s="79" t="s">
        <v>4123</v>
      </c>
      <c r="R563" s="79" t="s">
        <v>4124</v>
      </c>
    </row>
    <row r="564" spans="1:18" x14ac:dyDescent="0.25">
      <c r="A564" s="79" t="s">
        <v>78</v>
      </c>
      <c r="B564" s="79" t="s">
        <v>4125</v>
      </c>
      <c r="D564" s="79" t="s">
        <v>4126</v>
      </c>
      <c r="E564" s="79" t="s">
        <v>4127</v>
      </c>
      <c r="F564" s="79" t="s">
        <v>4128</v>
      </c>
      <c r="H564" s="79" t="s">
        <v>4129</v>
      </c>
      <c r="J564" s="79" t="s">
        <v>4130</v>
      </c>
      <c r="K564" s="79" t="s">
        <v>4131</v>
      </c>
      <c r="M564" s="79" t="s">
        <v>4132</v>
      </c>
      <c r="N564" s="79" t="s">
        <v>4133</v>
      </c>
      <c r="O564" s="79" t="s">
        <v>4134</v>
      </c>
      <c r="P564" s="79" t="s">
        <v>4135</v>
      </c>
      <c r="Q564" s="79" t="s">
        <v>4136</v>
      </c>
      <c r="R564" s="79" t="s">
        <v>4124</v>
      </c>
    </row>
    <row r="565" spans="1:18" x14ac:dyDescent="0.25">
      <c r="A565" s="79" t="s">
        <v>78</v>
      </c>
    </row>
    <row r="566" spans="1:18" x14ac:dyDescent="0.25">
      <c r="A566" s="79" t="s">
        <v>78</v>
      </c>
      <c r="D566" s="79" t="s">
        <v>4137</v>
      </c>
      <c r="E566" s="79" t="s">
        <v>4138</v>
      </c>
      <c r="G566" s="79" t="s">
        <v>4139</v>
      </c>
      <c r="H566" s="79" t="s">
        <v>4140</v>
      </c>
      <c r="J566" s="79" t="s">
        <v>4141</v>
      </c>
      <c r="K566" s="79" t="s">
        <v>4142</v>
      </c>
      <c r="L566" s="79" t="s">
        <v>4143</v>
      </c>
      <c r="M566" s="79" t="s">
        <v>4144</v>
      </c>
      <c r="N566" s="79" t="s">
        <v>4145</v>
      </c>
      <c r="O566" s="79" t="s">
        <v>4146</v>
      </c>
      <c r="P566" s="79" t="s">
        <v>4147</v>
      </c>
      <c r="Q566" s="79" t="s">
        <v>4148</v>
      </c>
      <c r="R566" s="79" t="s">
        <v>4149</v>
      </c>
    </row>
    <row r="567" spans="1:18" x14ac:dyDescent="0.25">
      <c r="A567" s="79" t="s">
        <v>78</v>
      </c>
      <c r="B567" s="79" t="s">
        <v>4150</v>
      </c>
      <c r="D567" s="79" t="s">
        <v>4151</v>
      </c>
      <c r="E567" s="79" t="s">
        <v>4152</v>
      </c>
      <c r="F567" s="79" t="s">
        <v>4153</v>
      </c>
      <c r="H567" s="79" t="s">
        <v>4154</v>
      </c>
      <c r="J567" s="79" t="s">
        <v>4155</v>
      </c>
      <c r="K567" s="79" t="s">
        <v>4156</v>
      </c>
      <c r="M567" s="79" t="s">
        <v>4157</v>
      </c>
      <c r="N567" s="79" t="s">
        <v>4158</v>
      </c>
      <c r="O567" s="79" t="s">
        <v>4159</v>
      </c>
      <c r="P567" s="79" t="s">
        <v>4160</v>
      </c>
      <c r="Q567" s="79" t="s">
        <v>4161</v>
      </c>
      <c r="R567" s="79" t="s">
        <v>4149</v>
      </c>
    </row>
    <row r="568" spans="1:18" x14ac:dyDescent="0.25">
      <c r="A568" s="79" t="s">
        <v>78</v>
      </c>
    </row>
    <row r="569" spans="1:18" x14ac:dyDescent="0.25">
      <c r="A569" s="79" t="s">
        <v>78</v>
      </c>
      <c r="D569" s="79" t="s">
        <v>4162</v>
      </c>
      <c r="E569" s="79" t="s">
        <v>4163</v>
      </c>
      <c r="G569" s="79" t="s">
        <v>4164</v>
      </c>
      <c r="H569" s="79" t="s">
        <v>4165</v>
      </c>
      <c r="J569" s="79" t="s">
        <v>4166</v>
      </c>
      <c r="K569" s="79" t="s">
        <v>4167</v>
      </c>
      <c r="L569" s="79" t="s">
        <v>4168</v>
      </c>
      <c r="M569" s="79" t="s">
        <v>4169</v>
      </c>
      <c r="N569" s="79" t="s">
        <v>4170</v>
      </c>
      <c r="O569" s="79" t="s">
        <v>4171</v>
      </c>
      <c r="P569" s="79" t="s">
        <v>4172</v>
      </c>
      <c r="Q569" s="79" t="s">
        <v>4173</v>
      </c>
      <c r="R569" s="79" t="s">
        <v>4174</v>
      </c>
    </row>
    <row r="570" spans="1:18" x14ac:dyDescent="0.25">
      <c r="A570" s="79" t="s">
        <v>78</v>
      </c>
      <c r="B570" s="79" t="s">
        <v>4175</v>
      </c>
      <c r="D570" s="79" t="s">
        <v>4176</v>
      </c>
      <c r="E570" s="79" t="s">
        <v>4177</v>
      </c>
      <c r="F570" s="79" t="s">
        <v>4178</v>
      </c>
      <c r="H570" s="79" t="s">
        <v>4179</v>
      </c>
      <c r="J570" s="79" t="s">
        <v>4180</v>
      </c>
      <c r="K570" s="79" t="s">
        <v>4181</v>
      </c>
      <c r="M570" s="79" t="s">
        <v>4182</v>
      </c>
      <c r="N570" s="79" t="s">
        <v>4183</v>
      </c>
      <c r="O570" s="79" t="s">
        <v>4184</v>
      </c>
      <c r="P570" s="79" t="s">
        <v>4185</v>
      </c>
      <c r="Q570" s="79" t="s">
        <v>4186</v>
      </c>
      <c r="R570" s="79" t="s">
        <v>4174</v>
      </c>
    </row>
    <row r="571" spans="1:18" x14ac:dyDescent="0.25">
      <c r="A571" s="79" t="s">
        <v>78</v>
      </c>
    </row>
    <row r="572" spans="1:18" x14ac:dyDescent="0.25">
      <c r="A572" s="79" t="s">
        <v>78</v>
      </c>
      <c r="D572" s="79" t="s">
        <v>4187</v>
      </c>
      <c r="E572" s="79" t="s">
        <v>4188</v>
      </c>
      <c r="G572" s="79" t="s">
        <v>4189</v>
      </c>
      <c r="H572" s="79" t="s">
        <v>4190</v>
      </c>
      <c r="J572" s="79" t="s">
        <v>4191</v>
      </c>
      <c r="K572" s="79" t="s">
        <v>4192</v>
      </c>
      <c r="L572" s="79" t="s">
        <v>4193</v>
      </c>
      <c r="M572" s="79" t="s">
        <v>4194</v>
      </c>
      <c r="N572" s="79" t="s">
        <v>4195</v>
      </c>
      <c r="O572" s="79" t="s">
        <v>4196</v>
      </c>
      <c r="P572" s="79" t="s">
        <v>4197</v>
      </c>
      <c r="Q572" s="79" t="s">
        <v>4198</v>
      </c>
      <c r="R572" s="79" t="s">
        <v>4199</v>
      </c>
    </row>
    <row r="573" spans="1:18" x14ac:dyDescent="0.25">
      <c r="A573" s="79" t="s">
        <v>78</v>
      </c>
      <c r="B573" s="79" t="s">
        <v>4200</v>
      </c>
      <c r="D573" s="79" t="s">
        <v>4201</v>
      </c>
      <c r="E573" s="79" t="s">
        <v>4202</v>
      </c>
      <c r="F573" s="79" t="s">
        <v>4203</v>
      </c>
      <c r="H573" s="79" t="s">
        <v>4204</v>
      </c>
      <c r="J573" s="79" t="s">
        <v>4205</v>
      </c>
      <c r="K573" s="79" t="s">
        <v>4206</v>
      </c>
      <c r="M573" s="79" t="s">
        <v>4207</v>
      </c>
      <c r="N573" s="79" t="s">
        <v>4208</v>
      </c>
      <c r="O573" s="79" t="s">
        <v>4209</v>
      </c>
      <c r="P573" s="79" t="s">
        <v>4210</v>
      </c>
      <c r="Q573" s="79" t="s">
        <v>4211</v>
      </c>
      <c r="R573" s="79" t="s">
        <v>4199</v>
      </c>
    </row>
    <row r="574" spans="1:18" x14ac:dyDescent="0.25">
      <c r="A574" s="79" t="s">
        <v>78</v>
      </c>
    </row>
    <row r="575" spans="1:18" x14ac:dyDescent="0.25">
      <c r="A575" s="79" t="s">
        <v>78</v>
      </c>
      <c r="D575" s="79" t="s">
        <v>4212</v>
      </c>
      <c r="E575" s="79" t="s">
        <v>4213</v>
      </c>
      <c r="G575" s="79" t="s">
        <v>4214</v>
      </c>
      <c r="H575" s="79" t="s">
        <v>4215</v>
      </c>
      <c r="J575" s="79" t="s">
        <v>4216</v>
      </c>
      <c r="K575" s="79" t="s">
        <v>4217</v>
      </c>
      <c r="L575" s="79" t="s">
        <v>4218</v>
      </c>
      <c r="M575" s="79" t="s">
        <v>4219</v>
      </c>
      <c r="N575" s="79" t="s">
        <v>4220</v>
      </c>
      <c r="O575" s="79" t="s">
        <v>4221</v>
      </c>
      <c r="P575" s="79" t="s">
        <v>4222</v>
      </c>
      <c r="Q575" s="79" t="s">
        <v>4223</v>
      </c>
      <c r="R575" s="79" t="s">
        <v>4224</v>
      </c>
    </row>
    <row r="576" spans="1:18" x14ac:dyDescent="0.25">
      <c r="A576" s="79" t="s">
        <v>78</v>
      </c>
      <c r="B576" s="79" t="s">
        <v>4225</v>
      </c>
      <c r="D576" s="79" t="s">
        <v>4226</v>
      </c>
      <c r="E576" s="79" t="s">
        <v>4227</v>
      </c>
      <c r="F576" s="79" t="s">
        <v>4228</v>
      </c>
      <c r="H576" s="79" t="s">
        <v>4229</v>
      </c>
      <c r="J576" s="79" t="s">
        <v>4230</v>
      </c>
      <c r="K576" s="79" t="s">
        <v>4231</v>
      </c>
      <c r="M576" s="79" t="s">
        <v>4232</v>
      </c>
      <c r="N576" s="79" t="s">
        <v>4233</v>
      </c>
      <c r="O576" s="79" t="s">
        <v>4234</v>
      </c>
      <c r="P576" s="79" t="s">
        <v>4235</v>
      </c>
      <c r="Q576" s="79" t="s">
        <v>4236</v>
      </c>
      <c r="R576" s="79" t="s">
        <v>4224</v>
      </c>
    </row>
    <row r="577" spans="1:18" x14ac:dyDescent="0.25">
      <c r="A577" s="79" t="s">
        <v>78</v>
      </c>
    </row>
    <row r="578" spans="1:18" x14ac:dyDescent="0.25">
      <c r="A578" s="79" t="s">
        <v>78</v>
      </c>
      <c r="D578" s="79" t="s">
        <v>4237</v>
      </c>
      <c r="E578" s="79" t="s">
        <v>4238</v>
      </c>
      <c r="G578" s="79" t="s">
        <v>4239</v>
      </c>
      <c r="H578" s="79" t="s">
        <v>4240</v>
      </c>
      <c r="J578" s="79" t="s">
        <v>4241</v>
      </c>
      <c r="K578" s="79" t="s">
        <v>4242</v>
      </c>
      <c r="L578" s="79" t="s">
        <v>4243</v>
      </c>
      <c r="M578" s="79" t="s">
        <v>4244</v>
      </c>
      <c r="N578" s="79" t="s">
        <v>4245</v>
      </c>
      <c r="O578" s="79" t="s">
        <v>4246</v>
      </c>
      <c r="P578" s="79" t="s">
        <v>4247</v>
      </c>
      <c r="Q578" s="79" t="s">
        <v>4248</v>
      </c>
      <c r="R578" s="79" t="s">
        <v>4249</v>
      </c>
    </row>
    <row r="579" spans="1:18" x14ac:dyDescent="0.25">
      <c r="A579" s="79" t="s">
        <v>78</v>
      </c>
      <c r="B579" s="79" t="s">
        <v>4250</v>
      </c>
      <c r="D579" s="79" t="s">
        <v>4251</v>
      </c>
      <c r="E579" s="79" t="s">
        <v>4252</v>
      </c>
      <c r="F579" s="79" t="s">
        <v>4253</v>
      </c>
      <c r="H579" s="79" t="s">
        <v>4254</v>
      </c>
      <c r="J579" s="79" t="s">
        <v>4255</v>
      </c>
      <c r="K579" s="79" t="s">
        <v>4256</v>
      </c>
      <c r="M579" s="79" t="s">
        <v>4257</v>
      </c>
      <c r="N579" s="79" t="s">
        <v>4258</v>
      </c>
      <c r="O579" s="79" t="s">
        <v>4259</v>
      </c>
      <c r="P579" s="79" t="s">
        <v>4260</v>
      </c>
      <c r="Q579" s="79" t="s">
        <v>4261</v>
      </c>
      <c r="R579" s="79" t="s">
        <v>4249</v>
      </c>
    </row>
    <row r="580" spans="1:18" x14ac:dyDescent="0.25">
      <c r="A580" s="79" t="s">
        <v>78</v>
      </c>
    </row>
    <row r="581" spans="1:18" x14ac:dyDescent="0.25">
      <c r="A581" s="79" t="s">
        <v>78</v>
      </c>
      <c r="D581" s="79" t="s">
        <v>4262</v>
      </c>
      <c r="E581" s="79" t="s">
        <v>4263</v>
      </c>
      <c r="G581" s="79" t="s">
        <v>4264</v>
      </c>
      <c r="H581" s="79" t="s">
        <v>4265</v>
      </c>
      <c r="J581" s="79" t="s">
        <v>4266</v>
      </c>
      <c r="K581" s="79" t="s">
        <v>4267</v>
      </c>
      <c r="L581" s="79" t="s">
        <v>4268</v>
      </c>
      <c r="M581" s="79" t="s">
        <v>4269</v>
      </c>
      <c r="N581" s="79" t="s">
        <v>4270</v>
      </c>
      <c r="O581" s="79" t="s">
        <v>4271</v>
      </c>
      <c r="P581" s="79" t="s">
        <v>4272</v>
      </c>
      <c r="Q581" s="79" t="s">
        <v>4273</v>
      </c>
      <c r="R581" s="79" t="s">
        <v>4274</v>
      </c>
    </row>
    <row r="582" spans="1:18" x14ac:dyDescent="0.25">
      <c r="A582" s="79" t="s">
        <v>78</v>
      </c>
      <c r="B582" s="79" t="s">
        <v>4275</v>
      </c>
      <c r="D582" s="79" t="s">
        <v>4276</v>
      </c>
      <c r="E582" s="79" t="s">
        <v>4277</v>
      </c>
      <c r="F582" s="79" t="s">
        <v>4278</v>
      </c>
      <c r="H582" s="79" t="s">
        <v>4279</v>
      </c>
      <c r="J582" s="79" t="s">
        <v>4280</v>
      </c>
      <c r="K582" s="79" t="s">
        <v>4281</v>
      </c>
      <c r="M582" s="79" t="s">
        <v>4282</v>
      </c>
      <c r="N582" s="79" t="s">
        <v>4283</v>
      </c>
      <c r="O582" s="79" t="s">
        <v>4284</v>
      </c>
      <c r="P582" s="79" t="s">
        <v>4285</v>
      </c>
      <c r="Q582" s="79" t="s">
        <v>4286</v>
      </c>
      <c r="R582" s="79" t="s">
        <v>4274</v>
      </c>
    </row>
    <row r="583" spans="1:18" x14ac:dyDescent="0.25">
      <c r="A583" s="79" t="s">
        <v>78</v>
      </c>
    </row>
    <row r="584" spans="1:18" x14ac:dyDescent="0.25">
      <c r="A584" s="79" t="s">
        <v>78</v>
      </c>
      <c r="D584" s="79" t="s">
        <v>4287</v>
      </c>
      <c r="E584" s="79" t="s">
        <v>4288</v>
      </c>
      <c r="G584" s="79" t="s">
        <v>4289</v>
      </c>
      <c r="H584" s="79" t="s">
        <v>4290</v>
      </c>
      <c r="J584" s="79" t="s">
        <v>4291</v>
      </c>
      <c r="K584" s="79" t="s">
        <v>4292</v>
      </c>
      <c r="L584" s="79" t="s">
        <v>4293</v>
      </c>
      <c r="M584" s="79" t="s">
        <v>4294</v>
      </c>
      <c r="N584" s="79" t="s">
        <v>4295</v>
      </c>
      <c r="O584" s="79" t="s">
        <v>4296</v>
      </c>
      <c r="P584" s="79" t="s">
        <v>4297</v>
      </c>
      <c r="Q584" s="79" t="s">
        <v>4298</v>
      </c>
      <c r="R584" s="79" t="s">
        <v>4299</v>
      </c>
    </row>
    <row r="585" spans="1:18" x14ac:dyDescent="0.25">
      <c r="A585" s="79" t="s">
        <v>78</v>
      </c>
      <c r="B585" s="79" t="s">
        <v>4300</v>
      </c>
      <c r="D585" s="79" t="s">
        <v>4301</v>
      </c>
      <c r="E585" s="79" t="s">
        <v>4302</v>
      </c>
      <c r="F585" s="79" t="s">
        <v>4303</v>
      </c>
      <c r="H585" s="79" t="s">
        <v>4304</v>
      </c>
      <c r="J585" s="79" t="s">
        <v>4305</v>
      </c>
      <c r="K585" s="79" t="s">
        <v>4306</v>
      </c>
      <c r="M585" s="79" t="s">
        <v>4307</v>
      </c>
      <c r="N585" s="79" t="s">
        <v>4308</v>
      </c>
      <c r="O585" s="79" t="s">
        <v>4309</v>
      </c>
      <c r="P585" s="79" t="s">
        <v>4310</v>
      </c>
      <c r="Q585" s="79" t="s">
        <v>4311</v>
      </c>
      <c r="R585" s="79" t="s">
        <v>4299</v>
      </c>
    </row>
    <row r="586" spans="1:18" x14ac:dyDescent="0.25">
      <c r="A586" s="79" t="s">
        <v>78</v>
      </c>
    </row>
    <row r="587" spans="1:18" x14ac:dyDescent="0.25">
      <c r="A587" s="79" t="s">
        <v>78</v>
      </c>
      <c r="D587" s="79" t="s">
        <v>4312</v>
      </c>
      <c r="E587" s="79" t="s">
        <v>4313</v>
      </c>
      <c r="G587" s="79" t="s">
        <v>4314</v>
      </c>
      <c r="H587" s="79" t="s">
        <v>4315</v>
      </c>
      <c r="J587" s="79" t="s">
        <v>4316</v>
      </c>
      <c r="K587" s="79" t="s">
        <v>4317</v>
      </c>
      <c r="L587" s="79" t="s">
        <v>4318</v>
      </c>
      <c r="M587" s="79" t="s">
        <v>4319</v>
      </c>
      <c r="N587" s="79" t="s">
        <v>4320</v>
      </c>
      <c r="O587" s="79" t="s">
        <v>4321</v>
      </c>
      <c r="P587" s="79" t="s">
        <v>4322</v>
      </c>
      <c r="Q587" s="79" t="s">
        <v>4323</v>
      </c>
      <c r="R587" s="79" t="s">
        <v>4324</v>
      </c>
    </row>
    <row r="588" spans="1:18" x14ac:dyDescent="0.25">
      <c r="A588" s="79" t="s">
        <v>78</v>
      </c>
      <c r="B588" s="79" t="s">
        <v>4325</v>
      </c>
      <c r="D588" s="79" t="s">
        <v>4326</v>
      </c>
      <c r="E588" s="79" t="s">
        <v>4327</v>
      </c>
      <c r="F588" s="79" t="s">
        <v>4328</v>
      </c>
      <c r="H588" s="79" t="s">
        <v>4329</v>
      </c>
      <c r="J588" s="79" t="s">
        <v>4330</v>
      </c>
      <c r="K588" s="79" t="s">
        <v>4331</v>
      </c>
      <c r="M588" s="79" t="s">
        <v>4332</v>
      </c>
      <c r="N588" s="79" t="s">
        <v>4333</v>
      </c>
      <c r="O588" s="79" t="s">
        <v>4334</v>
      </c>
      <c r="P588" s="79" t="s">
        <v>4335</v>
      </c>
      <c r="Q588" s="79" t="s">
        <v>4336</v>
      </c>
      <c r="R588" s="79" t="s">
        <v>4324</v>
      </c>
    </row>
    <row r="589" spans="1:18" x14ac:dyDescent="0.25">
      <c r="A589" s="79" t="s">
        <v>78</v>
      </c>
    </row>
    <row r="590" spans="1:18" x14ac:dyDescent="0.25">
      <c r="A590" s="79" t="s">
        <v>78</v>
      </c>
      <c r="D590" s="79" t="s">
        <v>4337</v>
      </c>
      <c r="E590" s="79" t="s">
        <v>4338</v>
      </c>
      <c r="G590" s="79" t="s">
        <v>4339</v>
      </c>
      <c r="H590" s="79" t="s">
        <v>4340</v>
      </c>
      <c r="J590" s="79" t="s">
        <v>4341</v>
      </c>
      <c r="K590" s="79" t="s">
        <v>4342</v>
      </c>
      <c r="L590" s="79" t="s">
        <v>4343</v>
      </c>
      <c r="M590" s="79" t="s">
        <v>4344</v>
      </c>
      <c r="N590" s="79" t="s">
        <v>4345</v>
      </c>
      <c r="O590" s="79" t="s">
        <v>4346</v>
      </c>
      <c r="P590" s="79" t="s">
        <v>4347</v>
      </c>
      <c r="Q590" s="79" t="s">
        <v>4348</v>
      </c>
      <c r="R590" s="79" t="s">
        <v>4349</v>
      </c>
    </row>
    <row r="591" spans="1:18" x14ac:dyDescent="0.25">
      <c r="A591" s="79" t="s">
        <v>78</v>
      </c>
      <c r="B591" s="79" t="s">
        <v>4350</v>
      </c>
      <c r="D591" s="79" t="s">
        <v>4351</v>
      </c>
      <c r="E591" s="79" t="s">
        <v>4352</v>
      </c>
      <c r="F591" s="79" t="s">
        <v>4353</v>
      </c>
      <c r="H591" s="79" t="s">
        <v>4354</v>
      </c>
      <c r="J591" s="79" t="s">
        <v>4355</v>
      </c>
      <c r="K591" s="79" t="s">
        <v>4356</v>
      </c>
      <c r="M591" s="79" t="s">
        <v>4357</v>
      </c>
      <c r="N591" s="79" t="s">
        <v>4358</v>
      </c>
      <c r="O591" s="79" t="s">
        <v>4359</v>
      </c>
      <c r="P591" s="79" t="s">
        <v>4360</v>
      </c>
      <c r="Q591" s="79" t="s">
        <v>4361</v>
      </c>
      <c r="R591" s="79" t="s">
        <v>4349</v>
      </c>
    </row>
    <row r="592" spans="1:18" x14ac:dyDescent="0.25">
      <c r="A592" s="79" t="s">
        <v>78</v>
      </c>
    </row>
    <row r="593" spans="1:18" x14ac:dyDescent="0.25">
      <c r="A593" s="79" t="s">
        <v>78</v>
      </c>
      <c r="D593" s="79" t="s">
        <v>4362</v>
      </c>
      <c r="E593" s="79" t="s">
        <v>4363</v>
      </c>
      <c r="G593" s="79" t="s">
        <v>4364</v>
      </c>
      <c r="H593" s="79" t="s">
        <v>4365</v>
      </c>
      <c r="J593" s="79" t="s">
        <v>4366</v>
      </c>
      <c r="K593" s="79" t="s">
        <v>4367</v>
      </c>
      <c r="L593" s="79" t="s">
        <v>4368</v>
      </c>
      <c r="M593" s="79" t="s">
        <v>4369</v>
      </c>
      <c r="N593" s="79" t="s">
        <v>4370</v>
      </c>
      <c r="O593" s="79" t="s">
        <v>4371</v>
      </c>
      <c r="P593" s="79" t="s">
        <v>4372</v>
      </c>
      <c r="Q593" s="79" t="s">
        <v>4373</v>
      </c>
      <c r="R593" s="79" t="s">
        <v>4374</v>
      </c>
    </row>
    <row r="594" spans="1:18" x14ac:dyDescent="0.25">
      <c r="A594" s="79" t="s">
        <v>78</v>
      </c>
      <c r="B594" s="79" t="s">
        <v>4375</v>
      </c>
      <c r="D594" s="79" t="s">
        <v>4376</v>
      </c>
      <c r="E594" s="79" t="s">
        <v>4377</v>
      </c>
      <c r="F594" s="79" t="s">
        <v>4378</v>
      </c>
      <c r="H594" s="79" t="s">
        <v>4379</v>
      </c>
      <c r="J594" s="79" t="s">
        <v>4380</v>
      </c>
      <c r="K594" s="79" t="s">
        <v>4381</v>
      </c>
      <c r="M594" s="79" t="s">
        <v>4382</v>
      </c>
      <c r="N594" s="79" t="s">
        <v>4383</v>
      </c>
      <c r="O594" s="79" t="s">
        <v>4384</v>
      </c>
      <c r="P594" s="79" t="s">
        <v>4385</v>
      </c>
      <c r="Q594" s="79" t="s">
        <v>4386</v>
      </c>
      <c r="R594" s="79" t="s">
        <v>4374</v>
      </c>
    </row>
    <row r="595" spans="1:18" x14ac:dyDescent="0.25">
      <c r="A595" s="79" t="s">
        <v>78</v>
      </c>
    </row>
    <row r="596" spans="1:18" x14ac:dyDescent="0.25">
      <c r="A596" s="79" t="s">
        <v>78</v>
      </c>
      <c r="D596" s="79" t="s">
        <v>4387</v>
      </c>
      <c r="E596" s="79" t="s">
        <v>4388</v>
      </c>
      <c r="G596" s="79" t="s">
        <v>4389</v>
      </c>
      <c r="H596" s="79" t="s">
        <v>4390</v>
      </c>
      <c r="J596" s="79" t="s">
        <v>4391</v>
      </c>
      <c r="K596" s="79" t="s">
        <v>4392</v>
      </c>
      <c r="L596" s="79" t="s">
        <v>4393</v>
      </c>
      <c r="M596" s="79" t="s">
        <v>4394</v>
      </c>
      <c r="N596" s="79" t="s">
        <v>4395</v>
      </c>
      <c r="O596" s="79" t="s">
        <v>4396</v>
      </c>
      <c r="P596" s="79" t="s">
        <v>4397</v>
      </c>
      <c r="Q596" s="79" t="s">
        <v>4398</v>
      </c>
      <c r="R596" s="79" t="s">
        <v>4399</v>
      </c>
    </row>
    <row r="597" spans="1:18" x14ac:dyDescent="0.25">
      <c r="A597" s="79" t="s">
        <v>78</v>
      </c>
      <c r="B597" s="79" t="s">
        <v>4400</v>
      </c>
      <c r="D597" s="79" t="s">
        <v>4401</v>
      </c>
      <c r="E597" s="79" t="s">
        <v>4402</v>
      </c>
      <c r="F597" s="79" t="s">
        <v>4403</v>
      </c>
      <c r="H597" s="79" t="s">
        <v>4404</v>
      </c>
      <c r="J597" s="79" t="s">
        <v>4405</v>
      </c>
      <c r="K597" s="79" t="s">
        <v>4406</v>
      </c>
      <c r="M597" s="79" t="s">
        <v>4407</v>
      </c>
      <c r="N597" s="79" t="s">
        <v>4408</v>
      </c>
      <c r="O597" s="79" t="s">
        <v>4409</v>
      </c>
      <c r="P597" s="79" t="s">
        <v>4410</v>
      </c>
      <c r="Q597" s="79" t="s">
        <v>4411</v>
      </c>
      <c r="R597" s="79" t="s">
        <v>4399</v>
      </c>
    </row>
    <row r="598" spans="1:18" x14ac:dyDescent="0.25">
      <c r="A598" s="79" t="s">
        <v>78</v>
      </c>
    </row>
    <row r="599" spans="1:18" x14ac:dyDescent="0.25">
      <c r="A599" s="79" t="s">
        <v>78</v>
      </c>
      <c r="D599" s="79" t="s">
        <v>4412</v>
      </c>
      <c r="E599" s="79" t="s">
        <v>4413</v>
      </c>
      <c r="G599" s="79" t="s">
        <v>4414</v>
      </c>
      <c r="H599" s="79" t="s">
        <v>4415</v>
      </c>
      <c r="J599" s="79" t="s">
        <v>4416</v>
      </c>
      <c r="K599" s="79" t="s">
        <v>4417</v>
      </c>
      <c r="L599" s="79" t="s">
        <v>4418</v>
      </c>
      <c r="M599" s="79" t="s">
        <v>4419</v>
      </c>
      <c r="N599" s="79" t="s">
        <v>4420</v>
      </c>
      <c r="O599" s="79" t="s">
        <v>4421</v>
      </c>
      <c r="P599" s="79" t="s">
        <v>4422</v>
      </c>
      <c r="Q599" s="79" t="s">
        <v>4423</v>
      </c>
      <c r="R599" s="79" t="s">
        <v>4424</v>
      </c>
    </row>
    <row r="600" spans="1:18" x14ac:dyDescent="0.25">
      <c r="A600" s="79" t="s">
        <v>78</v>
      </c>
      <c r="B600" s="79" t="s">
        <v>4425</v>
      </c>
      <c r="D600" s="79" t="s">
        <v>4426</v>
      </c>
      <c r="E600" s="79" t="s">
        <v>4427</v>
      </c>
      <c r="F600" s="79" t="s">
        <v>4428</v>
      </c>
      <c r="H600" s="79" t="s">
        <v>4429</v>
      </c>
      <c r="J600" s="79" t="s">
        <v>4430</v>
      </c>
      <c r="K600" s="79" t="s">
        <v>4431</v>
      </c>
      <c r="M600" s="79" t="s">
        <v>4432</v>
      </c>
      <c r="N600" s="79" t="s">
        <v>4433</v>
      </c>
      <c r="O600" s="79" t="s">
        <v>4434</v>
      </c>
      <c r="P600" s="79" t="s">
        <v>4435</v>
      </c>
      <c r="Q600" s="79" t="s">
        <v>4436</v>
      </c>
      <c r="R600" s="79" t="s">
        <v>4424</v>
      </c>
    </row>
    <row r="601" spans="1:18" x14ac:dyDescent="0.25">
      <c r="A601" s="79" t="s">
        <v>78</v>
      </c>
    </row>
    <row r="602" spans="1:18" x14ac:dyDescent="0.25">
      <c r="A602" s="79" t="s">
        <v>78</v>
      </c>
      <c r="D602" s="79" t="s">
        <v>4437</v>
      </c>
      <c r="E602" s="79" t="s">
        <v>4438</v>
      </c>
      <c r="G602" s="79" t="s">
        <v>4439</v>
      </c>
      <c r="H602" s="79" t="s">
        <v>4440</v>
      </c>
      <c r="J602" s="79" t="s">
        <v>4441</v>
      </c>
      <c r="K602" s="79" t="s">
        <v>4442</v>
      </c>
      <c r="L602" s="79" t="s">
        <v>4443</v>
      </c>
      <c r="M602" s="79" t="s">
        <v>4444</v>
      </c>
      <c r="N602" s="79" t="s">
        <v>4445</v>
      </c>
      <c r="O602" s="79" t="s">
        <v>4446</v>
      </c>
      <c r="P602" s="79" t="s">
        <v>4447</v>
      </c>
      <c r="Q602" s="79" t="s">
        <v>4448</v>
      </c>
      <c r="R602" s="79" t="s">
        <v>4449</v>
      </c>
    </row>
    <row r="603" spans="1:18" x14ac:dyDescent="0.25">
      <c r="A603" s="79" t="s">
        <v>78</v>
      </c>
      <c r="B603" s="79" t="s">
        <v>4450</v>
      </c>
      <c r="D603" s="79" t="s">
        <v>4451</v>
      </c>
      <c r="E603" s="79" t="s">
        <v>4452</v>
      </c>
      <c r="F603" s="79" t="s">
        <v>4453</v>
      </c>
      <c r="H603" s="79" t="s">
        <v>4454</v>
      </c>
      <c r="J603" s="79" t="s">
        <v>4455</v>
      </c>
      <c r="K603" s="79" t="s">
        <v>4456</v>
      </c>
      <c r="M603" s="79" t="s">
        <v>4457</v>
      </c>
      <c r="N603" s="79" t="s">
        <v>4458</v>
      </c>
      <c r="O603" s="79" t="s">
        <v>4459</v>
      </c>
      <c r="P603" s="79" t="s">
        <v>4460</v>
      </c>
      <c r="Q603" s="79" t="s">
        <v>4461</v>
      </c>
      <c r="R603" s="79" t="s">
        <v>4449</v>
      </c>
    </row>
    <row r="604" spans="1:18" x14ac:dyDescent="0.25">
      <c r="A604" s="79" t="s">
        <v>78</v>
      </c>
    </row>
    <row r="605" spans="1:18" x14ac:dyDescent="0.25">
      <c r="A605" s="79" t="s">
        <v>78</v>
      </c>
      <c r="D605" s="79" t="s">
        <v>4462</v>
      </c>
      <c r="E605" s="79" t="s">
        <v>4463</v>
      </c>
      <c r="G605" s="79" t="s">
        <v>4464</v>
      </c>
      <c r="H605" s="79" t="s">
        <v>4465</v>
      </c>
      <c r="J605" s="79" t="s">
        <v>4466</v>
      </c>
      <c r="K605" s="79" t="s">
        <v>4467</v>
      </c>
      <c r="L605" s="79" t="s">
        <v>4468</v>
      </c>
      <c r="M605" s="79" t="s">
        <v>4469</v>
      </c>
      <c r="N605" s="79" t="s">
        <v>4470</v>
      </c>
      <c r="O605" s="79" t="s">
        <v>4471</v>
      </c>
      <c r="P605" s="79" t="s">
        <v>4472</v>
      </c>
      <c r="Q605" s="79" t="s">
        <v>4473</v>
      </c>
      <c r="R605" s="79" t="s">
        <v>4474</v>
      </c>
    </row>
    <row r="606" spans="1:18" x14ac:dyDescent="0.25">
      <c r="A606" s="79" t="s">
        <v>78</v>
      </c>
      <c r="B606" s="79" t="s">
        <v>4475</v>
      </c>
      <c r="D606" s="79" t="s">
        <v>4476</v>
      </c>
      <c r="E606" s="79" t="s">
        <v>4477</v>
      </c>
      <c r="F606" s="79" t="s">
        <v>4478</v>
      </c>
      <c r="H606" s="79" t="s">
        <v>4479</v>
      </c>
      <c r="J606" s="79" t="s">
        <v>4480</v>
      </c>
      <c r="K606" s="79" t="s">
        <v>4481</v>
      </c>
      <c r="M606" s="79" t="s">
        <v>4482</v>
      </c>
      <c r="N606" s="79" t="s">
        <v>4483</v>
      </c>
      <c r="O606" s="79" t="s">
        <v>4484</v>
      </c>
      <c r="P606" s="79" t="s">
        <v>4485</v>
      </c>
      <c r="Q606" s="79" t="s">
        <v>4486</v>
      </c>
      <c r="R606" s="79" t="s">
        <v>4474</v>
      </c>
    </row>
    <row r="607" spans="1:18" x14ac:dyDescent="0.25">
      <c r="A607" s="79" t="s">
        <v>78</v>
      </c>
    </row>
    <row r="608" spans="1:18" x14ac:dyDescent="0.25">
      <c r="A608" s="79" t="s">
        <v>78</v>
      </c>
      <c r="D608" s="79" t="s">
        <v>4487</v>
      </c>
      <c r="E608" s="79" t="s">
        <v>4488</v>
      </c>
      <c r="G608" s="79" t="s">
        <v>4489</v>
      </c>
      <c r="H608" s="79" t="s">
        <v>4490</v>
      </c>
      <c r="J608" s="79" t="s">
        <v>4491</v>
      </c>
      <c r="K608" s="79" t="s">
        <v>4492</v>
      </c>
      <c r="L608" s="79" t="s">
        <v>4493</v>
      </c>
      <c r="M608" s="79" t="s">
        <v>4494</v>
      </c>
      <c r="N608" s="79" t="s">
        <v>4495</v>
      </c>
      <c r="O608" s="79" t="s">
        <v>4496</v>
      </c>
      <c r="P608" s="79" t="s">
        <v>4497</v>
      </c>
      <c r="Q608" s="79" t="s">
        <v>4498</v>
      </c>
      <c r="R608" s="79" t="s">
        <v>4499</v>
      </c>
    </row>
    <row r="609" spans="1:18" x14ac:dyDescent="0.25">
      <c r="A609" s="79" t="s">
        <v>78</v>
      </c>
      <c r="B609" s="79" t="s">
        <v>4500</v>
      </c>
      <c r="D609" s="79" t="s">
        <v>4501</v>
      </c>
      <c r="E609" s="79" t="s">
        <v>4502</v>
      </c>
      <c r="F609" s="79" t="s">
        <v>4503</v>
      </c>
      <c r="H609" s="79" t="s">
        <v>4504</v>
      </c>
      <c r="J609" s="79" t="s">
        <v>4505</v>
      </c>
      <c r="K609" s="79" t="s">
        <v>4506</v>
      </c>
      <c r="M609" s="79" t="s">
        <v>4507</v>
      </c>
      <c r="N609" s="79" t="s">
        <v>4508</v>
      </c>
      <c r="O609" s="79" t="s">
        <v>4509</v>
      </c>
      <c r="P609" s="79" t="s">
        <v>4510</v>
      </c>
      <c r="Q609" s="79" t="s">
        <v>4511</v>
      </c>
      <c r="R609" s="79" t="s">
        <v>4499</v>
      </c>
    </row>
    <row r="610" spans="1:18" x14ac:dyDescent="0.25">
      <c r="A610" s="79" t="s">
        <v>78</v>
      </c>
    </row>
    <row r="611" spans="1:18" x14ac:dyDescent="0.25">
      <c r="A611" s="79" t="s">
        <v>78</v>
      </c>
      <c r="D611" s="79" t="s">
        <v>4512</v>
      </c>
      <c r="E611" s="79" t="s">
        <v>4513</v>
      </c>
      <c r="G611" s="79" t="s">
        <v>4514</v>
      </c>
      <c r="H611" s="79" t="s">
        <v>4515</v>
      </c>
      <c r="J611" s="79" t="s">
        <v>4516</v>
      </c>
      <c r="K611" s="79" t="s">
        <v>4517</v>
      </c>
      <c r="L611" s="79" t="s">
        <v>4518</v>
      </c>
      <c r="M611" s="79" t="s">
        <v>4519</v>
      </c>
      <c r="N611" s="79" t="s">
        <v>4520</v>
      </c>
      <c r="O611" s="79" t="s">
        <v>4521</v>
      </c>
      <c r="P611" s="79" t="s">
        <v>4522</v>
      </c>
      <c r="Q611" s="79" t="s">
        <v>4523</v>
      </c>
      <c r="R611" s="79" t="s">
        <v>4524</v>
      </c>
    </row>
    <row r="612" spans="1:18" x14ac:dyDescent="0.25">
      <c r="A612" s="79" t="s">
        <v>78</v>
      </c>
      <c r="B612" s="79" t="s">
        <v>4525</v>
      </c>
      <c r="D612" s="79" t="s">
        <v>4526</v>
      </c>
      <c r="E612" s="79" t="s">
        <v>4527</v>
      </c>
      <c r="F612" s="79" t="s">
        <v>4528</v>
      </c>
      <c r="H612" s="79" t="s">
        <v>4529</v>
      </c>
      <c r="J612" s="79" t="s">
        <v>4530</v>
      </c>
      <c r="K612" s="79" t="s">
        <v>4531</v>
      </c>
      <c r="M612" s="79" t="s">
        <v>4532</v>
      </c>
      <c r="N612" s="79" t="s">
        <v>4533</v>
      </c>
      <c r="O612" s="79" t="s">
        <v>4534</v>
      </c>
      <c r="P612" s="79" t="s">
        <v>4535</v>
      </c>
      <c r="Q612" s="79" t="s">
        <v>4536</v>
      </c>
      <c r="R612" s="79" t="s">
        <v>4524</v>
      </c>
    </row>
    <row r="613" spans="1:18" x14ac:dyDescent="0.25">
      <c r="A613" s="79" t="s">
        <v>78</v>
      </c>
    </row>
    <row r="614" spans="1:18" x14ac:dyDescent="0.25">
      <c r="A614" s="79" t="s">
        <v>78</v>
      </c>
      <c r="D614" s="79" t="s">
        <v>4537</v>
      </c>
      <c r="E614" s="79" t="s">
        <v>4538</v>
      </c>
      <c r="G614" s="79" t="s">
        <v>4539</v>
      </c>
      <c r="H614" s="79" t="s">
        <v>4540</v>
      </c>
      <c r="J614" s="79" t="s">
        <v>4541</v>
      </c>
      <c r="K614" s="79" t="s">
        <v>4542</v>
      </c>
      <c r="L614" s="79" t="s">
        <v>4543</v>
      </c>
      <c r="M614" s="79" t="s">
        <v>4544</v>
      </c>
      <c r="N614" s="79" t="s">
        <v>4545</v>
      </c>
      <c r="O614" s="79" t="s">
        <v>4546</v>
      </c>
      <c r="P614" s="79" t="s">
        <v>4547</v>
      </c>
      <c r="Q614" s="79" t="s">
        <v>4548</v>
      </c>
      <c r="R614" s="79" t="s">
        <v>4549</v>
      </c>
    </row>
    <row r="615" spans="1:18" x14ac:dyDescent="0.25">
      <c r="A615" s="79" t="s">
        <v>78</v>
      </c>
      <c r="B615" s="79" t="s">
        <v>4550</v>
      </c>
      <c r="D615" s="79" t="s">
        <v>4551</v>
      </c>
      <c r="E615" s="79" t="s">
        <v>4552</v>
      </c>
      <c r="F615" s="79" t="s">
        <v>4553</v>
      </c>
      <c r="H615" s="79" t="s">
        <v>4554</v>
      </c>
      <c r="J615" s="79" t="s">
        <v>4555</v>
      </c>
      <c r="K615" s="79" t="s">
        <v>4556</v>
      </c>
      <c r="M615" s="79" t="s">
        <v>4557</v>
      </c>
      <c r="N615" s="79" t="s">
        <v>4558</v>
      </c>
      <c r="O615" s="79" t="s">
        <v>4559</v>
      </c>
      <c r="P615" s="79" t="s">
        <v>4560</v>
      </c>
      <c r="Q615" s="79" t="s">
        <v>4561</v>
      </c>
      <c r="R615" s="79" t="s">
        <v>4549</v>
      </c>
    </row>
    <row r="616" spans="1:18" x14ac:dyDescent="0.25">
      <c r="A616" s="79" t="s">
        <v>78</v>
      </c>
    </row>
    <row r="617" spans="1:18" x14ac:dyDescent="0.25">
      <c r="A617" s="79" t="s">
        <v>78</v>
      </c>
      <c r="D617" s="79" t="s">
        <v>4562</v>
      </c>
      <c r="E617" s="79" t="s">
        <v>4563</v>
      </c>
      <c r="G617" s="79" t="s">
        <v>4564</v>
      </c>
      <c r="H617" s="79" t="s">
        <v>4565</v>
      </c>
      <c r="J617" s="79" t="s">
        <v>4566</v>
      </c>
      <c r="K617" s="79" t="s">
        <v>4567</v>
      </c>
      <c r="L617" s="79" t="s">
        <v>4568</v>
      </c>
      <c r="M617" s="79" t="s">
        <v>4569</v>
      </c>
      <c r="N617" s="79" t="s">
        <v>4570</v>
      </c>
      <c r="O617" s="79" t="s">
        <v>4571</v>
      </c>
      <c r="P617" s="79" t="s">
        <v>4572</v>
      </c>
      <c r="Q617" s="79" t="s">
        <v>4573</v>
      </c>
      <c r="R617" s="79" t="s">
        <v>4574</v>
      </c>
    </row>
    <row r="618" spans="1:18" x14ac:dyDescent="0.25">
      <c r="A618" s="79" t="s">
        <v>78</v>
      </c>
      <c r="B618" s="79" t="s">
        <v>4575</v>
      </c>
      <c r="D618" s="79" t="s">
        <v>4576</v>
      </c>
      <c r="E618" s="79" t="s">
        <v>4577</v>
      </c>
      <c r="F618" s="79" t="s">
        <v>4578</v>
      </c>
      <c r="H618" s="79" t="s">
        <v>4579</v>
      </c>
      <c r="J618" s="79" t="s">
        <v>4580</v>
      </c>
      <c r="K618" s="79" t="s">
        <v>4581</v>
      </c>
      <c r="M618" s="79" t="s">
        <v>4582</v>
      </c>
      <c r="N618" s="79" t="s">
        <v>4583</v>
      </c>
      <c r="O618" s="79" t="s">
        <v>4584</v>
      </c>
      <c r="P618" s="79" t="s">
        <v>4585</v>
      </c>
      <c r="Q618" s="79" t="s">
        <v>4586</v>
      </c>
      <c r="R618" s="79" t="s">
        <v>4574</v>
      </c>
    </row>
    <row r="619" spans="1:18" x14ac:dyDescent="0.25">
      <c r="A619" s="79" t="s">
        <v>78</v>
      </c>
    </row>
    <row r="620" spans="1:18" x14ac:dyDescent="0.25">
      <c r="A620" s="79" t="s">
        <v>78</v>
      </c>
      <c r="D620" s="79" t="s">
        <v>4587</v>
      </c>
      <c r="E620" s="79" t="s">
        <v>4588</v>
      </c>
      <c r="G620" s="79" t="s">
        <v>4589</v>
      </c>
      <c r="H620" s="79" t="s">
        <v>4590</v>
      </c>
      <c r="J620" s="79" t="s">
        <v>4591</v>
      </c>
      <c r="K620" s="79" t="s">
        <v>4592</v>
      </c>
      <c r="L620" s="79" t="s">
        <v>4593</v>
      </c>
      <c r="M620" s="79" t="s">
        <v>4594</v>
      </c>
      <c r="N620" s="79" t="s">
        <v>4595</v>
      </c>
      <c r="O620" s="79" t="s">
        <v>4596</v>
      </c>
      <c r="P620" s="79" t="s">
        <v>4597</v>
      </c>
      <c r="Q620" s="79" t="s">
        <v>4598</v>
      </c>
      <c r="R620" s="79" t="s">
        <v>4599</v>
      </c>
    </row>
    <row r="621" spans="1:18" x14ac:dyDescent="0.25">
      <c r="A621" s="79" t="s">
        <v>78</v>
      </c>
      <c r="B621" s="79" t="s">
        <v>4600</v>
      </c>
      <c r="D621" s="79" t="s">
        <v>4601</v>
      </c>
      <c r="E621" s="79" t="s">
        <v>4602</v>
      </c>
      <c r="F621" s="79" t="s">
        <v>4603</v>
      </c>
      <c r="H621" s="79" t="s">
        <v>4604</v>
      </c>
      <c r="J621" s="79" t="s">
        <v>4605</v>
      </c>
      <c r="K621" s="79" t="s">
        <v>4606</v>
      </c>
      <c r="M621" s="79" t="s">
        <v>4607</v>
      </c>
      <c r="N621" s="79" t="s">
        <v>4608</v>
      </c>
      <c r="O621" s="79" t="s">
        <v>4609</v>
      </c>
      <c r="P621" s="79" t="s">
        <v>4610</v>
      </c>
      <c r="Q621" s="79" t="s">
        <v>4611</v>
      </c>
      <c r="R621" s="79" t="s">
        <v>4599</v>
      </c>
    </row>
    <row r="622" spans="1:18" x14ac:dyDescent="0.25">
      <c r="A622" s="79" t="s">
        <v>78</v>
      </c>
    </row>
    <row r="623" spans="1:18" x14ac:dyDescent="0.25">
      <c r="A623" s="79" t="s">
        <v>78</v>
      </c>
      <c r="D623" s="79" t="s">
        <v>4612</v>
      </c>
      <c r="E623" s="79" t="s">
        <v>4613</v>
      </c>
      <c r="G623" s="79" t="s">
        <v>4614</v>
      </c>
      <c r="H623" s="79" t="s">
        <v>4615</v>
      </c>
      <c r="J623" s="79" t="s">
        <v>4616</v>
      </c>
      <c r="K623" s="79" t="s">
        <v>4617</v>
      </c>
      <c r="L623" s="79" t="s">
        <v>4618</v>
      </c>
      <c r="M623" s="79" t="s">
        <v>4619</v>
      </c>
      <c r="N623" s="79" t="s">
        <v>4620</v>
      </c>
      <c r="O623" s="79" t="s">
        <v>4621</v>
      </c>
      <c r="P623" s="79" t="s">
        <v>4622</v>
      </c>
      <c r="Q623" s="79" t="s">
        <v>4623</v>
      </c>
      <c r="R623" s="79" t="s">
        <v>4624</v>
      </c>
    </row>
    <row r="624" spans="1:18" x14ac:dyDescent="0.25">
      <c r="A624" s="79" t="s">
        <v>78</v>
      </c>
      <c r="B624" s="79" t="s">
        <v>4625</v>
      </c>
      <c r="D624" s="79" t="s">
        <v>4626</v>
      </c>
      <c r="E624" s="79" t="s">
        <v>4627</v>
      </c>
      <c r="F624" s="79" t="s">
        <v>4628</v>
      </c>
      <c r="H624" s="79" t="s">
        <v>4629</v>
      </c>
      <c r="J624" s="79" t="s">
        <v>4630</v>
      </c>
      <c r="K624" s="79" t="s">
        <v>4631</v>
      </c>
      <c r="M624" s="79" t="s">
        <v>4632</v>
      </c>
      <c r="N624" s="79" t="s">
        <v>4633</v>
      </c>
      <c r="O624" s="79" t="s">
        <v>4634</v>
      </c>
      <c r="P624" s="79" t="s">
        <v>4635</v>
      </c>
      <c r="Q624" s="79" t="s">
        <v>4636</v>
      </c>
      <c r="R624" s="79" t="s">
        <v>4624</v>
      </c>
    </row>
    <row r="625" spans="1:18" x14ac:dyDescent="0.25">
      <c r="A625" s="79" t="s">
        <v>78</v>
      </c>
    </row>
    <row r="626" spans="1:18" x14ac:dyDescent="0.25">
      <c r="A626" s="79" t="s">
        <v>78</v>
      </c>
      <c r="D626" s="79" t="s">
        <v>4637</v>
      </c>
      <c r="E626" s="79" t="s">
        <v>4638</v>
      </c>
      <c r="G626" s="79" t="s">
        <v>4639</v>
      </c>
      <c r="H626" s="79" t="s">
        <v>4640</v>
      </c>
      <c r="J626" s="79" t="s">
        <v>4641</v>
      </c>
      <c r="K626" s="79" t="s">
        <v>4642</v>
      </c>
      <c r="L626" s="79" t="s">
        <v>4643</v>
      </c>
      <c r="M626" s="79" t="s">
        <v>4644</v>
      </c>
      <c r="N626" s="79" t="s">
        <v>4645</v>
      </c>
      <c r="O626" s="79" t="s">
        <v>4646</v>
      </c>
      <c r="P626" s="79" t="s">
        <v>4647</v>
      </c>
      <c r="Q626" s="79" t="s">
        <v>4648</v>
      </c>
      <c r="R626" s="79" t="s">
        <v>4649</v>
      </c>
    </row>
    <row r="627" spans="1:18" x14ac:dyDescent="0.25">
      <c r="A627" s="79" t="s">
        <v>78</v>
      </c>
      <c r="B627" s="79" t="s">
        <v>4650</v>
      </c>
      <c r="D627" s="79" t="s">
        <v>4651</v>
      </c>
      <c r="E627" s="79" t="s">
        <v>4652</v>
      </c>
      <c r="F627" s="79" t="s">
        <v>4653</v>
      </c>
      <c r="H627" s="79" t="s">
        <v>4654</v>
      </c>
      <c r="J627" s="79" t="s">
        <v>4655</v>
      </c>
      <c r="K627" s="79" t="s">
        <v>4656</v>
      </c>
      <c r="M627" s="79" t="s">
        <v>4657</v>
      </c>
      <c r="N627" s="79" t="s">
        <v>4658</v>
      </c>
      <c r="O627" s="79" t="s">
        <v>4659</v>
      </c>
      <c r="P627" s="79" t="s">
        <v>4660</v>
      </c>
      <c r="Q627" s="79" t="s">
        <v>4661</v>
      </c>
      <c r="R627" s="79" t="s">
        <v>4649</v>
      </c>
    </row>
    <row r="628" spans="1:18" x14ac:dyDescent="0.25">
      <c r="A628" s="79" t="s">
        <v>78</v>
      </c>
    </row>
    <row r="629" spans="1:18" x14ac:dyDescent="0.25">
      <c r="A629" s="79" t="s">
        <v>78</v>
      </c>
      <c r="D629" s="79" t="s">
        <v>4662</v>
      </c>
      <c r="E629" s="79" t="s">
        <v>4663</v>
      </c>
      <c r="G629" s="79" t="s">
        <v>4664</v>
      </c>
      <c r="H629" s="79" t="s">
        <v>4665</v>
      </c>
      <c r="J629" s="79" t="s">
        <v>4666</v>
      </c>
      <c r="K629" s="79" t="s">
        <v>4667</v>
      </c>
      <c r="L629" s="79" t="s">
        <v>4668</v>
      </c>
      <c r="M629" s="79" t="s">
        <v>4669</v>
      </c>
      <c r="N629" s="79" t="s">
        <v>4670</v>
      </c>
      <c r="O629" s="79" t="s">
        <v>4671</v>
      </c>
      <c r="P629" s="79" t="s">
        <v>4672</v>
      </c>
      <c r="Q629" s="79" t="s">
        <v>4673</v>
      </c>
      <c r="R629" s="79" t="s">
        <v>4674</v>
      </c>
    </row>
    <row r="630" spans="1:18" x14ac:dyDescent="0.25">
      <c r="A630" s="79" t="s">
        <v>78</v>
      </c>
      <c r="B630" s="79" t="s">
        <v>4675</v>
      </c>
      <c r="D630" s="79" t="s">
        <v>4676</v>
      </c>
      <c r="E630" s="79" t="s">
        <v>4677</v>
      </c>
      <c r="F630" s="79" t="s">
        <v>4678</v>
      </c>
      <c r="H630" s="79" t="s">
        <v>4679</v>
      </c>
      <c r="J630" s="79" t="s">
        <v>4680</v>
      </c>
      <c r="K630" s="79" t="s">
        <v>4681</v>
      </c>
      <c r="M630" s="79" t="s">
        <v>4682</v>
      </c>
      <c r="N630" s="79" t="s">
        <v>4683</v>
      </c>
      <c r="O630" s="79" t="s">
        <v>4684</v>
      </c>
      <c r="P630" s="79" t="s">
        <v>4685</v>
      </c>
      <c r="Q630" s="79" t="s">
        <v>4686</v>
      </c>
      <c r="R630" s="79" t="s">
        <v>4674</v>
      </c>
    </row>
    <row r="631" spans="1:18" x14ac:dyDescent="0.25">
      <c r="A631" s="79" t="s">
        <v>78</v>
      </c>
    </row>
    <row r="632" spans="1:18" x14ac:dyDescent="0.25">
      <c r="A632" s="79" t="s">
        <v>78</v>
      </c>
      <c r="D632" s="79" t="s">
        <v>4687</v>
      </c>
      <c r="E632" s="79" t="s">
        <v>4688</v>
      </c>
      <c r="G632" s="79" t="s">
        <v>4689</v>
      </c>
      <c r="H632" s="79" t="s">
        <v>4690</v>
      </c>
      <c r="J632" s="79" t="s">
        <v>4691</v>
      </c>
      <c r="K632" s="79" t="s">
        <v>4692</v>
      </c>
      <c r="L632" s="79" t="s">
        <v>4693</v>
      </c>
      <c r="M632" s="79" t="s">
        <v>4694</v>
      </c>
      <c r="N632" s="79" t="s">
        <v>4695</v>
      </c>
      <c r="O632" s="79" t="s">
        <v>4696</v>
      </c>
      <c r="P632" s="79" t="s">
        <v>4697</v>
      </c>
      <c r="Q632" s="79" t="s">
        <v>4698</v>
      </c>
      <c r="R632" s="79" t="s">
        <v>4699</v>
      </c>
    </row>
    <row r="633" spans="1:18" x14ac:dyDescent="0.25">
      <c r="A633" s="79" t="s">
        <v>78</v>
      </c>
      <c r="B633" s="79" t="s">
        <v>4700</v>
      </c>
      <c r="D633" s="79" t="s">
        <v>4701</v>
      </c>
      <c r="E633" s="79" t="s">
        <v>4702</v>
      </c>
      <c r="F633" s="79" t="s">
        <v>4703</v>
      </c>
      <c r="H633" s="79" t="s">
        <v>4704</v>
      </c>
      <c r="J633" s="79" t="s">
        <v>4705</v>
      </c>
      <c r="K633" s="79" t="s">
        <v>4706</v>
      </c>
      <c r="M633" s="79" t="s">
        <v>4707</v>
      </c>
      <c r="N633" s="79" t="s">
        <v>4708</v>
      </c>
      <c r="O633" s="79" t="s">
        <v>4709</v>
      </c>
      <c r="P633" s="79" t="s">
        <v>4710</v>
      </c>
      <c r="Q633" s="79" t="s">
        <v>4711</v>
      </c>
      <c r="R633" s="79" t="s">
        <v>4699</v>
      </c>
    </row>
    <row r="634" spans="1:18" x14ac:dyDescent="0.25">
      <c r="A634" s="79" t="s">
        <v>78</v>
      </c>
    </row>
    <row r="635" spans="1:18" x14ac:dyDescent="0.25">
      <c r="A635" s="79" t="s">
        <v>78</v>
      </c>
      <c r="D635" s="79" t="s">
        <v>4712</v>
      </c>
      <c r="E635" s="79" t="s">
        <v>4713</v>
      </c>
      <c r="G635" s="79" t="s">
        <v>4714</v>
      </c>
      <c r="H635" s="79" t="s">
        <v>4715</v>
      </c>
      <c r="J635" s="79" t="s">
        <v>4716</v>
      </c>
      <c r="K635" s="79" t="s">
        <v>4717</v>
      </c>
      <c r="L635" s="79" t="s">
        <v>4718</v>
      </c>
      <c r="M635" s="79" t="s">
        <v>4719</v>
      </c>
      <c r="N635" s="79" t="s">
        <v>4720</v>
      </c>
      <c r="O635" s="79" t="s">
        <v>4721</v>
      </c>
      <c r="P635" s="79" t="s">
        <v>4722</v>
      </c>
      <c r="Q635" s="79" t="s">
        <v>4723</v>
      </c>
      <c r="R635" s="79" t="s">
        <v>4724</v>
      </c>
    </row>
    <row r="636" spans="1:18" x14ac:dyDescent="0.25">
      <c r="A636" s="79" t="s">
        <v>78</v>
      </c>
      <c r="B636" s="79" t="s">
        <v>4725</v>
      </c>
      <c r="D636" s="79" t="s">
        <v>4726</v>
      </c>
      <c r="E636" s="79" t="s">
        <v>4727</v>
      </c>
      <c r="F636" s="79" t="s">
        <v>4728</v>
      </c>
      <c r="H636" s="79" t="s">
        <v>4729</v>
      </c>
      <c r="J636" s="79" t="s">
        <v>4730</v>
      </c>
      <c r="K636" s="79" t="s">
        <v>4731</v>
      </c>
      <c r="M636" s="79" t="s">
        <v>4732</v>
      </c>
      <c r="N636" s="79" t="s">
        <v>4733</v>
      </c>
      <c r="O636" s="79" t="s">
        <v>4734</v>
      </c>
      <c r="P636" s="79" t="s">
        <v>4735</v>
      </c>
      <c r="Q636" s="79" t="s">
        <v>4736</v>
      </c>
      <c r="R636" s="79" t="s">
        <v>4724</v>
      </c>
    </row>
    <row r="637" spans="1:18" x14ac:dyDescent="0.25">
      <c r="A637" s="79" t="s">
        <v>78</v>
      </c>
    </row>
    <row r="638" spans="1:18" x14ac:dyDescent="0.25">
      <c r="A638" s="79" t="s">
        <v>78</v>
      </c>
      <c r="D638" s="79" t="s">
        <v>4737</v>
      </c>
      <c r="E638" s="79" t="s">
        <v>4738</v>
      </c>
      <c r="G638" s="79" t="s">
        <v>4739</v>
      </c>
      <c r="H638" s="79" t="s">
        <v>4740</v>
      </c>
      <c r="J638" s="79" t="s">
        <v>4741</v>
      </c>
      <c r="K638" s="79" t="s">
        <v>4742</v>
      </c>
      <c r="L638" s="79" t="s">
        <v>4743</v>
      </c>
      <c r="M638" s="79" t="s">
        <v>4744</v>
      </c>
      <c r="N638" s="79" t="s">
        <v>4745</v>
      </c>
      <c r="O638" s="79" t="s">
        <v>4746</v>
      </c>
      <c r="P638" s="79" t="s">
        <v>4747</v>
      </c>
      <c r="Q638" s="79" t="s">
        <v>4748</v>
      </c>
      <c r="R638" s="79" t="s">
        <v>4749</v>
      </c>
    </row>
    <row r="639" spans="1:18" x14ac:dyDescent="0.25">
      <c r="A639" s="79" t="s">
        <v>78</v>
      </c>
      <c r="B639" s="79" t="s">
        <v>4750</v>
      </c>
      <c r="D639" s="79" t="s">
        <v>4751</v>
      </c>
      <c r="E639" s="79" t="s">
        <v>4752</v>
      </c>
      <c r="F639" s="79" t="s">
        <v>4753</v>
      </c>
      <c r="H639" s="79" t="s">
        <v>4754</v>
      </c>
      <c r="J639" s="79" t="s">
        <v>4755</v>
      </c>
      <c r="K639" s="79" t="s">
        <v>4756</v>
      </c>
      <c r="M639" s="79" t="s">
        <v>4757</v>
      </c>
      <c r="N639" s="79" t="s">
        <v>4758</v>
      </c>
      <c r="O639" s="79" t="s">
        <v>4759</v>
      </c>
      <c r="P639" s="79" t="s">
        <v>4760</v>
      </c>
      <c r="Q639" s="79" t="s">
        <v>4761</v>
      </c>
      <c r="R639" s="79" t="s">
        <v>4749</v>
      </c>
    </row>
    <row r="640" spans="1:18" x14ac:dyDescent="0.25">
      <c r="A640" s="79" t="s">
        <v>78</v>
      </c>
    </row>
    <row r="641" spans="1:18" x14ac:dyDescent="0.25">
      <c r="A641" s="79" t="s">
        <v>78</v>
      </c>
      <c r="D641" s="79" t="s">
        <v>4762</v>
      </c>
      <c r="E641" s="79" t="s">
        <v>4763</v>
      </c>
      <c r="G641" s="79" t="s">
        <v>4764</v>
      </c>
      <c r="H641" s="79" t="s">
        <v>4765</v>
      </c>
      <c r="J641" s="79" t="s">
        <v>4766</v>
      </c>
      <c r="K641" s="79" t="s">
        <v>4767</v>
      </c>
      <c r="L641" s="79" t="s">
        <v>4768</v>
      </c>
      <c r="M641" s="79" t="s">
        <v>4769</v>
      </c>
      <c r="N641" s="79" t="s">
        <v>4770</v>
      </c>
      <c r="O641" s="79" t="s">
        <v>4771</v>
      </c>
      <c r="P641" s="79" t="s">
        <v>4772</v>
      </c>
      <c r="Q641" s="79" t="s">
        <v>4773</v>
      </c>
      <c r="R641" s="79" t="s">
        <v>4774</v>
      </c>
    </row>
    <row r="642" spans="1:18" x14ac:dyDescent="0.25">
      <c r="A642" s="79" t="s">
        <v>78</v>
      </c>
      <c r="B642" s="79" t="s">
        <v>4775</v>
      </c>
      <c r="D642" s="79" t="s">
        <v>4776</v>
      </c>
      <c r="E642" s="79" t="s">
        <v>4777</v>
      </c>
      <c r="F642" s="79" t="s">
        <v>4778</v>
      </c>
      <c r="H642" s="79" t="s">
        <v>4779</v>
      </c>
      <c r="J642" s="79" t="s">
        <v>4780</v>
      </c>
      <c r="K642" s="79" t="s">
        <v>4781</v>
      </c>
      <c r="M642" s="79" t="s">
        <v>4782</v>
      </c>
      <c r="N642" s="79" t="s">
        <v>4783</v>
      </c>
      <c r="O642" s="79" t="s">
        <v>4784</v>
      </c>
      <c r="P642" s="79" t="s">
        <v>4785</v>
      </c>
      <c r="Q642" s="79" t="s">
        <v>4786</v>
      </c>
      <c r="R642" s="79" t="s">
        <v>4774</v>
      </c>
    </row>
    <row r="643" spans="1:18" x14ac:dyDescent="0.25">
      <c r="A643" s="79" t="s">
        <v>78</v>
      </c>
    </row>
    <row r="644" spans="1:18" x14ac:dyDescent="0.25">
      <c r="A644" s="79" t="s">
        <v>78</v>
      </c>
      <c r="D644" s="79" t="s">
        <v>4787</v>
      </c>
      <c r="E644" s="79" t="s">
        <v>4788</v>
      </c>
      <c r="G644" s="79" t="s">
        <v>4789</v>
      </c>
      <c r="H644" s="79" t="s">
        <v>4790</v>
      </c>
      <c r="J644" s="79" t="s">
        <v>4791</v>
      </c>
      <c r="K644" s="79" t="s">
        <v>4792</v>
      </c>
      <c r="L644" s="79" t="s">
        <v>4793</v>
      </c>
      <c r="M644" s="79" t="s">
        <v>4794</v>
      </c>
      <c r="N644" s="79" t="s">
        <v>4795</v>
      </c>
      <c r="O644" s="79" t="s">
        <v>4796</v>
      </c>
      <c r="P644" s="79" t="s">
        <v>4797</v>
      </c>
      <c r="Q644" s="79" t="s">
        <v>4798</v>
      </c>
      <c r="R644" s="79" t="s">
        <v>4799</v>
      </c>
    </row>
    <row r="645" spans="1:18" x14ac:dyDescent="0.25">
      <c r="A645" s="79" t="s">
        <v>78</v>
      </c>
      <c r="B645" s="79" t="s">
        <v>4800</v>
      </c>
      <c r="D645" s="79" t="s">
        <v>4801</v>
      </c>
      <c r="E645" s="79" t="s">
        <v>4802</v>
      </c>
      <c r="F645" s="79" t="s">
        <v>4803</v>
      </c>
      <c r="H645" s="79" t="s">
        <v>4804</v>
      </c>
      <c r="J645" s="79" t="s">
        <v>4805</v>
      </c>
      <c r="K645" s="79" t="s">
        <v>4806</v>
      </c>
      <c r="M645" s="79" t="s">
        <v>4807</v>
      </c>
      <c r="N645" s="79" t="s">
        <v>4808</v>
      </c>
      <c r="O645" s="79" t="s">
        <v>4809</v>
      </c>
      <c r="P645" s="79" t="s">
        <v>4810</v>
      </c>
      <c r="Q645" s="79" t="s">
        <v>4811</v>
      </c>
      <c r="R645" s="79" t="s">
        <v>4799</v>
      </c>
    </row>
    <row r="646" spans="1:18" x14ac:dyDescent="0.25">
      <c r="A646" s="79" t="s">
        <v>78</v>
      </c>
    </row>
    <row r="647" spans="1:18" x14ac:dyDescent="0.25">
      <c r="A647" s="79" t="s">
        <v>78</v>
      </c>
      <c r="D647" s="79" t="s">
        <v>4812</v>
      </c>
      <c r="E647" s="79" t="s">
        <v>4813</v>
      </c>
      <c r="G647" s="79" t="s">
        <v>4814</v>
      </c>
      <c r="H647" s="79" t="s">
        <v>4815</v>
      </c>
      <c r="J647" s="79" t="s">
        <v>4816</v>
      </c>
      <c r="K647" s="79" t="s">
        <v>4817</v>
      </c>
      <c r="L647" s="79" t="s">
        <v>4818</v>
      </c>
      <c r="M647" s="79" t="s">
        <v>4819</v>
      </c>
      <c r="N647" s="79" t="s">
        <v>4820</v>
      </c>
      <c r="O647" s="79" t="s">
        <v>4821</v>
      </c>
      <c r="P647" s="79" t="s">
        <v>4822</v>
      </c>
      <c r="Q647" s="79" t="s">
        <v>4823</v>
      </c>
      <c r="R647" s="79" t="s">
        <v>4824</v>
      </c>
    </row>
    <row r="648" spans="1:18" x14ac:dyDescent="0.25">
      <c r="A648" s="79" t="s">
        <v>78</v>
      </c>
      <c r="B648" s="79" t="s">
        <v>4825</v>
      </c>
      <c r="D648" s="79" t="s">
        <v>4826</v>
      </c>
      <c r="E648" s="79" t="s">
        <v>4827</v>
      </c>
      <c r="F648" s="79" t="s">
        <v>4828</v>
      </c>
      <c r="H648" s="79" t="s">
        <v>4829</v>
      </c>
      <c r="J648" s="79" t="s">
        <v>4830</v>
      </c>
      <c r="K648" s="79" t="s">
        <v>4831</v>
      </c>
      <c r="M648" s="79" t="s">
        <v>4832</v>
      </c>
      <c r="N648" s="79" t="s">
        <v>4833</v>
      </c>
      <c r="O648" s="79" t="s">
        <v>4834</v>
      </c>
      <c r="P648" s="79" t="s">
        <v>4835</v>
      </c>
      <c r="Q648" s="79" t="s">
        <v>4836</v>
      </c>
      <c r="R648" s="79" t="s">
        <v>4824</v>
      </c>
    </row>
    <row r="649" spans="1:18" x14ac:dyDescent="0.25">
      <c r="A649" s="79" t="s">
        <v>78</v>
      </c>
    </row>
    <row r="650" spans="1:18" x14ac:dyDescent="0.25">
      <c r="A650" s="79" t="s">
        <v>78</v>
      </c>
      <c r="D650" s="79" t="s">
        <v>4837</v>
      </c>
      <c r="E650" s="79" t="s">
        <v>4838</v>
      </c>
      <c r="G650" s="79" t="s">
        <v>4839</v>
      </c>
      <c r="H650" s="79" t="s">
        <v>4840</v>
      </c>
      <c r="J650" s="79" t="s">
        <v>4841</v>
      </c>
      <c r="K650" s="79" t="s">
        <v>4842</v>
      </c>
      <c r="L650" s="79" t="s">
        <v>4843</v>
      </c>
      <c r="M650" s="79" t="s">
        <v>4844</v>
      </c>
      <c r="N650" s="79" t="s">
        <v>4845</v>
      </c>
      <c r="O650" s="79" t="s">
        <v>4846</v>
      </c>
      <c r="P650" s="79" t="s">
        <v>4847</v>
      </c>
      <c r="Q650" s="79" t="s">
        <v>4848</v>
      </c>
      <c r="R650" s="79" t="s">
        <v>4849</v>
      </c>
    </row>
    <row r="651" spans="1:18" x14ac:dyDescent="0.25">
      <c r="A651" s="79" t="s">
        <v>78</v>
      </c>
      <c r="B651" s="79" t="s">
        <v>4850</v>
      </c>
      <c r="D651" s="79" t="s">
        <v>4851</v>
      </c>
      <c r="E651" s="79" t="s">
        <v>4852</v>
      </c>
      <c r="F651" s="79" t="s">
        <v>4853</v>
      </c>
      <c r="H651" s="79" t="s">
        <v>4854</v>
      </c>
      <c r="J651" s="79" t="s">
        <v>4855</v>
      </c>
      <c r="K651" s="79" t="s">
        <v>4856</v>
      </c>
      <c r="M651" s="79" t="s">
        <v>4857</v>
      </c>
      <c r="N651" s="79" t="s">
        <v>4858</v>
      </c>
      <c r="O651" s="79" t="s">
        <v>4859</v>
      </c>
      <c r="P651" s="79" t="s">
        <v>4860</v>
      </c>
      <c r="Q651" s="79" t="s">
        <v>4861</v>
      </c>
      <c r="R651" s="79" t="s">
        <v>4849</v>
      </c>
    </row>
    <row r="652" spans="1:18" x14ac:dyDescent="0.25">
      <c r="A652" s="79" t="s">
        <v>78</v>
      </c>
    </row>
    <row r="653" spans="1:18" x14ac:dyDescent="0.25">
      <c r="A653" s="79" t="s">
        <v>78</v>
      </c>
      <c r="D653" s="79" t="s">
        <v>4862</v>
      </c>
      <c r="E653" s="79" t="s">
        <v>4863</v>
      </c>
      <c r="G653" s="79" t="s">
        <v>4864</v>
      </c>
      <c r="H653" s="79" t="s">
        <v>4865</v>
      </c>
      <c r="J653" s="79" t="s">
        <v>4866</v>
      </c>
      <c r="K653" s="79" t="s">
        <v>4867</v>
      </c>
      <c r="L653" s="79" t="s">
        <v>4868</v>
      </c>
      <c r="M653" s="79" t="s">
        <v>4869</v>
      </c>
      <c r="N653" s="79" t="s">
        <v>4870</v>
      </c>
      <c r="O653" s="79" t="s">
        <v>4871</v>
      </c>
      <c r="P653" s="79" t="s">
        <v>4872</v>
      </c>
      <c r="Q653" s="79" t="s">
        <v>4873</v>
      </c>
      <c r="R653" s="79" t="s">
        <v>4874</v>
      </c>
    </row>
    <row r="654" spans="1:18" x14ac:dyDescent="0.25">
      <c r="A654" s="79" t="s">
        <v>78</v>
      </c>
      <c r="B654" s="79" t="s">
        <v>4875</v>
      </c>
      <c r="D654" s="79" t="s">
        <v>4876</v>
      </c>
      <c r="E654" s="79" t="s">
        <v>4877</v>
      </c>
      <c r="F654" s="79" t="s">
        <v>4878</v>
      </c>
      <c r="H654" s="79" t="s">
        <v>4879</v>
      </c>
      <c r="J654" s="79" t="s">
        <v>4880</v>
      </c>
      <c r="K654" s="79" t="s">
        <v>4881</v>
      </c>
      <c r="M654" s="79" t="s">
        <v>4882</v>
      </c>
      <c r="N654" s="79" t="s">
        <v>4883</v>
      </c>
      <c r="O654" s="79" t="s">
        <v>4884</v>
      </c>
      <c r="P654" s="79" t="s">
        <v>4885</v>
      </c>
      <c r="Q654" s="79" t="s">
        <v>4886</v>
      </c>
      <c r="R654" s="79" t="s">
        <v>4874</v>
      </c>
    </row>
    <row r="655" spans="1:18" x14ac:dyDescent="0.25">
      <c r="A655" s="79" t="s">
        <v>78</v>
      </c>
    </row>
    <row r="656" spans="1:18" x14ac:dyDescent="0.25">
      <c r="A656" s="79" t="s">
        <v>78</v>
      </c>
      <c r="D656" s="79" t="s">
        <v>4887</v>
      </c>
      <c r="E656" s="79" t="s">
        <v>4888</v>
      </c>
      <c r="G656" s="79" t="s">
        <v>4889</v>
      </c>
      <c r="H656" s="79" t="s">
        <v>4890</v>
      </c>
      <c r="J656" s="79" t="s">
        <v>4891</v>
      </c>
      <c r="K656" s="79" t="s">
        <v>4892</v>
      </c>
      <c r="L656" s="79" t="s">
        <v>4893</v>
      </c>
      <c r="M656" s="79" t="s">
        <v>4894</v>
      </c>
      <c r="N656" s="79" t="s">
        <v>4895</v>
      </c>
      <c r="O656" s="79" t="s">
        <v>4896</v>
      </c>
      <c r="P656" s="79" t="s">
        <v>4897</v>
      </c>
      <c r="Q656" s="79" t="s">
        <v>4898</v>
      </c>
      <c r="R656" s="79" t="s">
        <v>4899</v>
      </c>
    </row>
    <row r="657" spans="1:18" x14ac:dyDescent="0.25">
      <c r="A657" s="79" t="s">
        <v>78</v>
      </c>
      <c r="B657" s="79" t="s">
        <v>4900</v>
      </c>
      <c r="D657" s="79" t="s">
        <v>4901</v>
      </c>
      <c r="E657" s="79" t="s">
        <v>4902</v>
      </c>
      <c r="F657" s="79" t="s">
        <v>4903</v>
      </c>
      <c r="H657" s="79" t="s">
        <v>4904</v>
      </c>
      <c r="J657" s="79" t="s">
        <v>4905</v>
      </c>
      <c r="K657" s="79" t="s">
        <v>4906</v>
      </c>
      <c r="M657" s="79" t="s">
        <v>4907</v>
      </c>
      <c r="N657" s="79" t="s">
        <v>4908</v>
      </c>
      <c r="O657" s="79" t="s">
        <v>4909</v>
      </c>
      <c r="P657" s="79" t="s">
        <v>4910</v>
      </c>
      <c r="Q657" s="79" t="s">
        <v>4911</v>
      </c>
      <c r="R657" s="79" t="s">
        <v>4899</v>
      </c>
    </row>
    <row r="658" spans="1:18" x14ac:dyDescent="0.25">
      <c r="A658" s="79" t="s">
        <v>78</v>
      </c>
    </row>
    <row r="659" spans="1:18" x14ac:dyDescent="0.25">
      <c r="A659" s="79" t="s">
        <v>78</v>
      </c>
      <c r="D659" s="79" t="s">
        <v>4912</v>
      </c>
      <c r="E659" s="79" t="s">
        <v>4913</v>
      </c>
      <c r="G659" s="79" t="s">
        <v>4914</v>
      </c>
      <c r="H659" s="79" t="s">
        <v>4915</v>
      </c>
      <c r="J659" s="79" t="s">
        <v>4916</v>
      </c>
      <c r="K659" s="79" t="s">
        <v>4917</v>
      </c>
      <c r="L659" s="79" t="s">
        <v>4918</v>
      </c>
      <c r="M659" s="79" t="s">
        <v>4919</v>
      </c>
      <c r="N659" s="79" t="s">
        <v>4920</v>
      </c>
      <c r="O659" s="79" t="s">
        <v>4921</v>
      </c>
      <c r="P659" s="79" t="s">
        <v>4922</v>
      </c>
      <c r="Q659" s="79" t="s">
        <v>4923</v>
      </c>
      <c r="R659" s="79" t="s">
        <v>4924</v>
      </c>
    </row>
    <row r="660" spans="1:18" x14ac:dyDescent="0.25">
      <c r="A660" s="79" t="s">
        <v>78</v>
      </c>
      <c r="B660" s="79" t="s">
        <v>4925</v>
      </c>
      <c r="D660" s="79" t="s">
        <v>4926</v>
      </c>
      <c r="E660" s="79" t="s">
        <v>4927</v>
      </c>
      <c r="F660" s="79" t="s">
        <v>4928</v>
      </c>
      <c r="H660" s="79" t="s">
        <v>4929</v>
      </c>
      <c r="J660" s="79" t="s">
        <v>4930</v>
      </c>
      <c r="K660" s="79" t="s">
        <v>4931</v>
      </c>
      <c r="M660" s="79" t="s">
        <v>4932</v>
      </c>
      <c r="N660" s="79" t="s">
        <v>4933</v>
      </c>
      <c r="O660" s="79" t="s">
        <v>4934</v>
      </c>
      <c r="P660" s="79" t="s">
        <v>4935</v>
      </c>
      <c r="Q660" s="79" t="s">
        <v>4936</v>
      </c>
      <c r="R660" s="79" t="s">
        <v>4924</v>
      </c>
    </row>
    <row r="661" spans="1:18" x14ac:dyDescent="0.25">
      <c r="A661" s="79" t="s">
        <v>78</v>
      </c>
    </row>
    <row r="662" spans="1:18" x14ac:dyDescent="0.25">
      <c r="A662" s="79" t="s">
        <v>78</v>
      </c>
      <c r="D662" s="79" t="s">
        <v>4937</v>
      </c>
      <c r="E662" s="79" t="s">
        <v>4938</v>
      </c>
      <c r="G662" s="79" t="s">
        <v>4939</v>
      </c>
      <c r="H662" s="79" t="s">
        <v>4940</v>
      </c>
      <c r="J662" s="79" t="s">
        <v>4941</v>
      </c>
      <c r="K662" s="79" t="s">
        <v>4942</v>
      </c>
      <c r="L662" s="79" t="s">
        <v>4943</v>
      </c>
      <c r="M662" s="79" t="s">
        <v>4944</v>
      </c>
      <c r="N662" s="79" t="s">
        <v>4945</v>
      </c>
      <c r="O662" s="79" t="s">
        <v>4946</v>
      </c>
      <c r="P662" s="79" t="s">
        <v>4947</v>
      </c>
      <c r="Q662" s="79" t="s">
        <v>4948</v>
      </c>
      <c r="R662" s="79" t="s">
        <v>4949</v>
      </c>
    </row>
    <row r="663" spans="1:18" x14ac:dyDescent="0.25">
      <c r="A663" s="79" t="s">
        <v>78</v>
      </c>
      <c r="B663" s="79" t="s">
        <v>4950</v>
      </c>
      <c r="D663" s="79" t="s">
        <v>4951</v>
      </c>
      <c r="E663" s="79" t="s">
        <v>4952</v>
      </c>
      <c r="F663" s="79" t="s">
        <v>4953</v>
      </c>
      <c r="H663" s="79" t="s">
        <v>4954</v>
      </c>
      <c r="J663" s="79" t="s">
        <v>4955</v>
      </c>
      <c r="K663" s="79" t="s">
        <v>4956</v>
      </c>
      <c r="M663" s="79" t="s">
        <v>4957</v>
      </c>
      <c r="N663" s="79" t="s">
        <v>4958</v>
      </c>
      <c r="O663" s="79" t="s">
        <v>4959</v>
      </c>
      <c r="P663" s="79" t="s">
        <v>4960</v>
      </c>
      <c r="Q663" s="79" t="s">
        <v>4961</v>
      </c>
      <c r="R663" s="79" t="s">
        <v>4949</v>
      </c>
    </row>
    <row r="664" spans="1:18" x14ac:dyDescent="0.25">
      <c r="A664" s="79" t="s">
        <v>78</v>
      </c>
    </row>
    <row r="665" spans="1:18" x14ac:dyDescent="0.25">
      <c r="A665" s="79" t="s">
        <v>78</v>
      </c>
      <c r="D665" s="79" t="s">
        <v>4962</v>
      </c>
      <c r="E665" s="79" t="s">
        <v>4963</v>
      </c>
      <c r="G665" s="79" t="s">
        <v>4964</v>
      </c>
      <c r="H665" s="79" t="s">
        <v>4965</v>
      </c>
      <c r="J665" s="79" t="s">
        <v>4966</v>
      </c>
      <c r="K665" s="79" t="s">
        <v>4967</v>
      </c>
      <c r="L665" s="79" t="s">
        <v>4968</v>
      </c>
      <c r="M665" s="79" t="s">
        <v>4969</v>
      </c>
      <c r="N665" s="79" t="s">
        <v>4970</v>
      </c>
      <c r="O665" s="79" t="s">
        <v>4971</v>
      </c>
      <c r="P665" s="79" t="s">
        <v>4972</v>
      </c>
      <c r="Q665" s="79" t="s">
        <v>4973</v>
      </c>
      <c r="R665" s="79" t="s">
        <v>4974</v>
      </c>
    </row>
    <row r="666" spans="1:18" x14ac:dyDescent="0.25">
      <c r="A666" s="79" t="s">
        <v>78</v>
      </c>
      <c r="B666" s="79" t="s">
        <v>4975</v>
      </c>
      <c r="D666" s="79" t="s">
        <v>4976</v>
      </c>
      <c r="E666" s="79" t="s">
        <v>4977</v>
      </c>
      <c r="F666" s="79" t="s">
        <v>4978</v>
      </c>
      <c r="H666" s="79" t="s">
        <v>4979</v>
      </c>
      <c r="J666" s="79" t="s">
        <v>4980</v>
      </c>
      <c r="K666" s="79" t="s">
        <v>4981</v>
      </c>
      <c r="M666" s="79" t="s">
        <v>4982</v>
      </c>
      <c r="N666" s="79" t="s">
        <v>4983</v>
      </c>
      <c r="O666" s="79" t="s">
        <v>4984</v>
      </c>
      <c r="P666" s="79" t="s">
        <v>4985</v>
      </c>
      <c r="Q666" s="79" t="s">
        <v>4986</v>
      </c>
      <c r="R666" s="79" t="s">
        <v>4974</v>
      </c>
    </row>
    <row r="667" spans="1:18" x14ac:dyDescent="0.25">
      <c r="A667" s="79" t="s">
        <v>78</v>
      </c>
    </row>
    <row r="668" spans="1:18" x14ac:dyDescent="0.25">
      <c r="A668" s="79" t="s">
        <v>78</v>
      </c>
      <c r="D668" s="79" t="s">
        <v>4987</v>
      </c>
      <c r="E668" s="79" t="s">
        <v>4988</v>
      </c>
      <c r="G668" s="79" t="s">
        <v>4989</v>
      </c>
      <c r="H668" s="79" t="s">
        <v>4990</v>
      </c>
      <c r="J668" s="79" t="s">
        <v>4991</v>
      </c>
      <c r="K668" s="79" t="s">
        <v>4992</v>
      </c>
      <c r="L668" s="79" t="s">
        <v>4993</v>
      </c>
      <c r="M668" s="79" t="s">
        <v>4994</v>
      </c>
      <c r="N668" s="79" t="s">
        <v>4995</v>
      </c>
      <c r="O668" s="79" t="s">
        <v>4996</v>
      </c>
      <c r="P668" s="79" t="s">
        <v>4997</v>
      </c>
      <c r="Q668" s="79" t="s">
        <v>4998</v>
      </c>
      <c r="R668" s="79" t="s">
        <v>4999</v>
      </c>
    </row>
    <row r="669" spans="1:18" x14ac:dyDescent="0.25">
      <c r="A669" s="79" t="s">
        <v>78</v>
      </c>
      <c r="B669" s="79" t="s">
        <v>5000</v>
      </c>
      <c r="D669" s="79" t="s">
        <v>5001</v>
      </c>
      <c r="E669" s="79" t="s">
        <v>5002</v>
      </c>
      <c r="F669" s="79" t="s">
        <v>5003</v>
      </c>
      <c r="H669" s="79" t="s">
        <v>5004</v>
      </c>
      <c r="J669" s="79" t="s">
        <v>5005</v>
      </c>
      <c r="K669" s="79" t="s">
        <v>5006</v>
      </c>
      <c r="M669" s="79" t="s">
        <v>5007</v>
      </c>
      <c r="N669" s="79" t="s">
        <v>5008</v>
      </c>
      <c r="O669" s="79" t="s">
        <v>5009</v>
      </c>
      <c r="P669" s="79" t="s">
        <v>5010</v>
      </c>
      <c r="Q669" s="79" t="s">
        <v>5011</v>
      </c>
      <c r="R669" s="79" t="s">
        <v>4999</v>
      </c>
    </row>
    <row r="670" spans="1:18" x14ac:dyDescent="0.25">
      <c r="A670" s="79" t="s">
        <v>78</v>
      </c>
    </row>
    <row r="671" spans="1:18" x14ac:dyDescent="0.25">
      <c r="A671" s="79" t="s">
        <v>78</v>
      </c>
      <c r="D671" s="79" t="s">
        <v>5012</v>
      </c>
      <c r="E671" s="79" t="s">
        <v>5013</v>
      </c>
      <c r="G671" s="79" t="s">
        <v>5014</v>
      </c>
      <c r="H671" s="79" t="s">
        <v>5015</v>
      </c>
      <c r="J671" s="79" t="s">
        <v>5016</v>
      </c>
      <c r="K671" s="79" t="s">
        <v>5017</v>
      </c>
      <c r="L671" s="79" t="s">
        <v>5018</v>
      </c>
      <c r="M671" s="79" t="s">
        <v>5019</v>
      </c>
      <c r="N671" s="79" t="s">
        <v>5020</v>
      </c>
      <c r="O671" s="79" t="s">
        <v>5021</v>
      </c>
      <c r="P671" s="79" t="s">
        <v>5022</v>
      </c>
      <c r="Q671" s="79" t="s">
        <v>5023</v>
      </c>
      <c r="R671" s="79" t="s">
        <v>5024</v>
      </c>
    </row>
    <row r="672" spans="1:18" x14ac:dyDescent="0.25">
      <c r="A672" s="79" t="s">
        <v>78</v>
      </c>
      <c r="B672" s="79" t="s">
        <v>5025</v>
      </c>
      <c r="D672" s="79" t="s">
        <v>5026</v>
      </c>
      <c r="E672" s="79" t="s">
        <v>5027</v>
      </c>
      <c r="F672" s="79" t="s">
        <v>5028</v>
      </c>
      <c r="H672" s="79" t="s">
        <v>5029</v>
      </c>
      <c r="J672" s="79" t="s">
        <v>5030</v>
      </c>
      <c r="K672" s="79" t="s">
        <v>5031</v>
      </c>
      <c r="M672" s="79" t="s">
        <v>5032</v>
      </c>
      <c r="N672" s="79" t="s">
        <v>5033</v>
      </c>
      <c r="O672" s="79" t="s">
        <v>5034</v>
      </c>
      <c r="P672" s="79" t="s">
        <v>5035</v>
      </c>
      <c r="Q672" s="79" t="s">
        <v>5036</v>
      </c>
      <c r="R672" s="79" t="s">
        <v>5024</v>
      </c>
    </row>
    <row r="673" spans="1:18" x14ac:dyDescent="0.25">
      <c r="A673" s="79" t="s">
        <v>78</v>
      </c>
    </row>
    <row r="674" spans="1:18" x14ac:dyDescent="0.25">
      <c r="A674" s="79" t="s">
        <v>78</v>
      </c>
      <c r="D674" s="79" t="s">
        <v>5037</v>
      </c>
      <c r="E674" s="79" t="s">
        <v>5038</v>
      </c>
      <c r="G674" s="79" t="s">
        <v>5039</v>
      </c>
      <c r="H674" s="79" t="s">
        <v>5040</v>
      </c>
      <c r="J674" s="79" t="s">
        <v>5041</v>
      </c>
      <c r="K674" s="79" t="s">
        <v>5042</v>
      </c>
      <c r="L674" s="79" t="s">
        <v>5043</v>
      </c>
      <c r="M674" s="79" t="s">
        <v>5044</v>
      </c>
      <c r="N674" s="79" t="s">
        <v>5045</v>
      </c>
      <c r="O674" s="79" t="s">
        <v>5046</v>
      </c>
      <c r="P674" s="79" t="s">
        <v>5047</v>
      </c>
      <c r="Q674" s="79" t="s">
        <v>5048</v>
      </c>
      <c r="R674" s="79" t="s">
        <v>5049</v>
      </c>
    </row>
    <row r="675" spans="1:18" x14ac:dyDescent="0.25">
      <c r="A675" s="79" t="s">
        <v>78</v>
      </c>
      <c r="B675" s="79" t="s">
        <v>5050</v>
      </c>
      <c r="D675" s="79" t="s">
        <v>5051</v>
      </c>
      <c r="E675" s="79" t="s">
        <v>5052</v>
      </c>
      <c r="F675" s="79" t="s">
        <v>5053</v>
      </c>
      <c r="H675" s="79" t="s">
        <v>5054</v>
      </c>
      <c r="J675" s="79" t="s">
        <v>5055</v>
      </c>
      <c r="K675" s="79" t="s">
        <v>5056</v>
      </c>
      <c r="M675" s="79" t="s">
        <v>5057</v>
      </c>
      <c r="N675" s="79" t="s">
        <v>5058</v>
      </c>
      <c r="O675" s="79" t="s">
        <v>5059</v>
      </c>
      <c r="P675" s="79" t="s">
        <v>5060</v>
      </c>
      <c r="Q675" s="79" t="s">
        <v>5061</v>
      </c>
      <c r="R675" s="79" t="s">
        <v>5049</v>
      </c>
    </row>
    <row r="676" spans="1:18" x14ac:dyDescent="0.25">
      <c r="A676" s="79" t="s">
        <v>78</v>
      </c>
    </row>
    <row r="677" spans="1:18" x14ac:dyDescent="0.25">
      <c r="A677" s="79" t="s">
        <v>78</v>
      </c>
      <c r="D677" s="79" t="s">
        <v>5062</v>
      </c>
      <c r="E677" s="79" t="s">
        <v>5063</v>
      </c>
      <c r="G677" s="79" t="s">
        <v>5064</v>
      </c>
      <c r="H677" s="79" t="s">
        <v>5065</v>
      </c>
      <c r="J677" s="79" t="s">
        <v>5066</v>
      </c>
      <c r="K677" s="79" t="s">
        <v>5067</v>
      </c>
      <c r="L677" s="79" t="s">
        <v>5068</v>
      </c>
      <c r="M677" s="79" t="s">
        <v>5069</v>
      </c>
      <c r="N677" s="79" t="s">
        <v>5070</v>
      </c>
      <c r="O677" s="79" t="s">
        <v>5071</v>
      </c>
      <c r="P677" s="79" t="s">
        <v>5072</v>
      </c>
      <c r="Q677" s="79" t="s">
        <v>5073</v>
      </c>
      <c r="R677" s="79" t="s">
        <v>5074</v>
      </c>
    </row>
    <row r="678" spans="1:18" x14ac:dyDescent="0.25">
      <c r="A678" s="79" t="s">
        <v>78</v>
      </c>
      <c r="B678" s="79" t="s">
        <v>5075</v>
      </c>
      <c r="D678" s="79" t="s">
        <v>5076</v>
      </c>
      <c r="E678" s="79" t="s">
        <v>5077</v>
      </c>
      <c r="F678" s="79" t="s">
        <v>5078</v>
      </c>
      <c r="H678" s="79" t="s">
        <v>5079</v>
      </c>
      <c r="J678" s="79" t="s">
        <v>5080</v>
      </c>
      <c r="K678" s="79" t="s">
        <v>5081</v>
      </c>
      <c r="M678" s="79" t="s">
        <v>5082</v>
      </c>
      <c r="N678" s="79" t="s">
        <v>5083</v>
      </c>
      <c r="O678" s="79" t="s">
        <v>5084</v>
      </c>
      <c r="P678" s="79" t="s">
        <v>5085</v>
      </c>
      <c r="Q678" s="79" t="s">
        <v>5086</v>
      </c>
      <c r="R678" s="79" t="s">
        <v>5074</v>
      </c>
    </row>
    <row r="679" spans="1:18" x14ac:dyDescent="0.25">
      <c r="A679" s="79" t="s">
        <v>78</v>
      </c>
    </row>
    <row r="680" spans="1:18" x14ac:dyDescent="0.25">
      <c r="A680" s="79" t="s">
        <v>78</v>
      </c>
      <c r="D680" s="79" t="s">
        <v>5087</v>
      </c>
      <c r="E680" s="79" t="s">
        <v>5088</v>
      </c>
      <c r="G680" s="79" t="s">
        <v>5089</v>
      </c>
      <c r="H680" s="79" t="s">
        <v>5090</v>
      </c>
      <c r="J680" s="79" t="s">
        <v>5091</v>
      </c>
      <c r="K680" s="79" t="s">
        <v>5092</v>
      </c>
      <c r="L680" s="79" t="s">
        <v>5093</v>
      </c>
      <c r="M680" s="79" t="s">
        <v>5094</v>
      </c>
      <c r="N680" s="79" t="s">
        <v>5095</v>
      </c>
      <c r="O680" s="79" t="s">
        <v>5096</v>
      </c>
      <c r="P680" s="79" t="s">
        <v>5097</v>
      </c>
      <c r="Q680" s="79" t="s">
        <v>5098</v>
      </c>
      <c r="R680" s="79" t="s">
        <v>5099</v>
      </c>
    </row>
    <row r="681" spans="1:18" x14ac:dyDescent="0.25">
      <c r="A681" s="79" t="s">
        <v>78</v>
      </c>
      <c r="B681" s="79" t="s">
        <v>5100</v>
      </c>
      <c r="D681" s="79" t="s">
        <v>5101</v>
      </c>
      <c r="E681" s="79" t="s">
        <v>5102</v>
      </c>
      <c r="F681" s="79" t="s">
        <v>5103</v>
      </c>
      <c r="H681" s="79" t="s">
        <v>5104</v>
      </c>
      <c r="J681" s="79" t="s">
        <v>5105</v>
      </c>
      <c r="K681" s="79" t="s">
        <v>5106</v>
      </c>
      <c r="M681" s="79" t="s">
        <v>5107</v>
      </c>
      <c r="N681" s="79" t="s">
        <v>5108</v>
      </c>
      <c r="O681" s="79" t="s">
        <v>5109</v>
      </c>
      <c r="P681" s="79" t="s">
        <v>5110</v>
      </c>
      <c r="Q681" s="79" t="s">
        <v>5111</v>
      </c>
      <c r="R681" s="79" t="s">
        <v>5099</v>
      </c>
    </row>
    <row r="682" spans="1:18" x14ac:dyDescent="0.25">
      <c r="A682" s="79" t="s">
        <v>78</v>
      </c>
    </row>
    <row r="683" spans="1:18" x14ac:dyDescent="0.25">
      <c r="A683" s="79" t="s">
        <v>78</v>
      </c>
      <c r="D683" s="79" t="s">
        <v>5112</v>
      </c>
      <c r="E683" s="79" t="s">
        <v>5113</v>
      </c>
      <c r="G683" s="79" t="s">
        <v>5114</v>
      </c>
      <c r="H683" s="79" t="s">
        <v>5115</v>
      </c>
      <c r="J683" s="79" t="s">
        <v>5116</v>
      </c>
      <c r="K683" s="79" t="s">
        <v>5117</v>
      </c>
      <c r="L683" s="79" t="s">
        <v>5118</v>
      </c>
      <c r="M683" s="79" t="s">
        <v>5119</v>
      </c>
      <c r="N683" s="79" t="s">
        <v>5120</v>
      </c>
      <c r="O683" s="79" t="s">
        <v>5121</v>
      </c>
      <c r="P683" s="79" t="s">
        <v>5122</v>
      </c>
      <c r="Q683" s="79" t="s">
        <v>5123</v>
      </c>
      <c r="R683" s="79" t="s">
        <v>5124</v>
      </c>
    </row>
    <row r="684" spans="1:18" x14ac:dyDescent="0.25">
      <c r="A684" s="79" t="s">
        <v>78</v>
      </c>
      <c r="B684" s="79" t="s">
        <v>5125</v>
      </c>
      <c r="D684" s="79" t="s">
        <v>5126</v>
      </c>
      <c r="E684" s="79" t="s">
        <v>5127</v>
      </c>
      <c r="F684" s="79" t="s">
        <v>5128</v>
      </c>
      <c r="H684" s="79" t="s">
        <v>5129</v>
      </c>
      <c r="J684" s="79" t="s">
        <v>5130</v>
      </c>
      <c r="K684" s="79" t="s">
        <v>5131</v>
      </c>
      <c r="M684" s="79" t="s">
        <v>5132</v>
      </c>
      <c r="N684" s="79" t="s">
        <v>5133</v>
      </c>
      <c r="O684" s="79" t="s">
        <v>5134</v>
      </c>
      <c r="P684" s="79" t="s">
        <v>5135</v>
      </c>
      <c r="Q684" s="79" t="s">
        <v>5136</v>
      </c>
      <c r="R684" s="79" t="s">
        <v>5124</v>
      </c>
    </row>
    <row r="685" spans="1:18" x14ac:dyDescent="0.25">
      <c r="A685" s="79" t="s">
        <v>78</v>
      </c>
    </row>
    <row r="686" spans="1:18" x14ac:dyDescent="0.25">
      <c r="A686" s="79" t="s">
        <v>78</v>
      </c>
      <c r="D686" s="79" t="s">
        <v>5137</v>
      </c>
      <c r="E686" s="79" t="s">
        <v>5138</v>
      </c>
      <c r="G686" s="79" t="s">
        <v>5139</v>
      </c>
      <c r="H686" s="79" t="s">
        <v>5140</v>
      </c>
      <c r="J686" s="79" t="s">
        <v>5141</v>
      </c>
      <c r="K686" s="79" t="s">
        <v>5142</v>
      </c>
      <c r="L686" s="79" t="s">
        <v>5143</v>
      </c>
      <c r="M686" s="79" t="s">
        <v>5144</v>
      </c>
      <c r="N686" s="79" t="s">
        <v>5145</v>
      </c>
      <c r="O686" s="79" t="s">
        <v>5146</v>
      </c>
      <c r="P686" s="79" t="s">
        <v>5147</v>
      </c>
      <c r="Q686" s="79" t="s">
        <v>5148</v>
      </c>
      <c r="R686" s="79" t="s">
        <v>5149</v>
      </c>
    </row>
    <row r="687" spans="1:18" x14ac:dyDescent="0.25">
      <c r="A687" s="79" t="s">
        <v>78</v>
      </c>
      <c r="B687" s="79" t="s">
        <v>5150</v>
      </c>
      <c r="D687" s="79" t="s">
        <v>5151</v>
      </c>
      <c r="E687" s="79" t="s">
        <v>5152</v>
      </c>
      <c r="F687" s="79" t="s">
        <v>5153</v>
      </c>
      <c r="H687" s="79" t="s">
        <v>5154</v>
      </c>
      <c r="J687" s="79" t="s">
        <v>5155</v>
      </c>
      <c r="K687" s="79" t="s">
        <v>5156</v>
      </c>
      <c r="M687" s="79" t="s">
        <v>5157</v>
      </c>
      <c r="N687" s="79" t="s">
        <v>5158</v>
      </c>
      <c r="O687" s="79" t="s">
        <v>5159</v>
      </c>
      <c r="P687" s="79" t="s">
        <v>5160</v>
      </c>
      <c r="Q687" s="79" t="s">
        <v>5161</v>
      </c>
      <c r="R687" s="79" t="s">
        <v>5149</v>
      </c>
    </row>
    <row r="688" spans="1:18" x14ac:dyDescent="0.25">
      <c r="A688" s="79" t="s">
        <v>78</v>
      </c>
    </row>
    <row r="689" spans="1:18" x14ac:dyDescent="0.25">
      <c r="A689" s="79" t="s">
        <v>78</v>
      </c>
      <c r="D689" s="79" t="s">
        <v>5162</v>
      </c>
      <c r="E689" s="79" t="s">
        <v>5163</v>
      </c>
      <c r="G689" s="79" t="s">
        <v>5164</v>
      </c>
      <c r="H689" s="79" t="s">
        <v>5165</v>
      </c>
      <c r="J689" s="79" t="s">
        <v>5166</v>
      </c>
      <c r="K689" s="79" t="s">
        <v>5167</v>
      </c>
      <c r="L689" s="79" t="s">
        <v>5168</v>
      </c>
      <c r="M689" s="79" t="s">
        <v>5169</v>
      </c>
      <c r="N689" s="79" t="s">
        <v>5170</v>
      </c>
      <c r="O689" s="79" t="s">
        <v>5171</v>
      </c>
      <c r="P689" s="79" t="s">
        <v>5172</v>
      </c>
      <c r="Q689" s="79" t="s">
        <v>5173</v>
      </c>
      <c r="R689" s="79" t="s">
        <v>5174</v>
      </c>
    </row>
    <row r="690" spans="1:18" x14ac:dyDescent="0.25">
      <c r="A690" s="79" t="s">
        <v>78</v>
      </c>
      <c r="B690" s="79" t="s">
        <v>5175</v>
      </c>
      <c r="D690" s="79" t="s">
        <v>5176</v>
      </c>
      <c r="E690" s="79" t="s">
        <v>5177</v>
      </c>
      <c r="F690" s="79" t="s">
        <v>5178</v>
      </c>
      <c r="H690" s="79" t="s">
        <v>5179</v>
      </c>
      <c r="J690" s="79" t="s">
        <v>5180</v>
      </c>
      <c r="K690" s="79" t="s">
        <v>5181</v>
      </c>
      <c r="M690" s="79" t="s">
        <v>5182</v>
      </c>
      <c r="N690" s="79" t="s">
        <v>5183</v>
      </c>
      <c r="O690" s="79" t="s">
        <v>5184</v>
      </c>
      <c r="P690" s="79" t="s">
        <v>5185</v>
      </c>
      <c r="Q690" s="79" t="s">
        <v>5186</v>
      </c>
      <c r="R690" s="79" t="s">
        <v>5174</v>
      </c>
    </row>
    <row r="691" spans="1:18" x14ac:dyDescent="0.25">
      <c r="A691" s="79" t="s">
        <v>78</v>
      </c>
    </row>
    <row r="692" spans="1:18" x14ac:dyDescent="0.25">
      <c r="A692" s="79" t="s">
        <v>78</v>
      </c>
      <c r="D692" s="79" t="s">
        <v>5187</v>
      </c>
      <c r="E692" s="79" t="s">
        <v>5188</v>
      </c>
      <c r="G692" s="79" t="s">
        <v>5189</v>
      </c>
      <c r="H692" s="79" t="s">
        <v>5190</v>
      </c>
      <c r="J692" s="79" t="s">
        <v>5191</v>
      </c>
      <c r="K692" s="79" t="s">
        <v>5192</v>
      </c>
      <c r="L692" s="79" t="s">
        <v>5193</v>
      </c>
      <c r="M692" s="79" t="s">
        <v>5194</v>
      </c>
      <c r="N692" s="79" t="s">
        <v>5195</v>
      </c>
      <c r="O692" s="79" t="s">
        <v>5196</v>
      </c>
      <c r="P692" s="79" t="s">
        <v>5197</v>
      </c>
      <c r="Q692" s="79" t="s">
        <v>5198</v>
      </c>
      <c r="R692" s="79" t="s">
        <v>5199</v>
      </c>
    </row>
    <row r="693" spans="1:18" x14ac:dyDescent="0.25">
      <c r="A693" s="79" t="s">
        <v>78</v>
      </c>
      <c r="B693" s="79" t="s">
        <v>5200</v>
      </c>
      <c r="D693" s="79" t="s">
        <v>5201</v>
      </c>
      <c r="E693" s="79" t="s">
        <v>5202</v>
      </c>
      <c r="F693" s="79" t="s">
        <v>5203</v>
      </c>
      <c r="H693" s="79" t="s">
        <v>5204</v>
      </c>
      <c r="J693" s="79" t="s">
        <v>5205</v>
      </c>
      <c r="K693" s="79" t="s">
        <v>5206</v>
      </c>
      <c r="M693" s="79" t="s">
        <v>5207</v>
      </c>
      <c r="N693" s="79" t="s">
        <v>5208</v>
      </c>
      <c r="O693" s="79" t="s">
        <v>5209</v>
      </c>
      <c r="P693" s="79" t="s">
        <v>5210</v>
      </c>
      <c r="Q693" s="79" t="s">
        <v>5211</v>
      </c>
      <c r="R693" s="79" t="s">
        <v>5199</v>
      </c>
    </row>
    <row r="694" spans="1:18" x14ac:dyDescent="0.25">
      <c r="A694" s="79" t="s">
        <v>78</v>
      </c>
    </row>
    <row r="695" spans="1:18" x14ac:dyDescent="0.25">
      <c r="A695" s="79" t="s">
        <v>78</v>
      </c>
    </row>
    <row r="696" spans="1:18" x14ac:dyDescent="0.25">
      <c r="A696" s="79" t="s">
        <v>78</v>
      </c>
      <c r="Q696" s="79" t="s">
        <v>5212</v>
      </c>
      <c r="R696" s="79" t="s">
        <v>5213</v>
      </c>
    </row>
    <row r="697" spans="1:18" x14ac:dyDescent="0.25">
      <c r="A697" s="79" t="s">
        <v>78</v>
      </c>
      <c r="H697" s="79" t="s">
        <v>5214</v>
      </c>
      <c r="I697" s="79" t="s">
        <v>5215</v>
      </c>
    </row>
    <row r="698" spans="1:18" x14ac:dyDescent="0.25">
      <c r="A698" s="79" t="s">
        <v>78</v>
      </c>
      <c r="H698" s="79" t="s">
        <v>5216</v>
      </c>
      <c r="I698" s="79" t="s">
        <v>5217</v>
      </c>
    </row>
    <row r="699" spans="1:18" x14ac:dyDescent="0.25">
      <c r="A699" s="79" t="s">
        <v>78</v>
      </c>
      <c r="H699" s="79" t="s">
        <v>5218</v>
      </c>
      <c r="I699" s="79" t="s">
        <v>5219</v>
      </c>
      <c r="N699" s="79" t="s">
        <v>22</v>
      </c>
      <c r="Q699" s="79" t="s">
        <v>23</v>
      </c>
    </row>
    <row r="700" spans="1:18" x14ac:dyDescent="0.25">
      <c r="A700" s="79" t="s">
        <v>78</v>
      </c>
      <c r="P700" s="79" t="s">
        <v>20</v>
      </c>
      <c r="R700" s="79" t="s">
        <v>20</v>
      </c>
    </row>
    <row r="701" spans="1:18" x14ac:dyDescent="0.25">
      <c r="A701" s="79" t="s">
        <v>78</v>
      </c>
      <c r="D701" s="79" t="s">
        <v>16</v>
      </c>
      <c r="E701" s="79" t="s">
        <v>32</v>
      </c>
      <c r="F701" s="79" t="s">
        <v>14</v>
      </c>
      <c r="G701" s="79" t="s">
        <v>14</v>
      </c>
      <c r="J701" s="79" t="s">
        <v>7</v>
      </c>
      <c r="K701" s="79" t="s">
        <v>11</v>
      </c>
      <c r="L701" s="79" t="s">
        <v>2</v>
      </c>
      <c r="M701" s="79" t="s">
        <v>3</v>
      </c>
      <c r="N701" s="79" t="s">
        <v>21</v>
      </c>
      <c r="O701" s="79" t="s">
        <v>19</v>
      </c>
      <c r="P701" s="79" t="s">
        <v>16</v>
      </c>
      <c r="Q701" s="79" t="s">
        <v>12</v>
      </c>
      <c r="R701" s="79" t="s">
        <v>12</v>
      </c>
    </row>
    <row r="702" spans="1:18" x14ac:dyDescent="0.25">
      <c r="A702" s="79" t="s">
        <v>78</v>
      </c>
      <c r="D702" s="79" t="s">
        <v>5220</v>
      </c>
      <c r="E702" s="79" t="s">
        <v>5221</v>
      </c>
      <c r="G702" s="79" t="s">
        <v>5222</v>
      </c>
      <c r="H702" s="79" t="s">
        <v>5223</v>
      </c>
      <c r="J702" s="79" t="s">
        <v>5224</v>
      </c>
      <c r="K702" s="79" t="s">
        <v>5225</v>
      </c>
      <c r="L702" s="79" t="s">
        <v>5226</v>
      </c>
      <c r="M702" s="79" t="s">
        <v>5227</v>
      </c>
      <c r="N702" s="79" t="s">
        <v>5228</v>
      </c>
      <c r="O702" s="79" t="s">
        <v>5229</v>
      </c>
      <c r="P702" s="79" t="s">
        <v>5230</v>
      </c>
      <c r="Q702" s="79" t="s">
        <v>5231</v>
      </c>
      <c r="R702" s="79" t="s">
        <v>5232</v>
      </c>
    </row>
    <row r="703" spans="1:18" x14ac:dyDescent="0.25">
      <c r="A703" s="79" t="s">
        <v>78</v>
      </c>
      <c r="B703" s="79" t="s">
        <v>5233</v>
      </c>
      <c r="D703" s="79" t="s">
        <v>5234</v>
      </c>
      <c r="E703" s="79" t="s">
        <v>5235</v>
      </c>
      <c r="F703" s="79" t="s">
        <v>5236</v>
      </c>
      <c r="H703" s="79" t="s">
        <v>5237</v>
      </c>
      <c r="J703" s="79" t="s">
        <v>5238</v>
      </c>
      <c r="K703" s="79" t="s">
        <v>5239</v>
      </c>
      <c r="M703" s="79" t="s">
        <v>5240</v>
      </c>
      <c r="N703" s="79" t="s">
        <v>5241</v>
      </c>
      <c r="O703" s="79" t="s">
        <v>5242</v>
      </c>
      <c r="P703" s="79" t="s">
        <v>5243</v>
      </c>
      <c r="Q703" s="79" t="s">
        <v>5244</v>
      </c>
      <c r="R703" s="79" t="s">
        <v>5232</v>
      </c>
    </row>
    <row r="704" spans="1:18" x14ac:dyDescent="0.25">
      <c r="A704" s="79" t="s">
        <v>78</v>
      </c>
    </row>
    <row r="705" spans="1:18" x14ac:dyDescent="0.25">
      <c r="A705" s="79" t="s">
        <v>78</v>
      </c>
      <c r="D705" s="79" t="s">
        <v>5245</v>
      </c>
      <c r="E705" s="79" t="s">
        <v>5246</v>
      </c>
      <c r="G705" s="79" t="s">
        <v>5247</v>
      </c>
      <c r="H705" s="79" t="s">
        <v>5248</v>
      </c>
      <c r="J705" s="79" t="s">
        <v>5249</v>
      </c>
      <c r="K705" s="79" t="s">
        <v>5250</v>
      </c>
      <c r="L705" s="79" t="s">
        <v>5251</v>
      </c>
      <c r="M705" s="79" t="s">
        <v>5252</v>
      </c>
      <c r="N705" s="79" t="s">
        <v>5253</v>
      </c>
      <c r="O705" s="79" t="s">
        <v>5254</v>
      </c>
      <c r="P705" s="79" t="s">
        <v>5255</v>
      </c>
      <c r="Q705" s="79" t="s">
        <v>5256</v>
      </c>
      <c r="R705" s="79" t="s">
        <v>5257</v>
      </c>
    </row>
    <row r="706" spans="1:18" x14ac:dyDescent="0.25">
      <c r="A706" s="79" t="s">
        <v>78</v>
      </c>
      <c r="B706" s="79" t="s">
        <v>5258</v>
      </c>
      <c r="D706" s="79" t="s">
        <v>5259</v>
      </c>
      <c r="E706" s="79" t="s">
        <v>5260</v>
      </c>
      <c r="F706" s="79" t="s">
        <v>5261</v>
      </c>
      <c r="H706" s="79" t="s">
        <v>5262</v>
      </c>
      <c r="J706" s="79" t="s">
        <v>5263</v>
      </c>
      <c r="K706" s="79" t="s">
        <v>5264</v>
      </c>
      <c r="M706" s="79" t="s">
        <v>5265</v>
      </c>
      <c r="N706" s="79" t="s">
        <v>5266</v>
      </c>
      <c r="O706" s="79" t="s">
        <v>5267</v>
      </c>
      <c r="P706" s="79" t="s">
        <v>5268</v>
      </c>
      <c r="Q706" s="79" t="s">
        <v>5269</v>
      </c>
      <c r="R706" s="79" t="s">
        <v>5257</v>
      </c>
    </row>
    <row r="707" spans="1:18" x14ac:dyDescent="0.25">
      <c r="A707" s="79" t="s">
        <v>78</v>
      </c>
    </row>
    <row r="708" spans="1:18" x14ac:dyDescent="0.25">
      <c r="A708" s="79" t="s">
        <v>78</v>
      </c>
      <c r="D708" s="79" t="s">
        <v>5270</v>
      </c>
      <c r="E708" s="79" t="s">
        <v>5271</v>
      </c>
      <c r="G708" s="79" t="s">
        <v>5272</v>
      </c>
      <c r="H708" s="79" t="s">
        <v>5273</v>
      </c>
      <c r="J708" s="79" t="s">
        <v>5274</v>
      </c>
      <c r="K708" s="79" t="s">
        <v>5275</v>
      </c>
      <c r="L708" s="79" t="s">
        <v>5276</v>
      </c>
      <c r="M708" s="79" t="s">
        <v>5277</v>
      </c>
      <c r="N708" s="79" t="s">
        <v>5278</v>
      </c>
      <c r="O708" s="79" t="s">
        <v>5279</v>
      </c>
      <c r="P708" s="79" t="s">
        <v>5280</v>
      </c>
      <c r="Q708" s="79" t="s">
        <v>5281</v>
      </c>
      <c r="R708" s="79" t="s">
        <v>5282</v>
      </c>
    </row>
    <row r="709" spans="1:18" x14ac:dyDescent="0.25">
      <c r="A709" s="79" t="s">
        <v>78</v>
      </c>
      <c r="B709" s="79" t="s">
        <v>5283</v>
      </c>
      <c r="D709" s="79" t="s">
        <v>5284</v>
      </c>
      <c r="E709" s="79" t="s">
        <v>5285</v>
      </c>
      <c r="F709" s="79" t="s">
        <v>5286</v>
      </c>
      <c r="H709" s="79" t="s">
        <v>5287</v>
      </c>
      <c r="J709" s="79" t="s">
        <v>5288</v>
      </c>
      <c r="K709" s="79" t="s">
        <v>5289</v>
      </c>
      <c r="M709" s="79" t="s">
        <v>5290</v>
      </c>
      <c r="N709" s="79" t="s">
        <v>5291</v>
      </c>
      <c r="O709" s="79" t="s">
        <v>5292</v>
      </c>
      <c r="P709" s="79" t="s">
        <v>5293</v>
      </c>
      <c r="Q709" s="79" t="s">
        <v>5294</v>
      </c>
      <c r="R709" s="79" t="s">
        <v>5282</v>
      </c>
    </row>
    <row r="710" spans="1:18" x14ac:dyDescent="0.25">
      <c r="A710" s="79" t="s">
        <v>78</v>
      </c>
    </row>
    <row r="711" spans="1:18" x14ac:dyDescent="0.25">
      <c r="A711" s="79" t="s">
        <v>78</v>
      </c>
      <c r="D711" s="79" t="s">
        <v>5295</v>
      </c>
      <c r="E711" s="79" t="s">
        <v>5296</v>
      </c>
      <c r="G711" s="79" t="s">
        <v>5297</v>
      </c>
      <c r="H711" s="79" t="s">
        <v>5298</v>
      </c>
      <c r="J711" s="79" t="s">
        <v>5299</v>
      </c>
      <c r="K711" s="79" t="s">
        <v>5300</v>
      </c>
      <c r="L711" s="79" t="s">
        <v>5301</v>
      </c>
      <c r="M711" s="79" t="s">
        <v>5302</v>
      </c>
      <c r="N711" s="79" t="s">
        <v>5303</v>
      </c>
      <c r="O711" s="79" t="s">
        <v>5304</v>
      </c>
      <c r="P711" s="79" t="s">
        <v>5305</v>
      </c>
      <c r="Q711" s="79" t="s">
        <v>5306</v>
      </c>
      <c r="R711" s="79" t="s">
        <v>5307</v>
      </c>
    </row>
    <row r="712" spans="1:18" x14ac:dyDescent="0.25">
      <c r="A712" s="79" t="s">
        <v>78</v>
      </c>
      <c r="B712" s="79" t="s">
        <v>5308</v>
      </c>
      <c r="D712" s="79" t="s">
        <v>5309</v>
      </c>
      <c r="E712" s="79" t="s">
        <v>5310</v>
      </c>
      <c r="F712" s="79" t="s">
        <v>5311</v>
      </c>
      <c r="H712" s="79" t="s">
        <v>5312</v>
      </c>
      <c r="J712" s="79" t="s">
        <v>5313</v>
      </c>
      <c r="K712" s="79" t="s">
        <v>5314</v>
      </c>
      <c r="M712" s="79" t="s">
        <v>5315</v>
      </c>
      <c r="N712" s="79" t="s">
        <v>5316</v>
      </c>
      <c r="O712" s="79" t="s">
        <v>5317</v>
      </c>
      <c r="P712" s="79" t="s">
        <v>5318</v>
      </c>
      <c r="Q712" s="79" t="s">
        <v>5319</v>
      </c>
      <c r="R712" s="79" t="s">
        <v>5307</v>
      </c>
    </row>
    <row r="713" spans="1:18" x14ac:dyDescent="0.25">
      <c r="A713" s="79" t="s">
        <v>78</v>
      </c>
    </row>
    <row r="714" spans="1:18" x14ac:dyDescent="0.25">
      <c r="A714" s="79" t="s">
        <v>78</v>
      </c>
      <c r="D714" s="79" t="s">
        <v>5320</v>
      </c>
      <c r="E714" s="79" t="s">
        <v>5321</v>
      </c>
      <c r="G714" s="79" t="s">
        <v>5322</v>
      </c>
      <c r="H714" s="79" t="s">
        <v>5323</v>
      </c>
      <c r="J714" s="79" t="s">
        <v>5324</v>
      </c>
      <c r="K714" s="79" t="s">
        <v>5325</v>
      </c>
      <c r="L714" s="79" t="s">
        <v>5326</v>
      </c>
      <c r="M714" s="79" t="s">
        <v>5327</v>
      </c>
      <c r="N714" s="79" t="s">
        <v>5328</v>
      </c>
      <c r="O714" s="79" t="s">
        <v>5329</v>
      </c>
      <c r="P714" s="79" t="s">
        <v>5330</v>
      </c>
      <c r="Q714" s="79" t="s">
        <v>5331</v>
      </c>
      <c r="R714" s="79" t="s">
        <v>5332</v>
      </c>
    </row>
    <row r="715" spans="1:18" x14ac:dyDescent="0.25">
      <c r="A715" s="79" t="s">
        <v>78</v>
      </c>
      <c r="B715" s="79" t="s">
        <v>5333</v>
      </c>
      <c r="D715" s="79" t="s">
        <v>5334</v>
      </c>
      <c r="E715" s="79" t="s">
        <v>5335</v>
      </c>
      <c r="F715" s="79" t="s">
        <v>5336</v>
      </c>
      <c r="H715" s="79" t="s">
        <v>5337</v>
      </c>
      <c r="J715" s="79" t="s">
        <v>5338</v>
      </c>
      <c r="K715" s="79" t="s">
        <v>5339</v>
      </c>
      <c r="M715" s="79" t="s">
        <v>5340</v>
      </c>
      <c r="N715" s="79" t="s">
        <v>5341</v>
      </c>
      <c r="O715" s="79" t="s">
        <v>5342</v>
      </c>
      <c r="P715" s="79" t="s">
        <v>5343</v>
      </c>
      <c r="Q715" s="79" t="s">
        <v>5344</v>
      </c>
      <c r="R715" s="79" t="s">
        <v>5332</v>
      </c>
    </row>
    <row r="716" spans="1:18" x14ac:dyDescent="0.25">
      <c r="A716" s="79" t="s">
        <v>78</v>
      </c>
    </row>
    <row r="717" spans="1:18" x14ac:dyDescent="0.25">
      <c r="A717" s="79" t="s">
        <v>78</v>
      </c>
      <c r="D717" s="79" t="s">
        <v>5345</v>
      </c>
      <c r="E717" s="79" t="s">
        <v>5346</v>
      </c>
      <c r="G717" s="79" t="s">
        <v>5347</v>
      </c>
      <c r="H717" s="79" t="s">
        <v>5348</v>
      </c>
      <c r="J717" s="79" t="s">
        <v>5349</v>
      </c>
      <c r="K717" s="79" t="s">
        <v>5350</v>
      </c>
      <c r="L717" s="79" t="s">
        <v>5351</v>
      </c>
      <c r="M717" s="79" t="s">
        <v>5352</v>
      </c>
      <c r="N717" s="79" t="s">
        <v>5353</v>
      </c>
      <c r="O717" s="79" t="s">
        <v>5354</v>
      </c>
      <c r="P717" s="79" t="s">
        <v>5355</v>
      </c>
      <c r="Q717" s="79" t="s">
        <v>5356</v>
      </c>
      <c r="R717" s="79" t="s">
        <v>5357</v>
      </c>
    </row>
    <row r="718" spans="1:18" x14ac:dyDescent="0.25">
      <c r="A718" s="79" t="s">
        <v>78</v>
      </c>
      <c r="B718" s="79" t="s">
        <v>5358</v>
      </c>
      <c r="D718" s="79" t="s">
        <v>5359</v>
      </c>
      <c r="E718" s="79" t="s">
        <v>5360</v>
      </c>
      <c r="F718" s="79" t="s">
        <v>5361</v>
      </c>
      <c r="H718" s="79" t="s">
        <v>5362</v>
      </c>
      <c r="J718" s="79" t="s">
        <v>5363</v>
      </c>
      <c r="K718" s="79" t="s">
        <v>5364</v>
      </c>
      <c r="M718" s="79" t="s">
        <v>5365</v>
      </c>
      <c r="N718" s="79" t="s">
        <v>5366</v>
      </c>
      <c r="O718" s="79" t="s">
        <v>5367</v>
      </c>
      <c r="P718" s="79" t="s">
        <v>5368</v>
      </c>
      <c r="Q718" s="79" t="s">
        <v>5369</v>
      </c>
      <c r="R718" s="79" t="s">
        <v>5357</v>
      </c>
    </row>
    <row r="719" spans="1:18" x14ac:dyDescent="0.25">
      <c r="A719" s="79" t="s">
        <v>78</v>
      </c>
    </row>
    <row r="720" spans="1:18" x14ac:dyDescent="0.25">
      <c r="A720" s="79" t="s">
        <v>78</v>
      </c>
      <c r="D720" s="79" t="s">
        <v>5370</v>
      </c>
      <c r="E720" s="79" t="s">
        <v>5371</v>
      </c>
      <c r="G720" s="79" t="s">
        <v>5372</v>
      </c>
      <c r="H720" s="79" t="s">
        <v>5373</v>
      </c>
      <c r="J720" s="79" t="s">
        <v>5374</v>
      </c>
      <c r="K720" s="79" t="s">
        <v>5375</v>
      </c>
      <c r="L720" s="79" t="s">
        <v>5376</v>
      </c>
      <c r="M720" s="79" t="s">
        <v>5377</v>
      </c>
      <c r="N720" s="79" t="s">
        <v>5378</v>
      </c>
      <c r="O720" s="79" t="s">
        <v>5379</v>
      </c>
      <c r="P720" s="79" t="s">
        <v>5380</v>
      </c>
      <c r="Q720" s="79" t="s">
        <v>5381</v>
      </c>
      <c r="R720" s="79" t="s">
        <v>5382</v>
      </c>
    </row>
    <row r="721" spans="1:18" x14ac:dyDescent="0.25">
      <c r="A721" s="79" t="s">
        <v>78</v>
      </c>
      <c r="B721" s="79" t="s">
        <v>5383</v>
      </c>
      <c r="D721" s="79" t="s">
        <v>5384</v>
      </c>
      <c r="E721" s="79" t="s">
        <v>5385</v>
      </c>
      <c r="F721" s="79" t="s">
        <v>5386</v>
      </c>
      <c r="H721" s="79" t="s">
        <v>5387</v>
      </c>
      <c r="J721" s="79" t="s">
        <v>5388</v>
      </c>
      <c r="K721" s="79" t="s">
        <v>5389</v>
      </c>
      <c r="M721" s="79" t="s">
        <v>5390</v>
      </c>
      <c r="N721" s="79" t="s">
        <v>5391</v>
      </c>
      <c r="O721" s="79" t="s">
        <v>5392</v>
      </c>
      <c r="P721" s="79" t="s">
        <v>5393</v>
      </c>
      <c r="Q721" s="79" t="s">
        <v>5394</v>
      </c>
      <c r="R721" s="79" t="s">
        <v>5382</v>
      </c>
    </row>
    <row r="722" spans="1:18" x14ac:dyDescent="0.25">
      <c r="A722" s="79" t="s">
        <v>78</v>
      </c>
    </row>
    <row r="723" spans="1:18" x14ac:dyDescent="0.25">
      <c r="A723" s="79" t="s">
        <v>78</v>
      </c>
      <c r="D723" s="79" t="s">
        <v>5395</v>
      </c>
      <c r="E723" s="79" t="s">
        <v>5396</v>
      </c>
      <c r="G723" s="79" t="s">
        <v>5397</v>
      </c>
      <c r="H723" s="79" t="s">
        <v>5398</v>
      </c>
      <c r="J723" s="79" t="s">
        <v>5399</v>
      </c>
      <c r="K723" s="79" t="s">
        <v>5400</v>
      </c>
      <c r="L723" s="79" t="s">
        <v>5401</v>
      </c>
      <c r="M723" s="79" t="s">
        <v>5402</v>
      </c>
      <c r="N723" s="79" t="s">
        <v>5403</v>
      </c>
      <c r="O723" s="79" t="s">
        <v>5404</v>
      </c>
      <c r="P723" s="79" t="s">
        <v>5405</v>
      </c>
      <c r="Q723" s="79" t="s">
        <v>5406</v>
      </c>
      <c r="R723" s="79" t="s">
        <v>5407</v>
      </c>
    </row>
    <row r="724" spans="1:18" x14ac:dyDescent="0.25">
      <c r="A724" s="79" t="s">
        <v>78</v>
      </c>
      <c r="B724" s="79" t="s">
        <v>5408</v>
      </c>
      <c r="D724" s="79" t="s">
        <v>5409</v>
      </c>
      <c r="E724" s="79" t="s">
        <v>5410</v>
      </c>
      <c r="F724" s="79" t="s">
        <v>5411</v>
      </c>
      <c r="H724" s="79" t="s">
        <v>5412</v>
      </c>
      <c r="J724" s="79" t="s">
        <v>5413</v>
      </c>
      <c r="K724" s="79" t="s">
        <v>5414</v>
      </c>
      <c r="M724" s="79" t="s">
        <v>5415</v>
      </c>
      <c r="N724" s="79" t="s">
        <v>5416</v>
      </c>
      <c r="O724" s="79" t="s">
        <v>5417</v>
      </c>
      <c r="P724" s="79" t="s">
        <v>5418</v>
      </c>
      <c r="Q724" s="79" t="s">
        <v>5419</v>
      </c>
      <c r="R724" s="79" t="s">
        <v>5407</v>
      </c>
    </row>
    <row r="725" spans="1:18" x14ac:dyDescent="0.25">
      <c r="A725" s="79" t="s">
        <v>78</v>
      </c>
    </row>
    <row r="726" spans="1:18" x14ac:dyDescent="0.25">
      <c r="A726" s="79" t="s">
        <v>78</v>
      </c>
      <c r="D726" s="79" t="s">
        <v>5420</v>
      </c>
      <c r="E726" s="79" t="s">
        <v>5421</v>
      </c>
      <c r="G726" s="79" t="s">
        <v>5422</v>
      </c>
      <c r="H726" s="79" t="s">
        <v>5423</v>
      </c>
      <c r="J726" s="79" t="s">
        <v>5424</v>
      </c>
      <c r="K726" s="79" t="s">
        <v>5425</v>
      </c>
      <c r="L726" s="79" t="s">
        <v>5426</v>
      </c>
      <c r="M726" s="79" t="s">
        <v>5427</v>
      </c>
      <c r="N726" s="79" t="s">
        <v>5428</v>
      </c>
      <c r="O726" s="79" t="s">
        <v>5429</v>
      </c>
      <c r="P726" s="79" t="s">
        <v>5430</v>
      </c>
      <c r="Q726" s="79" t="s">
        <v>5431</v>
      </c>
      <c r="R726" s="79" t="s">
        <v>5432</v>
      </c>
    </row>
    <row r="727" spans="1:18" x14ac:dyDescent="0.25">
      <c r="A727" s="79" t="s">
        <v>78</v>
      </c>
      <c r="B727" s="79" t="s">
        <v>5433</v>
      </c>
      <c r="D727" s="79" t="s">
        <v>5434</v>
      </c>
      <c r="E727" s="79" t="s">
        <v>5435</v>
      </c>
      <c r="F727" s="79" t="s">
        <v>5436</v>
      </c>
      <c r="H727" s="79" t="s">
        <v>5437</v>
      </c>
      <c r="J727" s="79" t="s">
        <v>5438</v>
      </c>
      <c r="K727" s="79" t="s">
        <v>5439</v>
      </c>
      <c r="M727" s="79" t="s">
        <v>5440</v>
      </c>
      <c r="N727" s="79" t="s">
        <v>5441</v>
      </c>
      <c r="O727" s="79" t="s">
        <v>5442</v>
      </c>
      <c r="P727" s="79" t="s">
        <v>5443</v>
      </c>
      <c r="Q727" s="79" t="s">
        <v>5444</v>
      </c>
      <c r="R727" s="79" t="s">
        <v>5432</v>
      </c>
    </row>
    <row r="728" spans="1:18" x14ac:dyDescent="0.25">
      <c r="A728" s="79" t="s">
        <v>78</v>
      </c>
    </row>
    <row r="729" spans="1:18" x14ac:dyDescent="0.25">
      <c r="A729" s="79" t="s">
        <v>78</v>
      </c>
      <c r="D729" s="79" t="s">
        <v>5445</v>
      </c>
      <c r="E729" s="79" t="s">
        <v>5446</v>
      </c>
      <c r="G729" s="79" t="s">
        <v>5447</v>
      </c>
      <c r="H729" s="79" t="s">
        <v>5448</v>
      </c>
      <c r="J729" s="79" t="s">
        <v>5449</v>
      </c>
      <c r="K729" s="79" t="s">
        <v>5450</v>
      </c>
      <c r="L729" s="79" t="s">
        <v>5451</v>
      </c>
      <c r="M729" s="79" t="s">
        <v>5452</v>
      </c>
      <c r="N729" s="79" t="s">
        <v>5453</v>
      </c>
      <c r="O729" s="79" t="s">
        <v>5454</v>
      </c>
      <c r="P729" s="79" t="s">
        <v>5455</v>
      </c>
      <c r="Q729" s="79" t="s">
        <v>5456</v>
      </c>
      <c r="R729" s="79" t="s">
        <v>5457</v>
      </c>
    </row>
    <row r="730" spans="1:18" x14ac:dyDescent="0.25">
      <c r="A730" s="79" t="s">
        <v>78</v>
      </c>
      <c r="B730" s="79" t="s">
        <v>5458</v>
      </c>
      <c r="D730" s="79" t="s">
        <v>5459</v>
      </c>
      <c r="E730" s="79" t="s">
        <v>5460</v>
      </c>
      <c r="F730" s="79" t="s">
        <v>5461</v>
      </c>
      <c r="H730" s="79" t="s">
        <v>5462</v>
      </c>
      <c r="J730" s="79" t="s">
        <v>5463</v>
      </c>
      <c r="K730" s="79" t="s">
        <v>5464</v>
      </c>
      <c r="M730" s="79" t="s">
        <v>5465</v>
      </c>
      <c r="N730" s="79" t="s">
        <v>5466</v>
      </c>
      <c r="O730" s="79" t="s">
        <v>5467</v>
      </c>
      <c r="P730" s="79" t="s">
        <v>5468</v>
      </c>
      <c r="Q730" s="79" t="s">
        <v>5469</v>
      </c>
      <c r="R730" s="79" t="s">
        <v>5457</v>
      </c>
    </row>
    <row r="731" spans="1:18" x14ac:dyDescent="0.25">
      <c r="A731" s="79" t="s">
        <v>78</v>
      </c>
    </row>
    <row r="732" spans="1:18" x14ac:dyDescent="0.25">
      <c r="A732" s="79" t="s">
        <v>78</v>
      </c>
      <c r="D732" s="79" t="s">
        <v>5470</v>
      </c>
      <c r="E732" s="79" t="s">
        <v>5471</v>
      </c>
      <c r="G732" s="79" t="s">
        <v>5472</v>
      </c>
      <c r="H732" s="79" t="s">
        <v>5473</v>
      </c>
      <c r="J732" s="79" t="s">
        <v>5474</v>
      </c>
      <c r="K732" s="79" t="s">
        <v>5475</v>
      </c>
      <c r="L732" s="79" t="s">
        <v>5476</v>
      </c>
      <c r="M732" s="79" t="s">
        <v>5477</v>
      </c>
      <c r="N732" s="79" t="s">
        <v>5478</v>
      </c>
      <c r="O732" s="79" t="s">
        <v>5479</v>
      </c>
      <c r="P732" s="79" t="s">
        <v>5480</v>
      </c>
      <c r="Q732" s="79" t="s">
        <v>5481</v>
      </c>
      <c r="R732" s="79" t="s">
        <v>5482</v>
      </c>
    </row>
    <row r="733" spans="1:18" x14ac:dyDescent="0.25">
      <c r="A733" s="79" t="s">
        <v>78</v>
      </c>
      <c r="B733" s="79" t="s">
        <v>5483</v>
      </c>
      <c r="D733" s="79" t="s">
        <v>5484</v>
      </c>
      <c r="E733" s="79" t="s">
        <v>5485</v>
      </c>
      <c r="F733" s="79" t="s">
        <v>5486</v>
      </c>
      <c r="H733" s="79" t="s">
        <v>5487</v>
      </c>
      <c r="J733" s="79" t="s">
        <v>5488</v>
      </c>
      <c r="K733" s="79" t="s">
        <v>5489</v>
      </c>
      <c r="M733" s="79" t="s">
        <v>5490</v>
      </c>
      <c r="N733" s="79" t="s">
        <v>5491</v>
      </c>
      <c r="O733" s="79" t="s">
        <v>5492</v>
      </c>
      <c r="P733" s="79" t="s">
        <v>5493</v>
      </c>
      <c r="Q733" s="79" t="s">
        <v>5494</v>
      </c>
      <c r="R733" s="79" t="s">
        <v>5482</v>
      </c>
    </row>
    <row r="734" spans="1:18" x14ac:dyDescent="0.25">
      <c r="A734" s="79" t="s">
        <v>78</v>
      </c>
    </row>
    <row r="735" spans="1:18" x14ac:dyDescent="0.25">
      <c r="A735" s="79" t="s">
        <v>78</v>
      </c>
      <c r="D735" s="79" t="s">
        <v>5495</v>
      </c>
      <c r="E735" s="79" t="s">
        <v>5496</v>
      </c>
      <c r="G735" s="79" t="s">
        <v>5497</v>
      </c>
      <c r="H735" s="79" t="s">
        <v>5498</v>
      </c>
      <c r="J735" s="79" t="s">
        <v>5499</v>
      </c>
      <c r="K735" s="79" t="s">
        <v>5500</v>
      </c>
      <c r="L735" s="79" t="s">
        <v>5501</v>
      </c>
      <c r="M735" s="79" t="s">
        <v>5502</v>
      </c>
      <c r="N735" s="79" t="s">
        <v>5503</v>
      </c>
      <c r="O735" s="79" t="s">
        <v>5504</v>
      </c>
      <c r="P735" s="79" t="s">
        <v>5505</v>
      </c>
      <c r="Q735" s="79" t="s">
        <v>5506</v>
      </c>
      <c r="R735" s="79" t="s">
        <v>5507</v>
      </c>
    </row>
    <row r="736" spans="1:18" x14ac:dyDescent="0.25">
      <c r="A736" s="79" t="s">
        <v>78</v>
      </c>
      <c r="B736" s="79" t="s">
        <v>5508</v>
      </c>
      <c r="D736" s="79" t="s">
        <v>5509</v>
      </c>
      <c r="E736" s="79" t="s">
        <v>5510</v>
      </c>
      <c r="F736" s="79" t="s">
        <v>5511</v>
      </c>
      <c r="H736" s="79" t="s">
        <v>5512</v>
      </c>
      <c r="J736" s="79" t="s">
        <v>5513</v>
      </c>
      <c r="K736" s="79" t="s">
        <v>5514</v>
      </c>
      <c r="M736" s="79" t="s">
        <v>5515</v>
      </c>
      <c r="N736" s="79" t="s">
        <v>5516</v>
      </c>
      <c r="O736" s="79" t="s">
        <v>5517</v>
      </c>
      <c r="P736" s="79" t="s">
        <v>5518</v>
      </c>
      <c r="Q736" s="79" t="s">
        <v>5519</v>
      </c>
      <c r="R736" s="79" t="s">
        <v>5507</v>
      </c>
    </row>
    <row r="737" spans="1:18" x14ac:dyDescent="0.25">
      <c r="A737" s="79" t="s">
        <v>78</v>
      </c>
    </row>
    <row r="738" spans="1:18" x14ac:dyDescent="0.25">
      <c r="A738" s="79" t="s">
        <v>78</v>
      </c>
      <c r="D738" s="79" t="s">
        <v>5520</v>
      </c>
      <c r="E738" s="79" t="s">
        <v>5521</v>
      </c>
      <c r="G738" s="79" t="s">
        <v>5522</v>
      </c>
      <c r="H738" s="79" t="s">
        <v>5523</v>
      </c>
      <c r="J738" s="79" t="s">
        <v>5524</v>
      </c>
      <c r="K738" s="79" t="s">
        <v>5525</v>
      </c>
      <c r="L738" s="79" t="s">
        <v>5526</v>
      </c>
      <c r="M738" s="79" t="s">
        <v>5527</v>
      </c>
      <c r="N738" s="79" t="s">
        <v>5528</v>
      </c>
      <c r="O738" s="79" t="s">
        <v>5529</v>
      </c>
      <c r="P738" s="79" t="s">
        <v>5530</v>
      </c>
      <c r="Q738" s="79" t="s">
        <v>5531</v>
      </c>
      <c r="R738" s="79" t="s">
        <v>5532</v>
      </c>
    </row>
    <row r="739" spans="1:18" x14ac:dyDescent="0.25">
      <c r="A739" s="79" t="s">
        <v>78</v>
      </c>
      <c r="B739" s="79" t="s">
        <v>5533</v>
      </c>
      <c r="D739" s="79" t="s">
        <v>5534</v>
      </c>
      <c r="E739" s="79" t="s">
        <v>5535</v>
      </c>
      <c r="F739" s="79" t="s">
        <v>5536</v>
      </c>
      <c r="H739" s="79" t="s">
        <v>5537</v>
      </c>
      <c r="J739" s="79" t="s">
        <v>5538</v>
      </c>
      <c r="K739" s="79" t="s">
        <v>5539</v>
      </c>
      <c r="M739" s="79" t="s">
        <v>5540</v>
      </c>
      <c r="N739" s="79" t="s">
        <v>5541</v>
      </c>
      <c r="O739" s="79" t="s">
        <v>5542</v>
      </c>
      <c r="P739" s="79" t="s">
        <v>5543</v>
      </c>
      <c r="Q739" s="79" t="s">
        <v>5544</v>
      </c>
      <c r="R739" s="79" t="s">
        <v>5532</v>
      </c>
    </row>
    <row r="740" spans="1:18" x14ac:dyDescent="0.25">
      <c r="A740" s="79" t="s">
        <v>78</v>
      </c>
    </row>
    <row r="741" spans="1:18" x14ac:dyDescent="0.25">
      <c r="A741" s="79" t="s">
        <v>78</v>
      </c>
      <c r="D741" s="79" t="s">
        <v>5545</v>
      </c>
      <c r="E741" s="79" t="s">
        <v>5546</v>
      </c>
      <c r="G741" s="79" t="s">
        <v>5547</v>
      </c>
      <c r="H741" s="79" t="s">
        <v>5548</v>
      </c>
      <c r="J741" s="79" t="s">
        <v>5549</v>
      </c>
      <c r="K741" s="79" t="s">
        <v>5550</v>
      </c>
      <c r="L741" s="79" t="s">
        <v>5551</v>
      </c>
      <c r="M741" s="79" t="s">
        <v>5552</v>
      </c>
      <c r="N741" s="79" t="s">
        <v>5553</v>
      </c>
      <c r="O741" s="79" t="s">
        <v>5554</v>
      </c>
      <c r="P741" s="79" t="s">
        <v>5555</v>
      </c>
      <c r="Q741" s="79" t="s">
        <v>5556</v>
      </c>
      <c r="R741" s="79" t="s">
        <v>5557</v>
      </c>
    </row>
    <row r="742" spans="1:18" x14ac:dyDescent="0.25">
      <c r="A742" s="79" t="s">
        <v>78</v>
      </c>
      <c r="B742" s="79" t="s">
        <v>5558</v>
      </c>
      <c r="D742" s="79" t="s">
        <v>5559</v>
      </c>
      <c r="E742" s="79" t="s">
        <v>5560</v>
      </c>
      <c r="F742" s="79" t="s">
        <v>5561</v>
      </c>
      <c r="H742" s="79" t="s">
        <v>5562</v>
      </c>
      <c r="J742" s="79" t="s">
        <v>5563</v>
      </c>
      <c r="K742" s="79" t="s">
        <v>5564</v>
      </c>
      <c r="M742" s="79" t="s">
        <v>5565</v>
      </c>
      <c r="N742" s="79" t="s">
        <v>5566</v>
      </c>
      <c r="O742" s="79" t="s">
        <v>5567</v>
      </c>
      <c r="P742" s="79" t="s">
        <v>5568</v>
      </c>
      <c r="Q742" s="79" t="s">
        <v>5569</v>
      </c>
      <c r="R742" s="79" t="s">
        <v>5557</v>
      </c>
    </row>
    <row r="743" spans="1:18" x14ac:dyDescent="0.25">
      <c r="A743" s="79" t="s">
        <v>78</v>
      </c>
    </row>
    <row r="744" spans="1:18" x14ac:dyDescent="0.25">
      <c r="A744" s="79" t="s">
        <v>78</v>
      </c>
      <c r="D744" s="79" t="s">
        <v>5570</v>
      </c>
      <c r="E744" s="79" t="s">
        <v>5571</v>
      </c>
      <c r="G744" s="79" t="s">
        <v>5572</v>
      </c>
      <c r="H744" s="79" t="s">
        <v>5573</v>
      </c>
      <c r="J744" s="79" t="s">
        <v>5574</v>
      </c>
      <c r="K744" s="79" t="s">
        <v>5575</v>
      </c>
      <c r="L744" s="79" t="s">
        <v>5576</v>
      </c>
      <c r="M744" s="79" t="s">
        <v>5577</v>
      </c>
      <c r="N744" s="79" t="s">
        <v>5578</v>
      </c>
      <c r="O744" s="79" t="s">
        <v>5579</v>
      </c>
      <c r="P744" s="79" t="s">
        <v>5580</v>
      </c>
      <c r="Q744" s="79" t="s">
        <v>5581</v>
      </c>
      <c r="R744" s="79" t="s">
        <v>5582</v>
      </c>
    </row>
    <row r="745" spans="1:18" x14ac:dyDescent="0.25">
      <c r="A745" s="79" t="s">
        <v>78</v>
      </c>
      <c r="B745" s="79" t="s">
        <v>5583</v>
      </c>
      <c r="D745" s="79" t="s">
        <v>5584</v>
      </c>
      <c r="E745" s="79" t="s">
        <v>5585</v>
      </c>
      <c r="F745" s="79" t="s">
        <v>5586</v>
      </c>
      <c r="H745" s="79" t="s">
        <v>5587</v>
      </c>
      <c r="J745" s="79" t="s">
        <v>5588</v>
      </c>
      <c r="K745" s="79" t="s">
        <v>5589</v>
      </c>
      <c r="M745" s="79" t="s">
        <v>5590</v>
      </c>
      <c r="N745" s="79" t="s">
        <v>5591</v>
      </c>
      <c r="O745" s="79" t="s">
        <v>5592</v>
      </c>
      <c r="P745" s="79" t="s">
        <v>5593</v>
      </c>
      <c r="Q745" s="79" t="s">
        <v>5594</v>
      </c>
      <c r="R745" s="79" t="s">
        <v>5582</v>
      </c>
    </row>
    <row r="746" spans="1:18" x14ac:dyDescent="0.25">
      <c r="A746" s="79" t="s">
        <v>78</v>
      </c>
    </row>
    <row r="747" spans="1:18" x14ac:dyDescent="0.25">
      <c r="A747" s="79" t="s">
        <v>78</v>
      </c>
      <c r="D747" s="79" t="s">
        <v>5595</v>
      </c>
      <c r="E747" s="79" t="s">
        <v>5596</v>
      </c>
      <c r="G747" s="79" t="s">
        <v>5597</v>
      </c>
      <c r="H747" s="79" t="s">
        <v>5598</v>
      </c>
      <c r="J747" s="79" t="s">
        <v>5599</v>
      </c>
      <c r="K747" s="79" t="s">
        <v>5600</v>
      </c>
      <c r="L747" s="79" t="s">
        <v>5601</v>
      </c>
      <c r="M747" s="79" t="s">
        <v>5602</v>
      </c>
      <c r="N747" s="79" t="s">
        <v>5603</v>
      </c>
      <c r="O747" s="79" t="s">
        <v>5604</v>
      </c>
      <c r="P747" s="79" t="s">
        <v>5605</v>
      </c>
      <c r="Q747" s="79" t="s">
        <v>5606</v>
      </c>
      <c r="R747" s="79" t="s">
        <v>5607</v>
      </c>
    </row>
    <row r="748" spans="1:18" x14ac:dyDescent="0.25">
      <c r="A748" s="79" t="s">
        <v>78</v>
      </c>
      <c r="B748" s="79" t="s">
        <v>5608</v>
      </c>
      <c r="D748" s="79" t="s">
        <v>5609</v>
      </c>
      <c r="E748" s="79" t="s">
        <v>5610</v>
      </c>
      <c r="F748" s="79" t="s">
        <v>5611</v>
      </c>
      <c r="H748" s="79" t="s">
        <v>5612</v>
      </c>
      <c r="J748" s="79" t="s">
        <v>5613</v>
      </c>
      <c r="K748" s="79" t="s">
        <v>5614</v>
      </c>
      <c r="M748" s="79" t="s">
        <v>5615</v>
      </c>
      <c r="N748" s="79" t="s">
        <v>5616</v>
      </c>
      <c r="O748" s="79" t="s">
        <v>5617</v>
      </c>
      <c r="P748" s="79" t="s">
        <v>5618</v>
      </c>
      <c r="Q748" s="79" t="s">
        <v>5619</v>
      </c>
      <c r="R748" s="79" t="s">
        <v>5607</v>
      </c>
    </row>
    <row r="749" spans="1:18" x14ac:dyDescent="0.25">
      <c r="A749" s="79" t="s">
        <v>78</v>
      </c>
    </row>
    <row r="750" spans="1:18" x14ac:dyDescent="0.25">
      <c r="A750" s="79" t="s">
        <v>78</v>
      </c>
      <c r="D750" s="79" t="s">
        <v>5620</v>
      </c>
      <c r="E750" s="79" t="s">
        <v>5621</v>
      </c>
      <c r="G750" s="79" t="s">
        <v>5622</v>
      </c>
      <c r="H750" s="79" t="s">
        <v>5623</v>
      </c>
      <c r="J750" s="79" t="s">
        <v>5624</v>
      </c>
      <c r="K750" s="79" t="s">
        <v>5625</v>
      </c>
      <c r="L750" s="79" t="s">
        <v>5626</v>
      </c>
      <c r="M750" s="79" t="s">
        <v>5627</v>
      </c>
      <c r="N750" s="79" t="s">
        <v>5628</v>
      </c>
      <c r="O750" s="79" t="s">
        <v>5629</v>
      </c>
      <c r="P750" s="79" t="s">
        <v>5630</v>
      </c>
      <c r="Q750" s="79" t="s">
        <v>5631</v>
      </c>
      <c r="R750" s="79" t="s">
        <v>5632</v>
      </c>
    </row>
    <row r="751" spans="1:18" x14ac:dyDescent="0.25">
      <c r="A751" s="79" t="s">
        <v>78</v>
      </c>
      <c r="B751" s="79" t="s">
        <v>5633</v>
      </c>
      <c r="D751" s="79" t="s">
        <v>5634</v>
      </c>
      <c r="E751" s="79" t="s">
        <v>5635</v>
      </c>
      <c r="F751" s="79" t="s">
        <v>5636</v>
      </c>
      <c r="H751" s="79" t="s">
        <v>5637</v>
      </c>
      <c r="J751" s="79" t="s">
        <v>5638</v>
      </c>
      <c r="K751" s="79" t="s">
        <v>5639</v>
      </c>
      <c r="M751" s="79" t="s">
        <v>5640</v>
      </c>
      <c r="N751" s="79" t="s">
        <v>5641</v>
      </c>
      <c r="O751" s="79" t="s">
        <v>5642</v>
      </c>
      <c r="P751" s="79" t="s">
        <v>5643</v>
      </c>
      <c r="Q751" s="79" t="s">
        <v>5644</v>
      </c>
      <c r="R751" s="79" t="s">
        <v>5632</v>
      </c>
    </row>
    <row r="752" spans="1:18" x14ac:dyDescent="0.25">
      <c r="A752" s="79" t="s">
        <v>78</v>
      </c>
    </row>
    <row r="753" spans="1:18" x14ac:dyDescent="0.25">
      <c r="A753" s="79" t="s">
        <v>78</v>
      </c>
      <c r="D753" s="79" t="s">
        <v>5645</v>
      </c>
      <c r="E753" s="79" t="s">
        <v>5646</v>
      </c>
      <c r="G753" s="79" t="s">
        <v>5647</v>
      </c>
      <c r="H753" s="79" t="s">
        <v>5648</v>
      </c>
      <c r="J753" s="79" t="s">
        <v>5649</v>
      </c>
      <c r="K753" s="79" t="s">
        <v>5650</v>
      </c>
      <c r="L753" s="79" t="s">
        <v>5651</v>
      </c>
      <c r="M753" s="79" t="s">
        <v>5652</v>
      </c>
      <c r="N753" s="79" t="s">
        <v>5653</v>
      </c>
      <c r="O753" s="79" t="s">
        <v>5654</v>
      </c>
      <c r="P753" s="79" t="s">
        <v>5655</v>
      </c>
      <c r="Q753" s="79" t="s">
        <v>5656</v>
      </c>
      <c r="R753" s="79" t="s">
        <v>5657</v>
      </c>
    </row>
    <row r="754" spans="1:18" x14ac:dyDescent="0.25">
      <c r="A754" s="79" t="s">
        <v>78</v>
      </c>
      <c r="B754" s="79" t="s">
        <v>5658</v>
      </c>
      <c r="D754" s="79" t="s">
        <v>5659</v>
      </c>
      <c r="E754" s="79" t="s">
        <v>5660</v>
      </c>
      <c r="F754" s="79" t="s">
        <v>5661</v>
      </c>
      <c r="H754" s="79" t="s">
        <v>5662</v>
      </c>
      <c r="J754" s="79" t="s">
        <v>5663</v>
      </c>
      <c r="K754" s="79" t="s">
        <v>5664</v>
      </c>
      <c r="M754" s="79" t="s">
        <v>5665</v>
      </c>
      <c r="N754" s="79" t="s">
        <v>5666</v>
      </c>
      <c r="O754" s="79" t="s">
        <v>5667</v>
      </c>
      <c r="P754" s="79" t="s">
        <v>5668</v>
      </c>
      <c r="Q754" s="79" t="s">
        <v>5669</v>
      </c>
      <c r="R754" s="79" t="s">
        <v>5657</v>
      </c>
    </row>
    <row r="755" spans="1:18" x14ac:dyDescent="0.25">
      <c r="A755" s="79" t="s">
        <v>78</v>
      </c>
    </row>
    <row r="756" spans="1:18" x14ac:dyDescent="0.25">
      <c r="A756" s="79" t="s">
        <v>78</v>
      </c>
      <c r="D756" s="79" t="s">
        <v>5670</v>
      </c>
      <c r="E756" s="79" t="s">
        <v>5671</v>
      </c>
      <c r="G756" s="79" t="s">
        <v>5672</v>
      </c>
      <c r="H756" s="79" t="s">
        <v>5673</v>
      </c>
      <c r="J756" s="79" t="s">
        <v>5674</v>
      </c>
      <c r="K756" s="79" t="s">
        <v>5675</v>
      </c>
      <c r="L756" s="79" t="s">
        <v>5676</v>
      </c>
      <c r="M756" s="79" t="s">
        <v>5677</v>
      </c>
      <c r="N756" s="79" t="s">
        <v>5678</v>
      </c>
      <c r="O756" s="79" t="s">
        <v>5679</v>
      </c>
      <c r="P756" s="79" t="s">
        <v>5680</v>
      </c>
      <c r="Q756" s="79" t="s">
        <v>5681</v>
      </c>
      <c r="R756" s="79" t="s">
        <v>5682</v>
      </c>
    </row>
    <row r="757" spans="1:18" x14ac:dyDescent="0.25">
      <c r="A757" s="79" t="s">
        <v>78</v>
      </c>
      <c r="B757" s="79" t="s">
        <v>5683</v>
      </c>
      <c r="D757" s="79" t="s">
        <v>5684</v>
      </c>
      <c r="E757" s="79" t="s">
        <v>5685</v>
      </c>
      <c r="F757" s="79" t="s">
        <v>5686</v>
      </c>
      <c r="H757" s="79" t="s">
        <v>5687</v>
      </c>
      <c r="J757" s="79" t="s">
        <v>5688</v>
      </c>
      <c r="K757" s="79" t="s">
        <v>5689</v>
      </c>
      <c r="M757" s="79" t="s">
        <v>5690</v>
      </c>
      <c r="N757" s="79" t="s">
        <v>5691</v>
      </c>
      <c r="O757" s="79" t="s">
        <v>5692</v>
      </c>
      <c r="P757" s="79" t="s">
        <v>5693</v>
      </c>
      <c r="Q757" s="79" t="s">
        <v>5694</v>
      </c>
      <c r="R757" s="79" t="s">
        <v>5682</v>
      </c>
    </row>
    <row r="758" spans="1:18" x14ac:dyDescent="0.25">
      <c r="A758" s="79" t="s">
        <v>78</v>
      </c>
    </row>
    <row r="759" spans="1:18" x14ac:dyDescent="0.25">
      <c r="A759" s="79" t="s">
        <v>78</v>
      </c>
      <c r="D759" s="79" t="s">
        <v>5695</v>
      </c>
      <c r="E759" s="79" t="s">
        <v>5696</v>
      </c>
      <c r="G759" s="79" t="s">
        <v>5697</v>
      </c>
      <c r="H759" s="79" t="s">
        <v>5698</v>
      </c>
      <c r="J759" s="79" t="s">
        <v>5699</v>
      </c>
      <c r="K759" s="79" t="s">
        <v>5700</v>
      </c>
      <c r="L759" s="79" t="s">
        <v>5701</v>
      </c>
      <c r="M759" s="79" t="s">
        <v>5702</v>
      </c>
      <c r="N759" s="79" t="s">
        <v>5703</v>
      </c>
      <c r="O759" s="79" t="s">
        <v>5704</v>
      </c>
      <c r="P759" s="79" t="s">
        <v>5705</v>
      </c>
      <c r="Q759" s="79" t="s">
        <v>5706</v>
      </c>
      <c r="R759" s="79" t="s">
        <v>5707</v>
      </c>
    </row>
    <row r="760" spans="1:18" x14ac:dyDescent="0.25">
      <c r="A760" s="79" t="s">
        <v>78</v>
      </c>
      <c r="B760" s="79" t="s">
        <v>5708</v>
      </c>
      <c r="D760" s="79" t="s">
        <v>5709</v>
      </c>
      <c r="E760" s="79" t="s">
        <v>5710</v>
      </c>
      <c r="F760" s="79" t="s">
        <v>5711</v>
      </c>
      <c r="H760" s="79" t="s">
        <v>5712</v>
      </c>
      <c r="J760" s="79" t="s">
        <v>5713</v>
      </c>
      <c r="K760" s="79" t="s">
        <v>5714</v>
      </c>
      <c r="M760" s="79" t="s">
        <v>5715</v>
      </c>
      <c r="N760" s="79" t="s">
        <v>5716</v>
      </c>
      <c r="O760" s="79" t="s">
        <v>5717</v>
      </c>
      <c r="P760" s="79" t="s">
        <v>5718</v>
      </c>
      <c r="Q760" s="79" t="s">
        <v>5719</v>
      </c>
      <c r="R760" s="79" t="s">
        <v>5707</v>
      </c>
    </row>
    <row r="761" spans="1:18" x14ac:dyDescent="0.25">
      <c r="A761" s="79" t="s">
        <v>78</v>
      </c>
    </row>
    <row r="762" spans="1:18" x14ac:dyDescent="0.25">
      <c r="A762" s="79" t="s">
        <v>78</v>
      </c>
      <c r="D762" s="79" t="s">
        <v>5720</v>
      </c>
      <c r="E762" s="79" t="s">
        <v>5721</v>
      </c>
      <c r="G762" s="79" t="s">
        <v>5722</v>
      </c>
      <c r="H762" s="79" t="s">
        <v>5723</v>
      </c>
      <c r="J762" s="79" t="s">
        <v>5724</v>
      </c>
      <c r="K762" s="79" t="s">
        <v>5725</v>
      </c>
      <c r="L762" s="79" t="s">
        <v>5726</v>
      </c>
      <c r="M762" s="79" t="s">
        <v>5727</v>
      </c>
      <c r="N762" s="79" t="s">
        <v>5728</v>
      </c>
      <c r="O762" s="79" t="s">
        <v>5729</v>
      </c>
      <c r="P762" s="79" t="s">
        <v>5730</v>
      </c>
      <c r="Q762" s="79" t="s">
        <v>5731</v>
      </c>
      <c r="R762" s="79" t="s">
        <v>5732</v>
      </c>
    </row>
    <row r="763" spans="1:18" x14ac:dyDescent="0.25">
      <c r="A763" s="79" t="s">
        <v>78</v>
      </c>
      <c r="B763" s="79" t="s">
        <v>5733</v>
      </c>
      <c r="D763" s="79" t="s">
        <v>5734</v>
      </c>
      <c r="E763" s="79" t="s">
        <v>5735</v>
      </c>
      <c r="F763" s="79" t="s">
        <v>5736</v>
      </c>
      <c r="H763" s="79" t="s">
        <v>5737</v>
      </c>
      <c r="J763" s="79" t="s">
        <v>5738</v>
      </c>
      <c r="K763" s="79" t="s">
        <v>5739</v>
      </c>
      <c r="M763" s="79" t="s">
        <v>5740</v>
      </c>
      <c r="N763" s="79" t="s">
        <v>5741</v>
      </c>
      <c r="O763" s="79" t="s">
        <v>5742</v>
      </c>
      <c r="P763" s="79" t="s">
        <v>5743</v>
      </c>
      <c r="Q763" s="79" t="s">
        <v>5744</v>
      </c>
      <c r="R763" s="79" t="s">
        <v>5732</v>
      </c>
    </row>
    <row r="764" spans="1:18" x14ac:dyDescent="0.25">
      <c r="A764" s="79" t="s">
        <v>78</v>
      </c>
    </row>
    <row r="765" spans="1:18" x14ac:dyDescent="0.25">
      <c r="A765" s="79" t="s">
        <v>78</v>
      </c>
      <c r="D765" s="79" t="s">
        <v>5745</v>
      </c>
      <c r="E765" s="79" t="s">
        <v>5746</v>
      </c>
      <c r="G765" s="79" t="s">
        <v>5747</v>
      </c>
      <c r="H765" s="79" t="s">
        <v>5748</v>
      </c>
      <c r="J765" s="79" t="s">
        <v>5749</v>
      </c>
      <c r="K765" s="79" t="s">
        <v>5750</v>
      </c>
      <c r="L765" s="79" t="s">
        <v>5751</v>
      </c>
      <c r="M765" s="79" t="s">
        <v>5752</v>
      </c>
      <c r="N765" s="79" t="s">
        <v>5753</v>
      </c>
      <c r="O765" s="79" t="s">
        <v>5754</v>
      </c>
      <c r="P765" s="79" t="s">
        <v>5755</v>
      </c>
      <c r="Q765" s="79" t="s">
        <v>5756</v>
      </c>
      <c r="R765" s="79" t="s">
        <v>5757</v>
      </c>
    </row>
    <row r="766" spans="1:18" x14ac:dyDescent="0.25">
      <c r="A766" s="79" t="s">
        <v>78</v>
      </c>
      <c r="B766" s="79" t="s">
        <v>5758</v>
      </c>
      <c r="D766" s="79" t="s">
        <v>5759</v>
      </c>
      <c r="E766" s="79" t="s">
        <v>5760</v>
      </c>
      <c r="F766" s="79" t="s">
        <v>5761</v>
      </c>
      <c r="H766" s="79" t="s">
        <v>5762</v>
      </c>
      <c r="J766" s="79" t="s">
        <v>5763</v>
      </c>
      <c r="K766" s="79" t="s">
        <v>5764</v>
      </c>
      <c r="M766" s="79" t="s">
        <v>5765</v>
      </c>
      <c r="N766" s="79" t="s">
        <v>5766</v>
      </c>
      <c r="O766" s="79" t="s">
        <v>5767</v>
      </c>
      <c r="P766" s="79" t="s">
        <v>5768</v>
      </c>
      <c r="Q766" s="79" t="s">
        <v>5769</v>
      </c>
      <c r="R766" s="79" t="s">
        <v>5757</v>
      </c>
    </row>
    <row r="767" spans="1:18" x14ac:dyDescent="0.25">
      <c r="A767" s="79" t="s">
        <v>78</v>
      </c>
    </row>
    <row r="768" spans="1:18" x14ac:dyDescent="0.25">
      <c r="A768" s="79" t="s">
        <v>78</v>
      </c>
      <c r="D768" s="79" t="s">
        <v>5770</v>
      </c>
      <c r="E768" s="79" t="s">
        <v>5771</v>
      </c>
      <c r="G768" s="79" t="s">
        <v>5772</v>
      </c>
      <c r="H768" s="79" t="s">
        <v>5773</v>
      </c>
      <c r="J768" s="79" t="s">
        <v>5774</v>
      </c>
      <c r="K768" s="79" t="s">
        <v>5775</v>
      </c>
      <c r="L768" s="79" t="s">
        <v>5776</v>
      </c>
      <c r="M768" s="79" t="s">
        <v>5777</v>
      </c>
      <c r="N768" s="79" t="s">
        <v>5778</v>
      </c>
      <c r="O768" s="79" t="s">
        <v>5779</v>
      </c>
      <c r="P768" s="79" t="s">
        <v>5780</v>
      </c>
      <c r="Q768" s="79" t="s">
        <v>5781</v>
      </c>
      <c r="R768" s="79" t="s">
        <v>5782</v>
      </c>
    </row>
    <row r="769" spans="1:18" x14ac:dyDescent="0.25">
      <c r="A769" s="79" t="s">
        <v>78</v>
      </c>
      <c r="B769" s="79" t="s">
        <v>5783</v>
      </c>
      <c r="D769" s="79" t="s">
        <v>5784</v>
      </c>
      <c r="E769" s="79" t="s">
        <v>5785</v>
      </c>
      <c r="F769" s="79" t="s">
        <v>5786</v>
      </c>
      <c r="H769" s="79" t="s">
        <v>5787</v>
      </c>
      <c r="J769" s="79" t="s">
        <v>5788</v>
      </c>
      <c r="K769" s="79" t="s">
        <v>5789</v>
      </c>
      <c r="M769" s="79" t="s">
        <v>5790</v>
      </c>
      <c r="N769" s="79" t="s">
        <v>5791</v>
      </c>
      <c r="O769" s="79" t="s">
        <v>5792</v>
      </c>
      <c r="P769" s="79" t="s">
        <v>5793</v>
      </c>
      <c r="Q769" s="79" t="s">
        <v>5794</v>
      </c>
      <c r="R769" s="79" t="s">
        <v>5782</v>
      </c>
    </row>
    <row r="770" spans="1:18" x14ac:dyDescent="0.25">
      <c r="A770" s="79" t="s">
        <v>78</v>
      </c>
    </row>
    <row r="771" spans="1:18" x14ac:dyDescent="0.25">
      <c r="A771" s="79" t="s">
        <v>78</v>
      </c>
      <c r="D771" s="79" t="s">
        <v>5795</v>
      </c>
      <c r="E771" s="79" t="s">
        <v>5796</v>
      </c>
      <c r="G771" s="79" t="s">
        <v>5797</v>
      </c>
      <c r="H771" s="79" t="s">
        <v>5798</v>
      </c>
      <c r="J771" s="79" t="s">
        <v>5799</v>
      </c>
      <c r="K771" s="79" t="s">
        <v>5800</v>
      </c>
      <c r="L771" s="79" t="s">
        <v>5801</v>
      </c>
      <c r="M771" s="79" t="s">
        <v>5802</v>
      </c>
      <c r="N771" s="79" t="s">
        <v>5803</v>
      </c>
      <c r="O771" s="79" t="s">
        <v>5804</v>
      </c>
      <c r="P771" s="79" t="s">
        <v>5805</v>
      </c>
      <c r="Q771" s="79" t="s">
        <v>5806</v>
      </c>
      <c r="R771" s="79" t="s">
        <v>5807</v>
      </c>
    </row>
    <row r="772" spans="1:18" x14ac:dyDescent="0.25">
      <c r="A772" s="79" t="s">
        <v>78</v>
      </c>
      <c r="B772" s="79" t="s">
        <v>5808</v>
      </c>
      <c r="D772" s="79" t="s">
        <v>5809</v>
      </c>
      <c r="E772" s="79" t="s">
        <v>5810</v>
      </c>
      <c r="F772" s="79" t="s">
        <v>5811</v>
      </c>
      <c r="H772" s="79" t="s">
        <v>5812</v>
      </c>
      <c r="J772" s="79" t="s">
        <v>5813</v>
      </c>
      <c r="K772" s="79" t="s">
        <v>5814</v>
      </c>
      <c r="M772" s="79" t="s">
        <v>5815</v>
      </c>
      <c r="N772" s="79" t="s">
        <v>5816</v>
      </c>
      <c r="O772" s="79" t="s">
        <v>5817</v>
      </c>
      <c r="P772" s="79" t="s">
        <v>5818</v>
      </c>
      <c r="Q772" s="79" t="s">
        <v>5819</v>
      </c>
      <c r="R772" s="79" t="s">
        <v>5807</v>
      </c>
    </row>
    <row r="773" spans="1:18" x14ac:dyDescent="0.25">
      <c r="A773" s="79" t="s">
        <v>78</v>
      </c>
    </row>
    <row r="774" spans="1:18" x14ac:dyDescent="0.25">
      <c r="A774" s="79" t="s">
        <v>78</v>
      </c>
      <c r="D774" s="79" t="s">
        <v>5820</v>
      </c>
      <c r="E774" s="79" t="s">
        <v>5821</v>
      </c>
      <c r="G774" s="79" t="s">
        <v>5822</v>
      </c>
      <c r="H774" s="79" t="s">
        <v>5823</v>
      </c>
      <c r="J774" s="79" t="s">
        <v>5824</v>
      </c>
      <c r="K774" s="79" t="s">
        <v>5825</v>
      </c>
      <c r="L774" s="79" t="s">
        <v>5826</v>
      </c>
      <c r="M774" s="79" t="s">
        <v>5827</v>
      </c>
      <c r="N774" s="79" t="s">
        <v>5828</v>
      </c>
      <c r="O774" s="79" t="s">
        <v>5829</v>
      </c>
      <c r="P774" s="79" t="s">
        <v>5830</v>
      </c>
      <c r="Q774" s="79" t="s">
        <v>5831</v>
      </c>
      <c r="R774" s="79" t="s">
        <v>5832</v>
      </c>
    </row>
    <row r="775" spans="1:18" x14ac:dyDescent="0.25">
      <c r="A775" s="79" t="s">
        <v>78</v>
      </c>
      <c r="B775" s="79" t="s">
        <v>5833</v>
      </c>
      <c r="D775" s="79" t="s">
        <v>5834</v>
      </c>
      <c r="E775" s="79" t="s">
        <v>5835</v>
      </c>
      <c r="F775" s="79" t="s">
        <v>5836</v>
      </c>
      <c r="H775" s="79" t="s">
        <v>5837</v>
      </c>
      <c r="J775" s="79" t="s">
        <v>5838</v>
      </c>
      <c r="K775" s="79" t="s">
        <v>5839</v>
      </c>
      <c r="M775" s="79" t="s">
        <v>5840</v>
      </c>
      <c r="N775" s="79" t="s">
        <v>5841</v>
      </c>
      <c r="O775" s="79" t="s">
        <v>5842</v>
      </c>
      <c r="P775" s="79" t="s">
        <v>5843</v>
      </c>
      <c r="Q775" s="79" t="s">
        <v>5844</v>
      </c>
      <c r="R775" s="79" t="s">
        <v>5832</v>
      </c>
    </row>
    <row r="776" spans="1:18" x14ac:dyDescent="0.25">
      <c r="A776" s="79" t="s">
        <v>78</v>
      </c>
    </row>
    <row r="777" spans="1:18" x14ac:dyDescent="0.25">
      <c r="A777" s="79" t="s">
        <v>78</v>
      </c>
      <c r="D777" s="79" t="s">
        <v>5845</v>
      </c>
      <c r="E777" s="79" t="s">
        <v>5846</v>
      </c>
      <c r="G777" s="79" t="s">
        <v>5847</v>
      </c>
      <c r="H777" s="79" t="s">
        <v>5848</v>
      </c>
      <c r="J777" s="79" t="s">
        <v>5849</v>
      </c>
      <c r="K777" s="79" t="s">
        <v>5850</v>
      </c>
      <c r="L777" s="79" t="s">
        <v>5851</v>
      </c>
      <c r="M777" s="79" t="s">
        <v>5852</v>
      </c>
      <c r="N777" s="79" t="s">
        <v>5853</v>
      </c>
      <c r="O777" s="79" t="s">
        <v>5854</v>
      </c>
      <c r="P777" s="79" t="s">
        <v>5855</v>
      </c>
      <c r="Q777" s="79" t="s">
        <v>5856</v>
      </c>
      <c r="R777" s="79" t="s">
        <v>5857</v>
      </c>
    </row>
    <row r="778" spans="1:18" x14ac:dyDescent="0.25">
      <c r="A778" s="79" t="s">
        <v>78</v>
      </c>
      <c r="B778" s="79" t="s">
        <v>5858</v>
      </c>
      <c r="D778" s="79" t="s">
        <v>5859</v>
      </c>
      <c r="E778" s="79" t="s">
        <v>5860</v>
      </c>
      <c r="F778" s="79" t="s">
        <v>5861</v>
      </c>
      <c r="H778" s="79" t="s">
        <v>5862</v>
      </c>
      <c r="J778" s="79" t="s">
        <v>5863</v>
      </c>
      <c r="K778" s="79" t="s">
        <v>5864</v>
      </c>
      <c r="M778" s="79" t="s">
        <v>5865</v>
      </c>
      <c r="N778" s="79" t="s">
        <v>5866</v>
      </c>
      <c r="O778" s="79" t="s">
        <v>5867</v>
      </c>
      <c r="P778" s="79" t="s">
        <v>5868</v>
      </c>
      <c r="Q778" s="79" t="s">
        <v>5869</v>
      </c>
      <c r="R778" s="79" t="s">
        <v>5857</v>
      </c>
    </row>
    <row r="779" spans="1:18" x14ac:dyDescent="0.25">
      <c r="A779" s="79" t="s">
        <v>78</v>
      </c>
    </row>
    <row r="780" spans="1:18" x14ac:dyDescent="0.25">
      <c r="A780" s="79" t="s">
        <v>78</v>
      </c>
      <c r="D780" s="79" t="s">
        <v>5870</v>
      </c>
      <c r="E780" s="79" t="s">
        <v>5871</v>
      </c>
      <c r="G780" s="79" t="s">
        <v>5872</v>
      </c>
      <c r="H780" s="79" t="s">
        <v>5873</v>
      </c>
      <c r="J780" s="79" t="s">
        <v>5874</v>
      </c>
      <c r="K780" s="79" t="s">
        <v>5875</v>
      </c>
      <c r="L780" s="79" t="s">
        <v>5876</v>
      </c>
      <c r="M780" s="79" t="s">
        <v>5877</v>
      </c>
      <c r="N780" s="79" t="s">
        <v>5878</v>
      </c>
      <c r="O780" s="79" t="s">
        <v>5879</v>
      </c>
      <c r="P780" s="79" t="s">
        <v>5880</v>
      </c>
      <c r="Q780" s="79" t="s">
        <v>5881</v>
      </c>
      <c r="R780" s="79" t="s">
        <v>5882</v>
      </c>
    </row>
    <row r="781" spans="1:18" x14ac:dyDescent="0.25">
      <c r="A781" s="79" t="s">
        <v>78</v>
      </c>
      <c r="B781" s="79" t="s">
        <v>5883</v>
      </c>
      <c r="D781" s="79" t="s">
        <v>5884</v>
      </c>
      <c r="E781" s="79" t="s">
        <v>5885</v>
      </c>
      <c r="F781" s="79" t="s">
        <v>5886</v>
      </c>
      <c r="H781" s="79" t="s">
        <v>5887</v>
      </c>
      <c r="J781" s="79" t="s">
        <v>5888</v>
      </c>
      <c r="K781" s="79" t="s">
        <v>5889</v>
      </c>
      <c r="M781" s="79" t="s">
        <v>5890</v>
      </c>
      <c r="N781" s="79" t="s">
        <v>5891</v>
      </c>
      <c r="O781" s="79" t="s">
        <v>5892</v>
      </c>
      <c r="P781" s="79" t="s">
        <v>5893</v>
      </c>
      <c r="Q781" s="79" t="s">
        <v>5894</v>
      </c>
      <c r="R781" s="79" t="s">
        <v>5882</v>
      </c>
    </row>
    <row r="782" spans="1:18" x14ac:dyDescent="0.25">
      <c r="A782" s="79" t="s">
        <v>78</v>
      </c>
    </row>
    <row r="783" spans="1:18" x14ac:dyDescent="0.25">
      <c r="A783" s="79" t="s">
        <v>78</v>
      </c>
      <c r="D783" s="79" t="s">
        <v>5895</v>
      </c>
      <c r="E783" s="79" t="s">
        <v>5896</v>
      </c>
      <c r="G783" s="79" t="s">
        <v>5897</v>
      </c>
      <c r="H783" s="79" t="s">
        <v>5898</v>
      </c>
      <c r="J783" s="79" t="s">
        <v>5899</v>
      </c>
      <c r="K783" s="79" t="s">
        <v>5900</v>
      </c>
      <c r="L783" s="79" t="s">
        <v>5901</v>
      </c>
      <c r="M783" s="79" t="s">
        <v>5902</v>
      </c>
      <c r="N783" s="79" t="s">
        <v>5903</v>
      </c>
      <c r="O783" s="79" t="s">
        <v>5904</v>
      </c>
      <c r="P783" s="79" t="s">
        <v>5905</v>
      </c>
      <c r="Q783" s="79" t="s">
        <v>5906</v>
      </c>
      <c r="R783" s="79" t="s">
        <v>5907</v>
      </c>
    </row>
    <row r="784" spans="1:18" x14ac:dyDescent="0.25">
      <c r="A784" s="79" t="s">
        <v>78</v>
      </c>
      <c r="B784" s="79" t="s">
        <v>5908</v>
      </c>
      <c r="D784" s="79" t="s">
        <v>5909</v>
      </c>
      <c r="E784" s="79" t="s">
        <v>5910</v>
      </c>
      <c r="F784" s="79" t="s">
        <v>5911</v>
      </c>
      <c r="H784" s="79" t="s">
        <v>5912</v>
      </c>
      <c r="J784" s="79" t="s">
        <v>5913</v>
      </c>
      <c r="K784" s="79" t="s">
        <v>5914</v>
      </c>
      <c r="M784" s="79" t="s">
        <v>5915</v>
      </c>
      <c r="N784" s="79" t="s">
        <v>5916</v>
      </c>
      <c r="O784" s="79" t="s">
        <v>5917</v>
      </c>
      <c r="P784" s="79" t="s">
        <v>5918</v>
      </c>
      <c r="Q784" s="79" t="s">
        <v>5919</v>
      </c>
      <c r="R784" s="79" t="s">
        <v>5907</v>
      </c>
    </row>
    <row r="785" spans="1:18" x14ac:dyDescent="0.25">
      <c r="A785" s="79" t="s">
        <v>78</v>
      </c>
    </row>
    <row r="786" spans="1:18" x14ac:dyDescent="0.25">
      <c r="A786" s="79" t="s">
        <v>78</v>
      </c>
      <c r="D786" s="79" t="s">
        <v>5920</v>
      </c>
      <c r="E786" s="79" t="s">
        <v>5921</v>
      </c>
      <c r="G786" s="79" t="s">
        <v>5922</v>
      </c>
      <c r="H786" s="79" t="s">
        <v>5923</v>
      </c>
      <c r="J786" s="79" t="s">
        <v>5924</v>
      </c>
      <c r="K786" s="79" t="s">
        <v>5925</v>
      </c>
      <c r="L786" s="79" t="s">
        <v>5926</v>
      </c>
      <c r="M786" s="79" t="s">
        <v>5927</v>
      </c>
      <c r="N786" s="79" t="s">
        <v>5928</v>
      </c>
      <c r="O786" s="79" t="s">
        <v>5929</v>
      </c>
      <c r="P786" s="79" t="s">
        <v>5930</v>
      </c>
      <c r="Q786" s="79" t="s">
        <v>5931</v>
      </c>
      <c r="R786" s="79" t="s">
        <v>5932</v>
      </c>
    </row>
    <row r="787" spans="1:18" x14ac:dyDescent="0.25">
      <c r="A787" s="79" t="s">
        <v>78</v>
      </c>
      <c r="B787" s="79" t="s">
        <v>5933</v>
      </c>
      <c r="D787" s="79" t="s">
        <v>5934</v>
      </c>
      <c r="E787" s="79" t="s">
        <v>5935</v>
      </c>
      <c r="F787" s="79" t="s">
        <v>5936</v>
      </c>
      <c r="H787" s="79" t="s">
        <v>5937</v>
      </c>
      <c r="J787" s="79" t="s">
        <v>5938</v>
      </c>
      <c r="K787" s="79" t="s">
        <v>5939</v>
      </c>
      <c r="M787" s="79" t="s">
        <v>5940</v>
      </c>
      <c r="N787" s="79" t="s">
        <v>5941</v>
      </c>
      <c r="O787" s="79" t="s">
        <v>5942</v>
      </c>
      <c r="P787" s="79" t="s">
        <v>5943</v>
      </c>
      <c r="Q787" s="79" t="s">
        <v>5944</v>
      </c>
      <c r="R787" s="79" t="s">
        <v>5932</v>
      </c>
    </row>
    <row r="788" spans="1:18" x14ac:dyDescent="0.25">
      <c r="A788" s="79" t="s">
        <v>78</v>
      </c>
    </row>
    <row r="789" spans="1:18" x14ac:dyDescent="0.25">
      <c r="A789" s="79" t="s">
        <v>78</v>
      </c>
      <c r="D789" s="79" t="s">
        <v>5945</v>
      </c>
      <c r="E789" s="79" t="s">
        <v>5946</v>
      </c>
      <c r="G789" s="79" t="s">
        <v>5947</v>
      </c>
      <c r="H789" s="79" t="s">
        <v>5948</v>
      </c>
      <c r="J789" s="79" t="s">
        <v>5949</v>
      </c>
      <c r="K789" s="79" t="s">
        <v>5950</v>
      </c>
      <c r="L789" s="79" t="s">
        <v>5951</v>
      </c>
      <c r="M789" s="79" t="s">
        <v>5952</v>
      </c>
      <c r="N789" s="79" t="s">
        <v>5953</v>
      </c>
      <c r="O789" s="79" t="s">
        <v>5954</v>
      </c>
      <c r="P789" s="79" t="s">
        <v>5955</v>
      </c>
      <c r="Q789" s="79" t="s">
        <v>5956</v>
      </c>
      <c r="R789" s="79" t="s">
        <v>5957</v>
      </c>
    </row>
    <row r="790" spans="1:18" x14ac:dyDescent="0.25">
      <c r="A790" s="79" t="s">
        <v>78</v>
      </c>
      <c r="B790" s="79" t="s">
        <v>5958</v>
      </c>
      <c r="D790" s="79" t="s">
        <v>5959</v>
      </c>
      <c r="E790" s="79" t="s">
        <v>5960</v>
      </c>
      <c r="F790" s="79" t="s">
        <v>5961</v>
      </c>
      <c r="H790" s="79" t="s">
        <v>5962</v>
      </c>
      <c r="J790" s="79" t="s">
        <v>5963</v>
      </c>
      <c r="K790" s="79" t="s">
        <v>5964</v>
      </c>
      <c r="M790" s="79" t="s">
        <v>5965</v>
      </c>
      <c r="N790" s="79" t="s">
        <v>5966</v>
      </c>
      <c r="O790" s="79" t="s">
        <v>5967</v>
      </c>
      <c r="P790" s="79" t="s">
        <v>5968</v>
      </c>
      <c r="Q790" s="79" t="s">
        <v>5969</v>
      </c>
      <c r="R790" s="79" t="s">
        <v>5957</v>
      </c>
    </row>
    <row r="791" spans="1:18" x14ac:dyDescent="0.25">
      <c r="A791" s="79" t="s">
        <v>78</v>
      </c>
    </row>
    <row r="792" spans="1:18" x14ac:dyDescent="0.25">
      <c r="A792" s="79" t="s">
        <v>78</v>
      </c>
      <c r="D792" s="79" t="s">
        <v>5970</v>
      </c>
      <c r="E792" s="79" t="s">
        <v>5971</v>
      </c>
      <c r="G792" s="79" t="s">
        <v>5972</v>
      </c>
      <c r="H792" s="79" t="s">
        <v>5973</v>
      </c>
      <c r="J792" s="79" t="s">
        <v>5974</v>
      </c>
      <c r="K792" s="79" t="s">
        <v>5975</v>
      </c>
      <c r="L792" s="79" t="s">
        <v>5976</v>
      </c>
      <c r="M792" s="79" t="s">
        <v>5977</v>
      </c>
      <c r="N792" s="79" t="s">
        <v>5978</v>
      </c>
      <c r="O792" s="79" t="s">
        <v>5979</v>
      </c>
      <c r="P792" s="79" t="s">
        <v>5980</v>
      </c>
      <c r="Q792" s="79" t="s">
        <v>5981</v>
      </c>
      <c r="R792" s="79" t="s">
        <v>5982</v>
      </c>
    </row>
    <row r="793" spans="1:18" x14ac:dyDescent="0.25">
      <c r="A793" s="79" t="s">
        <v>78</v>
      </c>
      <c r="B793" s="79" t="s">
        <v>5983</v>
      </c>
      <c r="D793" s="79" t="s">
        <v>5984</v>
      </c>
      <c r="E793" s="79" t="s">
        <v>5985</v>
      </c>
      <c r="F793" s="79" t="s">
        <v>5986</v>
      </c>
      <c r="H793" s="79" t="s">
        <v>5987</v>
      </c>
      <c r="J793" s="79" t="s">
        <v>5988</v>
      </c>
      <c r="K793" s="79" t="s">
        <v>5989</v>
      </c>
      <c r="M793" s="79" t="s">
        <v>5990</v>
      </c>
      <c r="N793" s="79" t="s">
        <v>5991</v>
      </c>
      <c r="O793" s="79" t="s">
        <v>5992</v>
      </c>
      <c r="P793" s="79" t="s">
        <v>5993</v>
      </c>
      <c r="Q793" s="79" t="s">
        <v>5994</v>
      </c>
      <c r="R793" s="79" t="s">
        <v>5982</v>
      </c>
    </row>
    <row r="794" spans="1:18" x14ac:dyDescent="0.25">
      <c r="A794" s="79" t="s">
        <v>78</v>
      </c>
    </row>
    <row r="795" spans="1:18" x14ac:dyDescent="0.25">
      <c r="A795" s="79" t="s">
        <v>78</v>
      </c>
      <c r="D795" s="79" t="s">
        <v>5995</v>
      </c>
      <c r="E795" s="79" t="s">
        <v>5996</v>
      </c>
      <c r="G795" s="79" t="s">
        <v>5997</v>
      </c>
      <c r="H795" s="79" t="s">
        <v>5998</v>
      </c>
      <c r="J795" s="79" t="s">
        <v>5999</v>
      </c>
      <c r="K795" s="79" t="s">
        <v>6000</v>
      </c>
      <c r="L795" s="79" t="s">
        <v>6001</v>
      </c>
      <c r="M795" s="79" t="s">
        <v>6002</v>
      </c>
      <c r="N795" s="79" t="s">
        <v>6003</v>
      </c>
      <c r="O795" s="79" t="s">
        <v>6004</v>
      </c>
      <c r="P795" s="79" t="s">
        <v>6005</v>
      </c>
      <c r="Q795" s="79" t="s">
        <v>6006</v>
      </c>
      <c r="R795" s="79" t="s">
        <v>6007</v>
      </c>
    </row>
    <row r="796" spans="1:18" x14ac:dyDescent="0.25">
      <c r="A796" s="79" t="s">
        <v>78</v>
      </c>
      <c r="B796" s="79" t="s">
        <v>6008</v>
      </c>
      <c r="D796" s="79" t="s">
        <v>6009</v>
      </c>
      <c r="E796" s="79" t="s">
        <v>6010</v>
      </c>
      <c r="F796" s="79" t="s">
        <v>6011</v>
      </c>
      <c r="H796" s="79" t="s">
        <v>6012</v>
      </c>
      <c r="J796" s="79" t="s">
        <v>6013</v>
      </c>
      <c r="K796" s="79" t="s">
        <v>6014</v>
      </c>
      <c r="M796" s="79" t="s">
        <v>6015</v>
      </c>
      <c r="N796" s="79" t="s">
        <v>6016</v>
      </c>
      <c r="O796" s="79" t="s">
        <v>6017</v>
      </c>
      <c r="P796" s="79" t="s">
        <v>6018</v>
      </c>
      <c r="Q796" s="79" t="s">
        <v>6019</v>
      </c>
      <c r="R796" s="79" t="s">
        <v>6007</v>
      </c>
    </row>
    <row r="797" spans="1:18" x14ac:dyDescent="0.25">
      <c r="A797" s="79" t="s">
        <v>78</v>
      </c>
    </row>
    <row r="798" spans="1:18" x14ac:dyDescent="0.25">
      <c r="A798" s="79" t="s">
        <v>78</v>
      </c>
      <c r="D798" s="79" t="s">
        <v>6020</v>
      </c>
      <c r="E798" s="79" t="s">
        <v>6021</v>
      </c>
      <c r="G798" s="79" t="s">
        <v>6022</v>
      </c>
      <c r="H798" s="79" t="s">
        <v>6023</v>
      </c>
      <c r="J798" s="79" t="s">
        <v>6024</v>
      </c>
      <c r="K798" s="79" t="s">
        <v>6025</v>
      </c>
      <c r="L798" s="79" t="s">
        <v>6026</v>
      </c>
      <c r="M798" s="79" t="s">
        <v>6027</v>
      </c>
      <c r="N798" s="79" t="s">
        <v>6028</v>
      </c>
      <c r="O798" s="79" t="s">
        <v>6029</v>
      </c>
      <c r="P798" s="79" t="s">
        <v>6030</v>
      </c>
      <c r="Q798" s="79" t="s">
        <v>6031</v>
      </c>
      <c r="R798" s="79" t="s">
        <v>6032</v>
      </c>
    </row>
    <row r="799" spans="1:18" x14ac:dyDescent="0.25">
      <c r="A799" s="79" t="s">
        <v>78</v>
      </c>
      <c r="B799" s="79" t="s">
        <v>6033</v>
      </c>
      <c r="D799" s="79" t="s">
        <v>6034</v>
      </c>
      <c r="E799" s="79" t="s">
        <v>6035</v>
      </c>
      <c r="F799" s="79" t="s">
        <v>6036</v>
      </c>
      <c r="H799" s="79" t="s">
        <v>6037</v>
      </c>
      <c r="J799" s="79" t="s">
        <v>6038</v>
      </c>
      <c r="K799" s="79" t="s">
        <v>6039</v>
      </c>
      <c r="M799" s="79" t="s">
        <v>6040</v>
      </c>
      <c r="N799" s="79" t="s">
        <v>6041</v>
      </c>
      <c r="O799" s="79" t="s">
        <v>6042</v>
      </c>
      <c r="P799" s="79" t="s">
        <v>6043</v>
      </c>
      <c r="Q799" s="79" t="s">
        <v>6044</v>
      </c>
      <c r="R799" s="79" t="s">
        <v>6032</v>
      </c>
    </row>
    <row r="800" spans="1:18" x14ac:dyDescent="0.25">
      <c r="A800" s="79" t="s">
        <v>78</v>
      </c>
    </row>
    <row r="801" spans="1:18" x14ac:dyDescent="0.25">
      <c r="A801" s="79" t="s">
        <v>78</v>
      </c>
      <c r="D801" s="79" t="s">
        <v>6045</v>
      </c>
      <c r="E801" s="79" t="s">
        <v>6046</v>
      </c>
      <c r="G801" s="79" t="s">
        <v>6047</v>
      </c>
      <c r="H801" s="79" t="s">
        <v>6048</v>
      </c>
      <c r="J801" s="79" t="s">
        <v>6049</v>
      </c>
      <c r="K801" s="79" t="s">
        <v>6050</v>
      </c>
      <c r="L801" s="79" t="s">
        <v>6051</v>
      </c>
      <c r="M801" s="79" t="s">
        <v>6052</v>
      </c>
      <c r="N801" s="79" t="s">
        <v>6053</v>
      </c>
      <c r="O801" s="79" t="s">
        <v>6054</v>
      </c>
      <c r="P801" s="79" t="s">
        <v>6055</v>
      </c>
      <c r="Q801" s="79" t="s">
        <v>6056</v>
      </c>
      <c r="R801" s="79" t="s">
        <v>6057</v>
      </c>
    </row>
    <row r="802" spans="1:18" x14ac:dyDescent="0.25">
      <c r="A802" s="79" t="s">
        <v>78</v>
      </c>
      <c r="B802" s="79" t="s">
        <v>6058</v>
      </c>
      <c r="D802" s="79" t="s">
        <v>6059</v>
      </c>
      <c r="E802" s="79" t="s">
        <v>6060</v>
      </c>
      <c r="F802" s="79" t="s">
        <v>6061</v>
      </c>
      <c r="H802" s="79" t="s">
        <v>6062</v>
      </c>
      <c r="J802" s="79" t="s">
        <v>6063</v>
      </c>
      <c r="K802" s="79" t="s">
        <v>6064</v>
      </c>
      <c r="M802" s="79" t="s">
        <v>6065</v>
      </c>
      <c r="N802" s="79" t="s">
        <v>6066</v>
      </c>
      <c r="O802" s="79" t="s">
        <v>6067</v>
      </c>
      <c r="P802" s="79" t="s">
        <v>6068</v>
      </c>
      <c r="Q802" s="79" t="s">
        <v>6069</v>
      </c>
      <c r="R802" s="79" t="s">
        <v>6057</v>
      </c>
    </row>
    <row r="803" spans="1:18" x14ac:dyDescent="0.25">
      <c r="A803" s="79" t="s">
        <v>78</v>
      </c>
    </row>
    <row r="804" spans="1:18" x14ac:dyDescent="0.25">
      <c r="A804" s="79" t="s">
        <v>78</v>
      </c>
      <c r="D804" s="79" t="s">
        <v>6070</v>
      </c>
      <c r="E804" s="79" t="s">
        <v>6071</v>
      </c>
      <c r="G804" s="79" t="s">
        <v>6072</v>
      </c>
      <c r="H804" s="79" t="s">
        <v>6073</v>
      </c>
      <c r="J804" s="79" t="s">
        <v>6074</v>
      </c>
      <c r="K804" s="79" t="s">
        <v>6075</v>
      </c>
      <c r="L804" s="79" t="s">
        <v>6076</v>
      </c>
      <c r="M804" s="79" t="s">
        <v>6077</v>
      </c>
      <c r="N804" s="79" t="s">
        <v>6078</v>
      </c>
      <c r="O804" s="79" t="s">
        <v>6079</v>
      </c>
      <c r="P804" s="79" t="s">
        <v>6080</v>
      </c>
      <c r="Q804" s="79" t="s">
        <v>6081</v>
      </c>
      <c r="R804" s="79" t="s">
        <v>6082</v>
      </c>
    </row>
    <row r="805" spans="1:18" x14ac:dyDescent="0.25">
      <c r="A805" s="79" t="s">
        <v>78</v>
      </c>
      <c r="B805" s="79" t="s">
        <v>6083</v>
      </c>
      <c r="D805" s="79" t="s">
        <v>6084</v>
      </c>
      <c r="E805" s="79" t="s">
        <v>6085</v>
      </c>
      <c r="F805" s="79" t="s">
        <v>6086</v>
      </c>
      <c r="H805" s="79" t="s">
        <v>6087</v>
      </c>
      <c r="J805" s="79" t="s">
        <v>6088</v>
      </c>
      <c r="K805" s="79" t="s">
        <v>6089</v>
      </c>
      <c r="M805" s="79" t="s">
        <v>6090</v>
      </c>
      <c r="N805" s="79" t="s">
        <v>6091</v>
      </c>
      <c r="O805" s="79" t="s">
        <v>6092</v>
      </c>
      <c r="P805" s="79" t="s">
        <v>6093</v>
      </c>
      <c r="Q805" s="79" t="s">
        <v>6094</v>
      </c>
      <c r="R805" s="79" t="s">
        <v>6082</v>
      </c>
    </row>
    <row r="806" spans="1:18" x14ac:dyDescent="0.25">
      <c r="A806" s="79" t="s">
        <v>78</v>
      </c>
    </row>
    <row r="807" spans="1:18" x14ac:dyDescent="0.25">
      <c r="A807" s="79" t="s">
        <v>78</v>
      </c>
      <c r="D807" s="79" t="s">
        <v>6095</v>
      </c>
      <c r="E807" s="79" t="s">
        <v>6096</v>
      </c>
      <c r="G807" s="79" t="s">
        <v>6097</v>
      </c>
      <c r="H807" s="79" t="s">
        <v>6098</v>
      </c>
      <c r="J807" s="79" t="s">
        <v>6099</v>
      </c>
      <c r="K807" s="79" t="s">
        <v>6100</v>
      </c>
      <c r="L807" s="79" t="s">
        <v>6101</v>
      </c>
      <c r="M807" s="79" t="s">
        <v>6102</v>
      </c>
      <c r="N807" s="79" t="s">
        <v>6103</v>
      </c>
      <c r="O807" s="79" t="s">
        <v>6104</v>
      </c>
      <c r="P807" s="79" t="s">
        <v>6105</v>
      </c>
      <c r="Q807" s="79" t="s">
        <v>6106</v>
      </c>
      <c r="R807" s="79" t="s">
        <v>6107</v>
      </c>
    </row>
    <row r="808" spans="1:18" x14ac:dyDescent="0.25">
      <c r="A808" s="79" t="s">
        <v>78</v>
      </c>
      <c r="B808" s="79" t="s">
        <v>6108</v>
      </c>
      <c r="D808" s="79" t="s">
        <v>6109</v>
      </c>
      <c r="E808" s="79" t="s">
        <v>6110</v>
      </c>
      <c r="F808" s="79" t="s">
        <v>6111</v>
      </c>
      <c r="H808" s="79" t="s">
        <v>6112</v>
      </c>
      <c r="J808" s="79" t="s">
        <v>6113</v>
      </c>
      <c r="K808" s="79" t="s">
        <v>6114</v>
      </c>
      <c r="M808" s="79" t="s">
        <v>6115</v>
      </c>
      <c r="N808" s="79" t="s">
        <v>6116</v>
      </c>
      <c r="O808" s="79" t="s">
        <v>6117</v>
      </c>
      <c r="P808" s="79" t="s">
        <v>6118</v>
      </c>
      <c r="Q808" s="79" t="s">
        <v>6119</v>
      </c>
      <c r="R808" s="79" t="s">
        <v>6107</v>
      </c>
    </row>
    <row r="809" spans="1:18" x14ac:dyDescent="0.25">
      <c r="A809" s="79" t="s">
        <v>78</v>
      </c>
    </row>
    <row r="810" spans="1:18" x14ac:dyDescent="0.25">
      <c r="A810" s="79" t="s">
        <v>78</v>
      </c>
      <c r="D810" s="79" t="s">
        <v>6120</v>
      </c>
      <c r="E810" s="79" t="s">
        <v>6121</v>
      </c>
      <c r="G810" s="79" t="s">
        <v>6122</v>
      </c>
      <c r="H810" s="79" t="s">
        <v>6123</v>
      </c>
      <c r="J810" s="79" t="s">
        <v>6124</v>
      </c>
      <c r="K810" s="79" t="s">
        <v>6125</v>
      </c>
      <c r="L810" s="79" t="s">
        <v>6126</v>
      </c>
      <c r="M810" s="79" t="s">
        <v>6127</v>
      </c>
      <c r="N810" s="79" t="s">
        <v>6128</v>
      </c>
      <c r="O810" s="79" t="s">
        <v>6129</v>
      </c>
      <c r="P810" s="79" t="s">
        <v>6130</v>
      </c>
      <c r="Q810" s="79" t="s">
        <v>6131</v>
      </c>
      <c r="R810" s="79" t="s">
        <v>6132</v>
      </c>
    </row>
    <row r="811" spans="1:18" x14ac:dyDescent="0.25">
      <c r="A811" s="79" t="s">
        <v>78</v>
      </c>
      <c r="B811" s="79" t="s">
        <v>6133</v>
      </c>
      <c r="D811" s="79" t="s">
        <v>6134</v>
      </c>
      <c r="E811" s="79" t="s">
        <v>6135</v>
      </c>
      <c r="F811" s="79" t="s">
        <v>6136</v>
      </c>
      <c r="H811" s="79" t="s">
        <v>6137</v>
      </c>
      <c r="J811" s="79" t="s">
        <v>6138</v>
      </c>
      <c r="K811" s="79" t="s">
        <v>6139</v>
      </c>
      <c r="M811" s="79" t="s">
        <v>6140</v>
      </c>
      <c r="N811" s="79" t="s">
        <v>6141</v>
      </c>
      <c r="O811" s="79" t="s">
        <v>6142</v>
      </c>
      <c r="P811" s="79" t="s">
        <v>6143</v>
      </c>
      <c r="Q811" s="79" t="s">
        <v>6144</v>
      </c>
      <c r="R811" s="79" t="s">
        <v>6132</v>
      </c>
    </row>
    <row r="812" spans="1:18" x14ac:dyDescent="0.25">
      <c r="A812" s="79" t="s">
        <v>78</v>
      </c>
    </row>
    <row r="813" spans="1:18" x14ac:dyDescent="0.25">
      <c r="A813" s="79" t="s">
        <v>78</v>
      </c>
      <c r="D813" s="79" t="s">
        <v>6145</v>
      </c>
      <c r="E813" s="79" t="s">
        <v>6146</v>
      </c>
      <c r="G813" s="79" t="s">
        <v>6147</v>
      </c>
      <c r="H813" s="79" t="s">
        <v>6148</v>
      </c>
      <c r="J813" s="79" t="s">
        <v>6149</v>
      </c>
      <c r="K813" s="79" t="s">
        <v>6150</v>
      </c>
      <c r="L813" s="79" t="s">
        <v>6151</v>
      </c>
      <c r="M813" s="79" t="s">
        <v>6152</v>
      </c>
      <c r="N813" s="79" t="s">
        <v>6153</v>
      </c>
      <c r="O813" s="79" t="s">
        <v>6154</v>
      </c>
      <c r="P813" s="79" t="s">
        <v>6155</v>
      </c>
      <c r="Q813" s="79" t="s">
        <v>6156</v>
      </c>
      <c r="R813" s="79" t="s">
        <v>6157</v>
      </c>
    </row>
    <row r="814" spans="1:18" x14ac:dyDescent="0.25">
      <c r="A814" s="79" t="s">
        <v>78</v>
      </c>
      <c r="B814" s="79" t="s">
        <v>6158</v>
      </c>
      <c r="D814" s="79" t="s">
        <v>6159</v>
      </c>
      <c r="E814" s="79" t="s">
        <v>6160</v>
      </c>
      <c r="F814" s="79" t="s">
        <v>6161</v>
      </c>
      <c r="H814" s="79" t="s">
        <v>6162</v>
      </c>
      <c r="J814" s="79" t="s">
        <v>6163</v>
      </c>
      <c r="K814" s="79" t="s">
        <v>6164</v>
      </c>
      <c r="M814" s="79" t="s">
        <v>6165</v>
      </c>
      <c r="N814" s="79" t="s">
        <v>6166</v>
      </c>
      <c r="O814" s="79" t="s">
        <v>6167</v>
      </c>
      <c r="P814" s="79" t="s">
        <v>6168</v>
      </c>
      <c r="Q814" s="79" t="s">
        <v>6169</v>
      </c>
      <c r="R814" s="79" t="s">
        <v>6157</v>
      </c>
    </row>
    <row r="815" spans="1:18" x14ac:dyDescent="0.25">
      <c r="A815" s="79" t="s">
        <v>78</v>
      </c>
    </row>
    <row r="816" spans="1:18" x14ac:dyDescent="0.25">
      <c r="A816" s="79" t="s">
        <v>78</v>
      </c>
      <c r="D816" s="79" t="s">
        <v>6170</v>
      </c>
      <c r="E816" s="79" t="s">
        <v>6171</v>
      </c>
      <c r="G816" s="79" t="s">
        <v>6172</v>
      </c>
      <c r="H816" s="79" t="s">
        <v>6173</v>
      </c>
      <c r="J816" s="79" t="s">
        <v>6174</v>
      </c>
      <c r="K816" s="79" t="s">
        <v>6175</v>
      </c>
      <c r="L816" s="79" t="s">
        <v>6176</v>
      </c>
      <c r="M816" s="79" t="s">
        <v>6177</v>
      </c>
      <c r="N816" s="79" t="s">
        <v>6178</v>
      </c>
      <c r="O816" s="79" t="s">
        <v>6179</v>
      </c>
      <c r="P816" s="79" t="s">
        <v>6180</v>
      </c>
      <c r="Q816" s="79" t="s">
        <v>6181</v>
      </c>
      <c r="R816" s="79" t="s">
        <v>6182</v>
      </c>
    </row>
    <row r="817" spans="1:18" x14ac:dyDescent="0.25">
      <c r="A817" s="79" t="s">
        <v>78</v>
      </c>
      <c r="B817" s="79" t="s">
        <v>6183</v>
      </c>
      <c r="D817" s="79" t="s">
        <v>6184</v>
      </c>
      <c r="E817" s="79" t="s">
        <v>6185</v>
      </c>
      <c r="F817" s="79" t="s">
        <v>6186</v>
      </c>
      <c r="H817" s="79" t="s">
        <v>6187</v>
      </c>
      <c r="J817" s="79" t="s">
        <v>6188</v>
      </c>
      <c r="K817" s="79" t="s">
        <v>6189</v>
      </c>
      <c r="M817" s="79" t="s">
        <v>6190</v>
      </c>
      <c r="N817" s="79" t="s">
        <v>6191</v>
      </c>
      <c r="O817" s="79" t="s">
        <v>6192</v>
      </c>
      <c r="P817" s="79" t="s">
        <v>6193</v>
      </c>
      <c r="Q817" s="79" t="s">
        <v>6194</v>
      </c>
      <c r="R817" s="79" t="s">
        <v>6182</v>
      </c>
    </row>
    <row r="818" spans="1:18" x14ac:dyDescent="0.25">
      <c r="A818" s="79" t="s">
        <v>78</v>
      </c>
    </row>
    <row r="819" spans="1:18" x14ac:dyDescent="0.25">
      <c r="A819" s="79" t="s">
        <v>78</v>
      </c>
      <c r="D819" s="79" t="s">
        <v>6195</v>
      </c>
      <c r="E819" s="79" t="s">
        <v>6196</v>
      </c>
      <c r="G819" s="79" t="s">
        <v>6197</v>
      </c>
      <c r="H819" s="79" t="s">
        <v>6198</v>
      </c>
      <c r="J819" s="79" t="s">
        <v>6199</v>
      </c>
      <c r="K819" s="79" t="s">
        <v>6200</v>
      </c>
      <c r="L819" s="79" t="s">
        <v>6201</v>
      </c>
      <c r="M819" s="79" t="s">
        <v>6202</v>
      </c>
      <c r="N819" s="79" t="s">
        <v>6203</v>
      </c>
      <c r="O819" s="79" t="s">
        <v>6204</v>
      </c>
      <c r="P819" s="79" t="s">
        <v>6205</v>
      </c>
      <c r="Q819" s="79" t="s">
        <v>6206</v>
      </c>
      <c r="R819" s="79" t="s">
        <v>6207</v>
      </c>
    </row>
    <row r="820" spans="1:18" x14ac:dyDescent="0.25">
      <c r="A820" s="79" t="s">
        <v>78</v>
      </c>
      <c r="B820" s="79" t="s">
        <v>6208</v>
      </c>
      <c r="D820" s="79" t="s">
        <v>6209</v>
      </c>
      <c r="E820" s="79" t="s">
        <v>6210</v>
      </c>
      <c r="F820" s="79" t="s">
        <v>6211</v>
      </c>
      <c r="H820" s="79" t="s">
        <v>6212</v>
      </c>
      <c r="J820" s="79" t="s">
        <v>6213</v>
      </c>
      <c r="K820" s="79" t="s">
        <v>6214</v>
      </c>
      <c r="M820" s="79" t="s">
        <v>6215</v>
      </c>
      <c r="N820" s="79" t="s">
        <v>6216</v>
      </c>
      <c r="O820" s="79" t="s">
        <v>6217</v>
      </c>
      <c r="P820" s="79" t="s">
        <v>6218</v>
      </c>
      <c r="Q820" s="79" t="s">
        <v>6219</v>
      </c>
      <c r="R820" s="79" t="s">
        <v>6207</v>
      </c>
    </row>
    <row r="821" spans="1:18" x14ac:dyDescent="0.25">
      <c r="A821" s="79" t="s">
        <v>78</v>
      </c>
    </row>
    <row r="822" spans="1:18" x14ac:dyDescent="0.25">
      <c r="A822" s="79" t="s">
        <v>78</v>
      </c>
      <c r="D822" s="79" t="s">
        <v>6220</v>
      </c>
      <c r="E822" s="79" t="s">
        <v>6221</v>
      </c>
      <c r="G822" s="79" t="s">
        <v>6222</v>
      </c>
      <c r="H822" s="79" t="s">
        <v>6223</v>
      </c>
      <c r="J822" s="79" t="s">
        <v>6224</v>
      </c>
      <c r="K822" s="79" t="s">
        <v>6225</v>
      </c>
      <c r="L822" s="79" t="s">
        <v>6226</v>
      </c>
      <c r="M822" s="79" t="s">
        <v>6227</v>
      </c>
      <c r="N822" s="79" t="s">
        <v>6228</v>
      </c>
      <c r="O822" s="79" t="s">
        <v>6229</v>
      </c>
      <c r="P822" s="79" t="s">
        <v>6230</v>
      </c>
      <c r="Q822" s="79" t="s">
        <v>6231</v>
      </c>
      <c r="R822" s="79" t="s">
        <v>6232</v>
      </c>
    </row>
    <row r="823" spans="1:18" x14ac:dyDescent="0.25">
      <c r="A823" s="79" t="s">
        <v>78</v>
      </c>
      <c r="B823" s="79" t="s">
        <v>6233</v>
      </c>
      <c r="D823" s="79" t="s">
        <v>6234</v>
      </c>
      <c r="E823" s="79" t="s">
        <v>6235</v>
      </c>
      <c r="F823" s="79" t="s">
        <v>6236</v>
      </c>
      <c r="H823" s="79" t="s">
        <v>6237</v>
      </c>
      <c r="J823" s="79" t="s">
        <v>6238</v>
      </c>
      <c r="K823" s="79" t="s">
        <v>6239</v>
      </c>
      <c r="M823" s="79" t="s">
        <v>6240</v>
      </c>
      <c r="N823" s="79" t="s">
        <v>6241</v>
      </c>
      <c r="O823" s="79" t="s">
        <v>6242</v>
      </c>
      <c r="P823" s="79" t="s">
        <v>6243</v>
      </c>
      <c r="Q823" s="79" t="s">
        <v>6244</v>
      </c>
      <c r="R823" s="79" t="s">
        <v>6232</v>
      </c>
    </row>
    <row r="824" spans="1:18" x14ac:dyDescent="0.25">
      <c r="A824" s="79" t="s">
        <v>78</v>
      </c>
    </row>
    <row r="825" spans="1:18" x14ac:dyDescent="0.25">
      <c r="A825" s="79" t="s">
        <v>78</v>
      </c>
      <c r="D825" s="79" t="s">
        <v>6245</v>
      </c>
      <c r="E825" s="79" t="s">
        <v>6246</v>
      </c>
      <c r="G825" s="79" t="s">
        <v>6247</v>
      </c>
      <c r="H825" s="79" t="s">
        <v>6248</v>
      </c>
      <c r="J825" s="79" t="s">
        <v>6249</v>
      </c>
      <c r="K825" s="79" t="s">
        <v>6250</v>
      </c>
      <c r="L825" s="79" t="s">
        <v>6251</v>
      </c>
      <c r="M825" s="79" t="s">
        <v>6252</v>
      </c>
      <c r="N825" s="79" t="s">
        <v>6253</v>
      </c>
      <c r="O825" s="79" t="s">
        <v>6254</v>
      </c>
      <c r="P825" s="79" t="s">
        <v>6255</v>
      </c>
      <c r="Q825" s="79" t="s">
        <v>6256</v>
      </c>
      <c r="R825" s="79" t="s">
        <v>6257</v>
      </c>
    </row>
    <row r="826" spans="1:18" x14ac:dyDescent="0.25">
      <c r="A826" s="79" t="s">
        <v>78</v>
      </c>
      <c r="B826" s="79" t="s">
        <v>6258</v>
      </c>
      <c r="D826" s="79" t="s">
        <v>6259</v>
      </c>
      <c r="E826" s="79" t="s">
        <v>6260</v>
      </c>
      <c r="F826" s="79" t="s">
        <v>6261</v>
      </c>
      <c r="H826" s="79" t="s">
        <v>6262</v>
      </c>
      <c r="J826" s="79" t="s">
        <v>6263</v>
      </c>
      <c r="K826" s="79" t="s">
        <v>6264</v>
      </c>
      <c r="M826" s="79" t="s">
        <v>6265</v>
      </c>
      <c r="N826" s="79" t="s">
        <v>6266</v>
      </c>
      <c r="O826" s="79" t="s">
        <v>6267</v>
      </c>
      <c r="P826" s="79" t="s">
        <v>6268</v>
      </c>
      <c r="Q826" s="79" t="s">
        <v>6269</v>
      </c>
      <c r="R826" s="79" t="s">
        <v>6257</v>
      </c>
    </row>
    <row r="827" spans="1:18" x14ac:dyDescent="0.25">
      <c r="A827" s="79" t="s">
        <v>78</v>
      </c>
    </row>
    <row r="828" spans="1:18" x14ac:dyDescent="0.25">
      <c r="A828" s="79" t="s">
        <v>78</v>
      </c>
      <c r="D828" s="79" t="s">
        <v>6270</v>
      </c>
      <c r="E828" s="79" t="s">
        <v>6271</v>
      </c>
      <c r="G828" s="79" t="s">
        <v>6272</v>
      </c>
      <c r="H828" s="79" t="s">
        <v>6273</v>
      </c>
      <c r="J828" s="79" t="s">
        <v>6274</v>
      </c>
      <c r="K828" s="79" t="s">
        <v>6275</v>
      </c>
      <c r="L828" s="79" t="s">
        <v>6276</v>
      </c>
      <c r="M828" s="79" t="s">
        <v>6277</v>
      </c>
      <c r="N828" s="79" t="s">
        <v>6278</v>
      </c>
      <c r="O828" s="79" t="s">
        <v>6279</v>
      </c>
      <c r="P828" s="79" t="s">
        <v>6280</v>
      </c>
      <c r="Q828" s="79" t="s">
        <v>6281</v>
      </c>
      <c r="R828" s="79" t="s">
        <v>6282</v>
      </c>
    </row>
    <row r="829" spans="1:18" x14ac:dyDescent="0.25">
      <c r="A829" s="79" t="s">
        <v>78</v>
      </c>
      <c r="B829" s="79" t="s">
        <v>6283</v>
      </c>
      <c r="D829" s="79" t="s">
        <v>6284</v>
      </c>
      <c r="E829" s="79" t="s">
        <v>6285</v>
      </c>
      <c r="F829" s="79" t="s">
        <v>6286</v>
      </c>
      <c r="H829" s="79" t="s">
        <v>6287</v>
      </c>
      <c r="J829" s="79" t="s">
        <v>6288</v>
      </c>
      <c r="K829" s="79" t="s">
        <v>6289</v>
      </c>
      <c r="M829" s="79" t="s">
        <v>6290</v>
      </c>
      <c r="N829" s="79" t="s">
        <v>6291</v>
      </c>
      <c r="O829" s="79" t="s">
        <v>6292</v>
      </c>
      <c r="P829" s="79" t="s">
        <v>6293</v>
      </c>
      <c r="Q829" s="79" t="s">
        <v>6294</v>
      </c>
      <c r="R829" s="79" t="s">
        <v>6282</v>
      </c>
    </row>
    <row r="830" spans="1:18" x14ac:dyDescent="0.25">
      <c r="A830" s="79" t="s">
        <v>78</v>
      </c>
    </row>
    <row r="831" spans="1:18" x14ac:dyDescent="0.25">
      <c r="A831" s="79" t="s">
        <v>78</v>
      </c>
      <c r="D831" s="79" t="s">
        <v>6295</v>
      </c>
      <c r="E831" s="79" t="s">
        <v>6296</v>
      </c>
      <c r="G831" s="79" t="s">
        <v>6297</v>
      </c>
      <c r="H831" s="79" t="s">
        <v>6298</v>
      </c>
      <c r="J831" s="79" t="s">
        <v>6299</v>
      </c>
      <c r="K831" s="79" t="s">
        <v>6300</v>
      </c>
      <c r="L831" s="79" t="s">
        <v>6301</v>
      </c>
      <c r="M831" s="79" t="s">
        <v>6302</v>
      </c>
      <c r="N831" s="79" t="s">
        <v>6303</v>
      </c>
      <c r="O831" s="79" t="s">
        <v>6304</v>
      </c>
      <c r="P831" s="79" t="s">
        <v>6305</v>
      </c>
      <c r="Q831" s="79" t="s">
        <v>6306</v>
      </c>
      <c r="R831" s="79" t="s">
        <v>6307</v>
      </c>
    </row>
    <row r="832" spans="1:18" x14ac:dyDescent="0.25">
      <c r="A832" s="79" t="s">
        <v>78</v>
      </c>
      <c r="B832" s="79" t="s">
        <v>6308</v>
      </c>
      <c r="D832" s="79" t="s">
        <v>6309</v>
      </c>
      <c r="E832" s="79" t="s">
        <v>6310</v>
      </c>
      <c r="F832" s="79" t="s">
        <v>6311</v>
      </c>
      <c r="H832" s="79" t="s">
        <v>6312</v>
      </c>
      <c r="J832" s="79" t="s">
        <v>6313</v>
      </c>
      <c r="K832" s="79" t="s">
        <v>6314</v>
      </c>
      <c r="M832" s="79" t="s">
        <v>6315</v>
      </c>
      <c r="N832" s="79" t="s">
        <v>6316</v>
      </c>
      <c r="O832" s="79" t="s">
        <v>6317</v>
      </c>
      <c r="P832" s="79" t="s">
        <v>6318</v>
      </c>
      <c r="Q832" s="79" t="s">
        <v>6319</v>
      </c>
      <c r="R832" s="79" t="s">
        <v>6307</v>
      </c>
    </row>
    <row r="833" spans="1:18" x14ac:dyDescent="0.25">
      <c r="A833" s="79" t="s">
        <v>78</v>
      </c>
    </row>
    <row r="834" spans="1:18" x14ac:dyDescent="0.25">
      <c r="A834" s="79" t="s">
        <v>78</v>
      </c>
      <c r="D834" s="79" t="s">
        <v>6320</v>
      </c>
      <c r="E834" s="79" t="s">
        <v>6321</v>
      </c>
      <c r="G834" s="79" t="s">
        <v>6322</v>
      </c>
      <c r="H834" s="79" t="s">
        <v>6323</v>
      </c>
      <c r="J834" s="79" t="s">
        <v>6324</v>
      </c>
      <c r="K834" s="79" t="s">
        <v>6325</v>
      </c>
      <c r="L834" s="79" t="s">
        <v>6326</v>
      </c>
      <c r="M834" s="79" t="s">
        <v>6327</v>
      </c>
      <c r="N834" s="79" t="s">
        <v>6328</v>
      </c>
      <c r="O834" s="79" t="s">
        <v>6329</v>
      </c>
      <c r="P834" s="79" t="s">
        <v>6330</v>
      </c>
      <c r="Q834" s="79" t="s">
        <v>6331</v>
      </c>
      <c r="R834" s="79" t="s">
        <v>6332</v>
      </c>
    </row>
    <row r="835" spans="1:18" x14ac:dyDescent="0.25">
      <c r="A835" s="79" t="s">
        <v>78</v>
      </c>
      <c r="B835" s="79" t="s">
        <v>6333</v>
      </c>
      <c r="D835" s="79" t="s">
        <v>6334</v>
      </c>
      <c r="E835" s="79" t="s">
        <v>6335</v>
      </c>
      <c r="F835" s="79" t="s">
        <v>6336</v>
      </c>
      <c r="H835" s="79" t="s">
        <v>6337</v>
      </c>
      <c r="J835" s="79" t="s">
        <v>6338</v>
      </c>
      <c r="K835" s="79" t="s">
        <v>6339</v>
      </c>
      <c r="M835" s="79" t="s">
        <v>6340</v>
      </c>
      <c r="N835" s="79" t="s">
        <v>6341</v>
      </c>
      <c r="O835" s="79" t="s">
        <v>6342</v>
      </c>
      <c r="P835" s="79" t="s">
        <v>6343</v>
      </c>
      <c r="Q835" s="79" t="s">
        <v>6344</v>
      </c>
      <c r="R835" s="79" t="s">
        <v>6332</v>
      </c>
    </row>
    <row r="836" spans="1:18" x14ac:dyDescent="0.25">
      <c r="A836" s="79" t="s">
        <v>78</v>
      </c>
    </row>
    <row r="837" spans="1:18" x14ac:dyDescent="0.25">
      <c r="A837" s="79" t="s">
        <v>78</v>
      </c>
      <c r="D837" s="79" t="s">
        <v>6345</v>
      </c>
      <c r="E837" s="79" t="s">
        <v>6346</v>
      </c>
      <c r="G837" s="79" t="s">
        <v>6347</v>
      </c>
      <c r="H837" s="79" t="s">
        <v>6348</v>
      </c>
      <c r="J837" s="79" t="s">
        <v>6349</v>
      </c>
      <c r="K837" s="79" t="s">
        <v>6350</v>
      </c>
      <c r="L837" s="79" t="s">
        <v>6351</v>
      </c>
      <c r="M837" s="79" t="s">
        <v>6352</v>
      </c>
      <c r="N837" s="79" t="s">
        <v>6353</v>
      </c>
      <c r="O837" s="79" t="s">
        <v>6354</v>
      </c>
      <c r="P837" s="79" t="s">
        <v>6355</v>
      </c>
      <c r="Q837" s="79" t="s">
        <v>6356</v>
      </c>
      <c r="R837" s="79" t="s">
        <v>6357</v>
      </c>
    </row>
    <row r="838" spans="1:18" x14ac:dyDescent="0.25">
      <c r="A838" s="79" t="s">
        <v>78</v>
      </c>
      <c r="B838" s="79" t="s">
        <v>6358</v>
      </c>
      <c r="D838" s="79" t="s">
        <v>6359</v>
      </c>
      <c r="E838" s="79" t="s">
        <v>6360</v>
      </c>
      <c r="F838" s="79" t="s">
        <v>6361</v>
      </c>
      <c r="H838" s="79" t="s">
        <v>6362</v>
      </c>
      <c r="J838" s="79" t="s">
        <v>6363</v>
      </c>
      <c r="K838" s="79" t="s">
        <v>6364</v>
      </c>
      <c r="M838" s="79" t="s">
        <v>6365</v>
      </c>
      <c r="N838" s="79" t="s">
        <v>6366</v>
      </c>
      <c r="O838" s="79" t="s">
        <v>6367</v>
      </c>
      <c r="P838" s="79" t="s">
        <v>6368</v>
      </c>
      <c r="Q838" s="79" t="s">
        <v>6369</v>
      </c>
      <c r="R838" s="79" t="s">
        <v>6357</v>
      </c>
    </row>
    <row r="839" spans="1:18" x14ac:dyDescent="0.25">
      <c r="A839" s="79" t="s">
        <v>78</v>
      </c>
    </row>
    <row r="840" spans="1:18" x14ac:dyDescent="0.25">
      <c r="A840" s="79" t="s">
        <v>78</v>
      </c>
      <c r="D840" s="79" t="s">
        <v>6370</v>
      </c>
      <c r="E840" s="79" t="s">
        <v>6371</v>
      </c>
      <c r="G840" s="79" t="s">
        <v>6372</v>
      </c>
      <c r="H840" s="79" t="s">
        <v>6373</v>
      </c>
      <c r="J840" s="79" t="s">
        <v>6374</v>
      </c>
      <c r="K840" s="79" t="s">
        <v>6375</v>
      </c>
      <c r="L840" s="79" t="s">
        <v>6376</v>
      </c>
      <c r="M840" s="79" t="s">
        <v>6377</v>
      </c>
      <c r="N840" s="79" t="s">
        <v>6378</v>
      </c>
      <c r="O840" s="79" t="s">
        <v>6379</v>
      </c>
      <c r="P840" s="79" t="s">
        <v>6380</v>
      </c>
      <c r="Q840" s="79" t="s">
        <v>6381</v>
      </c>
      <c r="R840" s="79" t="s">
        <v>6382</v>
      </c>
    </row>
    <row r="841" spans="1:18" x14ac:dyDescent="0.25">
      <c r="A841" s="79" t="s">
        <v>78</v>
      </c>
      <c r="B841" s="79" t="s">
        <v>6383</v>
      </c>
      <c r="D841" s="79" t="s">
        <v>6384</v>
      </c>
      <c r="E841" s="79" t="s">
        <v>6385</v>
      </c>
      <c r="F841" s="79" t="s">
        <v>6386</v>
      </c>
      <c r="H841" s="79" t="s">
        <v>6387</v>
      </c>
      <c r="J841" s="79" t="s">
        <v>6388</v>
      </c>
      <c r="K841" s="79" t="s">
        <v>6389</v>
      </c>
      <c r="M841" s="79" t="s">
        <v>6390</v>
      </c>
      <c r="N841" s="79" t="s">
        <v>6391</v>
      </c>
      <c r="O841" s="79" t="s">
        <v>6392</v>
      </c>
      <c r="P841" s="79" t="s">
        <v>6393</v>
      </c>
      <c r="Q841" s="79" t="s">
        <v>6394</v>
      </c>
      <c r="R841" s="79" t="s">
        <v>6382</v>
      </c>
    </row>
    <row r="842" spans="1:18" x14ac:dyDescent="0.25">
      <c r="A842" s="79" t="s">
        <v>78</v>
      </c>
    </row>
    <row r="843" spans="1:18" x14ac:dyDescent="0.25">
      <c r="A843" s="79" t="s">
        <v>78</v>
      </c>
      <c r="D843" s="79" t="s">
        <v>6395</v>
      </c>
      <c r="E843" s="79" t="s">
        <v>6396</v>
      </c>
      <c r="G843" s="79" t="s">
        <v>6397</v>
      </c>
      <c r="H843" s="79" t="s">
        <v>6398</v>
      </c>
      <c r="J843" s="79" t="s">
        <v>6399</v>
      </c>
      <c r="K843" s="79" t="s">
        <v>6400</v>
      </c>
      <c r="L843" s="79" t="s">
        <v>6401</v>
      </c>
      <c r="M843" s="79" t="s">
        <v>6402</v>
      </c>
      <c r="N843" s="79" t="s">
        <v>6403</v>
      </c>
      <c r="O843" s="79" t="s">
        <v>6404</v>
      </c>
      <c r="P843" s="79" t="s">
        <v>6405</v>
      </c>
      <c r="Q843" s="79" t="s">
        <v>6406</v>
      </c>
      <c r="R843" s="79" t="s">
        <v>6407</v>
      </c>
    </row>
    <row r="844" spans="1:18" x14ac:dyDescent="0.25">
      <c r="A844" s="79" t="s">
        <v>78</v>
      </c>
      <c r="B844" s="79" t="s">
        <v>6408</v>
      </c>
      <c r="D844" s="79" t="s">
        <v>6409</v>
      </c>
      <c r="E844" s="79" t="s">
        <v>6410</v>
      </c>
      <c r="F844" s="79" t="s">
        <v>6411</v>
      </c>
      <c r="H844" s="79" t="s">
        <v>6412</v>
      </c>
      <c r="J844" s="79" t="s">
        <v>6413</v>
      </c>
      <c r="K844" s="79" t="s">
        <v>6414</v>
      </c>
      <c r="M844" s="79" t="s">
        <v>6415</v>
      </c>
      <c r="N844" s="79" t="s">
        <v>6416</v>
      </c>
      <c r="O844" s="79" t="s">
        <v>6417</v>
      </c>
      <c r="P844" s="79" t="s">
        <v>6418</v>
      </c>
      <c r="Q844" s="79" t="s">
        <v>6419</v>
      </c>
      <c r="R844" s="79" t="s">
        <v>6407</v>
      </c>
    </row>
    <row r="845" spans="1:18" x14ac:dyDescent="0.25">
      <c r="A845" s="79" t="s">
        <v>78</v>
      </c>
    </row>
    <row r="846" spans="1:18" x14ac:dyDescent="0.25">
      <c r="A846" s="79" t="s">
        <v>78</v>
      </c>
      <c r="D846" s="79" t="s">
        <v>6420</v>
      </c>
      <c r="E846" s="79" t="s">
        <v>6421</v>
      </c>
      <c r="G846" s="79" t="s">
        <v>6422</v>
      </c>
      <c r="H846" s="79" t="s">
        <v>6423</v>
      </c>
      <c r="J846" s="79" t="s">
        <v>6424</v>
      </c>
      <c r="K846" s="79" t="s">
        <v>6425</v>
      </c>
      <c r="L846" s="79" t="s">
        <v>6426</v>
      </c>
      <c r="M846" s="79" t="s">
        <v>6427</v>
      </c>
      <c r="N846" s="79" t="s">
        <v>6428</v>
      </c>
      <c r="O846" s="79" t="s">
        <v>6429</v>
      </c>
      <c r="P846" s="79" t="s">
        <v>6430</v>
      </c>
      <c r="Q846" s="79" t="s">
        <v>6431</v>
      </c>
      <c r="R846" s="79" t="s">
        <v>6432</v>
      </c>
    </row>
    <row r="847" spans="1:18" x14ac:dyDescent="0.25">
      <c r="A847" s="79" t="s">
        <v>78</v>
      </c>
      <c r="B847" s="79" t="s">
        <v>6433</v>
      </c>
      <c r="D847" s="79" t="s">
        <v>6434</v>
      </c>
      <c r="E847" s="79" t="s">
        <v>6435</v>
      </c>
      <c r="F847" s="79" t="s">
        <v>6436</v>
      </c>
      <c r="H847" s="79" t="s">
        <v>6437</v>
      </c>
      <c r="J847" s="79" t="s">
        <v>6438</v>
      </c>
      <c r="K847" s="79" t="s">
        <v>6439</v>
      </c>
      <c r="M847" s="79" t="s">
        <v>6440</v>
      </c>
      <c r="N847" s="79" t="s">
        <v>6441</v>
      </c>
      <c r="O847" s="79" t="s">
        <v>6442</v>
      </c>
      <c r="P847" s="79" t="s">
        <v>6443</v>
      </c>
      <c r="Q847" s="79" t="s">
        <v>6444</v>
      </c>
      <c r="R847" s="79" t="s">
        <v>6432</v>
      </c>
    </row>
    <row r="848" spans="1:18" x14ac:dyDescent="0.25">
      <c r="A848" s="79" t="s">
        <v>78</v>
      </c>
    </row>
    <row r="849" spans="1:18" x14ac:dyDescent="0.25">
      <c r="A849" s="79" t="s">
        <v>78</v>
      </c>
      <c r="D849" s="79" t="s">
        <v>6445</v>
      </c>
      <c r="E849" s="79" t="s">
        <v>6446</v>
      </c>
      <c r="G849" s="79" t="s">
        <v>6447</v>
      </c>
      <c r="H849" s="79" t="s">
        <v>6448</v>
      </c>
      <c r="J849" s="79" t="s">
        <v>6449</v>
      </c>
      <c r="K849" s="79" t="s">
        <v>6450</v>
      </c>
      <c r="L849" s="79" t="s">
        <v>6451</v>
      </c>
      <c r="M849" s="79" t="s">
        <v>6452</v>
      </c>
      <c r="N849" s="79" t="s">
        <v>6453</v>
      </c>
      <c r="O849" s="79" t="s">
        <v>6454</v>
      </c>
      <c r="P849" s="79" t="s">
        <v>6455</v>
      </c>
      <c r="Q849" s="79" t="s">
        <v>6456</v>
      </c>
      <c r="R849" s="79" t="s">
        <v>6457</v>
      </c>
    </row>
    <row r="850" spans="1:18" x14ac:dyDescent="0.25">
      <c r="A850" s="79" t="s">
        <v>78</v>
      </c>
      <c r="B850" s="79" t="s">
        <v>6458</v>
      </c>
      <c r="D850" s="79" t="s">
        <v>6459</v>
      </c>
      <c r="E850" s="79" t="s">
        <v>6460</v>
      </c>
      <c r="F850" s="79" t="s">
        <v>6461</v>
      </c>
      <c r="H850" s="79" t="s">
        <v>6462</v>
      </c>
      <c r="J850" s="79" t="s">
        <v>6463</v>
      </c>
      <c r="K850" s="79" t="s">
        <v>6464</v>
      </c>
      <c r="M850" s="79" t="s">
        <v>6465</v>
      </c>
      <c r="N850" s="79" t="s">
        <v>6466</v>
      </c>
      <c r="O850" s="79" t="s">
        <v>6467</v>
      </c>
      <c r="P850" s="79" t="s">
        <v>6468</v>
      </c>
      <c r="Q850" s="79" t="s">
        <v>6469</v>
      </c>
      <c r="R850" s="79" t="s">
        <v>6457</v>
      </c>
    </row>
    <row r="851" spans="1:18" x14ac:dyDescent="0.25">
      <c r="A851" s="79" t="s">
        <v>78</v>
      </c>
    </row>
    <row r="852" spans="1:18" x14ac:dyDescent="0.25">
      <c r="A852" s="79" t="s">
        <v>78</v>
      </c>
      <c r="D852" s="79" t="s">
        <v>6470</v>
      </c>
      <c r="E852" s="79" t="s">
        <v>6471</v>
      </c>
      <c r="G852" s="79" t="s">
        <v>6472</v>
      </c>
      <c r="H852" s="79" t="s">
        <v>6473</v>
      </c>
      <c r="J852" s="79" t="s">
        <v>6474</v>
      </c>
      <c r="K852" s="79" t="s">
        <v>6475</v>
      </c>
      <c r="L852" s="79" t="s">
        <v>6476</v>
      </c>
      <c r="M852" s="79" t="s">
        <v>6477</v>
      </c>
      <c r="N852" s="79" t="s">
        <v>6478</v>
      </c>
      <c r="O852" s="79" t="s">
        <v>6479</v>
      </c>
      <c r="P852" s="79" t="s">
        <v>6480</v>
      </c>
      <c r="Q852" s="79" t="s">
        <v>6481</v>
      </c>
      <c r="R852" s="79" t="s">
        <v>6482</v>
      </c>
    </row>
    <row r="853" spans="1:18" x14ac:dyDescent="0.25">
      <c r="A853" s="79" t="s">
        <v>78</v>
      </c>
      <c r="B853" s="79" t="s">
        <v>6483</v>
      </c>
      <c r="D853" s="79" t="s">
        <v>6484</v>
      </c>
      <c r="E853" s="79" t="s">
        <v>6485</v>
      </c>
      <c r="F853" s="79" t="s">
        <v>6486</v>
      </c>
      <c r="H853" s="79" t="s">
        <v>6487</v>
      </c>
      <c r="J853" s="79" t="s">
        <v>6488</v>
      </c>
      <c r="K853" s="79" t="s">
        <v>6489</v>
      </c>
      <c r="M853" s="79" t="s">
        <v>6490</v>
      </c>
      <c r="N853" s="79" t="s">
        <v>6491</v>
      </c>
      <c r="O853" s="79" t="s">
        <v>6492</v>
      </c>
      <c r="P853" s="79" t="s">
        <v>6493</v>
      </c>
      <c r="Q853" s="79" t="s">
        <v>6494</v>
      </c>
      <c r="R853" s="79" t="s">
        <v>6482</v>
      </c>
    </row>
    <row r="854" spans="1:18" x14ac:dyDescent="0.25">
      <c r="A854" s="79" t="s">
        <v>78</v>
      </c>
    </row>
    <row r="855" spans="1:18" x14ac:dyDescent="0.25">
      <c r="A855" s="79" t="s">
        <v>78</v>
      </c>
      <c r="D855" s="79" t="s">
        <v>6495</v>
      </c>
      <c r="E855" s="79" t="s">
        <v>6496</v>
      </c>
      <c r="G855" s="79" t="s">
        <v>6497</v>
      </c>
      <c r="H855" s="79" t="s">
        <v>6498</v>
      </c>
      <c r="J855" s="79" t="s">
        <v>6499</v>
      </c>
      <c r="K855" s="79" t="s">
        <v>6500</v>
      </c>
      <c r="L855" s="79" t="s">
        <v>6501</v>
      </c>
      <c r="M855" s="79" t="s">
        <v>6502</v>
      </c>
      <c r="N855" s="79" t="s">
        <v>6503</v>
      </c>
      <c r="O855" s="79" t="s">
        <v>6504</v>
      </c>
      <c r="P855" s="79" t="s">
        <v>6505</v>
      </c>
      <c r="Q855" s="79" t="s">
        <v>6506</v>
      </c>
      <c r="R855" s="79" t="s">
        <v>6507</v>
      </c>
    </row>
    <row r="856" spans="1:18" x14ac:dyDescent="0.25">
      <c r="A856" s="79" t="s">
        <v>78</v>
      </c>
      <c r="B856" s="79" t="s">
        <v>6508</v>
      </c>
      <c r="D856" s="79" t="s">
        <v>6509</v>
      </c>
      <c r="E856" s="79" t="s">
        <v>6510</v>
      </c>
      <c r="F856" s="79" t="s">
        <v>6511</v>
      </c>
      <c r="H856" s="79" t="s">
        <v>6512</v>
      </c>
      <c r="J856" s="79" t="s">
        <v>6513</v>
      </c>
      <c r="K856" s="79" t="s">
        <v>6514</v>
      </c>
      <c r="M856" s="79" t="s">
        <v>6515</v>
      </c>
      <c r="N856" s="79" t="s">
        <v>6516</v>
      </c>
      <c r="O856" s="79" t="s">
        <v>6517</v>
      </c>
      <c r="P856" s="79" t="s">
        <v>6518</v>
      </c>
      <c r="Q856" s="79" t="s">
        <v>6519</v>
      </c>
      <c r="R856" s="79" t="s">
        <v>6507</v>
      </c>
    </row>
    <row r="857" spans="1:18" x14ac:dyDescent="0.25">
      <c r="A857" s="79" t="s">
        <v>78</v>
      </c>
    </row>
    <row r="858" spans="1:18" x14ac:dyDescent="0.25">
      <c r="A858" s="79" t="s">
        <v>78</v>
      </c>
      <c r="D858" s="79" t="s">
        <v>6520</v>
      </c>
      <c r="E858" s="79" t="s">
        <v>6521</v>
      </c>
      <c r="G858" s="79" t="s">
        <v>6522</v>
      </c>
      <c r="H858" s="79" t="s">
        <v>6523</v>
      </c>
      <c r="J858" s="79" t="s">
        <v>6524</v>
      </c>
      <c r="K858" s="79" t="s">
        <v>6525</v>
      </c>
      <c r="L858" s="79" t="s">
        <v>6526</v>
      </c>
      <c r="M858" s="79" t="s">
        <v>6527</v>
      </c>
      <c r="N858" s="79" t="s">
        <v>6528</v>
      </c>
      <c r="O858" s="79" t="s">
        <v>6529</v>
      </c>
      <c r="P858" s="79" t="s">
        <v>6530</v>
      </c>
      <c r="Q858" s="79" t="s">
        <v>6531</v>
      </c>
      <c r="R858" s="79" t="s">
        <v>6532</v>
      </c>
    </row>
    <row r="859" spans="1:18" x14ac:dyDescent="0.25">
      <c r="A859" s="79" t="s">
        <v>78</v>
      </c>
      <c r="B859" s="79" t="s">
        <v>6533</v>
      </c>
      <c r="D859" s="79" t="s">
        <v>6534</v>
      </c>
      <c r="E859" s="79" t="s">
        <v>6535</v>
      </c>
      <c r="F859" s="79" t="s">
        <v>6536</v>
      </c>
      <c r="H859" s="79" t="s">
        <v>6537</v>
      </c>
      <c r="J859" s="79" t="s">
        <v>6538</v>
      </c>
      <c r="K859" s="79" t="s">
        <v>6539</v>
      </c>
      <c r="M859" s="79" t="s">
        <v>6540</v>
      </c>
      <c r="N859" s="79" t="s">
        <v>6541</v>
      </c>
      <c r="O859" s="79" t="s">
        <v>6542</v>
      </c>
      <c r="P859" s="79" t="s">
        <v>6543</v>
      </c>
      <c r="Q859" s="79" t="s">
        <v>6544</v>
      </c>
      <c r="R859" s="79" t="s">
        <v>6532</v>
      </c>
    </row>
    <row r="860" spans="1:18" x14ac:dyDescent="0.25">
      <c r="A860" s="79" t="s">
        <v>78</v>
      </c>
    </row>
    <row r="861" spans="1:18" x14ac:dyDescent="0.25">
      <c r="A861" s="79" t="s">
        <v>78</v>
      </c>
      <c r="D861" s="79" t="s">
        <v>6545</v>
      </c>
      <c r="E861" s="79" t="s">
        <v>6546</v>
      </c>
      <c r="G861" s="79" t="s">
        <v>6547</v>
      </c>
      <c r="H861" s="79" t="s">
        <v>6548</v>
      </c>
      <c r="J861" s="79" t="s">
        <v>6549</v>
      </c>
      <c r="K861" s="79" t="s">
        <v>6550</v>
      </c>
      <c r="L861" s="79" t="s">
        <v>6551</v>
      </c>
      <c r="M861" s="79" t="s">
        <v>6552</v>
      </c>
      <c r="N861" s="79" t="s">
        <v>6553</v>
      </c>
      <c r="O861" s="79" t="s">
        <v>6554</v>
      </c>
      <c r="P861" s="79" t="s">
        <v>6555</v>
      </c>
      <c r="Q861" s="79" t="s">
        <v>6556</v>
      </c>
      <c r="R861" s="79" t="s">
        <v>6557</v>
      </c>
    </row>
    <row r="862" spans="1:18" x14ac:dyDescent="0.25">
      <c r="A862" s="79" t="s">
        <v>78</v>
      </c>
      <c r="B862" s="79" t="s">
        <v>6558</v>
      </c>
      <c r="D862" s="79" t="s">
        <v>6559</v>
      </c>
      <c r="E862" s="79" t="s">
        <v>6560</v>
      </c>
      <c r="F862" s="79" t="s">
        <v>6561</v>
      </c>
      <c r="H862" s="79" t="s">
        <v>6562</v>
      </c>
      <c r="J862" s="79" t="s">
        <v>6563</v>
      </c>
      <c r="K862" s="79" t="s">
        <v>6564</v>
      </c>
      <c r="M862" s="79" t="s">
        <v>6565</v>
      </c>
      <c r="N862" s="79" t="s">
        <v>6566</v>
      </c>
      <c r="O862" s="79" t="s">
        <v>6567</v>
      </c>
      <c r="P862" s="79" t="s">
        <v>6568</v>
      </c>
      <c r="Q862" s="79" t="s">
        <v>6569</v>
      </c>
      <c r="R862" s="79" t="s">
        <v>6557</v>
      </c>
    </row>
    <row r="863" spans="1:18" x14ac:dyDescent="0.25">
      <c r="A863" s="79" t="s">
        <v>78</v>
      </c>
    </row>
    <row r="864" spans="1:18" x14ac:dyDescent="0.25">
      <c r="A864" s="79" t="s">
        <v>78</v>
      </c>
      <c r="D864" s="79" t="s">
        <v>6570</v>
      </c>
      <c r="E864" s="79" t="s">
        <v>6571</v>
      </c>
      <c r="G864" s="79" t="s">
        <v>6572</v>
      </c>
      <c r="H864" s="79" t="s">
        <v>6573</v>
      </c>
      <c r="J864" s="79" t="s">
        <v>6574</v>
      </c>
      <c r="K864" s="79" t="s">
        <v>6575</v>
      </c>
      <c r="L864" s="79" t="s">
        <v>6576</v>
      </c>
      <c r="M864" s="79" t="s">
        <v>6577</v>
      </c>
      <c r="N864" s="79" t="s">
        <v>6578</v>
      </c>
      <c r="O864" s="79" t="s">
        <v>6579</v>
      </c>
      <c r="P864" s="79" t="s">
        <v>6580</v>
      </c>
      <c r="Q864" s="79" t="s">
        <v>6581</v>
      </c>
      <c r="R864" s="79" t="s">
        <v>6582</v>
      </c>
    </row>
    <row r="865" spans="1:18" x14ac:dyDescent="0.25">
      <c r="A865" s="79" t="s">
        <v>78</v>
      </c>
      <c r="B865" s="79" t="s">
        <v>6583</v>
      </c>
      <c r="D865" s="79" t="s">
        <v>6584</v>
      </c>
      <c r="E865" s="79" t="s">
        <v>6585</v>
      </c>
      <c r="F865" s="79" t="s">
        <v>6586</v>
      </c>
      <c r="H865" s="79" t="s">
        <v>6587</v>
      </c>
      <c r="J865" s="79" t="s">
        <v>6588</v>
      </c>
      <c r="K865" s="79" t="s">
        <v>6589</v>
      </c>
      <c r="M865" s="79" t="s">
        <v>6590</v>
      </c>
      <c r="N865" s="79" t="s">
        <v>6591</v>
      </c>
      <c r="O865" s="79" t="s">
        <v>6592</v>
      </c>
      <c r="P865" s="79" t="s">
        <v>6593</v>
      </c>
      <c r="Q865" s="79" t="s">
        <v>6594</v>
      </c>
      <c r="R865" s="79" t="s">
        <v>6582</v>
      </c>
    </row>
    <row r="866" spans="1:18" x14ac:dyDescent="0.25">
      <c r="A866" s="79" t="s">
        <v>78</v>
      </c>
    </row>
    <row r="867" spans="1:18" x14ac:dyDescent="0.25">
      <c r="A867" s="79" t="s">
        <v>78</v>
      </c>
      <c r="D867" s="79" t="s">
        <v>6595</v>
      </c>
      <c r="E867" s="79" t="s">
        <v>6596</v>
      </c>
      <c r="G867" s="79" t="s">
        <v>6597</v>
      </c>
      <c r="H867" s="79" t="s">
        <v>6598</v>
      </c>
      <c r="J867" s="79" t="s">
        <v>6599</v>
      </c>
      <c r="K867" s="79" t="s">
        <v>6600</v>
      </c>
      <c r="L867" s="79" t="s">
        <v>6601</v>
      </c>
      <c r="M867" s="79" t="s">
        <v>6602</v>
      </c>
      <c r="N867" s="79" t="s">
        <v>6603</v>
      </c>
      <c r="O867" s="79" t="s">
        <v>6604</v>
      </c>
      <c r="P867" s="79" t="s">
        <v>6605</v>
      </c>
      <c r="Q867" s="79" t="s">
        <v>6606</v>
      </c>
      <c r="R867" s="79" t="s">
        <v>6607</v>
      </c>
    </row>
    <row r="868" spans="1:18" x14ac:dyDescent="0.25">
      <c r="A868" s="79" t="s">
        <v>78</v>
      </c>
      <c r="B868" s="79" t="s">
        <v>6608</v>
      </c>
      <c r="D868" s="79" t="s">
        <v>6609</v>
      </c>
      <c r="E868" s="79" t="s">
        <v>6610</v>
      </c>
      <c r="F868" s="79" t="s">
        <v>6611</v>
      </c>
      <c r="H868" s="79" t="s">
        <v>6612</v>
      </c>
      <c r="J868" s="79" t="s">
        <v>6613</v>
      </c>
      <c r="K868" s="79" t="s">
        <v>6614</v>
      </c>
      <c r="M868" s="79" t="s">
        <v>6615</v>
      </c>
      <c r="N868" s="79" t="s">
        <v>6616</v>
      </c>
      <c r="O868" s="79" t="s">
        <v>6617</v>
      </c>
      <c r="P868" s="79" t="s">
        <v>6618</v>
      </c>
      <c r="Q868" s="79" t="s">
        <v>6619</v>
      </c>
      <c r="R868" s="79" t="s">
        <v>6607</v>
      </c>
    </row>
    <row r="869" spans="1:18" x14ac:dyDescent="0.25">
      <c r="A869" s="79" t="s">
        <v>78</v>
      </c>
    </row>
    <row r="870" spans="1:18" x14ac:dyDescent="0.25">
      <c r="A870" s="79" t="s">
        <v>78</v>
      </c>
      <c r="D870" s="79" t="s">
        <v>6620</v>
      </c>
      <c r="E870" s="79" t="s">
        <v>6621</v>
      </c>
      <c r="G870" s="79" t="s">
        <v>6622</v>
      </c>
      <c r="H870" s="79" t="s">
        <v>6623</v>
      </c>
      <c r="J870" s="79" t="s">
        <v>6624</v>
      </c>
      <c r="K870" s="79" t="s">
        <v>6625</v>
      </c>
      <c r="L870" s="79" t="s">
        <v>6626</v>
      </c>
      <c r="M870" s="79" t="s">
        <v>6627</v>
      </c>
      <c r="N870" s="79" t="s">
        <v>6628</v>
      </c>
      <c r="O870" s="79" t="s">
        <v>6629</v>
      </c>
      <c r="P870" s="79" t="s">
        <v>6630</v>
      </c>
      <c r="Q870" s="79" t="s">
        <v>6631</v>
      </c>
      <c r="R870" s="79" t="s">
        <v>6632</v>
      </c>
    </row>
    <row r="871" spans="1:18" x14ac:dyDescent="0.25">
      <c r="A871" s="79" t="s">
        <v>78</v>
      </c>
      <c r="B871" s="79" t="s">
        <v>6633</v>
      </c>
      <c r="D871" s="79" t="s">
        <v>6634</v>
      </c>
      <c r="E871" s="79" t="s">
        <v>6635</v>
      </c>
      <c r="F871" s="79" t="s">
        <v>6636</v>
      </c>
      <c r="H871" s="79" t="s">
        <v>6637</v>
      </c>
      <c r="J871" s="79" t="s">
        <v>6638</v>
      </c>
      <c r="K871" s="79" t="s">
        <v>6639</v>
      </c>
      <c r="M871" s="79" t="s">
        <v>6640</v>
      </c>
      <c r="N871" s="79" t="s">
        <v>6641</v>
      </c>
      <c r="O871" s="79" t="s">
        <v>6642</v>
      </c>
      <c r="P871" s="79" t="s">
        <v>6643</v>
      </c>
      <c r="Q871" s="79" t="s">
        <v>6644</v>
      </c>
      <c r="R871" s="79" t="s">
        <v>6632</v>
      </c>
    </row>
    <row r="872" spans="1:18" x14ac:dyDescent="0.25">
      <c r="A872" s="79" t="s">
        <v>78</v>
      </c>
    </row>
    <row r="873" spans="1:18" x14ac:dyDescent="0.25">
      <c r="A873" s="79" t="s">
        <v>78</v>
      </c>
      <c r="D873" s="79" t="s">
        <v>6645</v>
      </c>
      <c r="E873" s="79" t="s">
        <v>6646</v>
      </c>
      <c r="G873" s="79" t="s">
        <v>6647</v>
      </c>
      <c r="H873" s="79" t="s">
        <v>6648</v>
      </c>
      <c r="J873" s="79" t="s">
        <v>6649</v>
      </c>
      <c r="K873" s="79" t="s">
        <v>6650</v>
      </c>
      <c r="L873" s="79" t="s">
        <v>6651</v>
      </c>
      <c r="M873" s="79" t="s">
        <v>6652</v>
      </c>
      <c r="N873" s="79" t="s">
        <v>6653</v>
      </c>
      <c r="O873" s="79" t="s">
        <v>6654</v>
      </c>
      <c r="P873" s="79" t="s">
        <v>6655</v>
      </c>
      <c r="Q873" s="79" t="s">
        <v>6656</v>
      </c>
      <c r="R873" s="79" t="s">
        <v>6657</v>
      </c>
    </row>
    <row r="874" spans="1:18" x14ac:dyDescent="0.25">
      <c r="A874" s="79" t="s">
        <v>78</v>
      </c>
      <c r="B874" s="79" t="s">
        <v>6658</v>
      </c>
      <c r="D874" s="79" t="s">
        <v>6659</v>
      </c>
      <c r="E874" s="79" t="s">
        <v>6660</v>
      </c>
      <c r="F874" s="79" t="s">
        <v>6661</v>
      </c>
      <c r="H874" s="79" t="s">
        <v>6662</v>
      </c>
      <c r="J874" s="79" t="s">
        <v>6663</v>
      </c>
      <c r="K874" s="79" t="s">
        <v>6664</v>
      </c>
      <c r="M874" s="79" t="s">
        <v>6665</v>
      </c>
      <c r="N874" s="79" t="s">
        <v>6666</v>
      </c>
      <c r="O874" s="79" t="s">
        <v>6667</v>
      </c>
      <c r="P874" s="79" t="s">
        <v>6668</v>
      </c>
      <c r="Q874" s="79" t="s">
        <v>6669</v>
      </c>
      <c r="R874" s="79" t="s">
        <v>6657</v>
      </c>
    </row>
    <row r="875" spans="1:18" x14ac:dyDescent="0.25">
      <c r="A875" s="79" t="s">
        <v>78</v>
      </c>
    </row>
    <row r="876" spans="1:18" x14ac:dyDescent="0.25">
      <c r="A876" s="79" t="s">
        <v>78</v>
      </c>
      <c r="D876" s="79" t="s">
        <v>6670</v>
      </c>
      <c r="E876" s="79" t="s">
        <v>6671</v>
      </c>
      <c r="G876" s="79" t="s">
        <v>6672</v>
      </c>
      <c r="H876" s="79" t="s">
        <v>6673</v>
      </c>
      <c r="J876" s="79" t="s">
        <v>6674</v>
      </c>
      <c r="K876" s="79" t="s">
        <v>6675</v>
      </c>
      <c r="L876" s="79" t="s">
        <v>6676</v>
      </c>
      <c r="M876" s="79" t="s">
        <v>6677</v>
      </c>
      <c r="N876" s="79" t="s">
        <v>6678</v>
      </c>
      <c r="O876" s="79" t="s">
        <v>6679</v>
      </c>
      <c r="P876" s="79" t="s">
        <v>6680</v>
      </c>
      <c r="Q876" s="79" t="s">
        <v>6681</v>
      </c>
      <c r="R876" s="79" t="s">
        <v>6682</v>
      </c>
    </row>
    <row r="877" spans="1:18" x14ac:dyDescent="0.25">
      <c r="A877" s="79" t="s">
        <v>78</v>
      </c>
      <c r="B877" s="79" t="s">
        <v>6683</v>
      </c>
      <c r="D877" s="79" t="s">
        <v>6684</v>
      </c>
      <c r="E877" s="79" t="s">
        <v>6685</v>
      </c>
      <c r="F877" s="79" t="s">
        <v>6686</v>
      </c>
      <c r="H877" s="79" t="s">
        <v>6687</v>
      </c>
      <c r="J877" s="79" t="s">
        <v>6688</v>
      </c>
      <c r="K877" s="79" t="s">
        <v>6689</v>
      </c>
      <c r="M877" s="79" t="s">
        <v>6690</v>
      </c>
      <c r="N877" s="79" t="s">
        <v>6691</v>
      </c>
      <c r="O877" s="79" t="s">
        <v>6692</v>
      </c>
      <c r="P877" s="79" t="s">
        <v>6693</v>
      </c>
      <c r="Q877" s="79" t="s">
        <v>6694</v>
      </c>
      <c r="R877" s="79" t="s">
        <v>6682</v>
      </c>
    </row>
    <row r="878" spans="1:18" x14ac:dyDescent="0.25">
      <c r="A878" s="79" t="s">
        <v>78</v>
      </c>
    </row>
    <row r="879" spans="1:18" x14ac:dyDescent="0.25">
      <c r="A879" s="79" t="s">
        <v>78</v>
      </c>
      <c r="D879" s="79" t="s">
        <v>6695</v>
      </c>
      <c r="E879" s="79" t="s">
        <v>6696</v>
      </c>
      <c r="G879" s="79" t="s">
        <v>6697</v>
      </c>
      <c r="H879" s="79" t="s">
        <v>6698</v>
      </c>
      <c r="J879" s="79" t="s">
        <v>6699</v>
      </c>
      <c r="K879" s="79" t="s">
        <v>6700</v>
      </c>
      <c r="L879" s="79" t="s">
        <v>6701</v>
      </c>
      <c r="M879" s="79" t="s">
        <v>6702</v>
      </c>
      <c r="N879" s="79" t="s">
        <v>6703</v>
      </c>
      <c r="O879" s="79" t="s">
        <v>6704</v>
      </c>
      <c r="P879" s="79" t="s">
        <v>6705</v>
      </c>
      <c r="Q879" s="79" t="s">
        <v>6706</v>
      </c>
      <c r="R879" s="79" t="s">
        <v>6707</v>
      </c>
    </row>
    <row r="880" spans="1:18" x14ac:dyDescent="0.25">
      <c r="A880" s="79" t="s">
        <v>78</v>
      </c>
      <c r="B880" s="79" t="s">
        <v>6708</v>
      </c>
      <c r="D880" s="79" t="s">
        <v>6709</v>
      </c>
      <c r="E880" s="79" t="s">
        <v>6710</v>
      </c>
      <c r="F880" s="79" t="s">
        <v>6711</v>
      </c>
      <c r="H880" s="79" t="s">
        <v>6712</v>
      </c>
      <c r="J880" s="79" t="s">
        <v>6713</v>
      </c>
      <c r="K880" s="79" t="s">
        <v>6714</v>
      </c>
      <c r="M880" s="79" t="s">
        <v>6715</v>
      </c>
      <c r="N880" s="79" t="s">
        <v>6716</v>
      </c>
      <c r="O880" s="79" t="s">
        <v>6717</v>
      </c>
      <c r="P880" s="79" t="s">
        <v>6718</v>
      </c>
      <c r="Q880" s="79" t="s">
        <v>6719</v>
      </c>
      <c r="R880" s="79" t="s">
        <v>6707</v>
      </c>
    </row>
    <row r="881" spans="1:18" x14ac:dyDescent="0.25">
      <c r="A881" s="79" t="s">
        <v>78</v>
      </c>
    </row>
    <row r="882" spans="1:18" x14ac:dyDescent="0.25">
      <c r="A882" s="79" t="s">
        <v>78</v>
      </c>
      <c r="D882" s="79" t="s">
        <v>6720</v>
      </c>
      <c r="E882" s="79" t="s">
        <v>6721</v>
      </c>
      <c r="G882" s="79" t="s">
        <v>6722</v>
      </c>
      <c r="H882" s="79" t="s">
        <v>6723</v>
      </c>
      <c r="J882" s="79" t="s">
        <v>6724</v>
      </c>
      <c r="K882" s="79" t="s">
        <v>6725</v>
      </c>
      <c r="L882" s="79" t="s">
        <v>6726</v>
      </c>
      <c r="M882" s="79" t="s">
        <v>6727</v>
      </c>
      <c r="N882" s="79" t="s">
        <v>6728</v>
      </c>
      <c r="O882" s="79" t="s">
        <v>6729</v>
      </c>
      <c r="P882" s="79" t="s">
        <v>6730</v>
      </c>
      <c r="Q882" s="79" t="s">
        <v>6731</v>
      </c>
      <c r="R882" s="79" t="s">
        <v>6732</v>
      </c>
    </row>
    <row r="883" spans="1:18" x14ac:dyDescent="0.25">
      <c r="A883" s="79" t="s">
        <v>78</v>
      </c>
      <c r="B883" s="79" t="s">
        <v>6733</v>
      </c>
      <c r="D883" s="79" t="s">
        <v>6734</v>
      </c>
      <c r="E883" s="79" t="s">
        <v>6735</v>
      </c>
      <c r="F883" s="79" t="s">
        <v>6736</v>
      </c>
      <c r="H883" s="79" t="s">
        <v>6737</v>
      </c>
      <c r="J883" s="79" t="s">
        <v>6738</v>
      </c>
      <c r="K883" s="79" t="s">
        <v>6739</v>
      </c>
      <c r="M883" s="79" t="s">
        <v>6740</v>
      </c>
      <c r="N883" s="79" t="s">
        <v>6741</v>
      </c>
      <c r="O883" s="79" t="s">
        <v>6742</v>
      </c>
      <c r="P883" s="79" t="s">
        <v>6743</v>
      </c>
      <c r="Q883" s="79" t="s">
        <v>6744</v>
      </c>
      <c r="R883" s="79" t="s">
        <v>6732</v>
      </c>
    </row>
    <row r="884" spans="1:18" x14ac:dyDescent="0.25">
      <c r="A884" s="79" t="s">
        <v>78</v>
      </c>
    </row>
    <row r="885" spans="1:18" x14ac:dyDescent="0.25">
      <c r="A885" s="79" t="s">
        <v>78</v>
      </c>
    </row>
    <row r="886" spans="1:18" x14ac:dyDescent="0.25">
      <c r="A886" s="79" t="s">
        <v>78</v>
      </c>
      <c r="Q886" s="79" t="s">
        <v>6745</v>
      </c>
      <c r="R886" s="79" t="s">
        <v>6746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Options</vt:lpstr>
      <vt:lpstr>Vendor Inv. &amp; Payments</vt:lpstr>
    </vt:vector>
  </TitlesOfParts>
  <Company>Jet Reports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Customer Invoices &amp; Applied Payments</dc:title>
  <dc:subject>Jet Reports</dc:subject>
  <dc:creator>Keesha M. Wallace</dc:creator>
  <dc:description>List of customer invoices and applied payments including balance for each account.</dc:description>
  <cp:lastModifiedBy>Haseeb Tariq</cp:lastModifiedBy>
  <cp:lastPrinted>2013-05-31T22:26:30Z</cp:lastPrinted>
  <dcterms:created xsi:type="dcterms:W3CDTF">2013-05-06T19:01:44Z</dcterms:created>
  <dcterms:modified xsi:type="dcterms:W3CDTF">2024-07-02T10:30:10Z</dcterms:modified>
  <cp:category>Accounts Receivable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esign Mode Active">
    <vt:bool>false</vt:bool>
  </property>
  <property fmtid="{D5CDD505-2E9C-101B-9397-08002B2CF9AE}" pid="3" name="Jet Reports Function Literals">
    <vt:lpwstr>,	;	,	{	}	[@[{0}]]	1033	19465</vt:lpwstr>
  </property>
</Properties>
</file>