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3_ncr:1_{B1DDADE6-0537-4EE5-A0F0-8AF704BF0360}" xr6:coauthVersionLast="47" xr6:coauthVersionMax="47" xr10:uidLastSave="{F15750C1-95C1-49A7-97EE-B20061DB9D85}"/>
  <bookViews>
    <workbookView xWindow="-120" yWindow="-120" windowWidth="29040" windowHeight="17520" firstSheet="1" activeTab="1" xr2:uid="{00000000-000D-0000-FFFF-FFFF00000000}"/>
  </bookViews>
  <sheets>
    <sheet name="Options" sheetId="1" state="hidden" r:id="rId1"/>
    <sheet name="Monthly Item Sales" sheetId="2" r:id="rId2"/>
    <sheet name="Sheet2" sheetId="159" state="veryHidden" r:id="rId3"/>
    <sheet name="Sheet3" sheetId="160" state="veryHidden" r:id="rId4"/>
    <sheet name="Sheet4" sheetId="161" state="veryHidden" r:id="rId5"/>
    <sheet name="Sheet5" sheetId="162" state="veryHidden" r:id="rId6"/>
    <sheet name="Sheet1" sheetId="165" state="veryHidden" r:id="rId7"/>
    <sheet name="Sheet6" sheetId="166" state="veryHidden" r:id="rId8"/>
  </sheets>
  <definedNames>
    <definedName name="ColumnEndDate">'Monthly Item Sales'!A$14</definedName>
    <definedName name="ColumnStartDate">Options!A$4</definedName>
    <definedName name="DateFilter">Options!$F$3</definedName>
    <definedName name="EndDate">Options!$C$4</definedName>
    <definedName name="ItemNo">Options!$C$6</definedName>
    <definedName name="_xlnm.Print_Titles" localSheetId="1">'Monthly Item Sales'!$4:$18</definedName>
    <definedName name="ServiceZone">Options!$C$5</definedName>
    <definedName name="StartDate">Options!$C$3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C6" i="1"/>
  <c r="C5" i="1"/>
  <c r="F5" i="1" s="1"/>
  <c r="C4" i="1"/>
  <c r="C3" i="1"/>
  <c r="H6" i="2"/>
  <c r="I10" i="2"/>
  <c r="I11" i="2"/>
  <c r="K15" i="2"/>
  <c r="O15" i="2"/>
  <c r="K17" i="2"/>
  <c r="O17" i="2"/>
  <c r="E19" i="2"/>
  <c r="F19" i="2"/>
  <c r="H19" i="2"/>
  <c r="D20" i="2"/>
  <c r="E20" i="2"/>
  <c r="F20" i="2"/>
  <c r="G20" i="2"/>
  <c r="I20" i="2"/>
  <c r="L20" i="2"/>
  <c r="P20" i="2"/>
  <c r="D21" i="2"/>
  <c r="E21" i="2"/>
  <c r="F21" i="2"/>
  <c r="G21" i="2"/>
  <c r="I21" i="2"/>
  <c r="L21" i="2"/>
  <c r="P21" i="2"/>
  <c r="D22" i="2"/>
  <c r="E22" i="2"/>
  <c r="F22" i="2"/>
  <c r="G22" i="2"/>
  <c r="I22" i="2"/>
  <c r="L22" i="2"/>
  <c r="P22" i="2"/>
  <c r="D23" i="2"/>
  <c r="E23" i="2"/>
  <c r="F23" i="2"/>
  <c r="G23" i="2"/>
  <c r="I23" i="2"/>
  <c r="L23" i="2"/>
  <c r="P23" i="2"/>
  <c r="D24" i="2"/>
  <c r="E24" i="2"/>
  <c r="F24" i="2"/>
  <c r="G24" i="2"/>
  <c r="I24" i="2"/>
  <c r="L24" i="2"/>
  <c r="P24" i="2"/>
  <c r="D25" i="2"/>
  <c r="E25" i="2"/>
  <c r="F25" i="2"/>
  <c r="G25" i="2"/>
  <c r="I25" i="2"/>
  <c r="L25" i="2"/>
  <c r="P25" i="2"/>
  <c r="D26" i="2"/>
  <c r="E26" i="2"/>
  <c r="F26" i="2"/>
  <c r="G26" i="2"/>
  <c r="I26" i="2"/>
  <c r="L26" i="2"/>
  <c r="P26" i="2"/>
  <c r="D27" i="2"/>
  <c r="E27" i="2"/>
  <c r="F27" i="2"/>
  <c r="G27" i="2"/>
  <c r="I27" i="2"/>
  <c r="L27" i="2"/>
  <c r="P27" i="2"/>
  <c r="D28" i="2"/>
  <c r="E28" i="2"/>
  <c r="F28" i="2"/>
  <c r="G28" i="2"/>
  <c r="I28" i="2"/>
  <c r="L28" i="2"/>
  <c r="P28" i="2"/>
  <c r="D29" i="2"/>
  <c r="E29" i="2"/>
  <c r="F29" i="2"/>
  <c r="G29" i="2"/>
  <c r="I29" i="2"/>
  <c r="L29" i="2"/>
  <c r="P29" i="2"/>
  <c r="D30" i="2"/>
  <c r="E30" i="2"/>
  <c r="F30" i="2"/>
  <c r="G30" i="2"/>
  <c r="I30" i="2"/>
  <c r="L30" i="2"/>
  <c r="P30" i="2"/>
  <c r="D31" i="2"/>
  <c r="E31" i="2"/>
  <c r="F31" i="2"/>
  <c r="G31" i="2"/>
  <c r="I31" i="2"/>
  <c r="L31" i="2"/>
  <c r="P31" i="2"/>
  <c r="D32" i="2"/>
  <c r="E32" i="2"/>
  <c r="F32" i="2"/>
  <c r="G32" i="2"/>
  <c r="I32" i="2"/>
  <c r="L32" i="2"/>
  <c r="P32" i="2"/>
  <c r="D33" i="2"/>
  <c r="E33" i="2"/>
  <c r="F33" i="2"/>
  <c r="G33" i="2"/>
  <c r="I33" i="2"/>
  <c r="L33" i="2"/>
  <c r="P33" i="2"/>
  <c r="D34" i="2"/>
  <c r="E34" i="2"/>
  <c r="F34" i="2"/>
  <c r="G34" i="2"/>
  <c r="I34" i="2"/>
  <c r="L34" i="2"/>
  <c r="P34" i="2"/>
  <c r="D35" i="2"/>
  <c r="E35" i="2"/>
  <c r="F35" i="2"/>
  <c r="G35" i="2"/>
  <c r="I35" i="2"/>
  <c r="L35" i="2"/>
  <c r="P35" i="2"/>
  <c r="D36" i="2"/>
  <c r="E36" i="2"/>
  <c r="F36" i="2"/>
  <c r="G36" i="2"/>
  <c r="I36" i="2"/>
  <c r="L36" i="2"/>
  <c r="P36" i="2"/>
  <c r="D37" i="2"/>
  <c r="E37" i="2"/>
  <c r="F37" i="2"/>
  <c r="G37" i="2"/>
  <c r="I37" i="2"/>
  <c r="L37" i="2"/>
  <c r="P37" i="2"/>
  <c r="D38" i="2"/>
  <c r="E38" i="2"/>
  <c r="F38" i="2"/>
  <c r="G38" i="2"/>
  <c r="I38" i="2"/>
  <c r="L38" i="2"/>
  <c r="P38" i="2"/>
  <c r="D39" i="2"/>
  <c r="E39" i="2"/>
  <c r="F39" i="2"/>
  <c r="G39" i="2"/>
  <c r="I39" i="2"/>
  <c r="L39" i="2"/>
  <c r="P39" i="2"/>
  <c r="D40" i="2"/>
  <c r="E40" i="2"/>
  <c r="F40" i="2"/>
  <c r="G40" i="2"/>
  <c r="I40" i="2"/>
  <c r="L40" i="2"/>
  <c r="P40" i="2"/>
  <c r="D41" i="2"/>
  <c r="E41" i="2"/>
  <c r="F41" i="2"/>
  <c r="G41" i="2"/>
  <c r="I41" i="2"/>
  <c r="L41" i="2"/>
  <c r="P41" i="2"/>
  <c r="D42" i="2"/>
  <c r="E42" i="2"/>
  <c r="F42" i="2"/>
  <c r="G42" i="2"/>
  <c r="I42" i="2"/>
  <c r="L42" i="2"/>
  <c r="P42" i="2"/>
  <c r="D43" i="2"/>
  <c r="E43" i="2"/>
  <c r="F43" i="2"/>
  <c r="G43" i="2"/>
  <c r="I43" i="2"/>
  <c r="L43" i="2"/>
  <c r="P43" i="2"/>
  <c r="D44" i="2"/>
  <c r="E44" i="2"/>
  <c r="F44" i="2"/>
  <c r="G44" i="2"/>
  <c r="I44" i="2"/>
  <c r="L44" i="2"/>
  <c r="P44" i="2"/>
  <c r="D45" i="2"/>
  <c r="E45" i="2"/>
  <c r="F45" i="2"/>
  <c r="G45" i="2"/>
  <c r="I45" i="2"/>
  <c r="L45" i="2"/>
  <c r="P45" i="2"/>
  <c r="D46" i="2"/>
  <c r="E46" i="2"/>
  <c r="F46" i="2"/>
  <c r="G46" i="2"/>
  <c r="I46" i="2"/>
  <c r="L46" i="2"/>
  <c r="P46" i="2"/>
  <c r="D47" i="2"/>
  <c r="E47" i="2"/>
  <c r="F47" i="2"/>
  <c r="G47" i="2"/>
  <c r="I47" i="2"/>
  <c r="L47" i="2"/>
  <c r="P47" i="2"/>
  <c r="D48" i="2"/>
  <c r="E48" i="2"/>
  <c r="F48" i="2"/>
  <c r="G48" i="2"/>
  <c r="I48" i="2"/>
  <c r="L48" i="2"/>
  <c r="P48" i="2"/>
  <c r="D49" i="2"/>
  <c r="E49" i="2"/>
  <c r="F49" i="2"/>
  <c r="G49" i="2"/>
  <c r="I49" i="2"/>
  <c r="L49" i="2"/>
  <c r="P49" i="2"/>
  <c r="D50" i="2"/>
  <c r="E50" i="2"/>
  <c r="F50" i="2"/>
  <c r="G50" i="2"/>
  <c r="I50" i="2"/>
  <c r="L50" i="2"/>
  <c r="P50" i="2"/>
  <c r="D51" i="2"/>
  <c r="E51" i="2"/>
  <c r="F51" i="2"/>
  <c r="G51" i="2"/>
  <c r="I51" i="2"/>
  <c r="L51" i="2"/>
  <c r="P51" i="2"/>
  <c r="D52" i="2"/>
  <c r="E52" i="2"/>
  <c r="F52" i="2"/>
  <c r="G52" i="2"/>
  <c r="I52" i="2"/>
  <c r="L52" i="2"/>
  <c r="P52" i="2"/>
  <c r="D53" i="2"/>
  <c r="E53" i="2"/>
  <c r="F53" i="2"/>
  <c r="G53" i="2"/>
  <c r="I53" i="2"/>
  <c r="L53" i="2"/>
  <c r="P53" i="2"/>
  <c r="D54" i="2"/>
  <c r="E54" i="2"/>
  <c r="F54" i="2"/>
  <c r="G54" i="2"/>
  <c r="I54" i="2"/>
  <c r="L54" i="2"/>
  <c r="P54" i="2"/>
  <c r="D55" i="2"/>
  <c r="E55" i="2"/>
  <c r="F55" i="2"/>
  <c r="G55" i="2"/>
  <c r="I55" i="2"/>
  <c r="L55" i="2"/>
  <c r="P55" i="2"/>
  <c r="D56" i="2"/>
  <c r="E56" i="2"/>
  <c r="F56" i="2"/>
  <c r="G56" i="2"/>
  <c r="I56" i="2"/>
  <c r="L56" i="2"/>
  <c r="P56" i="2"/>
  <c r="D57" i="2"/>
  <c r="E57" i="2"/>
  <c r="F57" i="2"/>
  <c r="G57" i="2"/>
  <c r="I57" i="2"/>
  <c r="L57" i="2"/>
  <c r="P57" i="2"/>
  <c r="D58" i="2"/>
  <c r="E58" i="2"/>
  <c r="F58" i="2"/>
  <c r="G58" i="2"/>
  <c r="I58" i="2"/>
  <c r="L58" i="2"/>
  <c r="P58" i="2"/>
  <c r="D59" i="2"/>
  <c r="E59" i="2"/>
  <c r="F59" i="2"/>
  <c r="G59" i="2"/>
  <c r="I59" i="2"/>
  <c r="L59" i="2"/>
  <c r="P59" i="2"/>
  <c r="D60" i="2"/>
  <c r="E60" i="2"/>
  <c r="F60" i="2"/>
  <c r="G60" i="2"/>
  <c r="I60" i="2"/>
  <c r="L60" i="2"/>
  <c r="P60" i="2"/>
  <c r="D61" i="2"/>
  <c r="E61" i="2"/>
  <c r="F61" i="2"/>
  <c r="G61" i="2"/>
  <c r="I61" i="2"/>
  <c r="L61" i="2"/>
  <c r="P61" i="2"/>
  <c r="D62" i="2"/>
  <c r="E62" i="2"/>
  <c r="F62" i="2"/>
  <c r="G62" i="2"/>
  <c r="I62" i="2"/>
  <c r="L62" i="2"/>
  <c r="P62" i="2"/>
  <c r="D63" i="2"/>
  <c r="E63" i="2"/>
  <c r="F63" i="2"/>
  <c r="G63" i="2"/>
  <c r="I63" i="2"/>
  <c r="L63" i="2"/>
  <c r="P63" i="2"/>
  <c r="D64" i="2"/>
  <c r="E64" i="2"/>
  <c r="F64" i="2"/>
  <c r="G64" i="2"/>
  <c r="I64" i="2"/>
  <c r="L64" i="2"/>
  <c r="P64" i="2"/>
  <c r="D65" i="2"/>
  <c r="E65" i="2"/>
  <c r="F65" i="2"/>
  <c r="G65" i="2"/>
  <c r="I65" i="2"/>
  <c r="L65" i="2"/>
  <c r="P65" i="2"/>
  <c r="D66" i="2"/>
  <c r="E66" i="2"/>
  <c r="F66" i="2"/>
  <c r="G66" i="2"/>
  <c r="I66" i="2"/>
  <c r="L66" i="2"/>
  <c r="P66" i="2"/>
  <c r="D67" i="2"/>
  <c r="E67" i="2"/>
  <c r="F67" i="2"/>
  <c r="G67" i="2"/>
  <c r="I67" i="2"/>
  <c r="L67" i="2"/>
  <c r="P67" i="2"/>
  <c r="D68" i="2"/>
  <c r="E68" i="2"/>
  <c r="F68" i="2"/>
  <c r="G68" i="2"/>
  <c r="I68" i="2"/>
  <c r="L68" i="2"/>
  <c r="P68" i="2"/>
  <c r="D69" i="2"/>
  <c r="E69" i="2"/>
  <c r="F69" i="2"/>
  <c r="G69" i="2"/>
  <c r="I69" i="2"/>
  <c r="L69" i="2"/>
  <c r="P69" i="2"/>
  <c r="D70" i="2"/>
  <c r="E70" i="2"/>
  <c r="F70" i="2"/>
  <c r="G70" i="2"/>
  <c r="I70" i="2"/>
  <c r="L70" i="2"/>
  <c r="P70" i="2"/>
  <c r="D71" i="2"/>
  <c r="E71" i="2"/>
  <c r="F71" i="2"/>
  <c r="G71" i="2"/>
  <c r="I71" i="2"/>
  <c r="L71" i="2"/>
  <c r="P71" i="2"/>
  <c r="D72" i="2"/>
  <c r="E72" i="2"/>
  <c r="F72" i="2"/>
  <c r="G72" i="2"/>
  <c r="I72" i="2"/>
  <c r="L72" i="2"/>
  <c r="P72" i="2"/>
  <c r="D73" i="2"/>
  <c r="E73" i="2"/>
  <c r="F73" i="2"/>
  <c r="G73" i="2"/>
  <c r="I73" i="2"/>
  <c r="L73" i="2"/>
  <c r="P73" i="2"/>
  <c r="D74" i="2"/>
  <c r="E74" i="2"/>
  <c r="F74" i="2"/>
  <c r="G74" i="2"/>
  <c r="I74" i="2"/>
  <c r="L74" i="2"/>
  <c r="P74" i="2"/>
  <c r="D75" i="2"/>
  <c r="E75" i="2"/>
  <c r="F75" i="2"/>
  <c r="G75" i="2"/>
  <c r="I75" i="2"/>
  <c r="L75" i="2"/>
  <c r="P75" i="2"/>
  <c r="D76" i="2"/>
  <c r="E76" i="2"/>
  <c r="F76" i="2"/>
  <c r="G76" i="2"/>
  <c r="I76" i="2"/>
  <c r="L76" i="2"/>
  <c r="P76" i="2"/>
  <c r="D77" i="2"/>
  <c r="E77" i="2"/>
  <c r="F77" i="2"/>
  <c r="G77" i="2"/>
  <c r="I77" i="2"/>
  <c r="L77" i="2"/>
  <c r="P77" i="2"/>
  <c r="D78" i="2"/>
  <c r="E78" i="2"/>
  <c r="F78" i="2"/>
  <c r="G78" i="2"/>
  <c r="I78" i="2"/>
  <c r="L78" i="2"/>
  <c r="P78" i="2"/>
  <c r="D79" i="2"/>
  <c r="E79" i="2"/>
  <c r="F79" i="2"/>
  <c r="G79" i="2"/>
  <c r="I79" i="2"/>
  <c r="L79" i="2"/>
  <c r="P79" i="2"/>
  <c r="D80" i="2"/>
  <c r="E80" i="2"/>
  <c r="F80" i="2"/>
  <c r="G80" i="2"/>
  <c r="I80" i="2"/>
  <c r="L80" i="2"/>
  <c r="P80" i="2"/>
  <c r="D81" i="2"/>
  <c r="E81" i="2"/>
  <c r="F81" i="2"/>
  <c r="G81" i="2"/>
  <c r="I81" i="2"/>
  <c r="L81" i="2"/>
  <c r="P81" i="2"/>
  <c r="D82" i="2"/>
  <c r="E82" i="2"/>
  <c r="F82" i="2"/>
  <c r="G82" i="2"/>
  <c r="I82" i="2"/>
  <c r="L82" i="2"/>
  <c r="P82" i="2"/>
  <c r="D83" i="2"/>
  <c r="E83" i="2"/>
  <c r="F83" i="2"/>
  <c r="G83" i="2"/>
  <c r="I83" i="2"/>
  <c r="L83" i="2"/>
  <c r="P83" i="2"/>
  <c r="D84" i="2"/>
  <c r="E84" i="2"/>
  <c r="F84" i="2"/>
  <c r="G84" i="2"/>
  <c r="I84" i="2"/>
  <c r="L84" i="2"/>
  <c r="P84" i="2"/>
  <c r="D85" i="2"/>
  <c r="E85" i="2"/>
  <c r="F85" i="2"/>
  <c r="G85" i="2"/>
  <c r="I85" i="2"/>
  <c r="L85" i="2"/>
  <c r="P85" i="2"/>
  <c r="D86" i="2"/>
  <c r="E86" i="2"/>
  <c r="F86" i="2"/>
  <c r="G86" i="2"/>
  <c r="I86" i="2"/>
  <c r="L86" i="2"/>
  <c r="P86" i="2"/>
  <c r="D87" i="2"/>
  <c r="E87" i="2"/>
  <c r="F87" i="2"/>
  <c r="G87" i="2"/>
  <c r="I87" i="2"/>
  <c r="L87" i="2"/>
  <c r="P87" i="2"/>
  <c r="D88" i="2"/>
  <c r="E88" i="2"/>
  <c r="F88" i="2"/>
  <c r="G88" i="2"/>
  <c r="I88" i="2"/>
  <c r="L88" i="2"/>
  <c r="P88" i="2"/>
  <c r="D89" i="2"/>
  <c r="E89" i="2"/>
  <c r="F89" i="2"/>
  <c r="G89" i="2"/>
  <c r="I89" i="2"/>
  <c r="L89" i="2"/>
  <c r="P89" i="2"/>
  <c r="D90" i="2"/>
  <c r="E90" i="2"/>
  <c r="F90" i="2"/>
  <c r="G90" i="2"/>
  <c r="I90" i="2"/>
  <c r="L90" i="2"/>
  <c r="P90" i="2"/>
  <c r="D91" i="2"/>
  <c r="E91" i="2"/>
  <c r="F91" i="2"/>
  <c r="G91" i="2"/>
  <c r="I91" i="2"/>
  <c r="L91" i="2"/>
  <c r="P91" i="2"/>
  <c r="D92" i="2"/>
  <c r="E92" i="2"/>
  <c r="F92" i="2"/>
  <c r="G92" i="2"/>
  <c r="I92" i="2"/>
  <c r="L92" i="2"/>
  <c r="P92" i="2"/>
  <c r="D93" i="2"/>
  <c r="E93" i="2"/>
  <c r="F93" i="2"/>
  <c r="G93" i="2"/>
  <c r="I93" i="2"/>
  <c r="L93" i="2"/>
  <c r="P93" i="2"/>
  <c r="D94" i="2"/>
  <c r="E94" i="2"/>
  <c r="F94" i="2"/>
  <c r="G94" i="2"/>
  <c r="I94" i="2"/>
  <c r="L94" i="2"/>
  <c r="P94" i="2"/>
  <c r="D95" i="2"/>
  <c r="E95" i="2"/>
  <c r="F95" i="2"/>
  <c r="G95" i="2"/>
  <c r="I95" i="2"/>
  <c r="L95" i="2"/>
  <c r="P95" i="2"/>
  <c r="D96" i="2"/>
  <c r="E96" i="2"/>
  <c r="F96" i="2"/>
  <c r="G96" i="2"/>
  <c r="I96" i="2"/>
  <c r="L96" i="2"/>
  <c r="P96" i="2"/>
  <c r="D97" i="2"/>
  <c r="E97" i="2"/>
  <c r="F97" i="2"/>
  <c r="G97" i="2"/>
  <c r="I97" i="2"/>
  <c r="L97" i="2"/>
  <c r="P97" i="2"/>
  <c r="D98" i="2"/>
  <c r="E98" i="2"/>
  <c r="F98" i="2"/>
  <c r="G98" i="2"/>
  <c r="I98" i="2"/>
  <c r="L98" i="2"/>
  <c r="P98" i="2"/>
  <c r="D99" i="2"/>
  <c r="E99" i="2"/>
  <c r="F99" i="2"/>
  <c r="G99" i="2"/>
  <c r="I99" i="2"/>
  <c r="L99" i="2"/>
  <c r="P99" i="2"/>
  <c r="D100" i="2"/>
  <c r="E100" i="2"/>
  <c r="F100" i="2"/>
  <c r="G100" i="2"/>
  <c r="I100" i="2"/>
  <c r="L100" i="2"/>
  <c r="P100" i="2"/>
  <c r="D101" i="2"/>
  <c r="E101" i="2"/>
  <c r="F101" i="2"/>
  <c r="G101" i="2"/>
  <c r="I101" i="2"/>
  <c r="L101" i="2"/>
  <c r="P101" i="2"/>
  <c r="D102" i="2"/>
  <c r="E102" i="2"/>
  <c r="F102" i="2"/>
  <c r="G102" i="2"/>
  <c r="I102" i="2"/>
  <c r="L102" i="2"/>
  <c r="P102" i="2"/>
  <c r="D103" i="2"/>
  <c r="E103" i="2"/>
  <c r="F103" i="2"/>
  <c r="G103" i="2"/>
  <c r="I103" i="2"/>
  <c r="L103" i="2"/>
  <c r="P103" i="2"/>
  <c r="D104" i="2"/>
  <c r="E104" i="2"/>
  <c r="F104" i="2"/>
  <c r="G104" i="2"/>
  <c r="I104" i="2"/>
  <c r="L104" i="2"/>
  <c r="P104" i="2"/>
  <c r="D105" i="2"/>
  <c r="E105" i="2"/>
  <c r="F105" i="2"/>
  <c r="G105" i="2"/>
  <c r="I105" i="2"/>
  <c r="L105" i="2"/>
  <c r="P105" i="2"/>
  <c r="D106" i="2"/>
  <c r="E106" i="2"/>
  <c r="F106" i="2"/>
  <c r="G106" i="2"/>
  <c r="I106" i="2"/>
  <c r="L106" i="2"/>
  <c r="P106" i="2"/>
  <c r="D107" i="2"/>
  <c r="E107" i="2"/>
  <c r="F107" i="2"/>
  <c r="G107" i="2"/>
  <c r="I107" i="2"/>
  <c r="L107" i="2"/>
  <c r="P107" i="2"/>
  <c r="D108" i="2"/>
  <c r="E108" i="2"/>
  <c r="F108" i="2"/>
  <c r="G108" i="2"/>
  <c r="I108" i="2"/>
  <c r="L108" i="2"/>
  <c r="P108" i="2"/>
  <c r="D109" i="2"/>
  <c r="E109" i="2"/>
  <c r="F109" i="2"/>
  <c r="G109" i="2"/>
  <c r="I109" i="2"/>
  <c r="L109" i="2"/>
  <c r="P109" i="2"/>
  <c r="D110" i="2"/>
  <c r="E110" i="2"/>
  <c r="F110" i="2"/>
  <c r="G110" i="2"/>
  <c r="I110" i="2"/>
  <c r="L110" i="2"/>
  <c r="P110" i="2"/>
  <c r="D111" i="2"/>
  <c r="E111" i="2"/>
  <c r="F111" i="2"/>
  <c r="G111" i="2"/>
  <c r="I111" i="2"/>
  <c r="L111" i="2"/>
  <c r="P111" i="2"/>
  <c r="D112" i="2"/>
  <c r="E112" i="2"/>
  <c r="F112" i="2"/>
  <c r="G112" i="2"/>
  <c r="I112" i="2"/>
  <c r="L112" i="2"/>
  <c r="P112" i="2"/>
  <c r="D113" i="2"/>
  <c r="E113" i="2"/>
  <c r="F113" i="2"/>
  <c r="G113" i="2"/>
  <c r="I113" i="2"/>
  <c r="L113" i="2"/>
  <c r="P113" i="2"/>
  <c r="D114" i="2"/>
  <c r="E114" i="2"/>
  <c r="F114" i="2"/>
  <c r="G114" i="2"/>
  <c r="I114" i="2"/>
  <c r="L114" i="2"/>
  <c r="P114" i="2"/>
  <c r="D115" i="2"/>
  <c r="E115" i="2"/>
  <c r="F115" i="2"/>
  <c r="G115" i="2"/>
  <c r="I115" i="2"/>
  <c r="L115" i="2"/>
  <c r="P115" i="2"/>
  <c r="D116" i="2"/>
  <c r="E116" i="2"/>
  <c r="F116" i="2"/>
  <c r="G116" i="2"/>
  <c r="I116" i="2"/>
  <c r="L116" i="2"/>
  <c r="P116" i="2"/>
  <c r="D117" i="2"/>
  <c r="E117" i="2"/>
  <c r="F117" i="2"/>
  <c r="G117" i="2"/>
  <c r="I117" i="2"/>
  <c r="L117" i="2"/>
  <c r="P117" i="2"/>
  <c r="D118" i="2"/>
  <c r="E118" i="2"/>
  <c r="F118" i="2"/>
  <c r="G118" i="2"/>
  <c r="I118" i="2"/>
  <c r="L118" i="2"/>
  <c r="P118" i="2"/>
  <c r="D119" i="2"/>
  <c r="E119" i="2"/>
  <c r="F119" i="2"/>
  <c r="G119" i="2"/>
  <c r="I119" i="2"/>
  <c r="L119" i="2"/>
  <c r="P119" i="2"/>
  <c r="D120" i="2"/>
  <c r="E120" i="2"/>
  <c r="F120" i="2"/>
  <c r="G120" i="2"/>
  <c r="I120" i="2"/>
  <c r="L120" i="2"/>
  <c r="P120" i="2"/>
  <c r="D121" i="2"/>
  <c r="E121" i="2"/>
  <c r="F121" i="2"/>
  <c r="G121" i="2"/>
  <c r="I121" i="2"/>
  <c r="L121" i="2"/>
  <c r="P121" i="2"/>
  <c r="D122" i="2"/>
  <c r="E122" i="2"/>
  <c r="F122" i="2"/>
  <c r="G122" i="2"/>
  <c r="I122" i="2"/>
  <c r="L122" i="2"/>
  <c r="P122" i="2"/>
  <c r="D123" i="2"/>
  <c r="E123" i="2"/>
  <c r="F123" i="2"/>
  <c r="G123" i="2"/>
  <c r="I123" i="2"/>
  <c r="L123" i="2"/>
  <c r="P123" i="2"/>
  <c r="D124" i="2"/>
  <c r="E124" i="2"/>
  <c r="F124" i="2"/>
  <c r="G124" i="2"/>
  <c r="I124" i="2"/>
  <c r="L124" i="2"/>
  <c r="P124" i="2"/>
  <c r="D125" i="2"/>
  <c r="E125" i="2"/>
  <c r="F125" i="2"/>
  <c r="G125" i="2"/>
  <c r="I125" i="2"/>
  <c r="L125" i="2"/>
  <c r="P125" i="2"/>
  <c r="D126" i="2"/>
  <c r="E126" i="2"/>
  <c r="F126" i="2"/>
  <c r="G126" i="2"/>
  <c r="I126" i="2"/>
  <c r="L126" i="2"/>
  <c r="P126" i="2"/>
  <c r="D127" i="2"/>
  <c r="E127" i="2"/>
  <c r="F127" i="2"/>
  <c r="G127" i="2"/>
  <c r="I127" i="2"/>
  <c r="L127" i="2"/>
  <c r="P127" i="2"/>
  <c r="D128" i="2"/>
  <c r="E128" i="2"/>
  <c r="F128" i="2"/>
  <c r="G128" i="2"/>
  <c r="I128" i="2"/>
  <c r="L128" i="2"/>
  <c r="P128" i="2"/>
  <c r="D129" i="2"/>
  <c r="E129" i="2"/>
  <c r="F129" i="2"/>
  <c r="G129" i="2"/>
  <c r="I129" i="2"/>
  <c r="L129" i="2"/>
  <c r="P129" i="2"/>
  <c r="D130" i="2"/>
  <c r="E130" i="2"/>
  <c r="F130" i="2"/>
  <c r="G130" i="2"/>
  <c r="I130" i="2"/>
  <c r="L130" i="2"/>
  <c r="P130" i="2"/>
  <c r="D131" i="2"/>
  <c r="E131" i="2"/>
  <c r="F131" i="2"/>
  <c r="G131" i="2"/>
  <c r="I131" i="2"/>
  <c r="L131" i="2"/>
  <c r="P131" i="2"/>
  <c r="D132" i="2"/>
  <c r="E132" i="2"/>
  <c r="F132" i="2"/>
  <c r="G132" i="2"/>
  <c r="I132" i="2"/>
  <c r="L132" i="2"/>
  <c r="P132" i="2"/>
  <c r="D133" i="2"/>
  <c r="E133" i="2"/>
  <c r="F133" i="2"/>
  <c r="G133" i="2"/>
  <c r="I133" i="2"/>
  <c r="L133" i="2"/>
  <c r="P133" i="2"/>
  <c r="D134" i="2"/>
  <c r="E134" i="2"/>
  <c r="F134" i="2"/>
  <c r="G134" i="2"/>
  <c r="I134" i="2"/>
  <c r="L134" i="2"/>
  <c r="P134" i="2"/>
  <c r="D135" i="2"/>
  <c r="E135" i="2"/>
  <c r="F135" i="2"/>
  <c r="G135" i="2"/>
  <c r="I135" i="2"/>
  <c r="L135" i="2"/>
  <c r="P135" i="2"/>
  <c r="D136" i="2"/>
  <c r="E136" i="2"/>
  <c r="F136" i="2"/>
  <c r="G136" i="2"/>
  <c r="I136" i="2"/>
  <c r="L136" i="2"/>
  <c r="P136" i="2"/>
  <c r="D137" i="2"/>
  <c r="E137" i="2"/>
  <c r="F137" i="2"/>
  <c r="G137" i="2"/>
  <c r="I137" i="2"/>
  <c r="L137" i="2"/>
  <c r="P137" i="2"/>
  <c r="D138" i="2"/>
  <c r="E138" i="2"/>
  <c r="F138" i="2"/>
  <c r="G138" i="2"/>
  <c r="I138" i="2"/>
  <c r="L138" i="2"/>
  <c r="P138" i="2"/>
  <c r="D139" i="2"/>
  <c r="E139" i="2"/>
  <c r="F139" i="2"/>
  <c r="G139" i="2"/>
  <c r="I139" i="2"/>
  <c r="L139" i="2"/>
  <c r="P139" i="2"/>
  <c r="D140" i="2"/>
  <c r="E140" i="2"/>
  <c r="F140" i="2"/>
  <c r="G140" i="2"/>
  <c r="I140" i="2"/>
  <c r="L140" i="2"/>
  <c r="P140" i="2"/>
  <c r="D141" i="2"/>
  <c r="E141" i="2"/>
  <c r="F141" i="2"/>
  <c r="G141" i="2"/>
  <c r="I141" i="2"/>
  <c r="L141" i="2"/>
  <c r="P141" i="2"/>
  <c r="D142" i="2"/>
  <c r="E142" i="2"/>
  <c r="F142" i="2"/>
  <c r="G142" i="2"/>
  <c r="I142" i="2"/>
  <c r="L142" i="2"/>
  <c r="P142" i="2"/>
  <c r="D143" i="2"/>
  <c r="E143" i="2"/>
  <c r="F143" i="2"/>
  <c r="G143" i="2"/>
  <c r="I143" i="2"/>
  <c r="L143" i="2"/>
  <c r="P143" i="2"/>
  <c r="D144" i="2"/>
  <c r="E144" i="2"/>
  <c r="F144" i="2"/>
  <c r="G144" i="2"/>
  <c r="I144" i="2"/>
  <c r="L144" i="2"/>
  <c r="P144" i="2"/>
  <c r="D145" i="2"/>
  <c r="E145" i="2"/>
  <c r="F145" i="2"/>
  <c r="G145" i="2"/>
  <c r="I145" i="2"/>
  <c r="L145" i="2"/>
  <c r="P145" i="2"/>
  <c r="D146" i="2"/>
  <c r="E146" i="2"/>
  <c r="F146" i="2"/>
  <c r="G146" i="2"/>
  <c r="I146" i="2"/>
  <c r="L146" i="2"/>
  <c r="P146" i="2"/>
  <c r="D147" i="2"/>
  <c r="E147" i="2"/>
  <c r="F147" i="2"/>
  <c r="G147" i="2"/>
  <c r="I147" i="2"/>
  <c r="L147" i="2"/>
  <c r="P147" i="2"/>
  <c r="D148" i="2"/>
  <c r="E148" i="2"/>
  <c r="F148" i="2"/>
  <c r="G148" i="2"/>
  <c r="I148" i="2"/>
  <c r="L148" i="2"/>
  <c r="P148" i="2"/>
  <c r="D149" i="2"/>
  <c r="E149" i="2"/>
  <c r="F149" i="2"/>
  <c r="G149" i="2"/>
  <c r="I149" i="2"/>
  <c r="L149" i="2"/>
  <c r="P149" i="2"/>
  <c r="D150" i="2"/>
  <c r="E150" i="2"/>
  <c r="F150" i="2"/>
  <c r="G150" i="2"/>
  <c r="I150" i="2"/>
  <c r="L150" i="2"/>
  <c r="P150" i="2"/>
  <c r="D151" i="2"/>
  <c r="E151" i="2"/>
  <c r="F151" i="2"/>
  <c r="G151" i="2"/>
  <c r="I151" i="2"/>
  <c r="L151" i="2"/>
  <c r="P151" i="2"/>
  <c r="D152" i="2"/>
  <c r="E152" i="2"/>
  <c r="F152" i="2"/>
  <c r="G152" i="2"/>
  <c r="I152" i="2"/>
  <c r="L152" i="2"/>
  <c r="P152" i="2"/>
  <c r="D153" i="2"/>
  <c r="E153" i="2"/>
  <c r="F153" i="2"/>
  <c r="G153" i="2"/>
  <c r="I153" i="2"/>
  <c r="L153" i="2"/>
  <c r="P153" i="2"/>
  <c r="D154" i="2"/>
  <c r="E154" i="2"/>
  <c r="F154" i="2"/>
  <c r="G154" i="2"/>
  <c r="I154" i="2"/>
  <c r="L154" i="2"/>
  <c r="P154" i="2"/>
  <c r="D155" i="2"/>
  <c r="E155" i="2"/>
  <c r="F155" i="2"/>
  <c r="G155" i="2"/>
  <c r="I155" i="2"/>
  <c r="L155" i="2"/>
  <c r="P155" i="2"/>
  <c r="D156" i="2"/>
  <c r="E156" i="2"/>
  <c r="F156" i="2"/>
  <c r="G156" i="2"/>
  <c r="I156" i="2"/>
  <c r="L156" i="2"/>
  <c r="P156" i="2"/>
  <c r="D157" i="2"/>
  <c r="E157" i="2"/>
  <c r="F157" i="2"/>
  <c r="G157" i="2"/>
  <c r="I157" i="2"/>
  <c r="L157" i="2"/>
  <c r="P157" i="2"/>
  <c r="D158" i="2"/>
  <c r="E158" i="2"/>
  <c r="F158" i="2"/>
  <c r="G158" i="2"/>
  <c r="I158" i="2"/>
  <c r="L158" i="2"/>
  <c r="P158" i="2"/>
  <c r="D159" i="2"/>
  <c r="E159" i="2"/>
  <c r="F159" i="2"/>
  <c r="G159" i="2"/>
  <c r="I159" i="2"/>
  <c r="L159" i="2"/>
  <c r="P159" i="2"/>
  <c r="D160" i="2"/>
  <c r="E160" i="2"/>
  <c r="F160" i="2"/>
  <c r="G160" i="2"/>
  <c r="I160" i="2"/>
  <c r="L160" i="2"/>
  <c r="P160" i="2"/>
  <c r="D161" i="2"/>
  <c r="E161" i="2"/>
  <c r="F161" i="2"/>
  <c r="G161" i="2"/>
  <c r="I161" i="2"/>
  <c r="L161" i="2"/>
  <c r="P161" i="2"/>
  <c r="D162" i="2"/>
  <c r="E162" i="2"/>
  <c r="F162" i="2"/>
  <c r="G162" i="2"/>
  <c r="I162" i="2"/>
  <c r="L162" i="2"/>
  <c r="P162" i="2"/>
  <c r="D163" i="2"/>
  <c r="E163" i="2"/>
  <c r="F163" i="2"/>
  <c r="G163" i="2"/>
  <c r="I163" i="2"/>
  <c r="L163" i="2"/>
  <c r="P163" i="2"/>
  <c r="D164" i="2"/>
  <c r="E164" i="2"/>
  <c r="F164" i="2"/>
  <c r="G164" i="2"/>
  <c r="I164" i="2"/>
  <c r="L164" i="2"/>
  <c r="P164" i="2"/>
  <c r="D165" i="2"/>
  <c r="E165" i="2"/>
  <c r="F165" i="2"/>
  <c r="G165" i="2"/>
  <c r="I165" i="2"/>
  <c r="L165" i="2"/>
  <c r="P165" i="2"/>
  <c r="D166" i="2"/>
  <c r="E166" i="2"/>
  <c r="F166" i="2"/>
  <c r="G166" i="2"/>
  <c r="I166" i="2"/>
  <c r="L166" i="2"/>
  <c r="P166" i="2"/>
  <c r="D167" i="2"/>
  <c r="E167" i="2"/>
  <c r="F167" i="2"/>
  <c r="G167" i="2"/>
  <c r="I167" i="2"/>
  <c r="L167" i="2"/>
  <c r="P167" i="2"/>
  <c r="D168" i="2"/>
  <c r="E168" i="2"/>
  <c r="F168" i="2"/>
  <c r="G168" i="2"/>
  <c r="I168" i="2"/>
  <c r="L168" i="2"/>
  <c r="P168" i="2"/>
  <c r="D169" i="2"/>
  <c r="E169" i="2"/>
  <c r="F169" i="2"/>
  <c r="G169" i="2"/>
  <c r="I169" i="2"/>
  <c r="L169" i="2"/>
  <c r="P169" i="2"/>
  <c r="D170" i="2"/>
  <c r="E170" i="2"/>
  <c r="F170" i="2"/>
  <c r="G170" i="2"/>
  <c r="I170" i="2"/>
  <c r="L170" i="2"/>
  <c r="P170" i="2"/>
  <c r="D171" i="2"/>
  <c r="E171" i="2"/>
  <c r="F171" i="2"/>
  <c r="G171" i="2"/>
  <c r="I171" i="2"/>
  <c r="L171" i="2"/>
  <c r="P171" i="2"/>
  <c r="D172" i="2"/>
  <c r="E172" i="2"/>
  <c r="F172" i="2"/>
  <c r="G172" i="2"/>
  <c r="I172" i="2"/>
  <c r="L172" i="2"/>
  <c r="P172" i="2"/>
  <c r="D173" i="2"/>
  <c r="E173" i="2"/>
  <c r="F173" i="2"/>
  <c r="G173" i="2"/>
  <c r="I173" i="2"/>
  <c r="L173" i="2"/>
  <c r="P173" i="2"/>
  <c r="F3" i="1"/>
  <c r="C19" i="2" l="1"/>
  <c r="H175" i="2" s="1"/>
  <c r="H5" i="2"/>
  <c r="C20" i="2" l="1"/>
  <c r="C21" i="2" l="1"/>
  <c r="C22" i="2" l="1"/>
  <c r="C23" i="2" l="1"/>
  <c r="C24" i="2" l="1"/>
  <c r="C25" i="2" l="1"/>
  <c r="C26" i="2" l="1"/>
  <c r="C27" i="2" l="1"/>
  <c r="C28" i="2" l="1"/>
  <c r="C29" i="2" l="1"/>
  <c r="C30" i="2" l="1"/>
  <c r="C31" i="2" l="1"/>
  <c r="C32" i="2" l="1"/>
  <c r="C33" i="2" l="1"/>
  <c r="C34" i="2" l="1"/>
  <c r="C35" i="2" l="1"/>
  <c r="C36" i="2" l="1"/>
  <c r="C37" i="2" l="1"/>
  <c r="C38" i="2" l="1"/>
  <c r="C39" i="2" l="1"/>
  <c r="C40" i="2" l="1"/>
  <c r="C41" i="2" l="1"/>
  <c r="C42" i="2" l="1"/>
  <c r="C43" i="2" l="1"/>
  <c r="C44" i="2" l="1"/>
  <c r="C45" i="2" l="1"/>
  <c r="C46" i="2" l="1"/>
  <c r="C47" i="2" l="1"/>
  <c r="C48" i="2" l="1"/>
  <c r="C49" i="2" l="1"/>
  <c r="C50" i="2" l="1"/>
  <c r="C51" i="2" l="1"/>
  <c r="C52" i="2" l="1"/>
  <c r="C53" i="2" l="1"/>
  <c r="C54" i="2" l="1"/>
  <c r="C55" i="2" l="1"/>
  <c r="C56" i="2" l="1"/>
  <c r="C57" i="2" l="1"/>
  <c r="C58" i="2" l="1"/>
  <c r="C59" i="2" l="1"/>
  <c r="C60" i="2" l="1"/>
  <c r="C61" i="2" l="1"/>
  <c r="C62" i="2" l="1"/>
  <c r="C63" i="2" l="1"/>
  <c r="C64" i="2" l="1"/>
  <c r="C65" i="2" l="1"/>
  <c r="C66" i="2" l="1"/>
  <c r="C67" i="2" l="1"/>
  <c r="C68" i="2" l="1"/>
  <c r="C69" i="2" l="1"/>
  <c r="C70" i="2" l="1"/>
  <c r="C71" i="2" l="1"/>
  <c r="C72" i="2" l="1"/>
  <c r="C73" i="2" l="1"/>
  <c r="C74" i="2" l="1"/>
  <c r="C75" i="2" l="1"/>
  <c r="C76" i="2" l="1"/>
  <c r="C77" i="2" l="1"/>
  <c r="C78" i="2" l="1"/>
  <c r="C79" i="2" l="1"/>
  <c r="C80" i="2" l="1"/>
  <c r="C81" i="2" l="1"/>
  <c r="C82" i="2" l="1"/>
  <c r="C83" i="2" l="1"/>
  <c r="C84" i="2" l="1"/>
  <c r="C85" i="2" l="1"/>
  <c r="C86" i="2" l="1"/>
  <c r="C87" i="2" l="1"/>
  <c r="C88" i="2" l="1"/>
  <c r="C89" i="2" l="1"/>
  <c r="C90" i="2" l="1"/>
  <c r="C91" i="2" l="1"/>
  <c r="C92" i="2" l="1"/>
  <c r="C93" i="2" l="1"/>
  <c r="C94" i="2" l="1"/>
  <c r="C95" i="2" l="1"/>
  <c r="C96" i="2" l="1"/>
  <c r="C97" i="2" l="1"/>
  <c r="C98" i="2" l="1"/>
  <c r="C99" i="2" l="1"/>
  <c r="C100" i="2" l="1"/>
  <c r="C101" i="2" l="1"/>
  <c r="C102" i="2" l="1"/>
  <c r="C103" i="2" l="1"/>
  <c r="C104" i="2" l="1"/>
  <c r="C105" i="2" l="1"/>
  <c r="C106" i="2" l="1"/>
  <c r="C107" i="2" l="1"/>
  <c r="C108" i="2" l="1"/>
  <c r="C109" i="2" l="1"/>
  <c r="C110" i="2" l="1"/>
  <c r="C111" i="2" l="1"/>
  <c r="C112" i="2" l="1"/>
  <c r="C113" i="2" l="1"/>
  <c r="C114" i="2" l="1"/>
  <c r="C115" i="2" l="1"/>
  <c r="C116" i="2" l="1"/>
  <c r="C117" i="2" l="1"/>
  <c r="C118" i="2" l="1"/>
  <c r="C119" i="2" l="1"/>
  <c r="C120" i="2" l="1"/>
  <c r="C121" i="2" l="1"/>
  <c r="C122" i="2" l="1"/>
  <c r="C123" i="2" l="1"/>
  <c r="C124" i="2" l="1"/>
  <c r="C125" i="2" l="1"/>
  <c r="C126" i="2" l="1"/>
  <c r="C127" i="2" l="1"/>
  <c r="C128" i="2" l="1"/>
  <c r="C129" i="2" l="1"/>
  <c r="C130" i="2" l="1"/>
  <c r="C131" i="2" l="1"/>
  <c r="C132" i="2" l="1"/>
  <c r="C133" i="2" l="1"/>
  <c r="C134" i="2" l="1"/>
  <c r="C135" i="2" l="1"/>
  <c r="C136" i="2" l="1"/>
  <c r="C137" i="2" l="1"/>
  <c r="C138" i="2" l="1"/>
  <c r="C139" i="2" l="1"/>
  <c r="C140" i="2" l="1"/>
  <c r="C141" i="2" l="1"/>
  <c r="C142" i="2" l="1"/>
  <c r="C143" i="2" l="1"/>
  <c r="C144" i="2" l="1"/>
  <c r="C145" i="2" l="1"/>
  <c r="C146" i="2" l="1"/>
  <c r="C147" i="2" l="1"/>
  <c r="C148" i="2" l="1"/>
  <c r="C149" i="2" l="1"/>
  <c r="C150" i="2" l="1"/>
  <c r="C151" i="2" l="1"/>
  <c r="C152" i="2" l="1"/>
  <c r="C153" i="2" l="1"/>
  <c r="C154" i="2" l="1"/>
  <c r="C155" i="2" l="1"/>
  <c r="C156" i="2" l="1"/>
  <c r="C157" i="2" l="1"/>
  <c r="C158" i="2" l="1"/>
  <c r="C159" i="2" l="1"/>
  <c r="C160" i="2" l="1"/>
  <c r="C161" i="2" l="1"/>
  <c r="C162" i="2" l="1"/>
  <c r="C163" i="2" l="1"/>
  <c r="C164" i="2" l="1"/>
  <c r="C165" i="2" l="1"/>
  <c r="C166" i="2" l="1"/>
  <c r="C167" i="2" l="1"/>
  <c r="C168" i="2" l="1"/>
  <c r="C169" i="2" l="1"/>
  <c r="C170" i="2" l="1"/>
  <c r="C171" i="2" l="1"/>
  <c r="C172" i="2" l="1"/>
  <c r="C173" i="2" l="1"/>
  <c r="M175" i="2" l="1"/>
  <c r="M177" i="2" s="1"/>
  <c r="Q175" i="2"/>
  <c r="Q177" i="2" s="1"/>
</calcChain>
</file>

<file path=xl/sharedStrings.xml><?xml version="1.0" encoding="utf-8"?>
<sst xmlns="http://schemas.openxmlformats.org/spreadsheetml/2006/main" count="2469" uniqueCount="1918">
  <si>
    <t>Title</t>
  </si>
  <si>
    <t>Value</t>
  </si>
  <si>
    <t>Lookup</t>
  </si>
  <si>
    <t>Option</t>
  </si>
  <si>
    <t>Start Date</t>
  </si>
  <si>
    <t>End Date</t>
  </si>
  <si>
    <t>Hide</t>
  </si>
  <si>
    <t>Fit</t>
  </si>
  <si>
    <t>Sale</t>
  </si>
  <si>
    <t>&lt;&gt;Revaluation</t>
  </si>
  <si>
    <t>Name</t>
  </si>
  <si>
    <t>Description</t>
  </si>
  <si>
    <t>Service Zone</t>
  </si>
  <si>
    <t>Item No.</t>
  </si>
  <si>
    <t>Sales</t>
  </si>
  <si>
    <t>Quantity</t>
  </si>
  <si>
    <t>Unit Price</t>
  </si>
  <si>
    <t>Amount</t>
  </si>
  <si>
    <t>Monthly Item Sales by Service Zone</t>
  </si>
  <si>
    <t>TOTALS</t>
  </si>
  <si>
    <t>Tooltip</t>
  </si>
  <si>
    <t>Enter a date using the date format used in your NAV instance</t>
  </si>
  <si>
    <t>To search for blank values, enter @@.</t>
  </si>
  <si>
    <t>5802 Value Entry</t>
  </si>
  <si>
    <t>3 Posting Date</t>
  </si>
  <si>
    <t>2 Item No.</t>
  </si>
  <si>
    <t>4 Item Ledger Entry Type</t>
  </si>
  <si>
    <t>105 Entry Type</t>
  </si>
  <si>
    <t>Count of Records</t>
  </si>
  <si>
    <t>=NP("DateFilter",StartDate,EndDate)</t>
  </si>
  <si>
    <t>=NL("Lookup","5957 Service Zone",{"1 Code","2 Description"})</t>
  </si>
  <si>
    <t>=IF(ServiceZone="*","[All]",ServiceZone)</t>
  </si>
  <si>
    <t>="*"</t>
  </si>
  <si>
    <t>=NL("Lookup","27 Item",{"1 No.","3 Description"})</t>
  </si>
  <si>
    <t>=I10</t>
  </si>
  <si>
    <t>=NP("Eval","=""Reporting for Service Zone(s):  ""&amp;Options!$F$5")</t>
  </si>
  <si>
    <t>=NP("Eval","=TODAY()")</t>
  </si>
  <si>
    <t>=NP("Eval","=DateFilter")</t>
  </si>
  <si>
    <t>=NP("Eval","=ItemNo")</t>
  </si>
  <si>
    <t>=NL("Columns=4",NP("Dates",StartDate,EndDate,"Month"))</t>
  </si>
  <si>
    <t>=NL("Link","5802 Value Entry",,"5 Source No.","=1 No.","Filters=",$H$10:$I$13)</t>
  </si>
  <si>
    <t>=NL(,NP("Dates",K13,"12/30/2050","Month",TRUE))</t>
  </si>
  <si>
    <t>=NP("DateFilter",K13,K14)</t>
  </si>
  <si>
    <t>=K13</t>
  </si>
  <si>
    <t>="@@"&amp;E19</t>
  </si>
  <si>
    <t>=NL("First","5957 Service Zone","2 Description","1 Code",$C19)</t>
  </si>
  <si>
    <t>=C19</t>
  </si>
  <si>
    <t>="@@"&amp;NF(E20,"1 No.")</t>
  </si>
  <si>
    <t>=NL("Link","5802 Value Entry",,"2 Item No.","=1 No.","Filters=",$H$10:$I$13,"Link=",G20)</t>
  </si>
  <si>
    <t>=NL("Link","18 Customer",,"1 No.","=5 Source No.","5900 Service Zone Code",C20)</t>
  </si>
  <si>
    <t>=NF(E20,"3 Description")</t>
  </si>
  <si>
    <t>=-NL("Sum","5802 Value Entry","14 Invoiced Quantity","3 Posting Date",K$15,"Filters=",$H$11:$I$13,"2 Item No.",$D20,"Link=",$G20)</t>
  </si>
  <si>
    <t>=IF(K20=0,0,M20/K20)</t>
  </si>
  <si>
    <t>=NL("Sum","5802 Value Entry","17 Sales Amount (Actual)","3 Posting Date",K$15,"Filters=",$H$11:$I$13,"2 Item No.",$D20,"Link=",$G20)</t>
  </si>
  <si>
    <t>="Subtotal for "&amp;H19</t>
  </si>
  <si>
    <t>=SUBTOTAL(9,M20:M21)</t>
  </si>
  <si>
    <t>=SUBTOTAL(9,M19:M23)</t>
  </si>
  <si>
    <t>Fit+Auto</t>
  </si>
  <si>
    <t>Auto</t>
  </si>
  <si>
    <t>=NL(,NP("Dates",O13,"12/30/2050","Month",TRUE))</t>
  </si>
  <si>
    <t>=NP("DateFilter",O13,O14)</t>
  </si>
  <si>
    <t>=O13</t>
  </si>
  <si>
    <t>=-NL("Sum","5802 Value Entry","14 Invoiced Quantity","3 Posting Date",O$15,"Filters=",$H$11:$I$13,"2 Item No.",$D20,"Link=",$G20)</t>
  </si>
  <si>
    <t>=IF(O20=0,0,Q20/O20)</t>
  </si>
  <si>
    <t>=NL("Sum","5802 Value Entry","17 Sales Amount (Actual)","3 Posting Date",O$15,"Filters=",$H$11:$I$13,"2 Item No.",$D20,"Link=",$G20)</t>
  </si>
  <si>
    <t>=NL("Count","18 Customer","5900 Service Zone Code","5900 Service Zone Code",ServiceZone,"Link=",F19)</t>
  </si>
  <si>
    <t>=NL("Rows=4","18 Customer","5900 Service Zone Code","5900 Service Zone Code",ServiceZone,"Link=",$F$19)</t>
  </si>
  <si>
    <t>=NL("Rows",IF($I$14=0,{""},"27 Item"),,"1 No.",ItemNo,"Link=",F20)</t>
  </si>
  <si>
    <t>Report Date</t>
  </si>
  <si>
    <t>="12/01/2018"</t>
  </si>
  <si>
    <t>="01/5/2019"</t>
  </si>
  <si>
    <t>Auto+Hide+HideSheet+Formulas=Sheet2,Sheet3+FormulasOnly</t>
  </si>
  <si>
    <t>Auto+Hide+Values+Formulas=Sheet4,Sheet5+FormulasOnly</t>
  </si>
  <si>
    <t>43466</t>
  </si>
  <si>
    <t>Auto+Hide+HideSheet+Formulas=Sheet1,Sheet2,Sheet3</t>
  </si>
  <si>
    <t>Auto+Hide+HideSheet+Formulas=Sheet1,Sheet2,Sheet3+FormulasOnly</t>
  </si>
  <si>
    <t>Auto+Hide+Values+Formulas=Sheet6,Sheet4,Sheet5</t>
  </si>
  <si>
    <t>=C20</t>
  </si>
  <si>
    <t>="@@"&amp;NF(E21,"1 No.")</t>
  </si>
  <si>
    <t>="""NAV 2015"",""CRONUS JetCorp USA"",""27"",""1"",""C100003"""</t>
  </si>
  <si>
    <t>=NL("Link","5802 Value Entry",,"2 Item No.","=1 No.","Filters=",$H$10:$I$13,"Link=",G21)</t>
  </si>
  <si>
    <t>=NL("Link","18 Customer",,"1 No.","=5 Source No.","5900 Service Zone Code",C21)</t>
  </si>
  <si>
    <t>=-NL("Sum","5802 Value Entry","14 Invoiced Quantity","3 Posting Date",K$15,"Filters=",$H$11:$I$13,"2 Item No.",$D21,"Link=",$G21)</t>
  </si>
  <si>
    <t>=IF(K21=0,0,M21/K21)</t>
  </si>
  <si>
    <t>=NL("Sum","5802 Value Entry","17 Sales Amount (Actual)","3 Posting Date",K$15,"Filters=",$H$11:$I$13,"2 Item No.",$D21,"Link=",$G21)</t>
  </si>
  <si>
    <t>=-NL("Sum","5802 Value Entry","14 Invoiced Quantity","3 Posting Date",O$15,"Filters=",$H$11:$I$13,"2 Item No.",$D21,"Link=",$G21)</t>
  </si>
  <si>
    <t>=IF(O21=0,0,Q21/O21)</t>
  </si>
  <si>
    <t>=NL("Sum","5802 Value Entry","17 Sales Amount (Actual)","3 Posting Date",O$15,"Filters=",$H$11:$I$13,"2 Item No.",$D21,"Link=",$G21)</t>
  </si>
  <si>
    <t>=C21</t>
  </si>
  <si>
    <t>="@@"&amp;NF(E22,"1 No.")</t>
  </si>
  <si>
    <t>="""NAV 2015"",""CRONUS JetCorp USA"",""27"",""1"",""C100004"""</t>
  </si>
  <si>
    <t>=NL("Link","5802 Value Entry",,"2 Item No.","=1 No.","Filters=",$H$10:$I$13,"Link=",G22)</t>
  </si>
  <si>
    <t>=NL("Link","18 Customer",,"1 No.","=5 Source No.","5900 Service Zone Code",C22)</t>
  </si>
  <si>
    <t>=-NL("Sum","5802 Value Entry","14 Invoiced Quantity","3 Posting Date",K$15,"Filters=",$H$11:$I$13,"2 Item No.",$D22,"Link=",$G22)</t>
  </si>
  <si>
    <t>=IF(K22=0,0,M22/K22)</t>
  </si>
  <si>
    <t>=NL("Sum","5802 Value Entry","17 Sales Amount (Actual)","3 Posting Date",K$15,"Filters=",$H$11:$I$13,"2 Item No.",$D22,"Link=",$G22)</t>
  </si>
  <si>
    <t>=-NL("Sum","5802 Value Entry","14 Invoiced Quantity","3 Posting Date",O$15,"Filters=",$H$11:$I$13,"2 Item No.",$D22,"Link=",$G22)</t>
  </si>
  <si>
    <t>=IF(O22=0,0,Q22/O22)</t>
  </si>
  <si>
    <t>=NL("Sum","5802 Value Entry","17 Sales Amount (Actual)","3 Posting Date",O$15,"Filters=",$H$11:$I$13,"2 Item No.",$D22,"Link=",$G22)</t>
  </si>
  <si>
    <t>=C22</t>
  </si>
  <si>
    <t>="@@"&amp;NF(E23,"1 No.")</t>
  </si>
  <si>
    <t>="""NAV 2015"",""CRONUS JetCorp USA"",""27"",""1"",""C100005"""</t>
  </si>
  <si>
    <t>=NL("Link","5802 Value Entry",,"2 Item No.","=1 No.","Filters=",$H$10:$I$13,"Link=",G23)</t>
  </si>
  <si>
    <t>=NL("Link","18 Customer",,"1 No.","=5 Source No.","5900 Service Zone Code",C23)</t>
  </si>
  <si>
    <t>=-NL("Sum","5802 Value Entry","14 Invoiced Quantity","3 Posting Date",K$15,"Filters=",$H$11:$I$13,"2 Item No.",$D23,"Link=",$G23)</t>
  </si>
  <si>
    <t>=IF(K23=0,0,M23/K23)</t>
  </si>
  <si>
    <t>=NL("Sum","5802 Value Entry","17 Sales Amount (Actual)","3 Posting Date",K$15,"Filters=",$H$11:$I$13,"2 Item No.",$D23,"Link=",$G23)</t>
  </si>
  <si>
    <t>=-NL("Sum","5802 Value Entry","14 Invoiced Quantity","3 Posting Date",O$15,"Filters=",$H$11:$I$13,"2 Item No.",$D23,"Link=",$G23)</t>
  </si>
  <si>
    <t>=IF(O23=0,0,Q23/O23)</t>
  </si>
  <si>
    <t>=NL("Sum","5802 Value Entry","17 Sales Amount (Actual)","3 Posting Date",O$15,"Filters=",$H$11:$I$13,"2 Item No.",$D23,"Link=",$G23)</t>
  </si>
  <si>
    <t>=C23</t>
  </si>
  <si>
    <t>="@@"&amp;NF(E24,"1 No.")</t>
  </si>
  <si>
    <t>="""NAV 2015"",""CRONUS JetCorp USA"",""27"",""1"",""C100006"""</t>
  </si>
  <si>
    <t>=NL("Link","5802 Value Entry",,"2 Item No.","=1 No.","Filters=",$H$10:$I$13,"Link=",G24)</t>
  </si>
  <si>
    <t>=NL("Link","18 Customer",,"1 No.","=5 Source No.","5900 Service Zone Code",C24)</t>
  </si>
  <si>
    <t>=-NL("Sum","5802 Value Entry","14 Invoiced Quantity","3 Posting Date",K$15,"Filters=",$H$11:$I$13,"2 Item No.",$D24,"Link=",$G24)</t>
  </si>
  <si>
    <t>=IF(K24=0,0,M24/K24)</t>
  </si>
  <si>
    <t>=NL("Sum","5802 Value Entry","17 Sales Amount (Actual)","3 Posting Date",K$15,"Filters=",$H$11:$I$13,"2 Item No.",$D24,"Link=",$G24)</t>
  </si>
  <si>
    <t>=-NL("Sum","5802 Value Entry","14 Invoiced Quantity","3 Posting Date",O$15,"Filters=",$H$11:$I$13,"2 Item No.",$D24,"Link=",$G24)</t>
  </si>
  <si>
    <t>=IF(O24=0,0,Q24/O24)</t>
  </si>
  <si>
    <t>=NL("Sum","5802 Value Entry","17 Sales Amount (Actual)","3 Posting Date",O$15,"Filters=",$H$11:$I$13,"2 Item No.",$D24,"Link=",$G24)</t>
  </si>
  <si>
    <t>=C24</t>
  </si>
  <si>
    <t>="@@"&amp;NF(E25,"1 No.")</t>
  </si>
  <si>
    <t>="""NAV 2015"",""CRONUS JetCorp USA"",""27"",""1"",""C100007"""</t>
  </si>
  <si>
    <t>=NL("Link","5802 Value Entry",,"2 Item No.","=1 No.","Filters=",$H$10:$I$13,"Link=",G25)</t>
  </si>
  <si>
    <t>=NL("Link","18 Customer",,"1 No.","=5 Source No.","5900 Service Zone Code",C25)</t>
  </si>
  <si>
    <t>=-NL("Sum","5802 Value Entry","14 Invoiced Quantity","3 Posting Date",K$15,"Filters=",$H$11:$I$13,"2 Item No.",$D25,"Link=",$G25)</t>
  </si>
  <si>
    <t>=IF(K25=0,0,M25/K25)</t>
  </si>
  <si>
    <t>=NL("Sum","5802 Value Entry","17 Sales Amount (Actual)","3 Posting Date",K$15,"Filters=",$H$11:$I$13,"2 Item No.",$D25,"Link=",$G25)</t>
  </si>
  <si>
    <t>=-NL("Sum","5802 Value Entry","14 Invoiced Quantity","3 Posting Date",O$15,"Filters=",$H$11:$I$13,"2 Item No.",$D25,"Link=",$G25)</t>
  </si>
  <si>
    <t>=IF(O25=0,0,Q25/O25)</t>
  </si>
  <si>
    <t>=NL("Sum","5802 Value Entry","17 Sales Amount (Actual)","3 Posting Date",O$15,"Filters=",$H$11:$I$13,"2 Item No.",$D25,"Link=",$G25)</t>
  </si>
  <si>
    <t>=C25</t>
  </si>
  <si>
    <t>="@@"&amp;NF(E26,"1 No.")</t>
  </si>
  <si>
    <t>="""NAV 2015"",""CRONUS JetCorp USA"",""27"",""1"",""C100008"""</t>
  </si>
  <si>
    <t>=NL("Link","5802 Value Entry",,"2 Item No.","=1 No.","Filters=",$H$10:$I$13,"Link=",G26)</t>
  </si>
  <si>
    <t>=NL("Link","18 Customer",,"1 No.","=5 Source No.","5900 Service Zone Code",C26)</t>
  </si>
  <si>
    <t>=-NL("Sum","5802 Value Entry","14 Invoiced Quantity","3 Posting Date",K$15,"Filters=",$H$11:$I$13,"2 Item No.",$D26,"Link=",$G26)</t>
  </si>
  <si>
    <t>=IF(K26=0,0,M26/K26)</t>
  </si>
  <si>
    <t>=NL("Sum","5802 Value Entry","17 Sales Amount (Actual)","3 Posting Date",K$15,"Filters=",$H$11:$I$13,"2 Item No.",$D26,"Link=",$G26)</t>
  </si>
  <si>
    <t>=-NL("Sum","5802 Value Entry","14 Invoiced Quantity","3 Posting Date",O$15,"Filters=",$H$11:$I$13,"2 Item No.",$D26,"Link=",$G26)</t>
  </si>
  <si>
    <t>=IF(O26=0,0,Q26/O26)</t>
  </si>
  <si>
    <t>=NL("Sum","5802 Value Entry","17 Sales Amount (Actual)","3 Posting Date",O$15,"Filters=",$H$11:$I$13,"2 Item No.",$D26,"Link=",$G26)</t>
  </si>
  <si>
    <t>=C26</t>
  </si>
  <si>
    <t>="@@"&amp;NF(E27,"1 No.")</t>
  </si>
  <si>
    <t>="""NAV 2015"",""CRONUS JetCorp USA"",""27"",""1"",""C100009"""</t>
  </si>
  <si>
    <t>=NL("Link","5802 Value Entry",,"2 Item No.","=1 No.","Filters=",$H$10:$I$13,"Link=",G27)</t>
  </si>
  <si>
    <t>=NL("Link","18 Customer",,"1 No.","=5 Source No.","5900 Service Zone Code",C27)</t>
  </si>
  <si>
    <t>=-NL("Sum","5802 Value Entry","14 Invoiced Quantity","3 Posting Date",K$15,"Filters=",$H$11:$I$13,"2 Item No.",$D27,"Link=",$G27)</t>
  </si>
  <si>
    <t>=IF(K27=0,0,M27/K27)</t>
  </si>
  <si>
    <t>=NL("Sum","5802 Value Entry","17 Sales Amount (Actual)","3 Posting Date",K$15,"Filters=",$H$11:$I$13,"2 Item No.",$D27,"Link=",$G27)</t>
  </si>
  <si>
    <t>=-NL("Sum","5802 Value Entry","14 Invoiced Quantity","3 Posting Date",O$15,"Filters=",$H$11:$I$13,"2 Item No.",$D27,"Link=",$G27)</t>
  </si>
  <si>
    <t>=IF(O27=0,0,Q27/O27)</t>
  </si>
  <si>
    <t>=NL("Sum","5802 Value Entry","17 Sales Amount (Actual)","3 Posting Date",O$15,"Filters=",$H$11:$I$13,"2 Item No.",$D27,"Link=",$G27)</t>
  </si>
  <si>
    <t>=C27</t>
  </si>
  <si>
    <t>="@@"&amp;NF(E28,"1 No.")</t>
  </si>
  <si>
    <t>="""NAV 2015"",""CRONUS JetCorp USA"",""27"",""1"",""C100010"""</t>
  </si>
  <si>
    <t>=NL("Link","5802 Value Entry",,"2 Item No.","=1 No.","Filters=",$H$10:$I$13,"Link=",G28)</t>
  </si>
  <si>
    <t>=NL("Link","18 Customer",,"1 No.","=5 Source No.","5900 Service Zone Code",C28)</t>
  </si>
  <si>
    <t>=-NL("Sum","5802 Value Entry","14 Invoiced Quantity","3 Posting Date",K$15,"Filters=",$H$11:$I$13,"2 Item No.",$D28,"Link=",$G28)</t>
  </si>
  <si>
    <t>=IF(K28=0,0,M28/K28)</t>
  </si>
  <si>
    <t>=NL("Sum","5802 Value Entry","17 Sales Amount (Actual)","3 Posting Date",K$15,"Filters=",$H$11:$I$13,"2 Item No.",$D28,"Link=",$G28)</t>
  </si>
  <si>
    <t>=-NL("Sum","5802 Value Entry","14 Invoiced Quantity","3 Posting Date",O$15,"Filters=",$H$11:$I$13,"2 Item No.",$D28,"Link=",$G28)</t>
  </si>
  <si>
    <t>=IF(O28=0,0,Q28/O28)</t>
  </si>
  <si>
    <t>=NL("Sum","5802 Value Entry","17 Sales Amount (Actual)","3 Posting Date",O$15,"Filters=",$H$11:$I$13,"2 Item No.",$D28,"Link=",$G28)</t>
  </si>
  <si>
    <t>=C28</t>
  </si>
  <si>
    <t>="@@"&amp;NF(E29,"1 No.")</t>
  </si>
  <si>
    <t>="""NAV 2015"",""CRONUS JetCorp USA"",""27"",""1"",""C100011"""</t>
  </si>
  <si>
    <t>=NL("Link","5802 Value Entry",,"2 Item No.","=1 No.","Filters=",$H$10:$I$13,"Link=",G29)</t>
  </si>
  <si>
    <t>=NL("Link","18 Customer",,"1 No.","=5 Source No.","5900 Service Zone Code",C29)</t>
  </si>
  <si>
    <t>=-NL("Sum","5802 Value Entry","14 Invoiced Quantity","3 Posting Date",K$15,"Filters=",$H$11:$I$13,"2 Item No.",$D29,"Link=",$G29)</t>
  </si>
  <si>
    <t>=IF(K29=0,0,M29/K29)</t>
  </si>
  <si>
    <t>=NL("Sum","5802 Value Entry","17 Sales Amount (Actual)","3 Posting Date",K$15,"Filters=",$H$11:$I$13,"2 Item No.",$D29,"Link=",$G29)</t>
  </si>
  <si>
    <t>=-NL("Sum","5802 Value Entry","14 Invoiced Quantity","3 Posting Date",O$15,"Filters=",$H$11:$I$13,"2 Item No.",$D29,"Link=",$G29)</t>
  </si>
  <si>
    <t>=IF(O29=0,0,Q29/O29)</t>
  </si>
  <si>
    <t>=NL("Sum","5802 Value Entry","17 Sales Amount (Actual)","3 Posting Date",O$15,"Filters=",$H$11:$I$13,"2 Item No.",$D29,"Link=",$G29)</t>
  </si>
  <si>
    <t>=C29</t>
  </si>
  <si>
    <t>="@@"&amp;NF(E30,"1 No.")</t>
  </si>
  <si>
    <t>="""NAV 2015"",""CRONUS JetCorp USA"",""27"",""1"",""C100014"""</t>
  </si>
  <si>
    <t>=NL("Link","5802 Value Entry",,"2 Item No.","=1 No.","Filters=",$H$10:$I$13,"Link=",G30)</t>
  </si>
  <si>
    <t>=NL("Link","18 Customer",,"1 No.","=5 Source No.","5900 Service Zone Code",C30)</t>
  </si>
  <si>
    <t>=-NL("Sum","5802 Value Entry","14 Invoiced Quantity","3 Posting Date",K$15,"Filters=",$H$11:$I$13,"2 Item No.",$D30,"Link=",$G30)</t>
  </si>
  <si>
    <t>=IF(K30=0,0,M30/K30)</t>
  </si>
  <si>
    <t>=NL("Sum","5802 Value Entry","17 Sales Amount (Actual)","3 Posting Date",K$15,"Filters=",$H$11:$I$13,"2 Item No.",$D30,"Link=",$G30)</t>
  </si>
  <si>
    <t>=-NL("Sum","5802 Value Entry","14 Invoiced Quantity","3 Posting Date",O$15,"Filters=",$H$11:$I$13,"2 Item No.",$D30,"Link=",$G30)</t>
  </si>
  <si>
    <t>=IF(O30=0,0,Q30/O30)</t>
  </si>
  <si>
    <t>=NL("Sum","5802 Value Entry","17 Sales Amount (Actual)","3 Posting Date",O$15,"Filters=",$H$11:$I$13,"2 Item No.",$D30,"Link=",$G30)</t>
  </si>
  <si>
    <t>=C30</t>
  </si>
  <si>
    <t>="@@"&amp;NF(E31,"1 No.")</t>
  </si>
  <si>
    <t>="""NAV 2015"",""CRONUS JetCorp USA"",""27"",""1"",""C100017"""</t>
  </si>
  <si>
    <t>=NL("Link","5802 Value Entry",,"2 Item No.","=1 No.","Filters=",$H$10:$I$13,"Link=",G31)</t>
  </si>
  <si>
    <t>=NL("Link","18 Customer",,"1 No.","=5 Source No.","5900 Service Zone Code",C31)</t>
  </si>
  <si>
    <t>=-NL("Sum","5802 Value Entry","14 Invoiced Quantity","3 Posting Date",K$15,"Filters=",$H$11:$I$13,"2 Item No.",$D31,"Link=",$G31)</t>
  </si>
  <si>
    <t>=IF(K31=0,0,M31/K31)</t>
  </si>
  <si>
    <t>=NL("Sum","5802 Value Entry","17 Sales Amount (Actual)","3 Posting Date",K$15,"Filters=",$H$11:$I$13,"2 Item No.",$D31,"Link=",$G31)</t>
  </si>
  <si>
    <t>=-NL("Sum","5802 Value Entry","14 Invoiced Quantity","3 Posting Date",O$15,"Filters=",$H$11:$I$13,"2 Item No.",$D31,"Link=",$G31)</t>
  </si>
  <si>
    <t>=IF(O31=0,0,Q31/O31)</t>
  </si>
  <si>
    <t>=NL("Sum","5802 Value Entry","17 Sales Amount (Actual)","3 Posting Date",O$15,"Filters=",$H$11:$I$13,"2 Item No.",$D31,"Link=",$G31)</t>
  </si>
  <si>
    <t>=C31</t>
  </si>
  <si>
    <t>="@@"&amp;NF(E32,"1 No.")</t>
  </si>
  <si>
    <t>="""NAV 2015"",""CRONUS JetCorp USA"",""27"",""1"",""C100018"""</t>
  </si>
  <si>
    <t>=NL("Link","5802 Value Entry",,"2 Item No.","=1 No.","Filters=",$H$10:$I$13,"Link=",G32)</t>
  </si>
  <si>
    <t>=NL("Link","18 Customer",,"1 No.","=5 Source No.","5900 Service Zone Code",C32)</t>
  </si>
  <si>
    <t>=-NL("Sum","5802 Value Entry","14 Invoiced Quantity","3 Posting Date",K$15,"Filters=",$H$11:$I$13,"2 Item No.",$D32,"Link=",$G32)</t>
  </si>
  <si>
    <t>=IF(K32=0,0,M32/K32)</t>
  </si>
  <si>
    <t>=NL("Sum","5802 Value Entry","17 Sales Amount (Actual)","3 Posting Date",K$15,"Filters=",$H$11:$I$13,"2 Item No.",$D32,"Link=",$G32)</t>
  </si>
  <si>
    <t>=-NL("Sum","5802 Value Entry","14 Invoiced Quantity","3 Posting Date",O$15,"Filters=",$H$11:$I$13,"2 Item No.",$D32,"Link=",$G32)</t>
  </si>
  <si>
    <t>=IF(O32=0,0,Q32/O32)</t>
  </si>
  <si>
    <t>=NL("Sum","5802 Value Entry","17 Sales Amount (Actual)","3 Posting Date",O$15,"Filters=",$H$11:$I$13,"2 Item No.",$D32,"Link=",$G32)</t>
  </si>
  <si>
    <t>=C32</t>
  </si>
  <si>
    <t>="@@"&amp;NF(E33,"1 No.")</t>
  </si>
  <si>
    <t>="""NAV 2015"",""CRONUS JetCorp USA"",""27"",""1"",""C100019"""</t>
  </si>
  <si>
    <t>=NL("Link","5802 Value Entry",,"2 Item No.","=1 No.","Filters=",$H$10:$I$13,"Link=",G33)</t>
  </si>
  <si>
    <t>=NL("Link","18 Customer",,"1 No.","=5 Source No.","5900 Service Zone Code",C33)</t>
  </si>
  <si>
    <t>=-NL("Sum","5802 Value Entry","14 Invoiced Quantity","3 Posting Date",K$15,"Filters=",$H$11:$I$13,"2 Item No.",$D33,"Link=",$G33)</t>
  </si>
  <si>
    <t>=IF(K33=0,0,M33/K33)</t>
  </si>
  <si>
    <t>=NL("Sum","5802 Value Entry","17 Sales Amount (Actual)","3 Posting Date",K$15,"Filters=",$H$11:$I$13,"2 Item No.",$D33,"Link=",$G33)</t>
  </si>
  <si>
    <t>=-NL("Sum","5802 Value Entry","14 Invoiced Quantity","3 Posting Date",O$15,"Filters=",$H$11:$I$13,"2 Item No.",$D33,"Link=",$G33)</t>
  </si>
  <si>
    <t>=IF(O33=0,0,Q33/O33)</t>
  </si>
  <si>
    <t>=NL("Sum","5802 Value Entry","17 Sales Amount (Actual)","3 Posting Date",O$15,"Filters=",$H$11:$I$13,"2 Item No.",$D33,"Link=",$G33)</t>
  </si>
  <si>
    <t>=C33</t>
  </si>
  <si>
    <t>="@@"&amp;NF(E34,"1 No.")</t>
  </si>
  <si>
    <t>="""NAV 2015"",""CRONUS JetCorp USA"",""27"",""1"",""C100020"""</t>
  </si>
  <si>
    <t>=NL("Link","5802 Value Entry",,"2 Item No.","=1 No.","Filters=",$H$10:$I$13,"Link=",G34)</t>
  </si>
  <si>
    <t>=NL("Link","18 Customer",,"1 No.","=5 Source No.","5900 Service Zone Code",C34)</t>
  </si>
  <si>
    <t>=-NL("Sum","5802 Value Entry","14 Invoiced Quantity","3 Posting Date",K$15,"Filters=",$H$11:$I$13,"2 Item No.",$D34,"Link=",$G34)</t>
  </si>
  <si>
    <t>=IF(K34=0,0,M34/K34)</t>
  </si>
  <si>
    <t>=NL("Sum","5802 Value Entry","17 Sales Amount (Actual)","3 Posting Date",K$15,"Filters=",$H$11:$I$13,"2 Item No.",$D34,"Link=",$G34)</t>
  </si>
  <si>
    <t>=-NL("Sum","5802 Value Entry","14 Invoiced Quantity","3 Posting Date",O$15,"Filters=",$H$11:$I$13,"2 Item No.",$D34,"Link=",$G34)</t>
  </si>
  <si>
    <t>=IF(O34=0,0,Q34/O34)</t>
  </si>
  <si>
    <t>=NL("Sum","5802 Value Entry","17 Sales Amount (Actual)","3 Posting Date",O$15,"Filters=",$H$11:$I$13,"2 Item No.",$D34,"Link=",$G34)</t>
  </si>
  <si>
    <t>=C34</t>
  </si>
  <si>
    <t>="@@"&amp;NF(E35,"1 No.")</t>
  </si>
  <si>
    <t>="""NAV 2015"",""CRONUS JetCorp USA"",""27"",""1"",""C100021"""</t>
  </si>
  <si>
    <t>=NL("Link","5802 Value Entry",,"2 Item No.","=1 No.","Filters=",$H$10:$I$13,"Link=",G35)</t>
  </si>
  <si>
    <t>=NL("Link","18 Customer",,"1 No.","=5 Source No.","5900 Service Zone Code",C35)</t>
  </si>
  <si>
    <t>=-NL("Sum","5802 Value Entry","14 Invoiced Quantity","3 Posting Date",K$15,"Filters=",$H$11:$I$13,"2 Item No.",$D35,"Link=",$G35)</t>
  </si>
  <si>
    <t>=IF(K35=0,0,M35/K35)</t>
  </si>
  <si>
    <t>=NL("Sum","5802 Value Entry","17 Sales Amount (Actual)","3 Posting Date",K$15,"Filters=",$H$11:$I$13,"2 Item No.",$D35,"Link=",$G35)</t>
  </si>
  <si>
    <t>=-NL("Sum","5802 Value Entry","14 Invoiced Quantity","3 Posting Date",O$15,"Filters=",$H$11:$I$13,"2 Item No.",$D35,"Link=",$G35)</t>
  </si>
  <si>
    <t>=IF(O35=0,0,Q35/O35)</t>
  </si>
  <si>
    <t>=NL("Sum","5802 Value Entry","17 Sales Amount (Actual)","3 Posting Date",O$15,"Filters=",$H$11:$I$13,"2 Item No.",$D35,"Link=",$G35)</t>
  </si>
  <si>
    <t>=C35</t>
  </si>
  <si>
    <t>="@@"&amp;NF(E36,"1 No.")</t>
  </si>
  <si>
    <t>="""NAV 2015"",""CRONUS JetCorp USA"",""27"",""1"",""C100022"""</t>
  </si>
  <si>
    <t>=NL("Link","5802 Value Entry",,"2 Item No.","=1 No.","Filters=",$H$10:$I$13,"Link=",G36)</t>
  </si>
  <si>
    <t>=NL("Link","18 Customer",,"1 No.","=5 Source No.","5900 Service Zone Code",C36)</t>
  </si>
  <si>
    <t>=-NL("Sum","5802 Value Entry","14 Invoiced Quantity","3 Posting Date",K$15,"Filters=",$H$11:$I$13,"2 Item No.",$D36,"Link=",$G36)</t>
  </si>
  <si>
    <t>=IF(K36=0,0,M36/K36)</t>
  </si>
  <si>
    <t>=NL("Sum","5802 Value Entry","17 Sales Amount (Actual)","3 Posting Date",K$15,"Filters=",$H$11:$I$13,"2 Item No.",$D36,"Link=",$G36)</t>
  </si>
  <si>
    <t>=-NL("Sum","5802 Value Entry","14 Invoiced Quantity","3 Posting Date",O$15,"Filters=",$H$11:$I$13,"2 Item No.",$D36,"Link=",$G36)</t>
  </si>
  <si>
    <t>=IF(O36=0,0,Q36/O36)</t>
  </si>
  <si>
    <t>=NL("Sum","5802 Value Entry","17 Sales Amount (Actual)","3 Posting Date",O$15,"Filters=",$H$11:$I$13,"2 Item No.",$D36,"Link=",$G36)</t>
  </si>
  <si>
    <t>=C36</t>
  </si>
  <si>
    <t>="@@"&amp;NF(E37,"1 No.")</t>
  </si>
  <si>
    <t>="""NAV 2015"",""CRONUS JetCorp USA"",""27"",""1"",""C100023"""</t>
  </si>
  <si>
    <t>=NL("Link","5802 Value Entry",,"2 Item No.","=1 No.","Filters=",$H$10:$I$13,"Link=",G37)</t>
  </si>
  <si>
    <t>=NL("Link","18 Customer",,"1 No.","=5 Source No.","5900 Service Zone Code",C37)</t>
  </si>
  <si>
    <t>=-NL("Sum","5802 Value Entry","14 Invoiced Quantity","3 Posting Date",K$15,"Filters=",$H$11:$I$13,"2 Item No.",$D37,"Link=",$G37)</t>
  </si>
  <si>
    <t>=IF(K37=0,0,M37/K37)</t>
  </si>
  <si>
    <t>=NL("Sum","5802 Value Entry","17 Sales Amount (Actual)","3 Posting Date",K$15,"Filters=",$H$11:$I$13,"2 Item No.",$D37,"Link=",$G37)</t>
  </si>
  <si>
    <t>=-NL("Sum","5802 Value Entry","14 Invoiced Quantity","3 Posting Date",O$15,"Filters=",$H$11:$I$13,"2 Item No.",$D37,"Link=",$G37)</t>
  </si>
  <si>
    <t>=IF(O37=0,0,Q37/O37)</t>
  </si>
  <si>
    <t>=NL("Sum","5802 Value Entry","17 Sales Amount (Actual)","3 Posting Date",O$15,"Filters=",$H$11:$I$13,"2 Item No.",$D37,"Link=",$G37)</t>
  </si>
  <si>
    <t>=C37</t>
  </si>
  <si>
    <t>="@@"&amp;NF(E38,"1 No.")</t>
  </si>
  <si>
    <t>="""NAV 2015"",""CRONUS JetCorp USA"",""27"",""1"",""C100024"""</t>
  </si>
  <si>
    <t>=NL("Link","5802 Value Entry",,"2 Item No.","=1 No.","Filters=",$H$10:$I$13,"Link=",G38)</t>
  </si>
  <si>
    <t>=NL("Link","18 Customer",,"1 No.","=5 Source No.","5900 Service Zone Code",C38)</t>
  </si>
  <si>
    <t>=-NL("Sum","5802 Value Entry","14 Invoiced Quantity","3 Posting Date",K$15,"Filters=",$H$11:$I$13,"2 Item No.",$D38,"Link=",$G38)</t>
  </si>
  <si>
    <t>=IF(K38=0,0,M38/K38)</t>
  </si>
  <si>
    <t>=NL("Sum","5802 Value Entry","17 Sales Amount (Actual)","3 Posting Date",K$15,"Filters=",$H$11:$I$13,"2 Item No.",$D38,"Link=",$G38)</t>
  </si>
  <si>
    <t>=-NL("Sum","5802 Value Entry","14 Invoiced Quantity","3 Posting Date",O$15,"Filters=",$H$11:$I$13,"2 Item No.",$D38,"Link=",$G38)</t>
  </si>
  <si>
    <t>=IF(O38=0,0,Q38/O38)</t>
  </si>
  <si>
    <t>=NL("Sum","5802 Value Entry","17 Sales Amount (Actual)","3 Posting Date",O$15,"Filters=",$H$11:$I$13,"2 Item No.",$D38,"Link=",$G38)</t>
  </si>
  <si>
    <t>=C38</t>
  </si>
  <si>
    <t>="@@"&amp;NF(E39,"1 No.")</t>
  </si>
  <si>
    <t>="""NAV 2015"",""CRONUS JetCorp USA"",""27"",""1"",""C100025"""</t>
  </si>
  <si>
    <t>=NL("Link","5802 Value Entry",,"2 Item No.","=1 No.","Filters=",$H$10:$I$13,"Link=",G39)</t>
  </si>
  <si>
    <t>=NL("Link","18 Customer",,"1 No.","=5 Source No.","5900 Service Zone Code",C39)</t>
  </si>
  <si>
    <t>=-NL("Sum","5802 Value Entry","14 Invoiced Quantity","3 Posting Date",K$15,"Filters=",$H$11:$I$13,"2 Item No.",$D39,"Link=",$G39)</t>
  </si>
  <si>
    <t>=IF(K39=0,0,M39/K39)</t>
  </si>
  <si>
    <t>=NL("Sum","5802 Value Entry","17 Sales Amount (Actual)","3 Posting Date",K$15,"Filters=",$H$11:$I$13,"2 Item No.",$D39,"Link=",$G39)</t>
  </si>
  <si>
    <t>=-NL("Sum","5802 Value Entry","14 Invoiced Quantity","3 Posting Date",O$15,"Filters=",$H$11:$I$13,"2 Item No.",$D39,"Link=",$G39)</t>
  </si>
  <si>
    <t>=IF(O39=0,0,Q39/O39)</t>
  </si>
  <si>
    <t>=NL("Sum","5802 Value Entry","17 Sales Amount (Actual)","3 Posting Date",O$15,"Filters=",$H$11:$I$13,"2 Item No.",$D39,"Link=",$G39)</t>
  </si>
  <si>
    <t>=C39</t>
  </si>
  <si>
    <t>="@@"&amp;NF(E40,"1 No.")</t>
  </si>
  <si>
    <t>="""NAV 2015"",""CRONUS JetCorp USA"",""27"",""1"",""C100026"""</t>
  </si>
  <si>
    <t>=NL("Link","5802 Value Entry",,"2 Item No.","=1 No.","Filters=",$H$10:$I$13,"Link=",G40)</t>
  </si>
  <si>
    <t>=NL("Link","18 Customer",,"1 No.","=5 Source No.","5900 Service Zone Code",C40)</t>
  </si>
  <si>
    <t>=-NL("Sum","5802 Value Entry","14 Invoiced Quantity","3 Posting Date",K$15,"Filters=",$H$11:$I$13,"2 Item No.",$D40,"Link=",$G40)</t>
  </si>
  <si>
    <t>=IF(K40=0,0,M40/K40)</t>
  </si>
  <si>
    <t>=NL("Sum","5802 Value Entry","17 Sales Amount (Actual)","3 Posting Date",K$15,"Filters=",$H$11:$I$13,"2 Item No.",$D40,"Link=",$G40)</t>
  </si>
  <si>
    <t>=-NL("Sum","5802 Value Entry","14 Invoiced Quantity","3 Posting Date",O$15,"Filters=",$H$11:$I$13,"2 Item No.",$D40,"Link=",$G40)</t>
  </si>
  <si>
    <t>=IF(O40=0,0,Q40/O40)</t>
  </si>
  <si>
    <t>=NL("Sum","5802 Value Entry","17 Sales Amount (Actual)","3 Posting Date",O$15,"Filters=",$H$11:$I$13,"2 Item No.",$D40,"Link=",$G40)</t>
  </si>
  <si>
    <t>=C40</t>
  </si>
  <si>
    <t>="@@"&amp;NF(E41,"1 No.")</t>
  </si>
  <si>
    <t>="""NAV 2015"",""CRONUS JetCorp USA"",""27"",""1"",""C100027"""</t>
  </si>
  <si>
    <t>=NL("Link","5802 Value Entry",,"2 Item No.","=1 No.","Filters=",$H$10:$I$13,"Link=",G41)</t>
  </si>
  <si>
    <t>=NL("Link","18 Customer",,"1 No.","=5 Source No.","5900 Service Zone Code",C41)</t>
  </si>
  <si>
    <t>=-NL("Sum","5802 Value Entry","14 Invoiced Quantity","3 Posting Date",K$15,"Filters=",$H$11:$I$13,"2 Item No.",$D41,"Link=",$G41)</t>
  </si>
  <si>
    <t>=IF(K41=0,0,M41/K41)</t>
  </si>
  <si>
    <t>=NL("Sum","5802 Value Entry","17 Sales Amount (Actual)","3 Posting Date",K$15,"Filters=",$H$11:$I$13,"2 Item No.",$D41,"Link=",$G41)</t>
  </si>
  <si>
    <t>=-NL("Sum","5802 Value Entry","14 Invoiced Quantity","3 Posting Date",O$15,"Filters=",$H$11:$I$13,"2 Item No.",$D41,"Link=",$G41)</t>
  </si>
  <si>
    <t>=IF(O41=0,0,Q41/O41)</t>
  </si>
  <si>
    <t>=NL("Sum","5802 Value Entry","17 Sales Amount (Actual)","3 Posting Date",O$15,"Filters=",$H$11:$I$13,"2 Item No.",$D41,"Link=",$G41)</t>
  </si>
  <si>
    <t>=C41</t>
  </si>
  <si>
    <t>="@@"&amp;NF(E42,"1 No.")</t>
  </si>
  <si>
    <t>="""NAV 2015"",""CRONUS JetCorp USA"",""27"",""1"",""C100028"""</t>
  </si>
  <si>
    <t>=NL("Link","5802 Value Entry",,"2 Item No.","=1 No.","Filters=",$H$10:$I$13,"Link=",G42)</t>
  </si>
  <si>
    <t>=NL("Link","18 Customer",,"1 No.","=5 Source No.","5900 Service Zone Code",C42)</t>
  </si>
  <si>
    <t>=-NL("Sum","5802 Value Entry","14 Invoiced Quantity","3 Posting Date",K$15,"Filters=",$H$11:$I$13,"2 Item No.",$D42,"Link=",$G42)</t>
  </si>
  <si>
    <t>=IF(K42=0,0,M42/K42)</t>
  </si>
  <si>
    <t>=NL("Sum","5802 Value Entry","17 Sales Amount (Actual)","3 Posting Date",K$15,"Filters=",$H$11:$I$13,"2 Item No.",$D42,"Link=",$G42)</t>
  </si>
  <si>
    <t>=-NL("Sum","5802 Value Entry","14 Invoiced Quantity","3 Posting Date",O$15,"Filters=",$H$11:$I$13,"2 Item No.",$D42,"Link=",$G42)</t>
  </si>
  <si>
    <t>=IF(O42=0,0,Q42/O42)</t>
  </si>
  <si>
    <t>=NL("Sum","5802 Value Entry","17 Sales Amount (Actual)","3 Posting Date",O$15,"Filters=",$H$11:$I$13,"2 Item No.",$D42,"Link=",$G42)</t>
  </si>
  <si>
    <t>=C42</t>
  </si>
  <si>
    <t>="@@"&amp;NF(E43,"1 No.")</t>
  </si>
  <si>
    <t>="""NAV 2015"",""CRONUS JetCorp USA"",""27"",""1"",""C100029"""</t>
  </si>
  <si>
    <t>=NL("Link","5802 Value Entry",,"2 Item No.","=1 No.","Filters=",$H$10:$I$13,"Link=",G43)</t>
  </si>
  <si>
    <t>=NL("Link","18 Customer",,"1 No.","=5 Source No.","5900 Service Zone Code",C43)</t>
  </si>
  <si>
    <t>=-NL("Sum","5802 Value Entry","14 Invoiced Quantity","3 Posting Date",K$15,"Filters=",$H$11:$I$13,"2 Item No.",$D43,"Link=",$G43)</t>
  </si>
  <si>
    <t>=IF(K43=0,0,M43/K43)</t>
  </si>
  <si>
    <t>=NL("Sum","5802 Value Entry","17 Sales Amount (Actual)","3 Posting Date",K$15,"Filters=",$H$11:$I$13,"2 Item No.",$D43,"Link=",$G43)</t>
  </si>
  <si>
    <t>=-NL("Sum","5802 Value Entry","14 Invoiced Quantity","3 Posting Date",O$15,"Filters=",$H$11:$I$13,"2 Item No.",$D43,"Link=",$G43)</t>
  </si>
  <si>
    <t>=IF(O43=0,0,Q43/O43)</t>
  </si>
  <si>
    <t>=NL("Sum","5802 Value Entry","17 Sales Amount (Actual)","3 Posting Date",O$15,"Filters=",$H$11:$I$13,"2 Item No.",$D43,"Link=",$G43)</t>
  </si>
  <si>
    <t>=C43</t>
  </si>
  <si>
    <t>="@@"&amp;NF(E44,"1 No.")</t>
  </si>
  <si>
    <t>="""NAV 2015"",""CRONUS JetCorp USA"",""27"",""1"",""C100030"""</t>
  </si>
  <si>
    <t>=NL("Link","5802 Value Entry",,"2 Item No.","=1 No.","Filters=",$H$10:$I$13,"Link=",G44)</t>
  </si>
  <si>
    <t>=NL("Link","18 Customer",,"1 No.","=5 Source No.","5900 Service Zone Code",C44)</t>
  </si>
  <si>
    <t>=-NL("Sum","5802 Value Entry","14 Invoiced Quantity","3 Posting Date",K$15,"Filters=",$H$11:$I$13,"2 Item No.",$D44,"Link=",$G44)</t>
  </si>
  <si>
    <t>=IF(K44=0,0,M44/K44)</t>
  </si>
  <si>
    <t>=NL("Sum","5802 Value Entry","17 Sales Amount (Actual)","3 Posting Date",K$15,"Filters=",$H$11:$I$13,"2 Item No.",$D44,"Link=",$G44)</t>
  </si>
  <si>
    <t>=-NL("Sum","5802 Value Entry","14 Invoiced Quantity","3 Posting Date",O$15,"Filters=",$H$11:$I$13,"2 Item No.",$D44,"Link=",$G44)</t>
  </si>
  <si>
    <t>=IF(O44=0,0,Q44/O44)</t>
  </si>
  <si>
    <t>=NL("Sum","5802 Value Entry","17 Sales Amount (Actual)","3 Posting Date",O$15,"Filters=",$H$11:$I$13,"2 Item No.",$D44,"Link=",$G44)</t>
  </si>
  <si>
    <t>=C44</t>
  </si>
  <si>
    <t>="@@"&amp;NF(E45,"1 No.")</t>
  </si>
  <si>
    <t>="""NAV 2015"",""CRONUS JetCorp USA"",""27"",""1"",""C100031"""</t>
  </si>
  <si>
    <t>=NL("Link","5802 Value Entry",,"2 Item No.","=1 No.","Filters=",$H$10:$I$13,"Link=",G45)</t>
  </si>
  <si>
    <t>=NL("Link","18 Customer",,"1 No.","=5 Source No.","5900 Service Zone Code",C45)</t>
  </si>
  <si>
    <t>=-NL("Sum","5802 Value Entry","14 Invoiced Quantity","3 Posting Date",K$15,"Filters=",$H$11:$I$13,"2 Item No.",$D45,"Link=",$G45)</t>
  </si>
  <si>
    <t>=IF(K45=0,0,M45/K45)</t>
  </si>
  <si>
    <t>=NL("Sum","5802 Value Entry","17 Sales Amount (Actual)","3 Posting Date",K$15,"Filters=",$H$11:$I$13,"2 Item No.",$D45,"Link=",$G45)</t>
  </si>
  <si>
    <t>=-NL("Sum","5802 Value Entry","14 Invoiced Quantity","3 Posting Date",O$15,"Filters=",$H$11:$I$13,"2 Item No.",$D45,"Link=",$G45)</t>
  </si>
  <si>
    <t>=IF(O45=0,0,Q45/O45)</t>
  </si>
  <si>
    <t>=NL("Sum","5802 Value Entry","17 Sales Amount (Actual)","3 Posting Date",O$15,"Filters=",$H$11:$I$13,"2 Item No.",$D45,"Link=",$G45)</t>
  </si>
  <si>
    <t>=C45</t>
  </si>
  <si>
    <t>="@@"&amp;NF(E46,"1 No.")</t>
  </si>
  <si>
    <t>="""NAV 2015"",""CRONUS JetCorp USA"",""27"",""1"",""C100032"""</t>
  </si>
  <si>
    <t>=NL("Link","5802 Value Entry",,"2 Item No.","=1 No.","Filters=",$H$10:$I$13,"Link=",G46)</t>
  </si>
  <si>
    <t>=NL("Link","18 Customer",,"1 No.","=5 Source No.","5900 Service Zone Code",C46)</t>
  </si>
  <si>
    <t>=-NL("Sum","5802 Value Entry","14 Invoiced Quantity","3 Posting Date",K$15,"Filters=",$H$11:$I$13,"2 Item No.",$D46,"Link=",$G46)</t>
  </si>
  <si>
    <t>=IF(K46=0,0,M46/K46)</t>
  </si>
  <si>
    <t>=NL("Sum","5802 Value Entry","17 Sales Amount (Actual)","3 Posting Date",K$15,"Filters=",$H$11:$I$13,"2 Item No.",$D46,"Link=",$G46)</t>
  </si>
  <si>
    <t>=-NL("Sum","5802 Value Entry","14 Invoiced Quantity","3 Posting Date",O$15,"Filters=",$H$11:$I$13,"2 Item No.",$D46,"Link=",$G46)</t>
  </si>
  <si>
    <t>=IF(O46=0,0,Q46/O46)</t>
  </si>
  <si>
    <t>=NL("Sum","5802 Value Entry","17 Sales Amount (Actual)","3 Posting Date",O$15,"Filters=",$H$11:$I$13,"2 Item No.",$D46,"Link=",$G46)</t>
  </si>
  <si>
    <t>=C46</t>
  </si>
  <si>
    <t>="@@"&amp;NF(E47,"1 No.")</t>
  </si>
  <si>
    <t>="""NAV 2015"",""CRONUS JetCorp USA"",""27"",""1"",""C100033"""</t>
  </si>
  <si>
    <t>=NL("Link","5802 Value Entry",,"2 Item No.","=1 No.","Filters=",$H$10:$I$13,"Link=",G47)</t>
  </si>
  <si>
    <t>=NL("Link","18 Customer",,"1 No.","=5 Source No.","5900 Service Zone Code",C47)</t>
  </si>
  <si>
    <t>=-NL("Sum","5802 Value Entry","14 Invoiced Quantity","3 Posting Date",K$15,"Filters=",$H$11:$I$13,"2 Item No.",$D47,"Link=",$G47)</t>
  </si>
  <si>
    <t>=IF(K47=0,0,M47/K47)</t>
  </si>
  <si>
    <t>=NL("Sum","5802 Value Entry","17 Sales Amount (Actual)","3 Posting Date",K$15,"Filters=",$H$11:$I$13,"2 Item No.",$D47,"Link=",$G47)</t>
  </si>
  <si>
    <t>=-NL("Sum","5802 Value Entry","14 Invoiced Quantity","3 Posting Date",O$15,"Filters=",$H$11:$I$13,"2 Item No.",$D47,"Link=",$G47)</t>
  </si>
  <si>
    <t>=IF(O47=0,0,Q47/O47)</t>
  </si>
  <si>
    <t>=NL("Sum","5802 Value Entry","17 Sales Amount (Actual)","3 Posting Date",O$15,"Filters=",$H$11:$I$13,"2 Item No.",$D47,"Link=",$G47)</t>
  </si>
  <si>
    <t>=C47</t>
  </si>
  <si>
    <t>="@@"&amp;NF(E48,"1 No.")</t>
  </si>
  <si>
    <t>="""NAV 2015"",""CRONUS JetCorp USA"",""27"",""1"",""C100034"""</t>
  </si>
  <si>
    <t>=NL("Link","5802 Value Entry",,"2 Item No.","=1 No.","Filters=",$H$10:$I$13,"Link=",G48)</t>
  </si>
  <si>
    <t>=NL("Link","18 Customer",,"1 No.","=5 Source No.","5900 Service Zone Code",C48)</t>
  </si>
  <si>
    <t>=-NL("Sum","5802 Value Entry","14 Invoiced Quantity","3 Posting Date",K$15,"Filters=",$H$11:$I$13,"2 Item No.",$D48,"Link=",$G48)</t>
  </si>
  <si>
    <t>=IF(K48=0,0,M48/K48)</t>
  </si>
  <si>
    <t>=NL("Sum","5802 Value Entry","17 Sales Amount (Actual)","3 Posting Date",K$15,"Filters=",$H$11:$I$13,"2 Item No.",$D48,"Link=",$G48)</t>
  </si>
  <si>
    <t>=-NL("Sum","5802 Value Entry","14 Invoiced Quantity","3 Posting Date",O$15,"Filters=",$H$11:$I$13,"2 Item No.",$D48,"Link=",$G48)</t>
  </si>
  <si>
    <t>=IF(O48=0,0,Q48/O48)</t>
  </si>
  <si>
    <t>=NL("Sum","5802 Value Entry","17 Sales Amount (Actual)","3 Posting Date",O$15,"Filters=",$H$11:$I$13,"2 Item No.",$D48,"Link=",$G48)</t>
  </si>
  <si>
    <t>=C48</t>
  </si>
  <si>
    <t>="@@"&amp;NF(E49,"1 No.")</t>
  </si>
  <si>
    <t>="""NAV 2015"",""CRONUS JetCorp USA"",""27"",""1"",""C100035"""</t>
  </si>
  <si>
    <t>=NL("Link","5802 Value Entry",,"2 Item No.","=1 No.","Filters=",$H$10:$I$13,"Link=",G49)</t>
  </si>
  <si>
    <t>=NL("Link","18 Customer",,"1 No.","=5 Source No.","5900 Service Zone Code",C49)</t>
  </si>
  <si>
    <t>=-NL("Sum","5802 Value Entry","14 Invoiced Quantity","3 Posting Date",K$15,"Filters=",$H$11:$I$13,"2 Item No.",$D49,"Link=",$G49)</t>
  </si>
  <si>
    <t>=IF(K49=0,0,M49/K49)</t>
  </si>
  <si>
    <t>=NL("Sum","5802 Value Entry","17 Sales Amount (Actual)","3 Posting Date",K$15,"Filters=",$H$11:$I$13,"2 Item No.",$D49,"Link=",$G49)</t>
  </si>
  <si>
    <t>=-NL("Sum","5802 Value Entry","14 Invoiced Quantity","3 Posting Date",O$15,"Filters=",$H$11:$I$13,"2 Item No.",$D49,"Link=",$G49)</t>
  </si>
  <si>
    <t>=IF(O49=0,0,Q49/O49)</t>
  </si>
  <si>
    <t>=NL("Sum","5802 Value Entry","17 Sales Amount (Actual)","3 Posting Date",O$15,"Filters=",$H$11:$I$13,"2 Item No.",$D49,"Link=",$G49)</t>
  </si>
  <si>
    <t>=C49</t>
  </si>
  <si>
    <t>="@@"&amp;NF(E50,"1 No.")</t>
  </si>
  <si>
    <t>="""NAV 2015"",""CRONUS JetCorp USA"",""27"",""1"",""C100036"""</t>
  </si>
  <si>
    <t>=NL("Link","5802 Value Entry",,"2 Item No.","=1 No.","Filters=",$H$10:$I$13,"Link=",G50)</t>
  </si>
  <si>
    <t>=NL("Link","18 Customer",,"1 No.","=5 Source No.","5900 Service Zone Code",C50)</t>
  </si>
  <si>
    <t>=-NL("Sum","5802 Value Entry","14 Invoiced Quantity","3 Posting Date",K$15,"Filters=",$H$11:$I$13,"2 Item No.",$D50,"Link=",$G50)</t>
  </si>
  <si>
    <t>=IF(K50=0,0,M50/K50)</t>
  </si>
  <si>
    <t>=NL("Sum","5802 Value Entry","17 Sales Amount (Actual)","3 Posting Date",K$15,"Filters=",$H$11:$I$13,"2 Item No.",$D50,"Link=",$G50)</t>
  </si>
  <si>
    <t>=-NL("Sum","5802 Value Entry","14 Invoiced Quantity","3 Posting Date",O$15,"Filters=",$H$11:$I$13,"2 Item No.",$D50,"Link=",$G50)</t>
  </si>
  <si>
    <t>=IF(O50=0,0,Q50/O50)</t>
  </si>
  <si>
    <t>=NL("Sum","5802 Value Entry","17 Sales Amount (Actual)","3 Posting Date",O$15,"Filters=",$H$11:$I$13,"2 Item No.",$D50,"Link=",$G50)</t>
  </si>
  <si>
    <t>=C50</t>
  </si>
  <si>
    <t>="@@"&amp;NF(E51,"1 No.")</t>
  </si>
  <si>
    <t>="""NAV 2015"",""CRONUS JetCorp USA"",""27"",""1"",""C100037"""</t>
  </si>
  <si>
    <t>=NL("Link","5802 Value Entry",,"2 Item No.","=1 No.","Filters=",$H$10:$I$13,"Link=",G51)</t>
  </si>
  <si>
    <t>=NL("Link","18 Customer",,"1 No.","=5 Source No.","5900 Service Zone Code",C51)</t>
  </si>
  <si>
    <t>=-NL("Sum","5802 Value Entry","14 Invoiced Quantity","3 Posting Date",K$15,"Filters=",$H$11:$I$13,"2 Item No.",$D51,"Link=",$G51)</t>
  </si>
  <si>
    <t>=IF(K51=0,0,M51/K51)</t>
  </si>
  <si>
    <t>=NL("Sum","5802 Value Entry","17 Sales Amount (Actual)","3 Posting Date",K$15,"Filters=",$H$11:$I$13,"2 Item No.",$D51,"Link=",$G51)</t>
  </si>
  <si>
    <t>=-NL("Sum","5802 Value Entry","14 Invoiced Quantity","3 Posting Date",O$15,"Filters=",$H$11:$I$13,"2 Item No.",$D51,"Link=",$G51)</t>
  </si>
  <si>
    <t>=IF(O51=0,0,Q51/O51)</t>
  </si>
  <si>
    <t>=NL("Sum","5802 Value Entry","17 Sales Amount (Actual)","3 Posting Date",O$15,"Filters=",$H$11:$I$13,"2 Item No.",$D51,"Link=",$G51)</t>
  </si>
  <si>
    <t>=C51</t>
  </si>
  <si>
    <t>="@@"&amp;NF(E52,"1 No.")</t>
  </si>
  <si>
    <t>="""NAV 2015"",""CRONUS JetCorp USA"",""27"",""1"",""C100038"""</t>
  </si>
  <si>
    <t>=NL("Link","5802 Value Entry",,"2 Item No.","=1 No.","Filters=",$H$10:$I$13,"Link=",G52)</t>
  </si>
  <si>
    <t>=NL("Link","18 Customer",,"1 No.","=5 Source No.","5900 Service Zone Code",C52)</t>
  </si>
  <si>
    <t>=-NL("Sum","5802 Value Entry","14 Invoiced Quantity","3 Posting Date",K$15,"Filters=",$H$11:$I$13,"2 Item No.",$D52,"Link=",$G52)</t>
  </si>
  <si>
    <t>=IF(K52=0,0,M52/K52)</t>
  </si>
  <si>
    <t>=NL("Sum","5802 Value Entry","17 Sales Amount (Actual)","3 Posting Date",K$15,"Filters=",$H$11:$I$13,"2 Item No.",$D52,"Link=",$G52)</t>
  </si>
  <si>
    <t>=-NL("Sum","5802 Value Entry","14 Invoiced Quantity","3 Posting Date",O$15,"Filters=",$H$11:$I$13,"2 Item No.",$D52,"Link=",$G52)</t>
  </si>
  <si>
    <t>=IF(O52=0,0,Q52/O52)</t>
  </si>
  <si>
    <t>=NL("Sum","5802 Value Entry","17 Sales Amount (Actual)","3 Posting Date",O$15,"Filters=",$H$11:$I$13,"2 Item No.",$D52,"Link=",$G52)</t>
  </si>
  <si>
    <t>=C52</t>
  </si>
  <si>
    <t>="@@"&amp;NF(E53,"1 No.")</t>
  </si>
  <si>
    <t>="""NAV 2015"",""CRONUS JetCorp USA"",""27"",""1"",""C100039"""</t>
  </si>
  <si>
    <t>=NL("Link","5802 Value Entry",,"2 Item No.","=1 No.","Filters=",$H$10:$I$13,"Link=",G53)</t>
  </si>
  <si>
    <t>=NL("Link","18 Customer",,"1 No.","=5 Source No.","5900 Service Zone Code",C53)</t>
  </si>
  <si>
    <t>=-NL("Sum","5802 Value Entry","14 Invoiced Quantity","3 Posting Date",K$15,"Filters=",$H$11:$I$13,"2 Item No.",$D53,"Link=",$G53)</t>
  </si>
  <si>
    <t>=IF(K53=0,0,M53/K53)</t>
  </si>
  <si>
    <t>=NL("Sum","5802 Value Entry","17 Sales Amount (Actual)","3 Posting Date",K$15,"Filters=",$H$11:$I$13,"2 Item No.",$D53,"Link=",$G53)</t>
  </si>
  <si>
    <t>=-NL("Sum","5802 Value Entry","14 Invoiced Quantity","3 Posting Date",O$15,"Filters=",$H$11:$I$13,"2 Item No.",$D53,"Link=",$G53)</t>
  </si>
  <si>
    <t>=IF(O53=0,0,Q53/O53)</t>
  </si>
  <si>
    <t>=NL("Sum","5802 Value Entry","17 Sales Amount (Actual)","3 Posting Date",O$15,"Filters=",$H$11:$I$13,"2 Item No.",$D53,"Link=",$G53)</t>
  </si>
  <si>
    <t>=C53</t>
  </si>
  <si>
    <t>="@@"&amp;NF(E54,"1 No.")</t>
  </si>
  <si>
    <t>="""NAV 2015"",""CRONUS JetCorp USA"",""27"",""1"",""C100040"""</t>
  </si>
  <si>
    <t>=NL("Link","5802 Value Entry",,"2 Item No.","=1 No.","Filters=",$H$10:$I$13,"Link=",G54)</t>
  </si>
  <si>
    <t>=NL("Link","18 Customer",,"1 No.","=5 Source No.","5900 Service Zone Code",C54)</t>
  </si>
  <si>
    <t>=-NL("Sum","5802 Value Entry","14 Invoiced Quantity","3 Posting Date",K$15,"Filters=",$H$11:$I$13,"2 Item No.",$D54,"Link=",$G54)</t>
  </si>
  <si>
    <t>=IF(K54=0,0,M54/K54)</t>
  </si>
  <si>
    <t>=NL("Sum","5802 Value Entry","17 Sales Amount (Actual)","3 Posting Date",K$15,"Filters=",$H$11:$I$13,"2 Item No.",$D54,"Link=",$G54)</t>
  </si>
  <si>
    <t>=-NL("Sum","5802 Value Entry","14 Invoiced Quantity","3 Posting Date",O$15,"Filters=",$H$11:$I$13,"2 Item No.",$D54,"Link=",$G54)</t>
  </si>
  <si>
    <t>=IF(O54=0,0,Q54/O54)</t>
  </si>
  <si>
    <t>=NL("Sum","5802 Value Entry","17 Sales Amount (Actual)","3 Posting Date",O$15,"Filters=",$H$11:$I$13,"2 Item No.",$D54,"Link=",$G54)</t>
  </si>
  <si>
    <t>=C54</t>
  </si>
  <si>
    <t>="@@"&amp;NF(E55,"1 No.")</t>
  </si>
  <si>
    <t>="""NAV 2015"",""CRONUS JetCorp USA"",""27"",""1"",""C100041"""</t>
  </si>
  <si>
    <t>=NL("Link","5802 Value Entry",,"2 Item No.","=1 No.","Filters=",$H$10:$I$13,"Link=",G55)</t>
  </si>
  <si>
    <t>=NL("Link","18 Customer",,"1 No.","=5 Source No.","5900 Service Zone Code",C55)</t>
  </si>
  <si>
    <t>=-NL("Sum","5802 Value Entry","14 Invoiced Quantity","3 Posting Date",K$15,"Filters=",$H$11:$I$13,"2 Item No.",$D55,"Link=",$G55)</t>
  </si>
  <si>
    <t>=IF(K55=0,0,M55/K55)</t>
  </si>
  <si>
    <t>=NL("Sum","5802 Value Entry","17 Sales Amount (Actual)","3 Posting Date",K$15,"Filters=",$H$11:$I$13,"2 Item No.",$D55,"Link=",$G55)</t>
  </si>
  <si>
    <t>=-NL("Sum","5802 Value Entry","14 Invoiced Quantity","3 Posting Date",O$15,"Filters=",$H$11:$I$13,"2 Item No.",$D55,"Link=",$G55)</t>
  </si>
  <si>
    <t>=IF(O55=0,0,Q55/O55)</t>
  </si>
  <si>
    <t>=NL("Sum","5802 Value Entry","17 Sales Amount (Actual)","3 Posting Date",O$15,"Filters=",$H$11:$I$13,"2 Item No.",$D55,"Link=",$G55)</t>
  </si>
  <si>
    <t>=C55</t>
  </si>
  <si>
    <t>="@@"&amp;NF(E56,"1 No.")</t>
  </si>
  <si>
    <t>="""NAV 2015"",""CRONUS JetCorp USA"",""27"",""1"",""C100042"""</t>
  </si>
  <si>
    <t>=NL("Link","5802 Value Entry",,"2 Item No.","=1 No.","Filters=",$H$10:$I$13,"Link=",G56)</t>
  </si>
  <si>
    <t>=NL("Link","18 Customer",,"1 No.","=5 Source No.","5900 Service Zone Code",C56)</t>
  </si>
  <si>
    <t>=-NL("Sum","5802 Value Entry","14 Invoiced Quantity","3 Posting Date",K$15,"Filters=",$H$11:$I$13,"2 Item No.",$D56,"Link=",$G56)</t>
  </si>
  <si>
    <t>=IF(K56=0,0,M56/K56)</t>
  </si>
  <si>
    <t>=NL("Sum","5802 Value Entry","17 Sales Amount (Actual)","3 Posting Date",K$15,"Filters=",$H$11:$I$13,"2 Item No.",$D56,"Link=",$G56)</t>
  </si>
  <si>
    <t>=-NL("Sum","5802 Value Entry","14 Invoiced Quantity","3 Posting Date",O$15,"Filters=",$H$11:$I$13,"2 Item No.",$D56,"Link=",$G56)</t>
  </si>
  <si>
    <t>=IF(O56=0,0,Q56/O56)</t>
  </si>
  <si>
    <t>=NL("Sum","5802 Value Entry","17 Sales Amount (Actual)","3 Posting Date",O$15,"Filters=",$H$11:$I$13,"2 Item No.",$D56,"Link=",$G56)</t>
  </si>
  <si>
    <t>=C56</t>
  </si>
  <si>
    <t>="@@"&amp;NF(E57,"1 No.")</t>
  </si>
  <si>
    <t>="""NAV 2015"",""CRONUS JetCorp USA"",""27"",""1"",""C100043"""</t>
  </si>
  <si>
    <t>=NL("Link","5802 Value Entry",,"2 Item No.","=1 No.","Filters=",$H$10:$I$13,"Link=",G57)</t>
  </si>
  <si>
    <t>=NL("Link","18 Customer",,"1 No.","=5 Source No.","5900 Service Zone Code",C57)</t>
  </si>
  <si>
    <t>=-NL("Sum","5802 Value Entry","14 Invoiced Quantity","3 Posting Date",K$15,"Filters=",$H$11:$I$13,"2 Item No.",$D57,"Link=",$G57)</t>
  </si>
  <si>
    <t>=IF(K57=0,0,M57/K57)</t>
  </si>
  <si>
    <t>=NL("Sum","5802 Value Entry","17 Sales Amount (Actual)","3 Posting Date",K$15,"Filters=",$H$11:$I$13,"2 Item No.",$D57,"Link=",$G57)</t>
  </si>
  <si>
    <t>=-NL("Sum","5802 Value Entry","14 Invoiced Quantity","3 Posting Date",O$15,"Filters=",$H$11:$I$13,"2 Item No.",$D57,"Link=",$G57)</t>
  </si>
  <si>
    <t>=IF(O57=0,0,Q57/O57)</t>
  </si>
  <si>
    <t>=NL("Sum","5802 Value Entry","17 Sales Amount (Actual)","3 Posting Date",O$15,"Filters=",$H$11:$I$13,"2 Item No.",$D57,"Link=",$G57)</t>
  </si>
  <si>
    <t>=C57</t>
  </si>
  <si>
    <t>="@@"&amp;NF(E58,"1 No.")</t>
  </si>
  <si>
    <t>="""NAV 2015"",""CRONUS JetCorp USA"",""27"",""1"",""C100044"""</t>
  </si>
  <si>
    <t>=NL("Link","5802 Value Entry",,"2 Item No.","=1 No.","Filters=",$H$10:$I$13,"Link=",G58)</t>
  </si>
  <si>
    <t>=NL("Link","18 Customer",,"1 No.","=5 Source No.","5900 Service Zone Code",C58)</t>
  </si>
  <si>
    <t>=-NL("Sum","5802 Value Entry","14 Invoiced Quantity","3 Posting Date",K$15,"Filters=",$H$11:$I$13,"2 Item No.",$D58,"Link=",$G58)</t>
  </si>
  <si>
    <t>=IF(K58=0,0,M58/K58)</t>
  </si>
  <si>
    <t>=NL("Sum","5802 Value Entry","17 Sales Amount (Actual)","3 Posting Date",K$15,"Filters=",$H$11:$I$13,"2 Item No.",$D58,"Link=",$G58)</t>
  </si>
  <si>
    <t>=-NL("Sum","5802 Value Entry","14 Invoiced Quantity","3 Posting Date",O$15,"Filters=",$H$11:$I$13,"2 Item No.",$D58,"Link=",$G58)</t>
  </si>
  <si>
    <t>=IF(O58=0,0,Q58/O58)</t>
  </si>
  <si>
    <t>=NL("Sum","5802 Value Entry","17 Sales Amount (Actual)","3 Posting Date",O$15,"Filters=",$H$11:$I$13,"2 Item No.",$D58,"Link=",$G58)</t>
  </si>
  <si>
    <t>=C58</t>
  </si>
  <si>
    <t>="@@"&amp;NF(E59,"1 No.")</t>
  </si>
  <si>
    <t>="""NAV 2015"",""CRONUS JetCorp USA"",""27"",""1"",""C100045"""</t>
  </si>
  <si>
    <t>=NL("Link","5802 Value Entry",,"2 Item No.","=1 No.","Filters=",$H$10:$I$13,"Link=",G59)</t>
  </si>
  <si>
    <t>=NL("Link","18 Customer",,"1 No.","=5 Source No.","5900 Service Zone Code",C59)</t>
  </si>
  <si>
    <t>=-NL("Sum","5802 Value Entry","14 Invoiced Quantity","3 Posting Date",K$15,"Filters=",$H$11:$I$13,"2 Item No.",$D59,"Link=",$G59)</t>
  </si>
  <si>
    <t>=IF(K59=0,0,M59/K59)</t>
  </si>
  <si>
    <t>=NL("Sum","5802 Value Entry","17 Sales Amount (Actual)","3 Posting Date",K$15,"Filters=",$H$11:$I$13,"2 Item No.",$D59,"Link=",$G59)</t>
  </si>
  <si>
    <t>=-NL("Sum","5802 Value Entry","14 Invoiced Quantity","3 Posting Date",O$15,"Filters=",$H$11:$I$13,"2 Item No.",$D59,"Link=",$G59)</t>
  </si>
  <si>
    <t>=IF(O59=0,0,Q59/O59)</t>
  </si>
  <si>
    <t>=NL("Sum","5802 Value Entry","17 Sales Amount (Actual)","3 Posting Date",O$15,"Filters=",$H$11:$I$13,"2 Item No.",$D59,"Link=",$G59)</t>
  </si>
  <si>
    <t>=C59</t>
  </si>
  <si>
    <t>="@@"&amp;NF(E60,"1 No.")</t>
  </si>
  <si>
    <t>="""NAV 2015"",""CRONUS JetCorp USA"",""27"",""1"",""C100046"""</t>
  </si>
  <si>
    <t>=NL("Link","5802 Value Entry",,"2 Item No.","=1 No.","Filters=",$H$10:$I$13,"Link=",G60)</t>
  </si>
  <si>
    <t>=NL("Link","18 Customer",,"1 No.","=5 Source No.","5900 Service Zone Code",C60)</t>
  </si>
  <si>
    <t>=-NL("Sum","5802 Value Entry","14 Invoiced Quantity","3 Posting Date",K$15,"Filters=",$H$11:$I$13,"2 Item No.",$D60,"Link=",$G60)</t>
  </si>
  <si>
    <t>=IF(K60=0,0,M60/K60)</t>
  </si>
  <si>
    <t>=NL("Sum","5802 Value Entry","17 Sales Amount (Actual)","3 Posting Date",K$15,"Filters=",$H$11:$I$13,"2 Item No.",$D60,"Link=",$G60)</t>
  </si>
  <si>
    <t>=-NL("Sum","5802 Value Entry","14 Invoiced Quantity","3 Posting Date",O$15,"Filters=",$H$11:$I$13,"2 Item No.",$D60,"Link=",$G60)</t>
  </si>
  <si>
    <t>=IF(O60=0,0,Q60/O60)</t>
  </si>
  <si>
    <t>=NL("Sum","5802 Value Entry","17 Sales Amount (Actual)","3 Posting Date",O$15,"Filters=",$H$11:$I$13,"2 Item No.",$D60,"Link=",$G60)</t>
  </si>
  <si>
    <t>=C60</t>
  </si>
  <si>
    <t>="@@"&amp;NF(E61,"1 No.")</t>
  </si>
  <si>
    <t>="""NAV 2015"",""CRONUS JetCorp USA"",""27"",""1"",""C100047"""</t>
  </si>
  <si>
    <t>=NL("Link","5802 Value Entry",,"2 Item No.","=1 No.","Filters=",$H$10:$I$13,"Link=",G61)</t>
  </si>
  <si>
    <t>=NL("Link","18 Customer",,"1 No.","=5 Source No.","5900 Service Zone Code",C61)</t>
  </si>
  <si>
    <t>=-NL("Sum","5802 Value Entry","14 Invoiced Quantity","3 Posting Date",K$15,"Filters=",$H$11:$I$13,"2 Item No.",$D61,"Link=",$G61)</t>
  </si>
  <si>
    <t>=IF(K61=0,0,M61/K61)</t>
  </si>
  <si>
    <t>=NL("Sum","5802 Value Entry","17 Sales Amount (Actual)","3 Posting Date",K$15,"Filters=",$H$11:$I$13,"2 Item No.",$D61,"Link=",$G61)</t>
  </si>
  <si>
    <t>=-NL("Sum","5802 Value Entry","14 Invoiced Quantity","3 Posting Date",O$15,"Filters=",$H$11:$I$13,"2 Item No.",$D61,"Link=",$G61)</t>
  </si>
  <si>
    <t>=IF(O61=0,0,Q61/O61)</t>
  </si>
  <si>
    <t>=NL("Sum","5802 Value Entry","17 Sales Amount (Actual)","3 Posting Date",O$15,"Filters=",$H$11:$I$13,"2 Item No.",$D61,"Link=",$G61)</t>
  </si>
  <si>
    <t>=C61</t>
  </si>
  <si>
    <t>="@@"&amp;NF(E62,"1 No.")</t>
  </si>
  <si>
    <t>="""NAV 2015"",""CRONUS JetCorp USA"",""27"",""1"",""C100048"""</t>
  </si>
  <si>
    <t>=NL("Link","5802 Value Entry",,"2 Item No.","=1 No.","Filters=",$H$10:$I$13,"Link=",G62)</t>
  </si>
  <si>
    <t>=NL("Link","18 Customer",,"1 No.","=5 Source No.","5900 Service Zone Code",C62)</t>
  </si>
  <si>
    <t>=-NL("Sum","5802 Value Entry","14 Invoiced Quantity","3 Posting Date",K$15,"Filters=",$H$11:$I$13,"2 Item No.",$D62,"Link=",$G62)</t>
  </si>
  <si>
    <t>=IF(K62=0,0,M62/K62)</t>
  </si>
  <si>
    <t>=NL("Sum","5802 Value Entry","17 Sales Amount (Actual)","3 Posting Date",K$15,"Filters=",$H$11:$I$13,"2 Item No.",$D62,"Link=",$G62)</t>
  </si>
  <si>
    <t>=-NL("Sum","5802 Value Entry","14 Invoiced Quantity","3 Posting Date",O$15,"Filters=",$H$11:$I$13,"2 Item No.",$D62,"Link=",$G62)</t>
  </si>
  <si>
    <t>=IF(O62=0,0,Q62/O62)</t>
  </si>
  <si>
    <t>=NL("Sum","5802 Value Entry","17 Sales Amount (Actual)","3 Posting Date",O$15,"Filters=",$H$11:$I$13,"2 Item No.",$D62,"Link=",$G62)</t>
  </si>
  <si>
    <t>=C62</t>
  </si>
  <si>
    <t>="@@"&amp;NF(E63,"1 No.")</t>
  </si>
  <si>
    <t>="""NAV 2015"",""CRONUS JetCorp USA"",""27"",""1"",""C100049"""</t>
  </si>
  <si>
    <t>=NL("Link","5802 Value Entry",,"2 Item No.","=1 No.","Filters=",$H$10:$I$13,"Link=",G63)</t>
  </si>
  <si>
    <t>=NL("Link","18 Customer",,"1 No.","=5 Source No.","5900 Service Zone Code",C63)</t>
  </si>
  <si>
    <t>=-NL("Sum","5802 Value Entry","14 Invoiced Quantity","3 Posting Date",K$15,"Filters=",$H$11:$I$13,"2 Item No.",$D63,"Link=",$G63)</t>
  </si>
  <si>
    <t>=IF(K63=0,0,M63/K63)</t>
  </si>
  <si>
    <t>=NL("Sum","5802 Value Entry","17 Sales Amount (Actual)","3 Posting Date",K$15,"Filters=",$H$11:$I$13,"2 Item No.",$D63,"Link=",$G63)</t>
  </si>
  <si>
    <t>=-NL("Sum","5802 Value Entry","14 Invoiced Quantity","3 Posting Date",O$15,"Filters=",$H$11:$I$13,"2 Item No.",$D63,"Link=",$G63)</t>
  </si>
  <si>
    <t>=IF(O63=0,0,Q63/O63)</t>
  </si>
  <si>
    <t>=NL("Sum","5802 Value Entry","17 Sales Amount (Actual)","3 Posting Date",O$15,"Filters=",$H$11:$I$13,"2 Item No.",$D63,"Link=",$G63)</t>
  </si>
  <si>
    <t>=C63</t>
  </si>
  <si>
    <t>="@@"&amp;NF(E64,"1 No.")</t>
  </si>
  <si>
    <t>="""NAV 2015"",""CRONUS JetCorp USA"",""27"",""1"",""C100050"""</t>
  </si>
  <si>
    <t>=NL("Link","5802 Value Entry",,"2 Item No.","=1 No.","Filters=",$H$10:$I$13,"Link=",G64)</t>
  </si>
  <si>
    <t>=NL("Link","18 Customer",,"1 No.","=5 Source No.","5900 Service Zone Code",C64)</t>
  </si>
  <si>
    <t>=-NL("Sum","5802 Value Entry","14 Invoiced Quantity","3 Posting Date",K$15,"Filters=",$H$11:$I$13,"2 Item No.",$D64,"Link=",$G64)</t>
  </si>
  <si>
    <t>=IF(K64=0,0,M64/K64)</t>
  </si>
  <si>
    <t>=NL("Sum","5802 Value Entry","17 Sales Amount (Actual)","3 Posting Date",K$15,"Filters=",$H$11:$I$13,"2 Item No.",$D64,"Link=",$G64)</t>
  </si>
  <si>
    <t>=-NL("Sum","5802 Value Entry","14 Invoiced Quantity","3 Posting Date",O$15,"Filters=",$H$11:$I$13,"2 Item No.",$D64,"Link=",$G64)</t>
  </si>
  <si>
    <t>=IF(O64=0,0,Q64/O64)</t>
  </si>
  <si>
    <t>=NL("Sum","5802 Value Entry","17 Sales Amount (Actual)","3 Posting Date",O$15,"Filters=",$H$11:$I$13,"2 Item No.",$D64,"Link=",$G64)</t>
  </si>
  <si>
    <t>=C64</t>
  </si>
  <si>
    <t>="@@"&amp;NF(E65,"1 No.")</t>
  </si>
  <si>
    <t>="""NAV 2015"",""CRONUS JetCorp USA"",""27"",""1"",""C100051"""</t>
  </si>
  <si>
    <t>=NL("Link","5802 Value Entry",,"2 Item No.","=1 No.","Filters=",$H$10:$I$13,"Link=",G65)</t>
  </si>
  <si>
    <t>=NL("Link","18 Customer",,"1 No.","=5 Source No.","5900 Service Zone Code",C65)</t>
  </si>
  <si>
    <t>=-NL("Sum","5802 Value Entry","14 Invoiced Quantity","3 Posting Date",K$15,"Filters=",$H$11:$I$13,"2 Item No.",$D65,"Link=",$G65)</t>
  </si>
  <si>
    <t>=IF(K65=0,0,M65/K65)</t>
  </si>
  <si>
    <t>=NL("Sum","5802 Value Entry","17 Sales Amount (Actual)","3 Posting Date",K$15,"Filters=",$H$11:$I$13,"2 Item No.",$D65,"Link=",$G65)</t>
  </si>
  <si>
    <t>=-NL("Sum","5802 Value Entry","14 Invoiced Quantity","3 Posting Date",O$15,"Filters=",$H$11:$I$13,"2 Item No.",$D65,"Link=",$G65)</t>
  </si>
  <si>
    <t>=IF(O65=0,0,Q65/O65)</t>
  </si>
  <si>
    <t>=NL("Sum","5802 Value Entry","17 Sales Amount (Actual)","3 Posting Date",O$15,"Filters=",$H$11:$I$13,"2 Item No.",$D65,"Link=",$G65)</t>
  </si>
  <si>
    <t>=C65</t>
  </si>
  <si>
    <t>="@@"&amp;NF(E66,"1 No.")</t>
  </si>
  <si>
    <t>="""NAV 2015"",""CRONUS JetCorp USA"",""27"",""1"",""C100052"""</t>
  </si>
  <si>
    <t>=NL("Link","5802 Value Entry",,"2 Item No.","=1 No.","Filters=",$H$10:$I$13,"Link=",G66)</t>
  </si>
  <si>
    <t>=NL("Link","18 Customer",,"1 No.","=5 Source No.","5900 Service Zone Code",C66)</t>
  </si>
  <si>
    <t>=-NL("Sum","5802 Value Entry","14 Invoiced Quantity","3 Posting Date",K$15,"Filters=",$H$11:$I$13,"2 Item No.",$D66,"Link=",$G66)</t>
  </si>
  <si>
    <t>=IF(K66=0,0,M66/K66)</t>
  </si>
  <si>
    <t>=NL("Sum","5802 Value Entry","17 Sales Amount (Actual)","3 Posting Date",K$15,"Filters=",$H$11:$I$13,"2 Item No.",$D66,"Link=",$G66)</t>
  </si>
  <si>
    <t>=-NL("Sum","5802 Value Entry","14 Invoiced Quantity","3 Posting Date",O$15,"Filters=",$H$11:$I$13,"2 Item No.",$D66,"Link=",$G66)</t>
  </si>
  <si>
    <t>=IF(O66=0,0,Q66/O66)</t>
  </si>
  <si>
    <t>=NL("Sum","5802 Value Entry","17 Sales Amount (Actual)","3 Posting Date",O$15,"Filters=",$H$11:$I$13,"2 Item No.",$D66,"Link=",$G66)</t>
  </si>
  <si>
    <t>=C66</t>
  </si>
  <si>
    <t>="@@"&amp;NF(E67,"1 No.")</t>
  </si>
  <si>
    <t>="""NAV 2015"",""CRONUS JetCorp USA"",""27"",""1"",""C100053"""</t>
  </si>
  <si>
    <t>=NL("Link","5802 Value Entry",,"2 Item No.","=1 No.","Filters=",$H$10:$I$13,"Link=",G67)</t>
  </si>
  <si>
    <t>=NL("Link","18 Customer",,"1 No.","=5 Source No.","5900 Service Zone Code",C67)</t>
  </si>
  <si>
    <t>=-NL("Sum","5802 Value Entry","14 Invoiced Quantity","3 Posting Date",K$15,"Filters=",$H$11:$I$13,"2 Item No.",$D67,"Link=",$G67)</t>
  </si>
  <si>
    <t>=IF(K67=0,0,M67/K67)</t>
  </si>
  <si>
    <t>=NL("Sum","5802 Value Entry","17 Sales Amount (Actual)","3 Posting Date",K$15,"Filters=",$H$11:$I$13,"2 Item No.",$D67,"Link=",$G67)</t>
  </si>
  <si>
    <t>=-NL("Sum","5802 Value Entry","14 Invoiced Quantity","3 Posting Date",O$15,"Filters=",$H$11:$I$13,"2 Item No.",$D67,"Link=",$G67)</t>
  </si>
  <si>
    <t>=IF(O67=0,0,Q67/O67)</t>
  </si>
  <si>
    <t>=NL("Sum","5802 Value Entry","17 Sales Amount (Actual)","3 Posting Date",O$15,"Filters=",$H$11:$I$13,"2 Item No.",$D67,"Link=",$G67)</t>
  </si>
  <si>
    <t>=C67</t>
  </si>
  <si>
    <t>="@@"&amp;NF(E68,"1 No.")</t>
  </si>
  <si>
    <t>="""NAV 2015"",""CRONUS JetCorp USA"",""27"",""1"",""C100054"""</t>
  </si>
  <si>
    <t>=NL("Link","5802 Value Entry",,"2 Item No.","=1 No.","Filters=",$H$10:$I$13,"Link=",G68)</t>
  </si>
  <si>
    <t>=NL("Link","18 Customer",,"1 No.","=5 Source No.","5900 Service Zone Code",C68)</t>
  </si>
  <si>
    <t>=-NL("Sum","5802 Value Entry","14 Invoiced Quantity","3 Posting Date",K$15,"Filters=",$H$11:$I$13,"2 Item No.",$D68,"Link=",$G68)</t>
  </si>
  <si>
    <t>=IF(K68=0,0,M68/K68)</t>
  </si>
  <si>
    <t>=NL("Sum","5802 Value Entry","17 Sales Amount (Actual)","3 Posting Date",K$15,"Filters=",$H$11:$I$13,"2 Item No.",$D68,"Link=",$G68)</t>
  </si>
  <si>
    <t>=-NL("Sum","5802 Value Entry","14 Invoiced Quantity","3 Posting Date",O$15,"Filters=",$H$11:$I$13,"2 Item No.",$D68,"Link=",$G68)</t>
  </si>
  <si>
    <t>=IF(O68=0,0,Q68/O68)</t>
  </si>
  <si>
    <t>=NL("Sum","5802 Value Entry","17 Sales Amount (Actual)","3 Posting Date",O$15,"Filters=",$H$11:$I$13,"2 Item No.",$D68,"Link=",$G68)</t>
  </si>
  <si>
    <t>=C68</t>
  </si>
  <si>
    <t>="@@"&amp;NF(E69,"1 No.")</t>
  </si>
  <si>
    <t>="""NAV 2015"",""CRONUS JetCorp USA"",""27"",""1"",""C100055"""</t>
  </si>
  <si>
    <t>=NL("Link","5802 Value Entry",,"2 Item No.","=1 No.","Filters=",$H$10:$I$13,"Link=",G69)</t>
  </si>
  <si>
    <t>=NL("Link","18 Customer",,"1 No.","=5 Source No.","5900 Service Zone Code",C69)</t>
  </si>
  <si>
    <t>=-NL("Sum","5802 Value Entry","14 Invoiced Quantity","3 Posting Date",K$15,"Filters=",$H$11:$I$13,"2 Item No.",$D69,"Link=",$G69)</t>
  </si>
  <si>
    <t>=IF(K69=0,0,M69/K69)</t>
  </si>
  <si>
    <t>=NL("Sum","5802 Value Entry","17 Sales Amount (Actual)","3 Posting Date",K$15,"Filters=",$H$11:$I$13,"2 Item No.",$D69,"Link=",$G69)</t>
  </si>
  <si>
    <t>=-NL("Sum","5802 Value Entry","14 Invoiced Quantity","3 Posting Date",O$15,"Filters=",$H$11:$I$13,"2 Item No.",$D69,"Link=",$G69)</t>
  </si>
  <si>
    <t>=IF(O69=0,0,Q69/O69)</t>
  </si>
  <si>
    <t>=NL("Sum","5802 Value Entry","17 Sales Amount (Actual)","3 Posting Date",O$15,"Filters=",$H$11:$I$13,"2 Item No.",$D69,"Link=",$G69)</t>
  </si>
  <si>
    <t>=C69</t>
  </si>
  <si>
    <t>="@@"&amp;NF(E70,"1 No.")</t>
  </si>
  <si>
    <t>="""NAV 2015"",""CRONUS JetCorp USA"",""27"",""1"",""C100056"""</t>
  </si>
  <si>
    <t>=NL("Link","5802 Value Entry",,"2 Item No.","=1 No.","Filters=",$H$10:$I$13,"Link=",G70)</t>
  </si>
  <si>
    <t>=NL("Link","18 Customer",,"1 No.","=5 Source No.","5900 Service Zone Code",C70)</t>
  </si>
  <si>
    <t>=-NL("Sum","5802 Value Entry","14 Invoiced Quantity","3 Posting Date",K$15,"Filters=",$H$11:$I$13,"2 Item No.",$D70,"Link=",$G70)</t>
  </si>
  <si>
    <t>=IF(K70=0,0,M70/K70)</t>
  </si>
  <si>
    <t>=NL("Sum","5802 Value Entry","17 Sales Amount (Actual)","3 Posting Date",K$15,"Filters=",$H$11:$I$13,"2 Item No.",$D70,"Link=",$G70)</t>
  </si>
  <si>
    <t>=-NL("Sum","5802 Value Entry","14 Invoiced Quantity","3 Posting Date",O$15,"Filters=",$H$11:$I$13,"2 Item No.",$D70,"Link=",$G70)</t>
  </si>
  <si>
    <t>=IF(O70=0,0,Q70/O70)</t>
  </si>
  <si>
    <t>=NL("Sum","5802 Value Entry","17 Sales Amount (Actual)","3 Posting Date",O$15,"Filters=",$H$11:$I$13,"2 Item No.",$D70,"Link=",$G70)</t>
  </si>
  <si>
    <t>=C70</t>
  </si>
  <si>
    <t>="@@"&amp;NF(E71,"1 No.")</t>
  </si>
  <si>
    <t>="""NAV 2015"",""CRONUS JetCorp USA"",""27"",""1"",""C100061"""</t>
  </si>
  <si>
    <t>=NL("Link","5802 Value Entry",,"2 Item No.","=1 No.","Filters=",$H$10:$I$13,"Link=",G71)</t>
  </si>
  <si>
    <t>=NL("Link","18 Customer",,"1 No.","=5 Source No.","5900 Service Zone Code",C71)</t>
  </si>
  <si>
    <t>=-NL("Sum","5802 Value Entry","14 Invoiced Quantity","3 Posting Date",K$15,"Filters=",$H$11:$I$13,"2 Item No.",$D71,"Link=",$G71)</t>
  </si>
  <si>
    <t>=IF(K71=0,0,M71/K71)</t>
  </si>
  <si>
    <t>=NL("Sum","5802 Value Entry","17 Sales Amount (Actual)","3 Posting Date",K$15,"Filters=",$H$11:$I$13,"2 Item No.",$D71,"Link=",$G71)</t>
  </si>
  <si>
    <t>=-NL("Sum","5802 Value Entry","14 Invoiced Quantity","3 Posting Date",O$15,"Filters=",$H$11:$I$13,"2 Item No.",$D71,"Link=",$G71)</t>
  </si>
  <si>
    <t>=IF(O71=0,0,Q71/O71)</t>
  </si>
  <si>
    <t>=NL("Sum","5802 Value Entry","17 Sales Amount (Actual)","3 Posting Date",O$15,"Filters=",$H$11:$I$13,"2 Item No.",$D71,"Link=",$G71)</t>
  </si>
  <si>
    <t>=C71</t>
  </si>
  <si>
    <t>="@@"&amp;NF(E72,"1 No.")</t>
  </si>
  <si>
    <t>="""NAV 2015"",""CRONUS JetCorp USA"",""27"",""1"",""C100062"""</t>
  </si>
  <si>
    <t>=NL("Link","5802 Value Entry",,"2 Item No.","=1 No.","Filters=",$H$10:$I$13,"Link=",G72)</t>
  </si>
  <si>
    <t>=NL("Link","18 Customer",,"1 No.","=5 Source No.","5900 Service Zone Code",C72)</t>
  </si>
  <si>
    <t>=-NL("Sum","5802 Value Entry","14 Invoiced Quantity","3 Posting Date",K$15,"Filters=",$H$11:$I$13,"2 Item No.",$D72,"Link=",$G72)</t>
  </si>
  <si>
    <t>=IF(K72=0,0,M72/K72)</t>
  </si>
  <si>
    <t>=NL("Sum","5802 Value Entry","17 Sales Amount (Actual)","3 Posting Date",K$15,"Filters=",$H$11:$I$13,"2 Item No.",$D72,"Link=",$G72)</t>
  </si>
  <si>
    <t>=-NL("Sum","5802 Value Entry","14 Invoiced Quantity","3 Posting Date",O$15,"Filters=",$H$11:$I$13,"2 Item No.",$D72,"Link=",$G72)</t>
  </si>
  <si>
    <t>=IF(O72=0,0,Q72/O72)</t>
  </si>
  <si>
    <t>=NL("Sum","5802 Value Entry","17 Sales Amount (Actual)","3 Posting Date",O$15,"Filters=",$H$11:$I$13,"2 Item No.",$D72,"Link=",$G72)</t>
  </si>
  <si>
    <t>=C72</t>
  </si>
  <si>
    <t>="@@"&amp;NF(E73,"1 No.")</t>
  </si>
  <si>
    <t>="""NAV 2015"",""CRONUS JetCorp USA"",""27"",""1"",""C100063"""</t>
  </si>
  <si>
    <t>=NL("Link","5802 Value Entry",,"2 Item No.","=1 No.","Filters=",$H$10:$I$13,"Link=",G73)</t>
  </si>
  <si>
    <t>=NL("Link","18 Customer",,"1 No.","=5 Source No.","5900 Service Zone Code",C73)</t>
  </si>
  <si>
    <t>=-NL("Sum","5802 Value Entry","14 Invoiced Quantity","3 Posting Date",K$15,"Filters=",$H$11:$I$13,"2 Item No.",$D73,"Link=",$G73)</t>
  </si>
  <si>
    <t>=IF(K73=0,0,M73/K73)</t>
  </si>
  <si>
    <t>=NL("Sum","5802 Value Entry","17 Sales Amount (Actual)","3 Posting Date",K$15,"Filters=",$H$11:$I$13,"2 Item No.",$D73,"Link=",$G73)</t>
  </si>
  <si>
    <t>=-NL("Sum","5802 Value Entry","14 Invoiced Quantity","3 Posting Date",O$15,"Filters=",$H$11:$I$13,"2 Item No.",$D73,"Link=",$G73)</t>
  </si>
  <si>
    <t>=IF(O73=0,0,Q73/O73)</t>
  </si>
  <si>
    <t>=NL("Sum","5802 Value Entry","17 Sales Amount (Actual)","3 Posting Date",O$15,"Filters=",$H$11:$I$13,"2 Item No.",$D73,"Link=",$G73)</t>
  </si>
  <si>
    <t>=C73</t>
  </si>
  <si>
    <t>="@@"&amp;NF(E74,"1 No.")</t>
  </si>
  <si>
    <t>="""NAV 2015"",""CRONUS JetCorp USA"",""27"",""1"",""C100066"""</t>
  </si>
  <si>
    <t>=NL("Link","5802 Value Entry",,"2 Item No.","=1 No.","Filters=",$H$10:$I$13,"Link=",G74)</t>
  </si>
  <si>
    <t>=NL("Link","18 Customer",,"1 No.","=5 Source No.","5900 Service Zone Code",C74)</t>
  </si>
  <si>
    <t>=-NL("Sum","5802 Value Entry","14 Invoiced Quantity","3 Posting Date",K$15,"Filters=",$H$11:$I$13,"2 Item No.",$D74,"Link=",$G74)</t>
  </si>
  <si>
    <t>=IF(K74=0,0,M74/K74)</t>
  </si>
  <si>
    <t>=NL("Sum","5802 Value Entry","17 Sales Amount (Actual)","3 Posting Date",K$15,"Filters=",$H$11:$I$13,"2 Item No.",$D74,"Link=",$G74)</t>
  </si>
  <si>
    <t>=-NL("Sum","5802 Value Entry","14 Invoiced Quantity","3 Posting Date",O$15,"Filters=",$H$11:$I$13,"2 Item No.",$D74,"Link=",$G74)</t>
  </si>
  <si>
    <t>=IF(O74=0,0,Q74/O74)</t>
  </si>
  <si>
    <t>=NL("Sum","5802 Value Entry","17 Sales Amount (Actual)","3 Posting Date",O$15,"Filters=",$H$11:$I$13,"2 Item No.",$D74,"Link=",$G74)</t>
  </si>
  <si>
    <t>=C74</t>
  </si>
  <si>
    <t>="@@"&amp;NF(E75,"1 No.")</t>
  </si>
  <si>
    <t>="""NAV 2015"",""CRONUS JetCorp USA"",""27"",""1"",""C100067"""</t>
  </si>
  <si>
    <t>=NL("Link","5802 Value Entry",,"2 Item No.","=1 No.","Filters=",$H$10:$I$13,"Link=",G75)</t>
  </si>
  <si>
    <t>=NL("Link","18 Customer",,"1 No.","=5 Source No.","5900 Service Zone Code",C75)</t>
  </si>
  <si>
    <t>=-NL("Sum","5802 Value Entry","14 Invoiced Quantity","3 Posting Date",K$15,"Filters=",$H$11:$I$13,"2 Item No.",$D75,"Link=",$G75)</t>
  </si>
  <si>
    <t>=IF(K75=0,0,M75/K75)</t>
  </si>
  <si>
    <t>=NL("Sum","5802 Value Entry","17 Sales Amount (Actual)","3 Posting Date",K$15,"Filters=",$H$11:$I$13,"2 Item No.",$D75,"Link=",$G75)</t>
  </si>
  <si>
    <t>=-NL("Sum","5802 Value Entry","14 Invoiced Quantity","3 Posting Date",O$15,"Filters=",$H$11:$I$13,"2 Item No.",$D75,"Link=",$G75)</t>
  </si>
  <si>
    <t>=IF(O75=0,0,Q75/O75)</t>
  </si>
  <si>
    <t>=NL("Sum","5802 Value Entry","17 Sales Amount (Actual)","3 Posting Date",O$15,"Filters=",$H$11:$I$13,"2 Item No.",$D75,"Link=",$G75)</t>
  </si>
  <si>
    <t>=C75</t>
  </si>
  <si>
    <t>="@@"&amp;NF(E76,"1 No.")</t>
  </si>
  <si>
    <t>="""NAV 2015"",""CRONUS JetCorp USA"",""27"",""1"",""E100001"""</t>
  </si>
  <si>
    <t>=NL("Link","5802 Value Entry",,"2 Item No.","=1 No.","Filters=",$H$10:$I$13,"Link=",G76)</t>
  </si>
  <si>
    <t>=NL("Link","18 Customer",,"1 No.","=5 Source No.","5900 Service Zone Code",C76)</t>
  </si>
  <si>
    <t>=-NL("Sum","5802 Value Entry","14 Invoiced Quantity","3 Posting Date",K$15,"Filters=",$H$11:$I$13,"2 Item No.",$D76,"Link=",$G76)</t>
  </si>
  <si>
    <t>=IF(K76=0,0,M76/K76)</t>
  </si>
  <si>
    <t>=NL("Sum","5802 Value Entry","17 Sales Amount (Actual)","3 Posting Date",K$15,"Filters=",$H$11:$I$13,"2 Item No.",$D76,"Link=",$G76)</t>
  </si>
  <si>
    <t>=-NL("Sum","5802 Value Entry","14 Invoiced Quantity","3 Posting Date",O$15,"Filters=",$H$11:$I$13,"2 Item No.",$D76,"Link=",$G76)</t>
  </si>
  <si>
    <t>=IF(O76=0,0,Q76/O76)</t>
  </si>
  <si>
    <t>=NL("Sum","5802 Value Entry","17 Sales Amount (Actual)","3 Posting Date",O$15,"Filters=",$H$11:$I$13,"2 Item No.",$D76,"Link=",$G76)</t>
  </si>
  <si>
    <t>=C76</t>
  </si>
  <si>
    <t>="@@"&amp;NF(E77,"1 No.")</t>
  </si>
  <si>
    <t>="""NAV 2015"",""CRONUS JetCorp USA"",""27"",""1"",""E100002"""</t>
  </si>
  <si>
    <t>=NL("Link","5802 Value Entry",,"2 Item No.","=1 No.","Filters=",$H$10:$I$13,"Link=",G77)</t>
  </si>
  <si>
    <t>=NL("Link","18 Customer",,"1 No.","=5 Source No.","5900 Service Zone Code",C77)</t>
  </si>
  <si>
    <t>=-NL("Sum","5802 Value Entry","14 Invoiced Quantity","3 Posting Date",K$15,"Filters=",$H$11:$I$13,"2 Item No.",$D77,"Link=",$G77)</t>
  </si>
  <si>
    <t>=IF(K77=0,0,M77/K77)</t>
  </si>
  <si>
    <t>=NL("Sum","5802 Value Entry","17 Sales Amount (Actual)","3 Posting Date",K$15,"Filters=",$H$11:$I$13,"2 Item No.",$D77,"Link=",$G77)</t>
  </si>
  <si>
    <t>=-NL("Sum","5802 Value Entry","14 Invoiced Quantity","3 Posting Date",O$15,"Filters=",$H$11:$I$13,"2 Item No.",$D77,"Link=",$G77)</t>
  </si>
  <si>
    <t>=IF(O77=0,0,Q77/O77)</t>
  </si>
  <si>
    <t>=NL("Sum","5802 Value Entry","17 Sales Amount (Actual)","3 Posting Date",O$15,"Filters=",$H$11:$I$13,"2 Item No.",$D77,"Link=",$G77)</t>
  </si>
  <si>
    <t>=C77</t>
  </si>
  <si>
    <t>="@@"&amp;NF(E78,"1 No.")</t>
  </si>
  <si>
    <t>="""NAV 2015"",""CRONUS JetCorp USA"",""27"",""1"",""E100003"""</t>
  </si>
  <si>
    <t>=NL("Link","5802 Value Entry",,"2 Item No.","=1 No.","Filters=",$H$10:$I$13,"Link=",G78)</t>
  </si>
  <si>
    <t>=NL("Link","18 Customer",,"1 No.","=5 Source No.","5900 Service Zone Code",C78)</t>
  </si>
  <si>
    <t>=-NL("Sum","5802 Value Entry","14 Invoiced Quantity","3 Posting Date",K$15,"Filters=",$H$11:$I$13,"2 Item No.",$D78,"Link=",$G78)</t>
  </si>
  <si>
    <t>=IF(K78=0,0,M78/K78)</t>
  </si>
  <si>
    <t>=NL("Sum","5802 Value Entry","17 Sales Amount (Actual)","3 Posting Date",K$15,"Filters=",$H$11:$I$13,"2 Item No.",$D78,"Link=",$G78)</t>
  </si>
  <si>
    <t>=-NL("Sum","5802 Value Entry","14 Invoiced Quantity","3 Posting Date",O$15,"Filters=",$H$11:$I$13,"2 Item No.",$D78,"Link=",$G78)</t>
  </si>
  <si>
    <t>=IF(O78=0,0,Q78/O78)</t>
  </si>
  <si>
    <t>=NL("Sum","5802 Value Entry","17 Sales Amount (Actual)","3 Posting Date",O$15,"Filters=",$H$11:$I$13,"2 Item No.",$D78,"Link=",$G78)</t>
  </si>
  <si>
    <t>=C78</t>
  </si>
  <si>
    <t>="@@"&amp;NF(E79,"1 No.")</t>
  </si>
  <si>
    <t>="""NAV 2015"",""CRONUS JetCorp USA"",""27"",""1"",""E100004"""</t>
  </si>
  <si>
    <t>=NL("Link","5802 Value Entry",,"2 Item No.","=1 No.","Filters=",$H$10:$I$13,"Link=",G79)</t>
  </si>
  <si>
    <t>=NL("Link","18 Customer",,"1 No.","=5 Source No.","5900 Service Zone Code",C79)</t>
  </si>
  <si>
    <t>=-NL("Sum","5802 Value Entry","14 Invoiced Quantity","3 Posting Date",K$15,"Filters=",$H$11:$I$13,"2 Item No.",$D79,"Link=",$G79)</t>
  </si>
  <si>
    <t>=IF(K79=0,0,M79/K79)</t>
  </si>
  <si>
    <t>=NL("Sum","5802 Value Entry","17 Sales Amount (Actual)","3 Posting Date",K$15,"Filters=",$H$11:$I$13,"2 Item No.",$D79,"Link=",$G79)</t>
  </si>
  <si>
    <t>=-NL("Sum","5802 Value Entry","14 Invoiced Quantity","3 Posting Date",O$15,"Filters=",$H$11:$I$13,"2 Item No.",$D79,"Link=",$G79)</t>
  </si>
  <si>
    <t>=IF(O79=0,0,Q79/O79)</t>
  </si>
  <si>
    <t>=NL("Sum","5802 Value Entry","17 Sales Amount (Actual)","3 Posting Date",O$15,"Filters=",$H$11:$I$13,"2 Item No.",$D79,"Link=",$G79)</t>
  </si>
  <si>
    <t>=C79</t>
  </si>
  <si>
    <t>="@@"&amp;NF(E80,"1 No.")</t>
  </si>
  <si>
    <t>="""NAV 2015"",""CRONUS JetCorp USA"",""27"",""1"",""E100005"""</t>
  </si>
  <si>
    <t>=NL("Link","5802 Value Entry",,"2 Item No.","=1 No.","Filters=",$H$10:$I$13,"Link=",G80)</t>
  </si>
  <si>
    <t>=NL("Link","18 Customer",,"1 No.","=5 Source No.","5900 Service Zone Code",C80)</t>
  </si>
  <si>
    <t>=-NL("Sum","5802 Value Entry","14 Invoiced Quantity","3 Posting Date",K$15,"Filters=",$H$11:$I$13,"2 Item No.",$D80,"Link=",$G80)</t>
  </si>
  <si>
    <t>=IF(K80=0,0,M80/K80)</t>
  </si>
  <si>
    <t>=NL("Sum","5802 Value Entry","17 Sales Amount (Actual)","3 Posting Date",K$15,"Filters=",$H$11:$I$13,"2 Item No.",$D80,"Link=",$G80)</t>
  </si>
  <si>
    <t>=-NL("Sum","5802 Value Entry","14 Invoiced Quantity","3 Posting Date",O$15,"Filters=",$H$11:$I$13,"2 Item No.",$D80,"Link=",$G80)</t>
  </si>
  <si>
    <t>=IF(O80=0,0,Q80/O80)</t>
  </si>
  <si>
    <t>=NL("Sum","5802 Value Entry","17 Sales Amount (Actual)","3 Posting Date",O$15,"Filters=",$H$11:$I$13,"2 Item No.",$D80,"Link=",$G80)</t>
  </si>
  <si>
    <t>=C80</t>
  </si>
  <si>
    <t>="@@"&amp;NF(E81,"1 No.")</t>
  </si>
  <si>
    <t>="""NAV 2015"",""CRONUS JetCorp USA"",""27"",""1"",""E100006"""</t>
  </si>
  <si>
    <t>=NL("Link","5802 Value Entry",,"2 Item No.","=1 No.","Filters=",$H$10:$I$13,"Link=",G81)</t>
  </si>
  <si>
    <t>=NL("Link","18 Customer",,"1 No.","=5 Source No.","5900 Service Zone Code",C81)</t>
  </si>
  <si>
    <t>=-NL("Sum","5802 Value Entry","14 Invoiced Quantity","3 Posting Date",K$15,"Filters=",$H$11:$I$13,"2 Item No.",$D81,"Link=",$G81)</t>
  </si>
  <si>
    <t>=IF(K81=0,0,M81/K81)</t>
  </si>
  <si>
    <t>=NL("Sum","5802 Value Entry","17 Sales Amount (Actual)","3 Posting Date",K$15,"Filters=",$H$11:$I$13,"2 Item No.",$D81,"Link=",$G81)</t>
  </si>
  <si>
    <t>=-NL("Sum","5802 Value Entry","14 Invoiced Quantity","3 Posting Date",O$15,"Filters=",$H$11:$I$13,"2 Item No.",$D81,"Link=",$G81)</t>
  </si>
  <si>
    <t>=IF(O81=0,0,Q81/O81)</t>
  </si>
  <si>
    <t>=NL("Sum","5802 Value Entry","17 Sales Amount (Actual)","3 Posting Date",O$15,"Filters=",$H$11:$I$13,"2 Item No.",$D81,"Link=",$G81)</t>
  </si>
  <si>
    <t>=C81</t>
  </si>
  <si>
    <t>="@@"&amp;NF(E82,"1 No.")</t>
  </si>
  <si>
    <t>="""NAV 2015"",""CRONUS JetCorp USA"",""27"",""1"",""E100007"""</t>
  </si>
  <si>
    <t>=NL("Link","5802 Value Entry",,"2 Item No.","=1 No.","Filters=",$H$10:$I$13,"Link=",G82)</t>
  </si>
  <si>
    <t>=NL("Link","18 Customer",,"1 No.","=5 Source No.","5900 Service Zone Code",C82)</t>
  </si>
  <si>
    <t>=-NL("Sum","5802 Value Entry","14 Invoiced Quantity","3 Posting Date",K$15,"Filters=",$H$11:$I$13,"2 Item No.",$D82,"Link=",$G82)</t>
  </si>
  <si>
    <t>=IF(K82=0,0,M82/K82)</t>
  </si>
  <si>
    <t>=NL("Sum","5802 Value Entry","17 Sales Amount (Actual)","3 Posting Date",K$15,"Filters=",$H$11:$I$13,"2 Item No.",$D82,"Link=",$G82)</t>
  </si>
  <si>
    <t>=-NL("Sum","5802 Value Entry","14 Invoiced Quantity","3 Posting Date",O$15,"Filters=",$H$11:$I$13,"2 Item No.",$D82,"Link=",$G82)</t>
  </si>
  <si>
    <t>=IF(O82=0,0,Q82/O82)</t>
  </si>
  <si>
    <t>=NL("Sum","5802 Value Entry","17 Sales Amount (Actual)","3 Posting Date",O$15,"Filters=",$H$11:$I$13,"2 Item No.",$D82,"Link=",$G82)</t>
  </si>
  <si>
    <t>=C82</t>
  </si>
  <si>
    <t>="@@"&amp;NF(E83,"1 No.")</t>
  </si>
  <si>
    <t>="""NAV 2015"",""CRONUS JetCorp USA"",""27"",""1"",""E100008"""</t>
  </si>
  <si>
    <t>=NL("Link","5802 Value Entry",,"2 Item No.","=1 No.","Filters=",$H$10:$I$13,"Link=",G83)</t>
  </si>
  <si>
    <t>=NL("Link","18 Customer",,"1 No.","=5 Source No.","5900 Service Zone Code",C83)</t>
  </si>
  <si>
    <t>=-NL("Sum","5802 Value Entry","14 Invoiced Quantity","3 Posting Date",K$15,"Filters=",$H$11:$I$13,"2 Item No.",$D83,"Link=",$G83)</t>
  </si>
  <si>
    <t>=IF(K83=0,0,M83/K83)</t>
  </si>
  <si>
    <t>=NL("Sum","5802 Value Entry","17 Sales Amount (Actual)","3 Posting Date",K$15,"Filters=",$H$11:$I$13,"2 Item No.",$D83,"Link=",$G83)</t>
  </si>
  <si>
    <t>=-NL("Sum","5802 Value Entry","14 Invoiced Quantity","3 Posting Date",O$15,"Filters=",$H$11:$I$13,"2 Item No.",$D83,"Link=",$G83)</t>
  </si>
  <si>
    <t>=IF(O83=0,0,Q83/O83)</t>
  </si>
  <si>
    <t>=NL("Sum","5802 Value Entry","17 Sales Amount (Actual)","3 Posting Date",O$15,"Filters=",$H$11:$I$13,"2 Item No.",$D83,"Link=",$G83)</t>
  </si>
  <si>
    <t>=C83</t>
  </si>
  <si>
    <t>="@@"&amp;NF(E84,"1 No.")</t>
  </si>
  <si>
    <t>="""NAV 2015"",""CRONUS JetCorp USA"",""27"",""1"",""E100009"""</t>
  </si>
  <si>
    <t>=NL("Link","5802 Value Entry",,"2 Item No.","=1 No.","Filters=",$H$10:$I$13,"Link=",G84)</t>
  </si>
  <si>
    <t>=NL("Link","18 Customer",,"1 No.","=5 Source No.","5900 Service Zone Code",C84)</t>
  </si>
  <si>
    <t>=-NL("Sum","5802 Value Entry","14 Invoiced Quantity","3 Posting Date",K$15,"Filters=",$H$11:$I$13,"2 Item No.",$D84,"Link=",$G84)</t>
  </si>
  <si>
    <t>=IF(K84=0,0,M84/K84)</t>
  </si>
  <si>
    <t>=NL("Sum","5802 Value Entry","17 Sales Amount (Actual)","3 Posting Date",K$15,"Filters=",$H$11:$I$13,"2 Item No.",$D84,"Link=",$G84)</t>
  </si>
  <si>
    <t>=-NL("Sum","5802 Value Entry","14 Invoiced Quantity","3 Posting Date",O$15,"Filters=",$H$11:$I$13,"2 Item No.",$D84,"Link=",$G84)</t>
  </si>
  <si>
    <t>=IF(O84=0,0,Q84/O84)</t>
  </si>
  <si>
    <t>=NL("Sum","5802 Value Entry","17 Sales Amount (Actual)","3 Posting Date",O$15,"Filters=",$H$11:$I$13,"2 Item No.",$D84,"Link=",$G84)</t>
  </si>
  <si>
    <t>=C84</t>
  </si>
  <si>
    <t>="@@"&amp;NF(E85,"1 No.")</t>
  </si>
  <si>
    <t>="""NAV 2015"",""CRONUS JetCorp USA"",""27"",""1"",""E100010"""</t>
  </si>
  <si>
    <t>=NL("Link","5802 Value Entry",,"2 Item No.","=1 No.","Filters=",$H$10:$I$13,"Link=",G85)</t>
  </si>
  <si>
    <t>=NL("Link","18 Customer",,"1 No.","=5 Source No.","5900 Service Zone Code",C85)</t>
  </si>
  <si>
    <t>=-NL("Sum","5802 Value Entry","14 Invoiced Quantity","3 Posting Date",K$15,"Filters=",$H$11:$I$13,"2 Item No.",$D85,"Link=",$G85)</t>
  </si>
  <si>
    <t>=IF(K85=0,0,M85/K85)</t>
  </si>
  <si>
    <t>=NL("Sum","5802 Value Entry","17 Sales Amount (Actual)","3 Posting Date",K$15,"Filters=",$H$11:$I$13,"2 Item No.",$D85,"Link=",$G85)</t>
  </si>
  <si>
    <t>=-NL("Sum","5802 Value Entry","14 Invoiced Quantity","3 Posting Date",O$15,"Filters=",$H$11:$I$13,"2 Item No.",$D85,"Link=",$G85)</t>
  </si>
  <si>
    <t>=IF(O85=0,0,Q85/O85)</t>
  </si>
  <si>
    <t>=NL("Sum","5802 Value Entry","17 Sales Amount (Actual)","3 Posting Date",O$15,"Filters=",$H$11:$I$13,"2 Item No.",$D85,"Link=",$G85)</t>
  </si>
  <si>
    <t>=C85</t>
  </si>
  <si>
    <t>="@@"&amp;NF(E86,"1 No.")</t>
  </si>
  <si>
    <t>="""NAV 2015"",""CRONUS JetCorp USA"",""27"",""1"",""E100011"""</t>
  </si>
  <si>
    <t>=NL("Link","5802 Value Entry",,"2 Item No.","=1 No.","Filters=",$H$10:$I$13,"Link=",G86)</t>
  </si>
  <si>
    <t>=NL("Link","18 Customer",,"1 No.","=5 Source No.","5900 Service Zone Code",C86)</t>
  </si>
  <si>
    <t>=-NL("Sum","5802 Value Entry","14 Invoiced Quantity","3 Posting Date",K$15,"Filters=",$H$11:$I$13,"2 Item No.",$D86,"Link=",$G86)</t>
  </si>
  <si>
    <t>=IF(K86=0,0,M86/K86)</t>
  </si>
  <si>
    <t>=NL("Sum","5802 Value Entry","17 Sales Amount (Actual)","3 Posting Date",K$15,"Filters=",$H$11:$I$13,"2 Item No.",$D86,"Link=",$G86)</t>
  </si>
  <si>
    <t>=-NL("Sum","5802 Value Entry","14 Invoiced Quantity","3 Posting Date",O$15,"Filters=",$H$11:$I$13,"2 Item No.",$D86,"Link=",$G86)</t>
  </si>
  <si>
    <t>=IF(O86=0,0,Q86/O86)</t>
  </si>
  <si>
    <t>=NL("Sum","5802 Value Entry","17 Sales Amount (Actual)","3 Posting Date",O$15,"Filters=",$H$11:$I$13,"2 Item No.",$D86,"Link=",$G86)</t>
  </si>
  <si>
    <t>=C86</t>
  </si>
  <si>
    <t>="@@"&amp;NF(E87,"1 No.")</t>
  </si>
  <si>
    <t>="""NAV 2015"",""CRONUS JetCorp USA"",""27"",""1"",""E100012"""</t>
  </si>
  <si>
    <t>=NL("Link","5802 Value Entry",,"2 Item No.","=1 No.","Filters=",$H$10:$I$13,"Link=",G87)</t>
  </si>
  <si>
    <t>=NL("Link","18 Customer",,"1 No.","=5 Source No.","5900 Service Zone Code",C87)</t>
  </si>
  <si>
    <t>=-NL("Sum","5802 Value Entry","14 Invoiced Quantity","3 Posting Date",K$15,"Filters=",$H$11:$I$13,"2 Item No.",$D87,"Link=",$G87)</t>
  </si>
  <si>
    <t>=IF(K87=0,0,M87/K87)</t>
  </si>
  <si>
    <t>=NL("Sum","5802 Value Entry","17 Sales Amount (Actual)","3 Posting Date",K$15,"Filters=",$H$11:$I$13,"2 Item No.",$D87,"Link=",$G87)</t>
  </si>
  <si>
    <t>=-NL("Sum","5802 Value Entry","14 Invoiced Quantity","3 Posting Date",O$15,"Filters=",$H$11:$I$13,"2 Item No.",$D87,"Link=",$G87)</t>
  </si>
  <si>
    <t>=IF(O87=0,0,Q87/O87)</t>
  </si>
  <si>
    <t>=NL("Sum","5802 Value Entry","17 Sales Amount (Actual)","3 Posting Date",O$15,"Filters=",$H$11:$I$13,"2 Item No.",$D87,"Link=",$G87)</t>
  </si>
  <si>
    <t>=C87</t>
  </si>
  <si>
    <t>="@@"&amp;NF(E88,"1 No.")</t>
  </si>
  <si>
    <t>="""NAV 2015"",""CRONUS JetCorp USA"",""27"",""1"",""E100013"""</t>
  </si>
  <si>
    <t>=NL("Link","5802 Value Entry",,"2 Item No.","=1 No.","Filters=",$H$10:$I$13,"Link=",G88)</t>
  </si>
  <si>
    <t>=NL("Link","18 Customer",,"1 No.","=5 Source No.","5900 Service Zone Code",C88)</t>
  </si>
  <si>
    <t>=-NL("Sum","5802 Value Entry","14 Invoiced Quantity","3 Posting Date",K$15,"Filters=",$H$11:$I$13,"2 Item No.",$D88,"Link=",$G88)</t>
  </si>
  <si>
    <t>=IF(K88=0,0,M88/K88)</t>
  </si>
  <si>
    <t>=NL("Sum","5802 Value Entry","17 Sales Amount (Actual)","3 Posting Date",K$15,"Filters=",$H$11:$I$13,"2 Item No.",$D88,"Link=",$G88)</t>
  </si>
  <si>
    <t>=-NL("Sum","5802 Value Entry","14 Invoiced Quantity","3 Posting Date",O$15,"Filters=",$H$11:$I$13,"2 Item No.",$D88,"Link=",$G88)</t>
  </si>
  <si>
    <t>=IF(O88=0,0,Q88/O88)</t>
  </si>
  <si>
    <t>=NL("Sum","5802 Value Entry","17 Sales Amount (Actual)","3 Posting Date",O$15,"Filters=",$H$11:$I$13,"2 Item No.",$D88,"Link=",$G88)</t>
  </si>
  <si>
    <t>=C88</t>
  </si>
  <si>
    <t>="@@"&amp;NF(E89,"1 No.")</t>
  </si>
  <si>
    <t>="""NAV 2015"",""CRONUS JetCorp USA"",""27"",""1"",""E100014"""</t>
  </si>
  <si>
    <t>=NL("Link","5802 Value Entry",,"2 Item No.","=1 No.","Filters=",$H$10:$I$13,"Link=",G89)</t>
  </si>
  <si>
    <t>=NL("Link","18 Customer",,"1 No.","=5 Source No.","5900 Service Zone Code",C89)</t>
  </si>
  <si>
    <t>=-NL("Sum","5802 Value Entry","14 Invoiced Quantity","3 Posting Date",K$15,"Filters=",$H$11:$I$13,"2 Item No.",$D89,"Link=",$G89)</t>
  </si>
  <si>
    <t>=IF(K89=0,0,M89/K89)</t>
  </si>
  <si>
    <t>=NL("Sum","5802 Value Entry","17 Sales Amount (Actual)","3 Posting Date",K$15,"Filters=",$H$11:$I$13,"2 Item No.",$D89,"Link=",$G89)</t>
  </si>
  <si>
    <t>=-NL("Sum","5802 Value Entry","14 Invoiced Quantity","3 Posting Date",O$15,"Filters=",$H$11:$I$13,"2 Item No.",$D89,"Link=",$G89)</t>
  </si>
  <si>
    <t>=IF(O89=0,0,Q89/O89)</t>
  </si>
  <si>
    <t>=NL("Sum","5802 Value Entry","17 Sales Amount (Actual)","3 Posting Date",O$15,"Filters=",$H$11:$I$13,"2 Item No.",$D89,"Link=",$G89)</t>
  </si>
  <si>
    <t>=C89</t>
  </si>
  <si>
    <t>="@@"&amp;NF(E90,"1 No.")</t>
  </si>
  <si>
    <t>="""NAV 2015"",""CRONUS JetCorp USA"",""27"",""1"",""E100015"""</t>
  </si>
  <si>
    <t>=NL("Link","5802 Value Entry",,"2 Item No.","=1 No.","Filters=",$H$10:$I$13,"Link=",G90)</t>
  </si>
  <si>
    <t>=NL("Link","18 Customer",,"1 No.","=5 Source No.","5900 Service Zone Code",C90)</t>
  </si>
  <si>
    <t>=-NL("Sum","5802 Value Entry","14 Invoiced Quantity","3 Posting Date",K$15,"Filters=",$H$11:$I$13,"2 Item No.",$D90,"Link=",$G90)</t>
  </si>
  <si>
    <t>=IF(K90=0,0,M90/K90)</t>
  </si>
  <si>
    <t>=NL("Sum","5802 Value Entry","17 Sales Amount (Actual)","3 Posting Date",K$15,"Filters=",$H$11:$I$13,"2 Item No.",$D90,"Link=",$G90)</t>
  </si>
  <si>
    <t>=-NL("Sum","5802 Value Entry","14 Invoiced Quantity","3 Posting Date",O$15,"Filters=",$H$11:$I$13,"2 Item No.",$D90,"Link=",$G90)</t>
  </si>
  <si>
    <t>=IF(O90=0,0,Q90/O90)</t>
  </si>
  <si>
    <t>=NL("Sum","5802 Value Entry","17 Sales Amount (Actual)","3 Posting Date",O$15,"Filters=",$H$11:$I$13,"2 Item No.",$D90,"Link=",$G90)</t>
  </si>
  <si>
    <t>=C90</t>
  </si>
  <si>
    <t>="@@"&amp;NF(E91,"1 No.")</t>
  </si>
  <si>
    <t>="""NAV 2015"",""CRONUS JetCorp USA"",""27"",""1"",""E100016"""</t>
  </si>
  <si>
    <t>=NL("Link","5802 Value Entry",,"2 Item No.","=1 No.","Filters=",$H$10:$I$13,"Link=",G91)</t>
  </si>
  <si>
    <t>=NL("Link","18 Customer",,"1 No.","=5 Source No.","5900 Service Zone Code",C91)</t>
  </si>
  <si>
    <t>=-NL("Sum","5802 Value Entry","14 Invoiced Quantity","3 Posting Date",K$15,"Filters=",$H$11:$I$13,"2 Item No.",$D91,"Link=",$G91)</t>
  </si>
  <si>
    <t>=IF(K91=0,0,M91/K91)</t>
  </si>
  <si>
    <t>=NL("Sum","5802 Value Entry","17 Sales Amount (Actual)","3 Posting Date",K$15,"Filters=",$H$11:$I$13,"2 Item No.",$D91,"Link=",$G91)</t>
  </si>
  <si>
    <t>=-NL("Sum","5802 Value Entry","14 Invoiced Quantity","3 Posting Date",O$15,"Filters=",$H$11:$I$13,"2 Item No.",$D91,"Link=",$G91)</t>
  </si>
  <si>
    <t>=IF(O91=0,0,Q91/O91)</t>
  </si>
  <si>
    <t>=NL("Sum","5802 Value Entry","17 Sales Amount (Actual)","3 Posting Date",O$15,"Filters=",$H$11:$I$13,"2 Item No.",$D91,"Link=",$G91)</t>
  </si>
  <si>
    <t>=C91</t>
  </si>
  <si>
    <t>="@@"&amp;NF(E92,"1 No.")</t>
  </si>
  <si>
    <t>="""NAV 2015"",""CRONUS JetCorp USA"",""27"",""1"",""E100017"""</t>
  </si>
  <si>
    <t>=NL("Link","5802 Value Entry",,"2 Item No.","=1 No.","Filters=",$H$10:$I$13,"Link=",G92)</t>
  </si>
  <si>
    <t>=NL("Link","18 Customer",,"1 No.","=5 Source No.","5900 Service Zone Code",C92)</t>
  </si>
  <si>
    <t>=-NL("Sum","5802 Value Entry","14 Invoiced Quantity","3 Posting Date",K$15,"Filters=",$H$11:$I$13,"2 Item No.",$D92,"Link=",$G92)</t>
  </si>
  <si>
    <t>=IF(K92=0,0,M92/K92)</t>
  </si>
  <si>
    <t>=NL("Sum","5802 Value Entry","17 Sales Amount (Actual)","3 Posting Date",K$15,"Filters=",$H$11:$I$13,"2 Item No.",$D92,"Link=",$G92)</t>
  </si>
  <si>
    <t>=-NL("Sum","5802 Value Entry","14 Invoiced Quantity","3 Posting Date",O$15,"Filters=",$H$11:$I$13,"2 Item No.",$D92,"Link=",$G92)</t>
  </si>
  <si>
    <t>=IF(O92=0,0,Q92/O92)</t>
  </si>
  <si>
    <t>=NL("Sum","5802 Value Entry","17 Sales Amount (Actual)","3 Posting Date",O$15,"Filters=",$H$11:$I$13,"2 Item No.",$D92,"Link=",$G92)</t>
  </si>
  <si>
    <t>=C92</t>
  </si>
  <si>
    <t>="@@"&amp;NF(E93,"1 No.")</t>
  </si>
  <si>
    <t>="""NAV 2015"",""CRONUS JetCorp USA"",""27"",""1"",""E100018"""</t>
  </si>
  <si>
    <t>=NL("Link","5802 Value Entry",,"2 Item No.","=1 No.","Filters=",$H$10:$I$13,"Link=",G93)</t>
  </si>
  <si>
    <t>=NL("Link","18 Customer",,"1 No.","=5 Source No.","5900 Service Zone Code",C93)</t>
  </si>
  <si>
    <t>=-NL("Sum","5802 Value Entry","14 Invoiced Quantity","3 Posting Date",K$15,"Filters=",$H$11:$I$13,"2 Item No.",$D93,"Link=",$G93)</t>
  </si>
  <si>
    <t>=IF(K93=0,0,M93/K93)</t>
  </si>
  <si>
    <t>=NL("Sum","5802 Value Entry","17 Sales Amount (Actual)","3 Posting Date",K$15,"Filters=",$H$11:$I$13,"2 Item No.",$D93,"Link=",$G93)</t>
  </si>
  <si>
    <t>=-NL("Sum","5802 Value Entry","14 Invoiced Quantity","3 Posting Date",O$15,"Filters=",$H$11:$I$13,"2 Item No.",$D93,"Link=",$G93)</t>
  </si>
  <si>
    <t>=IF(O93=0,0,Q93/O93)</t>
  </si>
  <si>
    <t>=NL("Sum","5802 Value Entry","17 Sales Amount (Actual)","3 Posting Date",O$15,"Filters=",$H$11:$I$13,"2 Item No.",$D93,"Link=",$G93)</t>
  </si>
  <si>
    <t>=C93</t>
  </si>
  <si>
    <t>="@@"&amp;NF(E94,"1 No.")</t>
  </si>
  <si>
    <t>="""NAV 2015"",""CRONUS JetCorp USA"",""27"",""1"",""E100019"""</t>
  </si>
  <si>
    <t>=NL("Link","5802 Value Entry",,"2 Item No.","=1 No.","Filters=",$H$10:$I$13,"Link=",G94)</t>
  </si>
  <si>
    <t>=NL("Link","18 Customer",,"1 No.","=5 Source No.","5900 Service Zone Code",C94)</t>
  </si>
  <si>
    <t>=-NL("Sum","5802 Value Entry","14 Invoiced Quantity","3 Posting Date",K$15,"Filters=",$H$11:$I$13,"2 Item No.",$D94,"Link=",$G94)</t>
  </si>
  <si>
    <t>=IF(K94=0,0,M94/K94)</t>
  </si>
  <si>
    <t>=NL("Sum","5802 Value Entry","17 Sales Amount (Actual)","3 Posting Date",K$15,"Filters=",$H$11:$I$13,"2 Item No.",$D94,"Link=",$G94)</t>
  </si>
  <si>
    <t>=-NL("Sum","5802 Value Entry","14 Invoiced Quantity","3 Posting Date",O$15,"Filters=",$H$11:$I$13,"2 Item No.",$D94,"Link=",$G94)</t>
  </si>
  <si>
    <t>=IF(O94=0,0,Q94/O94)</t>
  </si>
  <si>
    <t>=NL("Sum","5802 Value Entry","17 Sales Amount (Actual)","3 Posting Date",O$15,"Filters=",$H$11:$I$13,"2 Item No.",$D94,"Link=",$G94)</t>
  </si>
  <si>
    <t>=C94</t>
  </si>
  <si>
    <t>="@@"&amp;NF(E95,"1 No.")</t>
  </si>
  <si>
    <t>="""NAV 2015"",""CRONUS JetCorp USA"",""27"",""1"",""E100020"""</t>
  </si>
  <si>
    <t>=NL("Link","5802 Value Entry",,"2 Item No.","=1 No.","Filters=",$H$10:$I$13,"Link=",G95)</t>
  </si>
  <si>
    <t>=NL("Link","18 Customer",,"1 No.","=5 Source No.","5900 Service Zone Code",C95)</t>
  </si>
  <si>
    <t>=-NL("Sum","5802 Value Entry","14 Invoiced Quantity","3 Posting Date",K$15,"Filters=",$H$11:$I$13,"2 Item No.",$D95,"Link=",$G95)</t>
  </si>
  <si>
    <t>=IF(K95=0,0,M95/K95)</t>
  </si>
  <si>
    <t>=NL("Sum","5802 Value Entry","17 Sales Amount (Actual)","3 Posting Date",K$15,"Filters=",$H$11:$I$13,"2 Item No.",$D95,"Link=",$G95)</t>
  </si>
  <si>
    <t>=-NL("Sum","5802 Value Entry","14 Invoiced Quantity","3 Posting Date",O$15,"Filters=",$H$11:$I$13,"2 Item No.",$D95,"Link=",$G95)</t>
  </si>
  <si>
    <t>=IF(O95=0,0,Q95/O95)</t>
  </si>
  <si>
    <t>=NL("Sum","5802 Value Entry","17 Sales Amount (Actual)","3 Posting Date",O$15,"Filters=",$H$11:$I$13,"2 Item No.",$D95,"Link=",$G95)</t>
  </si>
  <si>
    <t>=C95</t>
  </si>
  <si>
    <t>="@@"&amp;NF(E96,"1 No.")</t>
  </si>
  <si>
    <t>="""NAV 2015"",""CRONUS JetCorp USA"",""27"",""1"",""E100021"""</t>
  </si>
  <si>
    <t>=NL("Link","5802 Value Entry",,"2 Item No.","=1 No.","Filters=",$H$10:$I$13,"Link=",G96)</t>
  </si>
  <si>
    <t>=NL("Link","18 Customer",,"1 No.","=5 Source No.","5900 Service Zone Code",C96)</t>
  </si>
  <si>
    <t>=-NL("Sum","5802 Value Entry","14 Invoiced Quantity","3 Posting Date",K$15,"Filters=",$H$11:$I$13,"2 Item No.",$D96,"Link=",$G96)</t>
  </si>
  <si>
    <t>=IF(K96=0,0,M96/K96)</t>
  </si>
  <si>
    <t>=NL("Sum","5802 Value Entry","17 Sales Amount (Actual)","3 Posting Date",K$15,"Filters=",$H$11:$I$13,"2 Item No.",$D96,"Link=",$G96)</t>
  </si>
  <si>
    <t>=-NL("Sum","5802 Value Entry","14 Invoiced Quantity","3 Posting Date",O$15,"Filters=",$H$11:$I$13,"2 Item No.",$D96,"Link=",$G96)</t>
  </si>
  <si>
    <t>=IF(O96=0,0,Q96/O96)</t>
  </si>
  <si>
    <t>=NL("Sum","5802 Value Entry","17 Sales Amount (Actual)","3 Posting Date",O$15,"Filters=",$H$11:$I$13,"2 Item No.",$D96,"Link=",$G96)</t>
  </si>
  <si>
    <t>=C96</t>
  </si>
  <si>
    <t>="@@"&amp;NF(E97,"1 No.")</t>
  </si>
  <si>
    <t>="""NAV 2015"",""CRONUS JetCorp USA"",""27"",""1"",""E100022"""</t>
  </si>
  <si>
    <t>=NL("Link","5802 Value Entry",,"2 Item No.","=1 No.","Filters=",$H$10:$I$13,"Link=",G97)</t>
  </si>
  <si>
    <t>=NL("Link","18 Customer",,"1 No.","=5 Source No.","5900 Service Zone Code",C97)</t>
  </si>
  <si>
    <t>=-NL("Sum","5802 Value Entry","14 Invoiced Quantity","3 Posting Date",K$15,"Filters=",$H$11:$I$13,"2 Item No.",$D97,"Link=",$G97)</t>
  </si>
  <si>
    <t>=IF(K97=0,0,M97/K97)</t>
  </si>
  <si>
    <t>=NL("Sum","5802 Value Entry","17 Sales Amount (Actual)","3 Posting Date",K$15,"Filters=",$H$11:$I$13,"2 Item No.",$D97,"Link=",$G97)</t>
  </si>
  <si>
    <t>=-NL("Sum","5802 Value Entry","14 Invoiced Quantity","3 Posting Date",O$15,"Filters=",$H$11:$I$13,"2 Item No.",$D97,"Link=",$G97)</t>
  </si>
  <si>
    <t>=IF(O97=0,0,Q97/O97)</t>
  </si>
  <si>
    <t>=NL("Sum","5802 Value Entry","17 Sales Amount (Actual)","3 Posting Date",O$15,"Filters=",$H$11:$I$13,"2 Item No.",$D97,"Link=",$G97)</t>
  </si>
  <si>
    <t>=C97</t>
  </si>
  <si>
    <t>="@@"&amp;NF(E98,"1 No.")</t>
  </si>
  <si>
    <t>="""NAV 2015"",""CRONUS JetCorp USA"",""27"",""1"",""E100023"""</t>
  </si>
  <si>
    <t>=NL("Link","5802 Value Entry",,"2 Item No.","=1 No.","Filters=",$H$10:$I$13,"Link=",G98)</t>
  </si>
  <si>
    <t>=NL("Link","18 Customer",,"1 No.","=5 Source No.","5900 Service Zone Code",C98)</t>
  </si>
  <si>
    <t>=-NL("Sum","5802 Value Entry","14 Invoiced Quantity","3 Posting Date",K$15,"Filters=",$H$11:$I$13,"2 Item No.",$D98,"Link=",$G98)</t>
  </si>
  <si>
    <t>=IF(K98=0,0,M98/K98)</t>
  </si>
  <si>
    <t>=NL("Sum","5802 Value Entry","17 Sales Amount (Actual)","3 Posting Date",K$15,"Filters=",$H$11:$I$13,"2 Item No.",$D98,"Link=",$G98)</t>
  </si>
  <si>
    <t>=-NL("Sum","5802 Value Entry","14 Invoiced Quantity","3 Posting Date",O$15,"Filters=",$H$11:$I$13,"2 Item No.",$D98,"Link=",$G98)</t>
  </si>
  <si>
    <t>=IF(O98=0,0,Q98/O98)</t>
  </si>
  <si>
    <t>=NL("Sum","5802 Value Entry","17 Sales Amount (Actual)","3 Posting Date",O$15,"Filters=",$H$11:$I$13,"2 Item No.",$D98,"Link=",$G98)</t>
  </si>
  <si>
    <t>=C98</t>
  </si>
  <si>
    <t>="@@"&amp;NF(E99,"1 No.")</t>
  </si>
  <si>
    <t>="""NAV 2015"",""CRONUS JetCorp USA"",""27"",""1"",""E100024"""</t>
  </si>
  <si>
    <t>=NL("Link","5802 Value Entry",,"2 Item No.","=1 No.","Filters=",$H$10:$I$13,"Link=",G99)</t>
  </si>
  <si>
    <t>=NL("Link","18 Customer",,"1 No.","=5 Source No.","5900 Service Zone Code",C99)</t>
  </si>
  <si>
    <t>=-NL("Sum","5802 Value Entry","14 Invoiced Quantity","3 Posting Date",K$15,"Filters=",$H$11:$I$13,"2 Item No.",$D99,"Link=",$G99)</t>
  </si>
  <si>
    <t>=IF(K99=0,0,M99/K99)</t>
  </si>
  <si>
    <t>=NL("Sum","5802 Value Entry","17 Sales Amount (Actual)","3 Posting Date",K$15,"Filters=",$H$11:$I$13,"2 Item No.",$D99,"Link=",$G99)</t>
  </si>
  <si>
    <t>=-NL("Sum","5802 Value Entry","14 Invoiced Quantity","3 Posting Date",O$15,"Filters=",$H$11:$I$13,"2 Item No.",$D99,"Link=",$G99)</t>
  </si>
  <si>
    <t>=IF(O99=0,0,Q99/O99)</t>
  </si>
  <si>
    <t>=NL("Sum","5802 Value Entry","17 Sales Amount (Actual)","3 Posting Date",O$15,"Filters=",$H$11:$I$13,"2 Item No.",$D99,"Link=",$G99)</t>
  </si>
  <si>
    <t>=C99</t>
  </si>
  <si>
    <t>="@@"&amp;NF(E100,"1 No.")</t>
  </si>
  <si>
    <t>="""NAV 2015"",""CRONUS JetCorp USA"",""27"",""1"",""E100025"""</t>
  </si>
  <si>
    <t>=NL("Link","5802 Value Entry",,"2 Item No.","=1 No.","Filters=",$H$10:$I$13,"Link=",G100)</t>
  </si>
  <si>
    <t>=NL("Link","18 Customer",,"1 No.","=5 Source No.","5900 Service Zone Code",C100)</t>
  </si>
  <si>
    <t>=-NL("Sum","5802 Value Entry","14 Invoiced Quantity","3 Posting Date",K$15,"Filters=",$H$11:$I$13,"2 Item No.",$D100,"Link=",$G100)</t>
  </si>
  <si>
    <t>=IF(K100=0,0,M100/K100)</t>
  </si>
  <si>
    <t>=NL("Sum","5802 Value Entry","17 Sales Amount (Actual)","3 Posting Date",K$15,"Filters=",$H$11:$I$13,"2 Item No.",$D100,"Link=",$G100)</t>
  </si>
  <si>
    <t>=-NL("Sum","5802 Value Entry","14 Invoiced Quantity","3 Posting Date",O$15,"Filters=",$H$11:$I$13,"2 Item No.",$D100,"Link=",$G100)</t>
  </si>
  <si>
    <t>=IF(O100=0,0,Q100/O100)</t>
  </si>
  <si>
    <t>=NL("Sum","5802 Value Entry","17 Sales Amount (Actual)","3 Posting Date",O$15,"Filters=",$H$11:$I$13,"2 Item No.",$D100,"Link=",$G100)</t>
  </si>
  <si>
    <t>=C100</t>
  </si>
  <si>
    <t>="@@"&amp;NF(E101,"1 No.")</t>
  </si>
  <si>
    <t>="""NAV 2015"",""CRONUS JetCorp USA"",""27"",""1"",""E100026"""</t>
  </si>
  <si>
    <t>=NL("Link","5802 Value Entry",,"2 Item No.","=1 No.","Filters=",$H$10:$I$13,"Link=",G101)</t>
  </si>
  <si>
    <t>=NL("Link","18 Customer",,"1 No.","=5 Source No.","5900 Service Zone Code",C101)</t>
  </si>
  <si>
    <t>=-NL("Sum","5802 Value Entry","14 Invoiced Quantity","3 Posting Date",K$15,"Filters=",$H$11:$I$13,"2 Item No.",$D101,"Link=",$G101)</t>
  </si>
  <si>
    <t>=IF(K101=0,0,M101/K101)</t>
  </si>
  <si>
    <t>=NL("Sum","5802 Value Entry","17 Sales Amount (Actual)","3 Posting Date",K$15,"Filters=",$H$11:$I$13,"2 Item No.",$D101,"Link=",$G101)</t>
  </si>
  <si>
    <t>=-NL("Sum","5802 Value Entry","14 Invoiced Quantity","3 Posting Date",O$15,"Filters=",$H$11:$I$13,"2 Item No.",$D101,"Link=",$G101)</t>
  </si>
  <si>
    <t>=IF(O101=0,0,Q101/O101)</t>
  </si>
  <si>
    <t>=NL("Sum","5802 Value Entry","17 Sales Amount (Actual)","3 Posting Date",O$15,"Filters=",$H$11:$I$13,"2 Item No.",$D101,"Link=",$G101)</t>
  </si>
  <si>
    <t>=C101</t>
  </si>
  <si>
    <t>="@@"&amp;NF(E102,"1 No.")</t>
  </si>
  <si>
    <t>="""NAV 2015"",""CRONUS JetCorp USA"",""27"",""1"",""E100027"""</t>
  </si>
  <si>
    <t>=NL("Link","5802 Value Entry",,"2 Item No.","=1 No.","Filters=",$H$10:$I$13,"Link=",G102)</t>
  </si>
  <si>
    <t>=NL("Link","18 Customer",,"1 No.","=5 Source No.","5900 Service Zone Code",C102)</t>
  </si>
  <si>
    <t>=-NL("Sum","5802 Value Entry","14 Invoiced Quantity","3 Posting Date",K$15,"Filters=",$H$11:$I$13,"2 Item No.",$D102,"Link=",$G102)</t>
  </si>
  <si>
    <t>=IF(K102=0,0,M102/K102)</t>
  </si>
  <si>
    <t>=NL("Sum","5802 Value Entry","17 Sales Amount (Actual)","3 Posting Date",K$15,"Filters=",$H$11:$I$13,"2 Item No.",$D102,"Link=",$G102)</t>
  </si>
  <si>
    <t>=-NL("Sum","5802 Value Entry","14 Invoiced Quantity","3 Posting Date",O$15,"Filters=",$H$11:$I$13,"2 Item No.",$D102,"Link=",$G102)</t>
  </si>
  <si>
    <t>=IF(O102=0,0,Q102/O102)</t>
  </si>
  <si>
    <t>=NL("Sum","5802 Value Entry","17 Sales Amount (Actual)","3 Posting Date",O$15,"Filters=",$H$11:$I$13,"2 Item No.",$D102,"Link=",$G102)</t>
  </si>
  <si>
    <t>=C102</t>
  </si>
  <si>
    <t>="@@"&amp;NF(E103,"1 No.")</t>
  </si>
  <si>
    <t>="""NAV 2015"",""CRONUS JetCorp USA"",""27"",""1"",""E100028"""</t>
  </si>
  <si>
    <t>=NL("Link","5802 Value Entry",,"2 Item No.","=1 No.","Filters=",$H$10:$I$13,"Link=",G103)</t>
  </si>
  <si>
    <t>=NL("Link","18 Customer",,"1 No.","=5 Source No.","5900 Service Zone Code",C103)</t>
  </si>
  <si>
    <t>=-NL("Sum","5802 Value Entry","14 Invoiced Quantity","3 Posting Date",K$15,"Filters=",$H$11:$I$13,"2 Item No.",$D103,"Link=",$G103)</t>
  </si>
  <si>
    <t>=IF(K103=0,0,M103/K103)</t>
  </si>
  <si>
    <t>=NL("Sum","5802 Value Entry","17 Sales Amount (Actual)","3 Posting Date",K$15,"Filters=",$H$11:$I$13,"2 Item No.",$D103,"Link=",$G103)</t>
  </si>
  <si>
    <t>=-NL("Sum","5802 Value Entry","14 Invoiced Quantity","3 Posting Date",O$15,"Filters=",$H$11:$I$13,"2 Item No.",$D103,"Link=",$G103)</t>
  </si>
  <si>
    <t>=IF(O103=0,0,Q103/O103)</t>
  </si>
  <si>
    <t>=NL("Sum","5802 Value Entry","17 Sales Amount (Actual)","3 Posting Date",O$15,"Filters=",$H$11:$I$13,"2 Item No.",$D103,"Link=",$G103)</t>
  </si>
  <si>
    <t>=C103</t>
  </si>
  <si>
    <t>="@@"&amp;NF(E104,"1 No.")</t>
  </si>
  <si>
    <t>="""NAV 2015"",""CRONUS JetCorp USA"",""27"",""1"",""E100029"""</t>
  </si>
  <si>
    <t>=NL("Link","5802 Value Entry",,"2 Item No.","=1 No.","Filters=",$H$10:$I$13,"Link=",G104)</t>
  </si>
  <si>
    <t>=NL("Link","18 Customer",,"1 No.","=5 Source No.","5900 Service Zone Code",C104)</t>
  </si>
  <si>
    <t>=-NL("Sum","5802 Value Entry","14 Invoiced Quantity","3 Posting Date",K$15,"Filters=",$H$11:$I$13,"2 Item No.",$D104,"Link=",$G104)</t>
  </si>
  <si>
    <t>=IF(K104=0,0,M104/K104)</t>
  </si>
  <si>
    <t>=NL("Sum","5802 Value Entry","17 Sales Amount (Actual)","3 Posting Date",K$15,"Filters=",$H$11:$I$13,"2 Item No.",$D104,"Link=",$G104)</t>
  </si>
  <si>
    <t>=-NL("Sum","5802 Value Entry","14 Invoiced Quantity","3 Posting Date",O$15,"Filters=",$H$11:$I$13,"2 Item No.",$D104,"Link=",$G104)</t>
  </si>
  <si>
    <t>=IF(O104=0,0,Q104/O104)</t>
  </si>
  <si>
    <t>=NL("Sum","5802 Value Entry","17 Sales Amount (Actual)","3 Posting Date",O$15,"Filters=",$H$11:$I$13,"2 Item No.",$D104,"Link=",$G104)</t>
  </si>
  <si>
    <t>=C104</t>
  </si>
  <si>
    <t>="@@"&amp;NF(E105,"1 No.")</t>
  </si>
  <si>
    <t>="""NAV 2015"",""CRONUS JetCorp USA"",""27"",""1"",""E100030"""</t>
  </si>
  <si>
    <t>=NL("Link","5802 Value Entry",,"2 Item No.","=1 No.","Filters=",$H$10:$I$13,"Link=",G105)</t>
  </si>
  <si>
    <t>=NL("Link","18 Customer",,"1 No.","=5 Source No.","5900 Service Zone Code",C105)</t>
  </si>
  <si>
    <t>=-NL("Sum","5802 Value Entry","14 Invoiced Quantity","3 Posting Date",K$15,"Filters=",$H$11:$I$13,"2 Item No.",$D105,"Link=",$G105)</t>
  </si>
  <si>
    <t>=IF(K105=0,0,M105/K105)</t>
  </si>
  <si>
    <t>=NL("Sum","5802 Value Entry","17 Sales Amount (Actual)","3 Posting Date",K$15,"Filters=",$H$11:$I$13,"2 Item No.",$D105,"Link=",$G105)</t>
  </si>
  <si>
    <t>=-NL("Sum","5802 Value Entry","14 Invoiced Quantity","3 Posting Date",O$15,"Filters=",$H$11:$I$13,"2 Item No.",$D105,"Link=",$G105)</t>
  </si>
  <si>
    <t>=IF(O105=0,0,Q105/O105)</t>
  </si>
  <si>
    <t>=NL("Sum","5802 Value Entry","17 Sales Amount (Actual)","3 Posting Date",O$15,"Filters=",$H$11:$I$13,"2 Item No.",$D105,"Link=",$G105)</t>
  </si>
  <si>
    <t>=C105</t>
  </si>
  <si>
    <t>="@@"&amp;NF(E106,"1 No.")</t>
  </si>
  <si>
    <t>="""NAV 2015"",""CRONUS JetCorp USA"",""27"",""1"",""E100031"""</t>
  </si>
  <si>
    <t>=NL("Link","5802 Value Entry",,"2 Item No.","=1 No.","Filters=",$H$10:$I$13,"Link=",G106)</t>
  </si>
  <si>
    <t>=NL("Link","18 Customer",,"1 No.","=5 Source No.","5900 Service Zone Code",C106)</t>
  </si>
  <si>
    <t>=-NL("Sum","5802 Value Entry","14 Invoiced Quantity","3 Posting Date",K$15,"Filters=",$H$11:$I$13,"2 Item No.",$D106,"Link=",$G106)</t>
  </si>
  <si>
    <t>=IF(K106=0,0,M106/K106)</t>
  </si>
  <si>
    <t>=NL("Sum","5802 Value Entry","17 Sales Amount (Actual)","3 Posting Date",K$15,"Filters=",$H$11:$I$13,"2 Item No.",$D106,"Link=",$G106)</t>
  </si>
  <si>
    <t>=-NL("Sum","5802 Value Entry","14 Invoiced Quantity","3 Posting Date",O$15,"Filters=",$H$11:$I$13,"2 Item No.",$D106,"Link=",$G106)</t>
  </si>
  <si>
    <t>=IF(O106=0,0,Q106/O106)</t>
  </si>
  <si>
    <t>=NL("Sum","5802 Value Entry","17 Sales Amount (Actual)","3 Posting Date",O$15,"Filters=",$H$11:$I$13,"2 Item No.",$D106,"Link=",$G106)</t>
  </si>
  <si>
    <t>=C106</t>
  </si>
  <si>
    <t>="@@"&amp;NF(E107,"1 No.")</t>
  </si>
  <si>
    <t>="""NAV 2015"",""CRONUS JetCorp USA"",""27"",""1"",""E100032"""</t>
  </si>
  <si>
    <t>=NL("Link","5802 Value Entry",,"2 Item No.","=1 No.","Filters=",$H$10:$I$13,"Link=",G107)</t>
  </si>
  <si>
    <t>=NL("Link","18 Customer",,"1 No.","=5 Source No.","5900 Service Zone Code",C107)</t>
  </si>
  <si>
    <t>=-NL("Sum","5802 Value Entry","14 Invoiced Quantity","3 Posting Date",K$15,"Filters=",$H$11:$I$13,"2 Item No.",$D107,"Link=",$G107)</t>
  </si>
  <si>
    <t>=IF(K107=0,0,M107/K107)</t>
  </si>
  <si>
    <t>=NL("Sum","5802 Value Entry","17 Sales Amount (Actual)","3 Posting Date",K$15,"Filters=",$H$11:$I$13,"2 Item No.",$D107,"Link=",$G107)</t>
  </si>
  <si>
    <t>=-NL("Sum","5802 Value Entry","14 Invoiced Quantity","3 Posting Date",O$15,"Filters=",$H$11:$I$13,"2 Item No.",$D107,"Link=",$G107)</t>
  </si>
  <si>
    <t>=IF(O107=0,0,Q107/O107)</t>
  </si>
  <si>
    <t>=NL("Sum","5802 Value Entry","17 Sales Amount (Actual)","3 Posting Date",O$15,"Filters=",$H$11:$I$13,"2 Item No.",$D107,"Link=",$G107)</t>
  </si>
  <si>
    <t>=C107</t>
  </si>
  <si>
    <t>="@@"&amp;NF(E108,"1 No.")</t>
  </si>
  <si>
    <t>="""NAV 2015"",""CRONUS JetCorp USA"",""27"",""1"",""E100033"""</t>
  </si>
  <si>
    <t>=NL("Link","5802 Value Entry",,"2 Item No.","=1 No.","Filters=",$H$10:$I$13,"Link=",G108)</t>
  </si>
  <si>
    <t>=NL("Link","18 Customer",,"1 No.","=5 Source No.","5900 Service Zone Code",C108)</t>
  </si>
  <si>
    <t>=-NL("Sum","5802 Value Entry","14 Invoiced Quantity","3 Posting Date",K$15,"Filters=",$H$11:$I$13,"2 Item No.",$D108,"Link=",$G108)</t>
  </si>
  <si>
    <t>=IF(K108=0,0,M108/K108)</t>
  </si>
  <si>
    <t>=NL("Sum","5802 Value Entry","17 Sales Amount (Actual)","3 Posting Date",K$15,"Filters=",$H$11:$I$13,"2 Item No.",$D108,"Link=",$G108)</t>
  </si>
  <si>
    <t>=-NL("Sum","5802 Value Entry","14 Invoiced Quantity","3 Posting Date",O$15,"Filters=",$H$11:$I$13,"2 Item No.",$D108,"Link=",$G108)</t>
  </si>
  <si>
    <t>=IF(O108=0,0,Q108/O108)</t>
  </si>
  <si>
    <t>=NL("Sum","5802 Value Entry","17 Sales Amount (Actual)","3 Posting Date",O$15,"Filters=",$H$11:$I$13,"2 Item No.",$D108,"Link=",$G108)</t>
  </si>
  <si>
    <t>=C108</t>
  </si>
  <si>
    <t>="@@"&amp;NF(E109,"1 No.")</t>
  </si>
  <si>
    <t>="""NAV 2015"",""CRONUS JetCorp USA"",""27"",""1"",""E100034"""</t>
  </si>
  <si>
    <t>=NL("Link","5802 Value Entry",,"2 Item No.","=1 No.","Filters=",$H$10:$I$13,"Link=",G109)</t>
  </si>
  <si>
    <t>=NL("Link","18 Customer",,"1 No.","=5 Source No.","5900 Service Zone Code",C109)</t>
  </si>
  <si>
    <t>=-NL("Sum","5802 Value Entry","14 Invoiced Quantity","3 Posting Date",K$15,"Filters=",$H$11:$I$13,"2 Item No.",$D109,"Link=",$G109)</t>
  </si>
  <si>
    <t>=IF(K109=0,0,M109/K109)</t>
  </si>
  <si>
    <t>=NL("Sum","5802 Value Entry","17 Sales Amount (Actual)","3 Posting Date",K$15,"Filters=",$H$11:$I$13,"2 Item No.",$D109,"Link=",$G109)</t>
  </si>
  <si>
    <t>=-NL("Sum","5802 Value Entry","14 Invoiced Quantity","3 Posting Date",O$15,"Filters=",$H$11:$I$13,"2 Item No.",$D109,"Link=",$G109)</t>
  </si>
  <si>
    <t>=IF(O109=0,0,Q109/O109)</t>
  </si>
  <si>
    <t>=NL("Sum","5802 Value Entry","17 Sales Amount (Actual)","3 Posting Date",O$15,"Filters=",$H$11:$I$13,"2 Item No.",$D109,"Link=",$G109)</t>
  </si>
  <si>
    <t>=C109</t>
  </si>
  <si>
    <t>="@@"&amp;NF(E110,"1 No.")</t>
  </si>
  <si>
    <t>="""NAV 2015"",""CRONUS JetCorp USA"",""27"",""1"",""E100035"""</t>
  </si>
  <si>
    <t>=NL("Link","5802 Value Entry",,"2 Item No.","=1 No.","Filters=",$H$10:$I$13,"Link=",G110)</t>
  </si>
  <si>
    <t>=NL("Link","18 Customer",,"1 No.","=5 Source No.","5900 Service Zone Code",C110)</t>
  </si>
  <si>
    <t>=-NL("Sum","5802 Value Entry","14 Invoiced Quantity","3 Posting Date",K$15,"Filters=",$H$11:$I$13,"2 Item No.",$D110,"Link=",$G110)</t>
  </si>
  <si>
    <t>=IF(K110=0,0,M110/K110)</t>
  </si>
  <si>
    <t>=NL("Sum","5802 Value Entry","17 Sales Amount (Actual)","3 Posting Date",K$15,"Filters=",$H$11:$I$13,"2 Item No.",$D110,"Link=",$G110)</t>
  </si>
  <si>
    <t>=-NL("Sum","5802 Value Entry","14 Invoiced Quantity","3 Posting Date",O$15,"Filters=",$H$11:$I$13,"2 Item No.",$D110,"Link=",$G110)</t>
  </si>
  <si>
    <t>=IF(O110=0,0,Q110/O110)</t>
  </si>
  <si>
    <t>=NL("Sum","5802 Value Entry","17 Sales Amount (Actual)","3 Posting Date",O$15,"Filters=",$H$11:$I$13,"2 Item No.",$D110,"Link=",$G110)</t>
  </si>
  <si>
    <t>=C110</t>
  </si>
  <si>
    <t>="@@"&amp;NF(E111,"1 No.")</t>
  </si>
  <si>
    <t>="""NAV 2015"",""CRONUS JetCorp USA"",""27"",""1"",""E100038"""</t>
  </si>
  <si>
    <t>=NL("Link","5802 Value Entry",,"2 Item No.","=1 No.","Filters=",$H$10:$I$13,"Link=",G111)</t>
  </si>
  <si>
    <t>=NL("Link","18 Customer",,"1 No.","=5 Source No.","5900 Service Zone Code",C111)</t>
  </si>
  <si>
    <t>=-NL("Sum","5802 Value Entry","14 Invoiced Quantity","3 Posting Date",K$15,"Filters=",$H$11:$I$13,"2 Item No.",$D111,"Link=",$G111)</t>
  </si>
  <si>
    <t>=IF(K111=0,0,M111/K111)</t>
  </si>
  <si>
    <t>=NL("Sum","5802 Value Entry","17 Sales Amount (Actual)","3 Posting Date",K$15,"Filters=",$H$11:$I$13,"2 Item No.",$D111,"Link=",$G111)</t>
  </si>
  <si>
    <t>=-NL("Sum","5802 Value Entry","14 Invoiced Quantity","3 Posting Date",O$15,"Filters=",$H$11:$I$13,"2 Item No.",$D111,"Link=",$G111)</t>
  </si>
  <si>
    <t>=IF(O111=0,0,Q111/O111)</t>
  </si>
  <si>
    <t>=NL("Sum","5802 Value Entry","17 Sales Amount (Actual)","3 Posting Date",O$15,"Filters=",$H$11:$I$13,"2 Item No.",$D111,"Link=",$G111)</t>
  </si>
  <si>
    <t>=C111</t>
  </si>
  <si>
    <t>="@@"&amp;NF(E112,"1 No.")</t>
  </si>
  <si>
    <t>="""NAV 2015"",""CRONUS JetCorp USA"",""27"",""1"",""E100039"""</t>
  </si>
  <si>
    <t>=NL("Link","5802 Value Entry",,"2 Item No.","=1 No.","Filters=",$H$10:$I$13,"Link=",G112)</t>
  </si>
  <si>
    <t>=NL("Link","18 Customer",,"1 No.","=5 Source No.","5900 Service Zone Code",C112)</t>
  </si>
  <si>
    <t>=-NL("Sum","5802 Value Entry","14 Invoiced Quantity","3 Posting Date",K$15,"Filters=",$H$11:$I$13,"2 Item No.",$D112,"Link=",$G112)</t>
  </si>
  <si>
    <t>=IF(K112=0,0,M112/K112)</t>
  </si>
  <si>
    <t>=NL("Sum","5802 Value Entry","17 Sales Amount (Actual)","3 Posting Date",K$15,"Filters=",$H$11:$I$13,"2 Item No.",$D112,"Link=",$G112)</t>
  </si>
  <si>
    <t>=-NL("Sum","5802 Value Entry","14 Invoiced Quantity","3 Posting Date",O$15,"Filters=",$H$11:$I$13,"2 Item No.",$D112,"Link=",$G112)</t>
  </si>
  <si>
    <t>=IF(O112=0,0,Q112/O112)</t>
  </si>
  <si>
    <t>=NL("Sum","5802 Value Entry","17 Sales Amount (Actual)","3 Posting Date",O$15,"Filters=",$H$11:$I$13,"2 Item No.",$D112,"Link=",$G112)</t>
  </si>
  <si>
    <t>=C112</t>
  </si>
  <si>
    <t>="@@"&amp;NF(E113,"1 No.")</t>
  </si>
  <si>
    <t>="""NAV 2015"",""CRONUS JetCorp USA"",""27"",""1"",""E100040"""</t>
  </si>
  <si>
    <t>=NL("Link","5802 Value Entry",,"2 Item No.","=1 No.","Filters=",$H$10:$I$13,"Link=",G113)</t>
  </si>
  <si>
    <t>=NL("Link","18 Customer",,"1 No.","=5 Source No.","5900 Service Zone Code",C113)</t>
  </si>
  <si>
    <t>=-NL("Sum","5802 Value Entry","14 Invoiced Quantity","3 Posting Date",K$15,"Filters=",$H$11:$I$13,"2 Item No.",$D113,"Link=",$G113)</t>
  </si>
  <si>
    <t>=IF(K113=0,0,M113/K113)</t>
  </si>
  <si>
    <t>=NL("Sum","5802 Value Entry","17 Sales Amount (Actual)","3 Posting Date",K$15,"Filters=",$H$11:$I$13,"2 Item No.",$D113,"Link=",$G113)</t>
  </si>
  <si>
    <t>=-NL("Sum","5802 Value Entry","14 Invoiced Quantity","3 Posting Date",O$15,"Filters=",$H$11:$I$13,"2 Item No.",$D113,"Link=",$G113)</t>
  </si>
  <si>
    <t>=IF(O113=0,0,Q113/O113)</t>
  </si>
  <si>
    <t>=NL("Sum","5802 Value Entry","17 Sales Amount (Actual)","3 Posting Date",O$15,"Filters=",$H$11:$I$13,"2 Item No.",$D113,"Link=",$G113)</t>
  </si>
  <si>
    <t>=C113</t>
  </si>
  <si>
    <t>="@@"&amp;NF(E114,"1 No.")</t>
  </si>
  <si>
    <t>="""NAV 2015"",""CRONUS JetCorp USA"",""27"",""1"",""E100041"""</t>
  </si>
  <si>
    <t>=NL("Link","5802 Value Entry",,"2 Item No.","=1 No.","Filters=",$H$10:$I$13,"Link=",G114)</t>
  </si>
  <si>
    <t>=NL("Link","18 Customer",,"1 No.","=5 Source No.","5900 Service Zone Code",C114)</t>
  </si>
  <si>
    <t>=-NL("Sum","5802 Value Entry","14 Invoiced Quantity","3 Posting Date",K$15,"Filters=",$H$11:$I$13,"2 Item No.",$D114,"Link=",$G114)</t>
  </si>
  <si>
    <t>=IF(K114=0,0,M114/K114)</t>
  </si>
  <si>
    <t>=NL("Sum","5802 Value Entry","17 Sales Amount (Actual)","3 Posting Date",K$15,"Filters=",$H$11:$I$13,"2 Item No.",$D114,"Link=",$G114)</t>
  </si>
  <si>
    <t>=-NL("Sum","5802 Value Entry","14 Invoiced Quantity","3 Posting Date",O$15,"Filters=",$H$11:$I$13,"2 Item No.",$D114,"Link=",$G114)</t>
  </si>
  <si>
    <t>=IF(O114=0,0,Q114/O114)</t>
  </si>
  <si>
    <t>=NL("Sum","5802 Value Entry","17 Sales Amount (Actual)","3 Posting Date",O$15,"Filters=",$H$11:$I$13,"2 Item No.",$D114,"Link=",$G114)</t>
  </si>
  <si>
    <t>=C114</t>
  </si>
  <si>
    <t>="@@"&amp;NF(E115,"1 No.")</t>
  </si>
  <si>
    <t>="""NAV 2015"",""CRONUS JetCorp USA"",""27"",""1"",""E100042"""</t>
  </si>
  <si>
    <t>=NL("Link","5802 Value Entry",,"2 Item No.","=1 No.","Filters=",$H$10:$I$13,"Link=",G115)</t>
  </si>
  <si>
    <t>=NL("Link","18 Customer",,"1 No.","=5 Source No.","5900 Service Zone Code",C115)</t>
  </si>
  <si>
    <t>=-NL("Sum","5802 Value Entry","14 Invoiced Quantity","3 Posting Date",K$15,"Filters=",$H$11:$I$13,"2 Item No.",$D115,"Link=",$G115)</t>
  </si>
  <si>
    <t>=IF(K115=0,0,M115/K115)</t>
  </si>
  <si>
    <t>=NL("Sum","5802 Value Entry","17 Sales Amount (Actual)","3 Posting Date",K$15,"Filters=",$H$11:$I$13,"2 Item No.",$D115,"Link=",$G115)</t>
  </si>
  <si>
    <t>=-NL("Sum","5802 Value Entry","14 Invoiced Quantity","3 Posting Date",O$15,"Filters=",$H$11:$I$13,"2 Item No.",$D115,"Link=",$G115)</t>
  </si>
  <si>
    <t>=IF(O115=0,0,Q115/O115)</t>
  </si>
  <si>
    <t>=NL("Sum","5802 Value Entry","17 Sales Amount (Actual)","3 Posting Date",O$15,"Filters=",$H$11:$I$13,"2 Item No.",$D115,"Link=",$G115)</t>
  </si>
  <si>
    <t>=C115</t>
  </si>
  <si>
    <t>="@@"&amp;NF(E116,"1 No.")</t>
  </si>
  <si>
    <t>="""NAV 2015"",""CRONUS JetCorp USA"",""27"",""1"",""E100043"""</t>
  </si>
  <si>
    <t>=NL("Link","5802 Value Entry",,"2 Item No.","=1 No.","Filters=",$H$10:$I$13,"Link=",G116)</t>
  </si>
  <si>
    <t>=NL("Link","18 Customer",,"1 No.","=5 Source No.","5900 Service Zone Code",C116)</t>
  </si>
  <si>
    <t>=-NL("Sum","5802 Value Entry","14 Invoiced Quantity","3 Posting Date",K$15,"Filters=",$H$11:$I$13,"2 Item No.",$D116,"Link=",$G116)</t>
  </si>
  <si>
    <t>=IF(K116=0,0,M116/K116)</t>
  </si>
  <si>
    <t>=NL("Sum","5802 Value Entry","17 Sales Amount (Actual)","3 Posting Date",K$15,"Filters=",$H$11:$I$13,"2 Item No.",$D116,"Link=",$G116)</t>
  </si>
  <si>
    <t>=-NL("Sum","5802 Value Entry","14 Invoiced Quantity","3 Posting Date",O$15,"Filters=",$H$11:$I$13,"2 Item No.",$D116,"Link=",$G116)</t>
  </si>
  <si>
    <t>=IF(O116=0,0,Q116/O116)</t>
  </si>
  <si>
    <t>=NL("Sum","5802 Value Entry","17 Sales Amount (Actual)","3 Posting Date",O$15,"Filters=",$H$11:$I$13,"2 Item No.",$D116,"Link=",$G116)</t>
  </si>
  <si>
    <t>=C116</t>
  </si>
  <si>
    <t>="@@"&amp;NF(E117,"1 No.")</t>
  </si>
  <si>
    <t>="""NAV 2015"",""CRONUS JetCorp USA"",""27"",""1"",""E100044"""</t>
  </si>
  <si>
    <t>=NL("Link","5802 Value Entry",,"2 Item No.","=1 No.","Filters=",$H$10:$I$13,"Link=",G117)</t>
  </si>
  <si>
    <t>=NL("Link","18 Customer",,"1 No.","=5 Source No.","5900 Service Zone Code",C117)</t>
  </si>
  <si>
    <t>=-NL("Sum","5802 Value Entry","14 Invoiced Quantity","3 Posting Date",K$15,"Filters=",$H$11:$I$13,"2 Item No.",$D117,"Link=",$G117)</t>
  </si>
  <si>
    <t>=IF(K117=0,0,M117/K117)</t>
  </si>
  <si>
    <t>=NL("Sum","5802 Value Entry","17 Sales Amount (Actual)","3 Posting Date",K$15,"Filters=",$H$11:$I$13,"2 Item No.",$D117,"Link=",$G117)</t>
  </si>
  <si>
    <t>=-NL("Sum","5802 Value Entry","14 Invoiced Quantity","3 Posting Date",O$15,"Filters=",$H$11:$I$13,"2 Item No.",$D117,"Link=",$G117)</t>
  </si>
  <si>
    <t>=IF(O117=0,0,Q117/O117)</t>
  </si>
  <si>
    <t>=NL("Sum","5802 Value Entry","17 Sales Amount (Actual)","3 Posting Date",O$15,"Filters=",$H$11:$I$13,"2 Item No.",$D117,"Link=",$G117)</t>
  </si>
  <si>
    <t>=C117</t>
  </si>
  <si>
    <t>="@@"&amp;NF(E118,"1 No.")</t>
  </si>
  <si>
    <t>="""NAV 2015"",""CRONUS JetCorp USA"",""27"",""1"",""E100045"""</t>
  </si>
  <si>
    <t>=NL("Link","5802 Value Entry",,"2 Item No.","=1 No.","Filters=",$H$10:$I$13,"Link=",G118)</t>
  </si>
  <si>
    <t>=NL("Link","18 Customer",,"1 No.","=5 Source No.","5900 Service Zone Code",C118)</t>
  </si>
  <si>
    <t>=-NL("Sum","5802 Value Entry","14 Invoiced Quantity","3 Posting Date",K$15,"Filters=",$H$11:$I$13,"2 Item No.",$D118,"Link=",$G118)</t>
  </si>
  <si>
    <t>=IF(K118=0,0,M118/K118)</t>
  </si>
  <si>
    <t>=NL("Sum","5802 Value Entry","17 Sales Amount (Actual)","3 Posting Date",K$15,"Filters=",$H$11:$I$13,"2 Item No.",$D118,"Link=",$G118)</t>
  </si>
  <si>
    <t>=-NL("Sum","5802 Value Entry","14 Invoiced Quantity","3 Posting Date",O$15,"Filters=",$H$11:$I$13,"2 Item No.",$D118,"Link=",$G118)</t>
  </si>
  <si>
    <t>=IF(O118=0,0,Q118/O118)</t>
  </si>
  <si>
    <t>=NL("Sum","5802 Value Entry","17 Sales Amount (Actual)","3 Posting Date",O$15,"Filters=",$H$11:$I$13,"2 Item No.",$D118,"Link=",$G118)</t>
  </si>
  <si>
    <t>=C118</t>
  </si>
  <si>
    <t>="@@"&amp;NF(E119,"1 No.")</t>
  </si>
  <si>
    <t>="""NAV 2015"",""CRONUS JetCorp USA"",""27"",""1"",""E100046"""</t>
  </si>
  <si>
    <t>=NL("Link","5802 Value Entry",,"2 Item No.","=1 No.","Filters=",$H$10:$I$13,"Link=",G119)</t>
  </si>
  <si>
    <t>=NL("Link","18 Customer",,"1 No.","=5 Source No.","5900 Service Zone Code",C119)</t>
  </si>
  <si>
    <t>=-NL("Sum","5802 Value Entry","14 Invoiced Quantity","3 Posting Date",K$15,"Filters=",$H$11:$I$13,"2 Item No.",$D119,"Link=",$G119)</t>
  </si>
  <si>
    <t>=IF(K119=0,0,M119/K119)</t>
  </si>
  <si>
    <t>=NL("Sum","5802 Value Entry","17 Sales Amount (Actual)","3 Posting Date",K$15,"Filters=",$H$11:$I$13,"2 Item No.",$D119,"Link=",$G119)</t>
  </si>
  <si>
    <t>=-NL("Sum","5802 Value Entry","14 Invoiced Quantity","3 Posting Date",O$15,"Filters=",$H$11:$I$13,"2 Item No.",$D119,"Link=",$G119)</t>
  </si>
  <si>
    <t>=IF(O119=0,0,Q119/O119)</t>
  </si>
  <si>
    <t>=NL("Sum","5802 Value Entry","17 Sales Amount (Actual)","3 Posting Date",O$15,"Filters=",$H$11:$I$13,"2 Item No.",$D119,"Link=",$G119)</t>
  </si>
  <si>
    <t>=C119</t>
  </si>
  <si>
    <t>="@@"&amp;NF(E120,"1 No.")</t>
  </si>
  <si>
    <t>="""NAV 2015"",""CRONUS JetCorp USA"",""27"",""1"",""E100047"""</t>
  </si>
  <si>
    <t>=NL("Link","5802 Value Entry",,"2 Item No.","=1 No.","Filters=",$H$10:$I$13,"Link=",G120)</t>
  </si>
  <si>
    <t>=NL("Link","18 Customer",,"1 No.","=5 Source No.","5900 Service Zone Code",C120)</t>
  </si>
  <si>
    <t>=-NL("Sum","5802 Value Entry","14 Invoiced Quantity","3 Posting Date",K$15,"Filters=",$H$11:$I$13,"2 Item No.",$D120,"Link=",$G120)</t>
  </si>
  <si>
    <t>=IF(K120=0,0,M120/K120)</t>
  </si>
  <si>
    <t>=NL("Sum","5802 Value Entry","17 Sales Amount (Actual)","3 Posting Date",K$15,"Filters=",$H$11:$I$13,"2 Item No.",$D120,"Link=",$G120)</t>
  </si>
  <si>
    <t>=-NL("Sum","5802 Value Entry","14 Invoiced Quantity","3 Posting Date",O$15,"Filters=",$H$11:$I$13,"2 Item No.",$D120,"Link=",$G120)</t>
  </si>
  <si>
    <t>=IF(O120=0,0,Q120/O120)</t>
  </si>
  <si>
    <t>=NL("Sum","5802 Value Entry","17 Sales Amount (Actual)","3 Posting Date",O$15,"Filters=",$H$11:$I$13,"2 Item No.",$D120,"Link=",$G120)</t>
  </si>
  <si>
    <t>=C120</t>
  </si>
  <si>
    <t>="@@"&amp;NF(E121,"1 No.")</t>
  </si>
  <si>
    <t>="""NAV 2015"",""CRONUS JetCorp USA"",""27"",""1"",""S100001"""</t>
  </si>
  <si>
    <t>=NL("Link","5802 Value Entry",,"2 Item No.","=1 No.","Filters=",$H$10:$I$13,"Link=",G121)</t>
  </si>
  <si>
    <t>=NL("Link","18 Customer",,"1 No.","=5 Source No.","5900 Service Zone Code",C121)</t>
  </si>
  <si>
    <t>=-NL("Sum","5802 Value Entry","14 Invoiced Quantity","3 Posting Date",K$15,"Filters=",$H$11:$I$13,"2 Item No.",$D121,"Link=",$G121)</t>
  </si>
  <si>
    <t>=IF(K121=0,0,M121/K121)</t>
  </si>
  <si>
    <t>=NL("Sum","5802 Value Entry","17 Sales Amount (Actual)","3 Posting Date",K$15,"Filters=",$H$11:$I$13,"2 Item No.",$D121,"Link=",$G121)</t>
  </si>
  <si>
    <t>=-NL("Sum","5802 Value Entry","14 Invoiced Quantity","3 Posting Date",O$15,"Filters=",$H$11:$I$13,"2 Item No.",$D121,"Link=",$G121)</t>
  </si>
  <si>
    <t>=IF(O121=0,0,Q121/O121)</t>
  </si>
  <si>
    <t>=NL("Sum","5802 Value Entry","17 Sales Amount (Actual)","3 Posting Date",O$15,"Filters=",$H$11:$I$13,"2 Item No.",$D121,"Link=",$G121)</t>
  </si>
  <si>
    <t>=C121</t>
  </si>
  <si>
    <t>="@@"&amp;NF(E122,"1 No.")</t>
  </si>
  <si>
    <t>="""NAV 2015"",""CRONUS JetCorp USA"",""27"",""1"",""S100002"""</t>
  </si>
  <si>
    <t>=NL("Link","5802 Value Entry",,"2 Item No.","=1 No.","Filters=",$H$10:$I$13,"Link=",G122)</t>
  </si>
  <si>
    <t>=NL("Link","18 Customer",,"1 No.","=5 Source No.","5900 Service Zone Code",C122)</t>
  </si>
  <si>
    <t>=-NL("Sum","5802 Value Entry","14 Invoiced Quantity","3 Posting Date",K$15,"Filters=",$H$11:$I$13,"2 Item No.",$D122,"Link=",$G122)</t>
  </si>
  <si>
    <t>=IF(K122=0,0,M122/K122)</t>
  </si>
  <si>
    <t>=NL("Sum","5802 Value Entry","17 Sales Amount (Actual)","3 Posting Date",K$15,"Filters=",$H$11:$I$13,"2 Item No.",$D122,"Link=",$G122)</t>
  </si>
  <si>
    <t>=-NL("Sum","5802 Value Entry","14 Invoiced Quantity","3 Posting Date",O$15,"Filters=",$H$11:$I$13,"2 Item No.",$D122,"Link=",$G122)</t>
  </si>
  <si>
    <t>=IF(O122=0,0,Q122/O122)</t>
  </si>
  <si>
    <t>=NL("Sum","5802 Value Entry","17 Sales Amount (Actual)","3 Posting Date",O$15,"Filters=",$H$11:$I$13,"2 Item No.",$D122,"Link=",$G122)</t>
  </si>
  <si>
    <t>=C122</t>
  </si>
  <si>
    <t>="@@"&amp;NF(E123,"1 No.")</t>
  </si>
  <si>
    <t>="""NAV 2015"",""CRONUS JetCorp USA"",""27"",""1"",""S100003"""</t>
  </si>
  <si>
    <t>=NL("Link","5802 Value Entry",,"2 Item No.","=1 No.","Filters=",$H$10:$I$13,"Link=",G123)</t>
  </si>
  <si>
    <t>=NL("Link","18 Customer",,"1 No.","=5 Source No.","5900 Service Zone Code",C123)</t>
  </si>
  <si>
    <t>=-NL("Sum","5802 Value Entry","14 Invoiced Quantity","3 Posting Date",K$15,"Filters=",$H$11:$I$13,"2 Item No.",$D123,"Link=",$G123)</t>
  </si>
  <si>
    <t>=IF(K123=0,0,M123/K123)</t>
  </si>
  <si>
    <t>=NL("Sum","5802 Value Entry","17 Sales Amount (Actual)","3 Posting Date",K$15,"Filters=",$H$11:$I$13,"2 Item No.",$D123,"Link=",$G123)</t>
  </si>
  <si>
    <t>=-NL("Sum","5802 Value Entry","14 Invoiced Quantity","3 Posting Date",O$15,"Filters=",$H$11:$I$13,"2 Item No.",$D123,"Link=",$G123)</t>
  </si>
  <si>
    <t>=IF(O123=0,0,Q123/O123)</t>
  </si>
  <si>
    <t>=NL("Sum","5802 Value Entry","17 Sales Amount (Actual)","3 Posting Date",O$15,"Filters=",$H$11:$I$13,"2 Item No.",$D123,"Link=",$G123)</t>
  </si>
  <si>
    <t>=C123</t>
  </si>
  <si>
    <t>="@@"&amp;NF(E124,"1 No.")</t>
  </si>
  <si>
    <t>="""NAV 2015"",""CRONUS JetCorp USA"",""27"",""1"",""S100004"""</t>
  </si>
  <si>
    <t>=NL("Link","5802 Value Entry",,"2 Item No.","=1 No.","Filters=",$H$10:$I$13,"Link=",G124)</t>
  </si>
  <si>
    <t>=NL("Link","18 Customer",,"1 No.","=5 Source No.","5900 Service Zone Code",C124)</t>
  </si>
  <si>
    <t>=-NL("Sum","5802 Value Entry","14 Invoiced Quantity","3 Posting Date",K$15,"Filters=",$H$11:$I$13,"2 Item No.",$D124,"Link=",$G124)</t>
  </si>
  <si>
    <t>=IF(K124=0,0,M124/K124)</t>
  </si>
  <si>
    <t>=NL("Sum","5802 Value Entry","17 Sales Amount (Actual)","3 Posting Date",K$15,"Filters=",$H$11:$I$13,"2 Item No.",$D124,"Link=",$G124)</t>
  </si>
  <si>
    <t>=-NL("Sum","5802 Value Entry","14 Invoiced Quantity","3 Posting Date",O$15,"Filters=",$H$11:$I$13,"2 Item No.",$D124,"Link=",$G124)</t>
  </si>
  <si>
    <t>=IF(O124=0,0,Q124/O124)</t>
  </si>
  <si>
    <t>=NL("Sum","5802 Value Entry","17 Sales Amount (Actual)","3 Posting Date",O$15,"Filters=",$H$11:$I$13,"2 Item No.",$D124,"Link=",$G124)</t>
  </si>
  <si>
    <t>=C124</t>
  </si>
  <si>
    <t>="@@"&amp;NF(E125,"1 No.")</t>
  </si>
  <si>
    <t>="""NAV 2015"",""CRONUS JetCorp USA"",""27"",""1"",""S100005"""</t>
  </si>
  <si>
    <t>=NL("Link","5802 Value Entry",,"2 Item No.","=1 No.","Filters=",$H$10:$I$13,"Link=",G125)</t>
  </si>
  <si>
    <t>=NL("Link","18 Customer",,"1 No.","=5 Source No.","5900 Service Zone Code",C125)</t>
  </si>
  <si>
    <t>=-NL("Sum","5802 Value Entry","14 Invoiced Quantity","3 Posting Date",K$15,"Filters=",$H$11:$I$13,"2 Item No.",$D125,"Link=",$G125)</t>
  </si>
  <si>
    <t>=IF(K125=0,0,M125/K125)</t>
  </si>
  <si>
    <t>=NL("Sum","5802 Value Entry","17 Sales Amount (Actual)","3 Posting Date",K$15,"Filters=",$H$11:$I$13,"2 Item No.",$D125,"Link=",$G125)</t>
  </si>
  <si>
    <t>=-NL("Sum","5802 Value Entry","14 Invoiced Quantity","3 Posting Date",O$15,"Filters=",$H$11:$I$13,"2 Item No.",$D125,"Link=",$G125)</t>
  </si>
  <si>
    <t>=IF(O125=0,0,Q125/O125)</t>
  </si>
  <si>
    <t>=NL("Sum","5802 Value Entry","17 Sales Amount (Actual)","3 Posting Date",O$15,"Filters=",$H$11:$I$13,"2 Item No.",$D125,"Link=",$G125)</t>
  </si>
  <si>
    <t>=C125</t>
  </si>
  <si>
    <t>="@@"&amp;NF(E126,"1 No.")</t>
  </si>
  <si>
    <t>="""NAV 2015"",""CRONUS JetCorp USA"",""27"",""1"",""S100006"""</t>
  </si>
  <si>
    <t>=NL("Link","5802 Value Entry",,"2 Item No.","=1 No.","Filters=",$H$10:$I$13,"Link=",G126)</t>
  </si>
  <si>
    <t>=NL("Link","18 Customer",,"1 No.","=5 Source No.","5900 Service Zone Code",C126)</t>
  </si>
  <si>
    <t>=-NL("Sum","5802 Value Entry","14 Invoiced Quantity","3 Posting Date",K$15,"Filters=",$H$11:$I$13,"2 Item No.",$D126,"Link=",$G126)</t>
  </si>
  <si>
    <t>=IF(K126=0,0,M126/K126)</t>
  </si>
  <si>
    <t>=NL("Sum","5802 Value Entry","17 Sales Amount (Actual)","3 Posting Date",K$15,"Filters=",$H$11:$I$13,"2 Item No.",$D126,"Link=",$G126)</t>
  </si>
  <si>
    <t>=-NL("Sum","5802 Value Entry","14 Invoiced Quantity","3 Posting Date",O$15,"Filters=",$H$11:$I$13,"2 Item No.",$D126,"Link=",$G126)</t>
  </si>
  <si>
    <t>=IF(O126=0,0,Q126/O126)</t>
  </si>
  <si>
    <t>=NL("Sum","5802 Value Entry","17 Sales Amount (Actual)","3 Posting Date",O$15,"Filters=",$H$11:$I$13,"2 Item No.",$D126,"Link=",$G126)</t>
  </si>
  <si>
    <t>=C126</t>
  </si>
  <si>
    <t>="@@"&amp;NF(E127,"1 No.")</t>
  </si>
  <si>
    <t>="""NAV 2015"",""CRONUS JetCorp USA"",""27"",""1"",""S100007"""</t>
  </si>
  <si>
    <t>=NL("Link","5802 Value Entry",,"2 Item No.","=1 No.","Filters=",$H$10:$I$13,"Link=",G127)</t>
  </si>
  <si>
    <t>=NL("Link","18 Customer",,"1 No.","=5 Source No.","5900 Service Zone Code",C127)</t>
  </si>
  <si>
    <t>=-NL("Sum","5802 Value Entry","14 Invoiced Quantity","3 Posting Date",K$15,"Filters=",$H$11:$I$13,"2 Item No.",$D127,"Link=",$G127)</t>
  </si>
  <si>
    <t>=IF(K127=0,0,M127/K127)</t>
  </si>
  <si>
    <t>=NL("Sum","5802 Value Entry","17 Sales Amount (Actual)","3 Posting Date",K$15,"Filters=",$H$11:$I$13,"2 Item No.",$D127,"Link=",$G127)</t>
  </si>
  <si>
    <t>=-NL("Sum","5802 Value Entry","14 Invoiced Quantity","3 Posting Date",O$15,"Filters=",$H$11:$I$13,"2 Item No.",$D127,"Link=",$G127)</t>
  </si>
  <si>
    <t>=IF(O127=0,0,Q127/O127)</t>
  </si>
  <si>
    <t>=NL("Sum","5802 Value Entry","17 Sales Amount (Actual)","3 Posting Date",O$15,"Filters=",$H$11:$I$13,"2 Item No.",$D127,"Link=",$G127)</t>
  </si>
  <si>
    <t>=C127</t>
  </si>
  <si>
    <t>="@@"&amp;NF(E128,"1 No.")</t>
  </si>
  <si>
    <t>="""NAV 2015"",""CRONUS JetCorp USA"",""27"",""1"",""S100008"""</t>
  </si>
  <si>
    <t>=NL("Link","5802 Value Entry",,"2 Item No.","=1 No.","Filters=",$H$10:$I$13,"Link=",G128)</t>
  </si>
  <si>
    <t>=NL("Link","18 Customer",,"1 No.","=5 Source No.","5900 Service Zone Code",C128)</t>
  </si>
  <si>
    <t>=-NL("Sum","5802 Value Entry","14 Invoiced Quantity","3 Posting Date",K$15,"Filters=",$H$11:$I$13,"2 Item No.",$D128,"Link=",$G128)</t>
  </si>
  <si>
    <t>=IF(K128=0,0,M128/K128)</t>
  </si>
  <si>
    <t>=NL("Sum","5802 Value Entry","17 Sales Amount (Actual)","3 Posting Date",K$15,"Filters=",$H$11:$I$13,"2 Item No.",$D128,"Link=",$G128)</t>
  </si>
  <si>
    <t>=-NL("Sum","5802 Value Entry","14 Invoiced Quantity","3 Posting Date",O$15,"Filters=",$H$11:$I$13,"2 Item No.",$D128,"Link=",$G128)</t>
  </si>
  <si>
    <t>=IF(O128=0,0,Q128/O128)</t>
  </si>
  <si>
    <t>=NL("Sum","5802 Value Entry","17 Sales Amount (Actual)","3 Posting Date",O$15,"Filters=",$H$11:$I$13,"2 Item No.",$D128,"Link=",$G128)</t>
  </si>
  <si>
    <t>=C128</t>
  </si>
  <si>
    <t>="@@"&amp;NF(E129,"1 No.")</t>
  </si>
  <si>
    <t>="""NAV 2015"",""CRONUS JetCorp USA"",""27"",""1"",""S100009"""</t>
  </si>
  <si>
    <t>=NL("Link","5802 Value Entry",,"2 Item No.","=1 No.","Filters=",$H$10:$I$13,"Link=",G129)</t>
  </si>
  <si>
    <t>=NL("Link","18 Customer",,"1 No.","=5 Source No.","5900 Service Zone Code",C129)</t>
  </si>
  <si>
    <t>=-NL("Sum","5802 Value Entry","14 Invoiced Quantity","3 Posting Date",K$15,"Filters=",$H$11:$I$13,"2 Item No.",$D129,"Link=",$G129)</t>
  </si>
  <si>
    <t>=IF(K129=0,0,M129/K129)</t>
  </si>
  <si>
    <t>=NL("Sum","5802 Value Entry","17 Sales Amount (Actual)","3 Posting Date",K$15,"Filters=",$H$11:$I$13,"2 Item No.",$D129,"Link=",$G129)</t>
  </si>
  <si>
    <t>=-NL("Sum","5802 Value Entry","14 Invoiced Quantity","3 Posting Date",O$15,"Filters=",$H$11:$I$13,"2 Item No.",$D129,"Link=",$G129)</t>
  </si>
  <si>
    <t>=IF(O129=0,0,Q129/O129)</t>
  </si>
  <si>
    <t>=NL("Sum","5802 Value Entry","17 Sales Amount (Actual)","3 Posting Date",O$15,"Filters=",$H$11:$I$13,"2 Item No.",$D129,"Link=",$G129)</t>
  </si>
  <si>
    <t>=C129</t>
  </si>
  <si>
    <t>="@@"&amp;NF(E130,"1 No.")</t>
  </si>
  <si>
    <t>="""NAV 2015"",""CRONUS JetCorp USA"",""27"",""1"",""S100010"""</t>
  </si>
  <si>
    <t>=NL("Link","5802 Value Entry",,"2 Item No.","=1 No.","Filters=",$H$10:$I$13,"Link=",G130)</t>
  </si>
  <si>
    <t>=NL("Link","18 Customer",,"1 No.","=5 Source No.","5900 Service Zone Code",C130)</t>
  </si>
  <si>
    <t>=-NL("Sum","5802 Value Entry","14 Invoiced Quantity","3 Posting Date",K$15,"Filters=",$H$11:$I$13,"2 Item No.",$D130,"Link=",$G130)</t>
  </si>
  <si>
    <t>=IF(K130=0,0,M130/K130)</t>
  </si>
  <si>
    <t>=NL("Sum","5802 Value Entry","17 Sales Amount (Actual)","3 Posting Date",K$15,"Filters=",$H$11:$I$13,"2 Item No.",$D130,"Link=",$G130)</t>
  </si>
  <si>
    <t>=-NL("Sum","5802 Value Entry","14 Invoiced Quantity","3 Posting Date",O$15,"Filters=",$H$11:$I$13,"2 Item No.",$D130,"Link=",$G130)</t>
  </si>
  <si>
    <t>=IF(O130=0,0,Q130/O130)</t>
  </si>
  <si>
    <t>=NL("Sum","5802 Value Entry","17 Sales Amount (Actual)","3 Posting Date",O$15,"Filters=",$H$11:$I$13,"2 Item No.",$D130,"Link=",$G130)</t>
  </si>
  <si>
    <t>=C130</t>
  </si>
  <si>
    <t>="@@"&amp;NF(E131,"1 No.")</t>
  </si>
  <si>
    <t>="""NAV 2015"",""CRONUS JetCorp USA"",""27"",""1"",""S100011"""</t>
  </si>
  <si>
    <t>=NL("Link","5802 Value Entry",,"2 Item No.","=1 No.","Filters=",$H$10:$I$13,"Link=",G131)</t>
  </si>
  <si>
    <t>=NL("Link","18 Customer",,"1 No.","=5 Source No.","5900 Service Zone Code",C131)</t>
  </si>
  <si>
    <t>=-NL("Sum","5802 Value Entry","14 Invoiced Quantity","3 Posting Date",K$15,"Filters=",$H$11:$I$13,"2 Item No.",$D131,"Link=",$G131)</t>
  </si>
  <si>
    <t>=IF(K131=0,0,M131/K131)</t>
  </si>
  <si>
    <t>=NL("Sum","5802 Value Entry","17 Sales Amount (Actual)","3 Posting Date",K$15,"Filters=",$H$11:$I$13,"2 Item No.",$D131,"Link=",$G131)</t>
  </si>
  <si>
    <t>=-NL("Sum","5802 Value Entry","14 Invoiced Quantity","3 Posting Date",O$15,"Filters=",$H$11:$I$13,"2 Item No.",$D131,"Link=",$G131)</t>
  </si>
  <si>
    <t>=IF(O131=0,0,Q131/O131)</t>
  </si>
  <si>
    <t>=NL("Sum","5802 Value Entry","17 Sales Amount (Actual)","3 Posting Date",O$15,"Filters=",$H$11:$I$13,"2 Item No.",$D131,"Link=",$G131)</t>
  </si>
  <si>
    <t>=C131</t>
  </si>
  <si>
    <t>="@@"&amp;NF(E132,"1 No.")</t>
  </si>
  <si>
    <t>="""NAV 2015"",""CRONUS JetCorp USA"",""27"",""1"",""S100012"""</t>
  </si>
  <si>
    <t>=NL("Link","5802 Value Entry",,"2 Item No.","=1 No.","Filters=",$H$10:$I$13,"Link=",G132)</t>
  </si>
  <si>
    <t>=NL("Link","18 Customer",,"1 No.","=5 Source No.","5900 Service Zone Code",C132)</t>
  </si>
  <si>
    <t>=-NL("Sum","5802 Value Entry","14 Invoiced Quantity","3 Posting Date",K$15,"Filters=",$H$11:$I$13,"2 Item No.",$D132,"Link=",$G132)</t>
  </si>
  <si>
    <t>=IF(K132=0,0,M132/K132)</t>
  </si>
  <si>
    <t>=NL("Sum","5802 Value Entry","17 Sales Amount (Actual)","3 Posting Date",K$15,"Filters=",$H$11:$I$13,"2 Item No.",$D132,"Link=",$G132)</t>
  </si>
  <si>
    <t>=-NL("Sum","5802 Value Entry","14 Invoiced Quantity","3 Posting Date",O$15,"Filters=",$H$11:$I$13,"2 Item No.",$D132,"Link=",$G132)</t>
  </si>
  <si>
    <t>=IF(O132=0,0,Q132/O132)</t>
  </si>
  <si>
    <t>=NL("Sum","5802 Value Entry","17 Sales Amount (Actual)","3 Posting Date",O$15,"Filters=",$H$11:$I$13,"2 Item No.",$D132,"Link=",$G132)</t>
  </si>
  <si>
    <t>=C132</t>
  </si>
  <si>
    <t>="@@"&amp;NF(E133,"1 No.")</t>
  </si>
  <si>
    <t>="""NAV 2015"",""CRONUS JetCorp USA"",""27"",""1"",""S100013"""</t>
  </si>
  <si>
    <t>=NL("Link","5802 Value Entry",,"2 Item No.","=1 No.","Filters=",$H$10:$I$13,"Link=",G133)</t>
  </si>
  <si>
    <t>=NL("Link","18 Customer",,"1 No.","=5 Source No.","5900 Service Zone Code",C133)</t>
  </si>
  <si>
    <t>=-NL("Sum","5802 Value Entry","14 Invoiced Quantity","3 Posting Date",K$15,"Filters=",$H$11:$I$13,"2 Item No.",$D133,"Link=",$G133)</t>
  </si>
  <si>
    <t>=IF(K133=0,0,M133/K133)</t>
  </si>
  <si>
    <t>=NL("Sum","5802 Value Entry","17 Sales Amount (Actual)","3 Posting Date",K$15,"Filters=",$H$11:$I$13,"2 Item No.",$D133,"Link=",$G133)</t>
  </si>
  <si>
    <t>=-NL("Sum","5802 Value Entry","14 Invoiced Quantity","3 Posting Date",O$15,"Filters=",$H$11:$I$13,"2 Item No.",$D133,"Link=",$G133)</t>
  </si>
  <si>
    <t>=IF(O133=0,0,Q133/O133)</t>
  </si>
  <si>
    <t>=NL("Sum","5802 Value Entry","17 Sales Amount (Actual)","3 Posting Date",O$15,"Filters=",$H$11:$I$13,"2 Item No.",$D133,"Link=",$G133)</t>
  </si>
  <si>
    <t>=C133</t>
  </si>
  <si>
    <t>="@@"&amp;NF(E134,"1 No.")</t>
  </si>
  <si>
    <t>="""NAV 2015"",""CRONUS JetCorp USA"",""27"",""1"",""S100014"""</t>
  </si>
  <si>
    <t>=NL("Link","5802 Value Entry",,"2 Item No.","=1 No.","Filters=",$H$10:$I$13,"Link=",G134)</t>
  </si>
  <si>
    <t>=NL("Link","18 Customer",,"1 No.","=5 Source No.","5900 Service Zone Code",C134)</t>
  </si>
  <si>
    <t>=-NL("Sum","5802 Value Entry","14 Invoiced Quantity","3 Posting Date",K$15,"Filters=",$H$11:$I$13,"2 Item No.",$D134,"Link=",$G134)</t>
  </si>
  <si>
    <t>=IF(K134=0,0,M134/K134)</t>
  </si>
  <si>
    <t>=NL("Sum","5802 Value Entry","17 Sales Amount (Actual)","3 Posting Date",K$15,"Filters=",$H$11:$I$13,"2 Item No.",$D134,"Link=",$G134)</t>
  </si>
  <si>
    <t>=-NL("Sum","5802 Value Entry","14 Invoiced Quantity","3 Posting Date",O$15,"Filters=",$H$11:$I$13,"2 Item No.",$D134,"Link=",$G134)</t>
  </si>
  <si>
    <t>=IF(O134=0,0,Q134/O134)</t>
  </si>
  <si>
    <t>=NL("Sum","5802 Value Entry","17 Sales Amount (Actual)","3 Posting Date",O$15,"Filters=",$H$11:$I$13,"2 Item No.",$D134,"Link=",$G134)</t>
  </si>
  <si>
    <t>=C134</t>
  </si>
  <si>
    <t>="@@"&amp;NF(E135,"1 No.")</t>
  </si>
  <si>
    <t>="""NAV 2015"",""CRONUS JetCorp USA"",""27"",""1"",""S100015"""</t>
  </si>
  <si>
    <t>=NL("Link","5802 Value Entry",,"2 Item No.","=1 No.","Filters=",$H$10:$I$13,"Link=",G135)</t>
  </si>
  <si>
    <t>=NL("Link","18 Customer",,"1 No.","=5 Source No.","5900 Service Zone Code",C135)</t>
  </si>
  <si>
    <t>=-NL("Sum","5802 Value Entry","14 Invoiced Quantity","3 Posting Date",K$15,"Filters=",$H$11:$I$13,"2 Item No.",$D135,"Link=",$G135)</t>
  </si>
  <si>
    <t>=IF(K135=0,0,M135/K135)</t>
  </si>
  <si>
    <t>=NL("Sum","5802 Value Entry","17 Sales Amount (Actual)","3 Posting Date",K$15,"Filters=",$H$11:$I$13,"2 Item No.",$D135,"Link=",$G135)</t>
  </si>
  <si>
    <t>=-NL("Sum","5802 Value Entry","14 Invoiced Quantity","3 Posting Date",O$15,"Filters=",$H$11:$I$13,"2 Item No.",$D135,"Link=",$G135)</t>
  </si>
  <si>
    <t>=IF(O135=0,0,Q135/O135)</t>
  </si>
  <si>
    <t>=NL("Sum","5802 Value Entry","17 Sales Amount (Actual)","3 Posting Date",O$15,"Filters=",$H$11:$I$13,"2 Item No.",$D135,"Link=",$G135)</t>
  </si>
  <si>
    <t>=C135</t>
  </si>
  <si>
    <t>="@@"&amp;NF(E136,"1 No.")</t>
  </si>
  <si>
    <t>="""NAV 2015"",""CRONUS JetCorp USA"",""27"",""1"",""S100016"""</t>
  </si>
  <si>
    <t>=NL("Link","5802 Value Entry",,"2 Item No.","=1 No.","Filters=",$H$10:$I$13,"Link=",G136)</t>
  </si>
  <si>
    <t>=NL("Link","18 Customer",,"1 No.","=5 Source No.","5900 Service Zone Code",C136)</t>
  </si>
  <si>
    <t>=-NL("Sum","5802 Value Entry","14 Invoiced Quantity","3 Posting Date",K$15,"Filters=",$H$11:$I$13,"2 Item No.",$D136,"Link=",$G136)</t>
  </si>
  <si>
    <t>=IF(K136=0,0,M136/K136)</t>
  </si>
  <si>
    <t>=NL("Sum","5802 Value Entry","17 Sales Amount (Actual)","3 Posting Date",K$15,"Filters=",$H$11:$I$13,"2 Item No.",$D136,"Link=",$G136)</t>
  </si>
  <si>
    <t>=-NL("Sum","5802 Value Entry","14 Invoiced Quantity","3 Posting Date",O$15,"Filters=",$H$11:$I$13,"2 Item No.",$D136,"Link=",$G136)</t>
  </si>
  <si>
    <t>=IF(O136=0,0,Q136/O136)</t>
  </si>
  <si>
    <t>=NL("Sum","5802 Value Entry","17 Sales Amount (Actual)","3 Posting Date",O$15,"Filters=",$H$11:$I$13,"2 Item No.",$D136,"Link=",$G136)</t>
  </si>
  <si>
    <t>=C136</t>
  </si>
  <si>
    <t>="@@"&amp;NF(E137,"1 No.")</t>
  </si>
  <si>
    <t>="""NAV 2015"",""CRONUS JetCorp USA"",""27"",""1"",""S100017"""</t>
  </si>
  <si>
    <t>=NL("Link","5802 Value Entry",,"2 Item No.","=1 No.","Filters=",$H$10:$I$13,"Link=",G137)</t>
  </si>
  <si>
    <t>=NL("Link","18 Customer",,"1 No.","=5 Source No.","5900 Service Zone Code",C137)</t>
  </si>
  <si>
    <t>=-NL("Sum","5802 Value Entry","14 Invoiced Quantity","3 Posting Date",K$15,"Filters=",$H$11:$I$13,"2 Item No.",$D137,"Link=",$G137)</t>
  </si>
  <si>
    <t>=IF(K137=0,0,M137/K137)</t>
  </si>
  <si>
    <t>=NL("Sum","5802 Value Entry","17 Sales Amount (Actual)","3 Posting Date",K$15,"Filters=",$H$11:$I$13,"2 Item No.",$D137,"Link=",$G137)</t>
  </si>
  <si>
    <t>=-NL("Sum","5802 Value Entry","14 Invoiced Quantity","3 Posting Date",O$15,"Filters=",$H$11:$I$13,"2 Item No.",$D137,"Link=",$G137)</t>
  </si>
  <si>
    <t>=IF(O137=0,0,Q137/O137)</t>
  </si>
  <si>
    <t>=NL("Sum","5802 Value Entry","17 Sales Amount (Actual)","3 Posting Date",O$15,"Filters=",$H$11:$I$13,"2 Item No.",$D137,"Link=",$G137)</t>
  </si>
  <si>
    <t>=C137</t>
  </si>
  <si>
    <t>="@@"&amp;NF(E138,"1 No.")</t>
  </si>
  <si>
    <t>="""NAV 2015"",""CRONUS JetCorp USA"",""27"",""1"",""S100018"""</t>
  </si>
  <si>
    <t>=NL("Link","5802 Value Entry",,"2 Item No.","=1 No.","Filters=",$H$10:$I$13,"Link=",G138)</t>
  </si>
  <si>
    <t>=NL("Link","18 Customer",,"1 No.","=5 Source No.","5900 Service Zone Code",C138)</t>
  </si>
  <si>
    <t>=-NL("Sum","5802 Value Entry","14 Invoiced Quantity","3 Posting Date",K$15,"Filters=",$H$11:$I$13,"2 Item No.",$D138,"Link=",$G138)</t>
  </si>
  <si>
    <t>=IF(K138=0,0,M138/K138)</t>
  </si>
  <si>
    <t>=NL("Sum","5802 Value Entry","17 Sales Amount (Actual)","3 Posting Date",K$15,"Filters=",$H$11:$I$13,"2 Item No.",$D138,"Link=",$G138)</t>
  </si>
  <si>
    <t>=-NL("Sum","5802 Value Entry","14 Invoiced Quantity","3 Posting Date",O$15,"Filters=",$H$11:$I$13,"2 Item No.",$D138,"Link=",$G138)</t>
  </si>
  <si>
    <t>=IF(O138=0,0,Q138/O138)</t>
  </si>
  <si>
    <t>=NL("Sum","5802 Value Entry","17 Sales Amount (Actual)","3 Posting Date",O$15,"Filters=",$H$11:$I$13,"2 Item No.",$D138,"Link=",$G138)</t>
  </si>
  <si>
    <t>=C138</t>
  </si>
  <si>
    <t>="@@"&amp;NF(E139,"1 No.")</t>
  </si>
  <si>
    <t>="""NAV 2015"",""CRONUS JetCorp USA"",""27"",""1"",""S100019"""</t>
  </si>
  <si>
    <t>=NL("Link","5802 Value Entry",,"2 Item No.","=1 No.","Filters=",$H$10:$I$13,"Link=",G139)</t>
  </si>
  <si>
    <t>=NL("Link","18 Customer",,"1 No.","=5 Source No.","5900 Service Zone Code",C139)</t>
  </si>
  <si>
    <t>=-NL("Sum","5802 Value Entry","14 Invoiced Quantity","3 Posting Date",K$15,"Filters=",$H$11:$I$13,"2 Item No.",$D139,"Link=",$G139)</t>
  </si>
  <si>
    <t>=IF(K139=0,0,M139/K139)</t>
  </si>
  <si>
    <t>=NL("Sum","5802 Value Entry","17 Sales Amount (Actual)","3 Posting Date",K$15,"Filters=",$H$11:$I$13,"2 Item No.",$D139,"Link=",$G139)</t>
  </si>
  <si>
    <t>=-NL("Sum","5802 Value Entry","14 Invoiced Quantity","3 Posting Date",O$15,"Filters=",$H$11:$I$13,"2 Item No.",$D139,"Link=",$G139)</t>
  </si>
  <si>
    <t>=IF(O139=0,0,Q139/O139)</t>
  </si>
  <si>
    <t>=NL("Sum","5802 Value Entry","17 Sales Amount (Actual)","3 Posting Date",O$15,"Filters=",$H$11:$I$13,"2 Item No.",$D139,"Link=",$G139)</t>
  </si>
  <si>
    <t>=C139</t>
  </si>
  <si>
    <t>="@@"&amp;NF(E140,"1 No.")</t>
  </si>
  <si>
    <t>="""NAV 2015"",""CRONUS JetCorp USA"",""27"",""1"",""S100020"""</t>
  </si>
  <si>
    <t>=NL("Link","5802 Value Entry",,"2 Item No.","=1 No.","Filters=",$H$10:$I$13,"Link=",G140)</t>
  </si>
  <si>
    <t>=NL("Link","18 Customer",,"1 No.","=5 Source No.","5900 Service Zone Code",C140)</t>
  </si>
  <si>
    <t>=-NL("Sum","5802 Value Entry","14 Invoiced Quantity","3 Posting Date",K$15,"Filters=",$H$11:$I$13,"2 Item No.",$D140,"Link=",$G140)</t>
  </si>
  <si>
    <t>=IF(K140=0,0,M140/K140)</t>
  </si>
  <si>
    <t>=NL("Sum","5802 Value Entry","17 Sales Amount (Actual)","3 Posting Date",K$15,"Filters=",$H$11:$I$13,"2 Item No.",$D140,"Link=",$G140)</t>
  </si>
  <si>
    <t>=-NL("Sum","5802 Value Entry","14 Invoiced Quantity","3 Posting Date",O$15,"Filters=",$H$11:$I$13,"2 Item No.",$D140,"Link=",$G140)</t>
  </si>
  <si>
    <t>=IF(O140=0,0,Q140/O140)</t>
  </si>
  <si>
    <t>=NL("Sum","5802 Value Entry","17 Sales Amount (Actual)","3 Posting Date",O$15,"Filters=",$H$11:$I$13,"2 Item No.",$D140,"Link=",$G140)</t>
  </si>
  <si>
    <t>=C140</t>
  </si>
  <si>
    <t>="@@"&amp;NF(E141,"1 No.")</t>
  </si>
  <si>
    <t>="""NAV 2015"",""CRONUS JetCorp USA"",""27"",""1"",""S100021"""</t>
  </si>
  <si>
    <t>=NL("Link","5802 Value Entry",,"2 Item No.","=1 No.","Filters=",$H$10:$I$13,"Link=",G141)</t>
  </si>
  <si>
    <t>=NL("Link","18 Customer",,"1 No.","=5 Source No.","5900 Service Zone Code",C141)</t>
  </si>
  <si>
    <t>=-NL("Sum","5802 Value Entry","14 Invoiced Quantity","3 Posting Date",K$15,"Filters=",$H$11:$I$13,"2 Item No.",$D141,"Link=",$G141)</t>
  </si>
  <si>
    <t>=IF(K141=0,0,M141/K141)</t>
  </si>
  <si>
    <t>=NL("Sum","5802 Value Entry","17 Sales Amount (Actual)","3 Posting Date",K$15,"Filters=",$H$11:$I$13,"2 Item No.",$D141,"Link=",$G141)</t>
  </si>
  <si>
    <t>=-NL("Sum","5802 Value Entry","14 Invoiced Quantity","3 Posting Date",O$15,"Filters=",$H$11:$I$13,"2 Item No.",$D141,"Link=",$G141)</t>
  </si>
  <si>
    <t>=IF(O141=0,0,Q141/O141)</t>
  </si>
  <si>
    <t>=NL("Sum","5802 Value Entry","17 Sales Amount (Actual)","3 Posting Date",O$15,"Filters=",$H$11:$I$13,"2 Item No.",$D141,"Link=",$G141)</t>
  </si>
  <si>
    <t>=C141</t>
  </si>
  <si>
    <t>="@@"&amp;NF(E142,"1 No.")</t>
  </si>
  <si>
    <t>="""NAV 2015"",""CRONUS JetCorp USA"",""27"",""1"",""S100023"""</t>
  </si>
  <si>
    <t>=NL("Link","5802 Value Entry",,"2 Item No.","=1 No.","Filters=",$H$10:$I$13,"Link=",G142)</t>
  </si>
  <si>
    <t>=NL("Link","18 Customer",,"1 No.","=5 Source No.","5900 Service Zone Code",C142)</t>
  </si>
  <si>
    <t>=-NL("Sum","5802 Value Entry","14 Invoiced Quantity","3 Posting Date",K$15,"Filters=",$H$11:$I$13,"2 Item No.",$D142,"Link=",$G142)</t>
  </si>
  <si>
    <t>=IF(K142=0,0,M142/K142)</t>
  </si>
  <si>
    <t>=NL("Sum","5802 Value Entry","17 Sales Amount (Actual)","3 Posting Date",K$15,"Filters=",$H$11:$I$13,"2 Item No.",$D142,"Link=",$G142)</t>
  </si>
  <si>
    <t>=-NL("Sum","5802 Value Entry","14 Invoiced Quantity","3 Posting Date",O$15,"Filters=",$H$11:$I$13,"2 Item No.",$D142,"Link=",$G142)</t>
  </si>
  <si>
    <t>=IF(O142=0,0,Q142/O142)</t>
  </si>
  <si>
    <t>=NL("Sum","5802 Value Entry","17 Sales Amount (Actual)","3 Posting Date",O$15,"Filters=",$H$11:$I$13,"2 Item No.",$D142,"Link=",$G142)</t>
  </si>
  <si>
    <t>=C142</t>
  </si>
  <si>
    <t>="@@"&amp;NF(E143,"1 No.")</t>
  </si>
  <si>
    <t>="""NAV 2015"",""CRONUS JetCorp USA"",""27"",""1"",""S100024"""</t>
  </si>
  <si>
    <t>=NL("Link","5802 Value Entry",,"2 Item No.","=1 No.","Filters=",$H$10:$I$13,"Link=",G143)</t>
  </si>
  <si>
    <t>=NL("Link","18 Customer",,"1 No.","=5 Source No.","5900 Service Zone Code",C143)</t>
  </si>
  <si>
    <t>=-NL("Sum","5802 Value Entry","14 Invoiced Quantity","3 Posting Date",K$15,"Filters=",$H$11:$I$13,"2 Item No.",$D143,"Link=",$G143)</t>
  </si>
  <si>
    <t>=IF(K143=0,0,M143/K143)</t>
  </si>
  <si>
    <t>=NL("Sum","5802 Value Entry","17 Sales Amount (Actual)","3 Posting Date",K$15,"Filters=",$H$11:$I$13,"2 Item No.",$D143,"Link=",$G143)</t>
  </si>
  <si>
    <t>=-NL("Sum","5802 Value Entry","14 Invoiced Quantity","3 Posting Date",O$15,"Filters=",$H$11:$I$13,"2 Item No.",$D143,"Link=",$G143)</t>
  </si>
  <si>
    <t>=IF(O143=0,0,Q143/O143)</t>
  </si>
  <si>
    <t>=NL("Sum","5802 Value Entry","17 Sales Amount (Actual)","3 Posting Date",O$15,"Filters=",$H$11:$I$13,"2 Item No.",$D143,"Link=",$G143)</t>
  </si>
  <si>
    <t>=C143</t>
  </si>
  <si>
    <t>="@@"&amp;NF(E144,"1 No.")</t>
  </si>
  <si>
    <t>="""NAV 2015"",""CRONUS JetCorp USA"",""27"",""1"",""S100025"""</t>
  </si>
  <si>
    <t>=NL("Link","5802 Value Entry",,"2 Item No.","=1 No.","Filters=",$H$10:$I$13,"Link=",G144)</t>
  </si>
  <si>
    <t>=NL("Link","18 Customer",,"1 No.","=5 Source No.","5900 Service Zone Code",C144)</t>
  </si>
  <si>
    <t>=-NL("Sum","5802 Value Entry","14 Invoiced Quantity","3 Posting Date",K$15,"Filters=",$H$11:$I$13,"2 Item No.",$D144,"Link=",$G144)</t>
  </si>
  <si>
    <t>=IF(K144=0,0,M144/K144)</t>
  </si>
  <si>
    <t>=NL("Sum","5802 Value Entry","17 Sales Amount (Actual)","3 Posting Date",K$15,"Filters=",$H$11:$I$13,"2 Item No.",$D144,"Link=",$G144)</t>
  </si>
  <si>
    <t>=-NL("Sum","5802 Value Entry","14 Invoiced Quantity","3 Posting Date",O$15,"Filters=",$H$11:$I$13,"2 Item No.",$D144,"Link=",$G144)</t>
  </si>
  <si>
    <t>=IF(O144=0,0,Q144/O144)</t>
  </si>
  <si>
    <t>=NL("Sum","5802 Value Entry","17 Sales Amount (Actual)","3 Posting Date",O$15,"Filters=",$H$11:$I$13,"2 Item No.",$D144,"Link=",$G144)</t>
  </si>
  <si>
    <t>=C144</t>
  </si>
  <si>
    <t>="@@"&amp;NF(E145,"1 No.")</t>
  </si>
  <si>
    <t>="""NAV 2015"",""CRONUS JetCorp USA"",""27"",""1"",""S100026"""</t>
  </si>
  <si>
    <t>=NL("Link","5802 Value Entry",,"2 Item No.","=1 No.","Filters=",$H$10:$I$13,"Link=",G145)</t>
  </si>
  <si>
    <t>=NL("Link","18 Customer",,"1 No.","=5 Source No.","5900 Service Zone Code",C145)</t>
  </si>
  <si>
    <t>=-NL("Sum","5802 Value Entry","14 Invoiced Quantity","3 Posting Date",K$15,"Filters=",$H$11:$I$13,"2 Item No.",$D145,"Link=",$G145)</t>
  </si>
  <si>
    <t>=IF(K145=0,0,M145/K145)</t>
  </si>
  <si>
    <t>=NL("Sum","5802 Value Entry","17 Sales Amount (Actual)","3 Posting Date",K$15,"Filters=",$H$11:$I$13,"2 Item No.",$D145,"Link=",$G145)</t>
  </si>
  <si>
    <t>=-NL("Sum","5802 Value Entry","14 Invoiced Quantity","3 Posting Date",O$15,"Filters=",$H$11:$I$13,"2 Item No.",$D145,"Link=",$G145)</t>
  </si>
  <si>
    <t>=IF(O145=0,0,Q145/O145)</t>
  </si>
  <si>
    <t>=NL("Sum","5802 Value Entry","17 Sales Amount (Actual)","3 Posting Date",O$15,"Filters=",$H$11:$I$13,"2 Item No.",$D145,"Link=",$G145)</t>
  </si>
  <si>
    <t>=C145</t>
  </si>
  <si>
    <t>="@@"&amp;NF(E146,"1 No.")</t>
  </si>
  <si>
    <t>="""NAV 2015"",""CRONUS JetCorp USA"",""27"",""1"",""S200001"""</t>
  </si>
  <si>
    <t>=NL("Link","5802 Value Entry",,"2 Item No.","=1 No.","Filters=",$H$10:$I$13,"Link=",G146)</t>
  </si>
  <si>
    <t>=NL("Link","18 Customer",,"1 No.","=5 Source No.","5900 Service Zone Code",C146)</t>
  </si>
  <si>
    <t>=-NL("Sum","5802 Value Entry","14 Invoiced Quantity","3 Posting Date",K$15,"Filters=",$H$11:$I$13,"2 Item No.",$D146,"Link=",$G146)</t>
  </si>
  <si>
    <t>=IF(K146=0,0,M146/K146)</t>
  </si>
  <si>
    <t>=NL("Sum","5802 Value Entry","17 Sales Amount (Actual)","3 Posting Date",K$15,"Filters=",$H$11:$I$13,"2 Item No.",$D146,"Link=",$G146)</t>
  </si>
  <si>
    <t>=-NL("Sum","5802 Value Entry","14 Invoiced Quantity","3 Posting Date",O$15,"Filters=",$H$11:$I$13,"2 Item No.",$D146,"Link=",$G146)</t>
  </si>
  <si>
    <t>=IF(O146=0,0,Q146/O146)</t>
  </si>
  <si>
    <t>=NL("Sum","5802 Value Entry","17 Sales Amount (Actual)","3 Posting Date",O$15,"Filters=",$H$11:$I$13,"2 Item No.",$D146,"Link=",$G146)</t>
  </si>
  <si>
    <t>=C146</t>
  </si>
  <si>
    <t>="@@"&amp;NF(E147,"1 No.")</t>
  </si>
  <si>
    <t>="""NAV 2015"",""CRONUS JetCorp USA"",""27"",""1"",""S200003"""</t>
  </si>
  <si>
    <t>=NL("Link","5802 Value Entry",,"2 Item No.","=1 No.","Filters=",$H$10:$I$13,"Link=",G147)</t>
  </si>
  <si>
    <t>=NL("Link","18 Customer",,"1 No.","=5 Source No.","5900 Service Zone Code",C147)</t>
  </si>
  <si>
    <t>=-NL("Sum","5802 Value Entry","14 Invoiced Quantity","3 Posting Date",K$15,"Filters=",$H$11:$I$13,"2 Item No.",$D147,"Link=",$G147)</t>
  </si>
  <si>
    <t>=IF(K147=0,0,M147/K147)</t>
  </si>
  <si>
    <t>=NL("Sum","5802 Value Entry","17 Sales Amount (Actual)","3 Posting Date",K$15,"Filters=",$H$11:$I$13,"2 Item No.",$D147,"Link=",$G147)</t>
  </si>
  <si>
    <t>=-NL("Sum","5802 Value Entry","14 Invoiced Quantity","3 Posting Date",O$15,"Filters=",$H$11:$I$13,"2 Item No.",$D147,"Link=",$G147)</t>
  </si>
  <si>
    <t>=IF(O147=0,0,Q147/O147)</t>
  </si>
  <si>
    <t>=NL("Sum","5802 Value Entry","17 Sales Amount (Actual)","3 Posting Date",O$15,"Filters=",$H$11:$I$13,"2 Item No.",$D147,"Link=",$G147)</t>
  </si>
  <si>
    <t>=C147</t>
  </si>
  <si>
    <t>="@@"&amp;NF(E148,"1 No.")</t>
  </si>
  <si>
    <t>="""NAV 2015"",""CRONUS JetCorp USA"",""27"",""1"",""S200004"""</t>
  </si>
  <si>
    <t>=NL("Link","5802 Value Entry",,"2 Item No.","=1 No.","Filters=",$H$10:$I$13,"Link=",G148)</t>
  </si>
  <si>
    <t>=NL("Link","18 Customer",,"1 No.","=5 Source No.","5900 Service Zone Code",C148)</t>
  </si>
  <si>
    <t>=-NL("Sum","5802 Value Entry","14 Invoiced Quantity","3 Posting Date",K$15,"Filters=",$H$11:$I$13,"2 Item No.",$D148,"Link=",$G148)</t>
  </si>
  <si>
    <t>=IF(K148=0,0,M148/K148)</t>
  </si>
  <si>
    <t>=NL("Sum","5802 Value Entry","17 Sales Amount (Actual)","3 Posting Date",K$15,"Filters=",$H$11:$I$13,"2 Item No.",$D148,"Link=",$G148)</t>
  </si>
  <si>
    <t>=-NL("Sum","5802 Value Entry","14 Invoiced Quantity","3 Posting Date",O$15,"Filters=",$H$11:$I$13,"2 Item No.",$D148,"Link=",$G148)</t>
  </si>
  <si>
    <t>=IF(O148=0,0,Q148/O148)</t>
  </si>
  <si>
    <t>=NL("Sum","5802 Value Entry","17 Sales Amount (Actual)","3 Posting Date",O$15,"Filters=",$H$11:$I$13,"2 Item No.",$D148,"Link=",$G148)</t>
  </si>
  <si>
    <t>=C148</t>
  </si>
  <si>
    <t>="@@"&amp;NF(E149,"1 No.")</t>
  </si>
  <si>
    <t>="""NAV 2015"",""CRONUS JetCorp USA"",""27"",""1"",""S200005"""</t>
  </si>
  <si>
    <t>=NL("Link","5802 Value Entry",,"2 Item No.","=1 No.","Filters=",$H$10:$I$13,"Link=",G149)</t>
  </si>
  <si>
    <t>=NL("Link","18 Customer",,"1 No.","=5 Source No.","5900 Service Zone Code",C149)</t>
  </si>
  <si>
    <t>=-NL("Sum","5802 Value Entry","14 Invoiced Quantity","3 Posting Date",K$15,"Filters=",$H$11:$I$13,"2 Item No.",$D149,"Link=",$G149)</t>
  </si>
  <si>
    <t>=IF(K149=0,0,M149/K149)</t>
  </si>
  <si>
    <t>=NL("Sum","5802 Value Entry","17 Sales Amount (Actual)","3 Posting Date",K$15,"Filters=",$H$11:$I$13,"2 Item No.",$D149,"Link=",$G149)</t>
  </si>
  <si>
    <t>=-NL("Sum","5802 Value Entry","14 Invoiced Quantity","3 Posting Date",O$15,"Filters=",$H$11:$I$13,"2 Item No.",$D149,"Link=",$G149)</t>
  </si>
  <si>
    <t>=IF(O149=0,0,Q149/O149)</t>
  </si>
  <si>
    <t>=NL("Sum","5802 Value Entry","17 Sales Amount (Actual)","3 Posting Date",O$15,"Filters=",$H$11:$I$13,"2 Item No.",$D149,"Link=",$G149)</t>
  </si>
  <si>
    <t>=C149</t>
  </si>
  <si>
    <t>="@@"&amp;NF(E150,"1 No.")</t>
  </si>
  <si>
    <t>="""NAV 2015"",""CRONUS JetCorp USA"",""27"",""1"",""S200006"""</t>
  </si>
  <si>
    <t>=NL("Link","5802 Value Entry",,"2 Item No.","=1 No.","Filters=",$H$10:$I$13,"Link=",G150)</t>
  </si>
  <si>
    <t>=NL("Link","18 Customer",,"1 No.","=5 Source No.","5900 Service Zone Code",C150)</t>
  </si>
  <si>
    <t>=-NL("Sum","5802 Value Entry","14 Invoiced Quantity","3 Posting Date",K$15,"Filters=",$H$11:$I$13,"2 Item No.",$D150,"Link=",$G150)</t>
  </si>
  <si>
    <t>=IF(K150=0,0,M150/K150)</t>
  </si>
  <si>
    <t>=NL("Sum","5802 Value Entry","17 Sales Amount (Actual)","3 Posting Date",K$15,"Filters=",$H$11:$I$13,"2 Item No.",$D150,"Link=",$G150)</t>
  </si>
  <si>
    <t>=-NL("Sum","5802 Value Entry","14 Invoiced Quantity","3 Posting Date",O$15,"Filters=",$H$11:$I$13,"2 Item No.",$D150,"Link=",$G150)</t>
  </si>
  <si>
    <t>=IF(O150=0,0,Q150/O150)</t>
  </si>
  <si>
    <t>=NL("Sum","5802 Value Entry","17 Sales Amount (Actual)","3 Posting Date",O$15,"Filters=",$H$11:$I$13,"2 Item No.",$D150,"Link=",$G150)</t>
  </si>
  <si>
    <t>=C150</t>
  </si>
  <si>
    <t>="@@"&amp;NF(E151,"1 No.")</t>
  </si>
  <si>
    <t>="""NAV 2015"",""CRONUS JetCorp USA"",""27"",""1"",""S200007"""</t>
  </si>
  <si>
    <t>=NL("Link","5802 Value Entry",,"2 Item No.","=1 No.","Filters=",$H$10:$I$13,"Link=",G151)</t>
  </si>
  <si>
    <t>=NL("Link","18 Customer",,"1 No.","=5 Source No.","5900 Service Zone Code",C151)</t>
  </si>
  <si>
    <t>=-NL("Sum","5802 Value Entry","14 Invoiced Quantity","3 Posting Date",K$15,"Filters=",$H$11:$I$13,"2 Item No.",$D151,"Link=",$G151)</t>
  </si>
  <si>
    <t>=IF(K151=0,0,M151/K151)</t>
  </si>
  <si>
    <t>=NL("Sum","5802 Value Entry","17 Sales Amount (Actual)","3 Posting Date",K$15,"Filters=",$H$11:$I$13,"2 Item No.",$D151,"Link=",$G151)</t>
  </si>
  <si>
    <t>=-NL("Sum","5802 Value Entry","14 Invoiced Quantity","3 Posting Date",O$15,"Filters=",$H$11:$I$13,"2 Item No.",$D151,"Link=",$G151)</t>
  </si>
  <si>
    <t>=IF(O151=0,0,Q151/O151)</t>
  </si>
  <si>
    <t>=NL("Sum","5802 Value Entry","17 Sales Amount (Actual)","3 Posting Date",O$15,"Filters=",$H$11:$I$13,"2 Item No.",$D151,"Link=",$G151)</t>
  </si>
  <si>
    <t>=C151</t>
  </si>
  <si>
    <t>="@@"&amp;NF(E152,"1 No.")</t>
  </si>
  <si>
    <t>="""NAV 2015"",""CRONUS JetCorp USA"",""27"",""1"",""S200008"""</t>
  </si>
  <si>
    <t>=NL("Link","5802 Value Entry",,"2 Item No.","=1 No.","Filters=",$H$10:$I$13,"Link=",G152)</t>
  </si>
  <si>
    <t>=NL("Link","18 Customer",,"1 No.","=5 Source No.","5900 Service Zone Code",C152)</t>
  </si>
  <si>
    <t>=-NL("Sum","5802 Value Entry","14 Invoiced Quantity","3 Posting Date",K$15,"Filters=",$H$11:$I$13,"2 Item No.",$D152,"Link=",$G152)</t>
  </si>
  <si>
    <t>=IF(K152=0,0,M152/K152)</t>
  </si>
  <si>
    <t>=NL("Sum","5802 Value Entry","17 Sales Amount (Actual)","3 Posting Date",K$15,"Filters=",$H$11:$I$13,"2 Item No.",$D152,"Link=",$G152)</t>
  </si>
  <si>
    <t>=-NL("Sum","5802 Value Entry","14 Invoiced Quantity","3 Posting Date",O$15,"Filters=",$H$11:$I$13,"2 Item No.",$D152,"Link=",$G152)</t>
  </si>
  <si>
    <t>=IF(O152=0,0,Q152/O152)</t>
  </si>
  <si>
    <t>=NL("Sum","5802 Value Entry","17 Sales Amount (Actual)","3 Posting Date",O$15,"Filters=",$H$11:$I$13,"2 Item No.",$D152,"Link=",$G152)</t>
  </si>
  <si>
    <t>=C152</t>
  </si>
  <si>
    <t>="@@"&amp;NF(E153,"1 No.")</t>
  </si>
  <si>
    <t>="""NAV 2015"",""CRONUS JetCorp USA"",""27"",""1"",""S200009"""</t>
  </si>
  <si>
    <t>=NL("Link","5802 Value Entry",,"2 Item No.","=1 No.","Filters=",$H$10:$I$13,"Link=",G153)</t>
  </si>
  <si>
    <t>=NL("Link","18 Customer",,"1 No.","=5 Source No.","5900 Service Zone Code",C153)</t>
  </si>
  <si>
    <t>=-NL("Sum","5802 Value Entry","14 Invoiced Quantity","3 Posting Date",K$15,"Filters=",$H$11:$I$13,"2 Item No.",$D153,"Link=",$G153)</t>
  </si>
  <si>
    <t>=IF(K153=0,0,M153/K153)</t>
  </si>
  <si>
    <t>=NL("Sum","5802 Value Entry","17 Sales Amount (Actual)","3 Posting Date",K$15,"Filters=",$H$11:$I$13,"2 Item No.",$D153,"Link=",$G153)</t>
  </si>
  <si>
    <t>=-NL("Sum","5802 Value Entry","14 Invoiced Quantity","3 Posting Date",O$15,"Filters=",$H$11:$I$13,"2 Item No.",$D153,"Link=",$G153)</t>
  </si>
  <si>
    <t>=IF(O153=0,0,Q153/O153)</t>
  </si>
  <si>
    <t>=NL("Sum","5802 Value Entry","17 Sales Amount (Actual)","3 Posting Date",O$15,"Filters=",$H$11:$I$13,"2 Item No.",$D153,"Link=",$G153)</t>
  </si>
  <si>
    <t>=C153</t>
  </si>
  <si>
    <t>="@@"&amp;NF(E154,"1 No.")</t>
  </si>
  <si>
    <t>="""NAV 2015"",""CRONUS JetCorp USA"",""27"",""1"",""S200010"""</t>
  </si>
  <si>
    <t>=NL("Link","5802 Value Entry",,"2 Item No.","=1 No.","Filters=",$H$10:$I$13,"Link=",G154)</t>
  </si>
  <si>
    <t>=NL("Link","18 Customer",,"1 No.","=5 Source No.","5900 Service Zone Code",C154)</t>
  </si>
  <si>
    <t>=-NL("Sum","5802 Value Entry","14 Invoiced Quantity","3 Posting Date",K$15,"Filters=",$H$11:$I$13,"2 Item No.",$D154,"Link=",$G154)</t>
  </si>
  <si>
    <t>=IF(K154=0,0,M154/K154)</t>
  </si>
  <si>
    <t>=NL("Sum","5802 Value Entry","17 Sales Amount (Actual)","3 Posting Date",K$15,"Filters=",$H$11:$I$13,"2 Item No.",$D154,"Link=",$G154)</t>
  </si>
  <si>
    <t>=-NL("Sum","5802 Value Entry","14 Invoiced Quantity","3 Posting Date",O$15,"Filters=",$H$11:$I$13,"2 Item No.",$D154,"Link=",$G154)</t>
  </si>
  <si>
    <t>=IF(O154=0,0,Q154/O154)</t>
  </si>
  <si>
    <t>=NL("Sum","5802 Value Entry","17 Sales Amount (Actual)","3 Posting Date",O$15,"Filters=",$H$11:$I$13,"2 Item No.",$D154,"Link=",$G154)</t>
  </si>
  <si>
    <t>=C154</t>
  </si>
  <si>
    <t>="@@"&amp;NF(E155,"1 No.")</t>
  </si>
  <si>
    <t>="""NAV 2015"",""CRONUS JetCorp USA"",""27"",""1"",""S200011"""</t>
  </si>
  <si>
    <t>=NL("Link","5802 Value Entry",,"2 Item No.","=1 No.","Filters=",$H$10:$I$13,"Link=",G155)</t>
  </si>
  <si>
    <t>=NL("Link","18 Customer",,"1 No.","=5 Source No.","5900 Service Zone Code",C155)</t>
  </si>
  <si>
    <t>=-NL("Sum","5802 Value Entry","14 Invoiced Quantity","3 Posting Date",K$15,"Filters=",$H$11:$I$13,"2 Item No.",$D155,"Link=",$G155)</t>
  </si>
  <si>
    <t>=IF(K155=0,0,M155/K155)</t>
  </si>
  <si>
    <t>=NL("Sum","5802 Value Entry","17 Sales Amount (Actual)","3 Posting Date",K$15,"Filters=",$H$11:$I$13,"2 Item No.",$D155,"Link=",$G155)</t>
  </si>
  <si>
    <t>=-NL("Sum","5802 Value Entry","14 Invoiced Quantity","3 Posting Date",O$15,"Filters=",$H$11:$I$13,"2 Item No.",$D155,"Link=",$G155)</t>
  </si>
  <si>
    <t>=IF(O155=0,0,Q155/O155)</t>
  </si>
  <si>
    <t>=NL("Sum","5802 Value Entry","17 Sales Amount (Actual)","3 Posting Date",O$15,"Filters=",$H$11:$I$13,"2 Item No.",$D155,"Link=",$G155)</t>
  </si>
  <si>
    <t>=C155</t>
  </si>
  <si>
    <t>="@@"&amp;NF(E156,"1 No.")</t>
  </si>
  <si>
    <t>="""NAV 2015"",""CRONUS JetCorp USA"",""27"",""1"",""S200012"""</t>
  </si>
  <si>
    <t>=NL("Link","5802 Value Entry",,"2 Item No.","=1 No.","Filters=",$H$10:$I$13,"Link=",G156)</t>
  </si>
  <si>
    <t>=NL("Link","18 Customer",,"1 No.","=5 Source No.","5900 Service Zone Code",C156)</t>
  </si>
  <si>
    <t>=-NL("Sum","5802 Value Entry","14 Invoiced Quantity","3 Posting Date",K$15,"Filters=",$H$11:$I$13,"2 Item No.",$D156,"Link=",$G156)</t>
  </si>
  <si>
    <t>=IF(K156=0,0,M156/K156)</t>
  </si>
  <si>
    <t>=NL("Sum","5802 Value Entry","17 Sales Amount (Actual)","3 Posting Date",K$15,"Filters=",$H$11:$I$13,"2 Item No.",$D156,"Link=",$G156)</t>
  </si>
  <si>
    <t>=-NL("Sum","5802 Value Entry","14 Invoiced Quantity","3 Posting Date",O$15,"Filters=",$H$11:$I$13,"2 Item No.",$D156,"Link=",$G156)</t>
  </si>
  <si>
    <t>=IF(O156=0,0,Q156/O156)</t>
  </si>
  <si>
    <t>=NL("Sum","5802 Value Entry","17 Sales Amount (Actual)","3 Posting Date",O$15,"Filters=",$H$11:$I$13,"2 Item No.",$D156,"Link=",$G156)</t>
  </si>
  <si>
    <t>=C156</t>
  </si>
  <si>
    <t>="@@"&amp;NF(E157,"1 No.")</t>
  </si>
  <si>
    <t>="""NAV 2015"",""CRONUS JetCorp USA"",""27"",""1"",""S200013"""</t>
  </si>
  <si>
    <t>=NL("Link","5802 Value Entry",,"2 Item No.","=1 No.","Filters=",$H$10:$I$13,"Link=",G157)</t>
  </si>
  <si>
    <t>=NL("Link","18 Customer",,"1 No.","=5 Source No.","5900 Service Zone Code",C157)</t>
  </si>
  <si>
    <t>=-NL("Sum","5802 Value Entry","14 Invoiced Quantity","3 Posting Date",K$15,"Filters=",$H$11:$I$13,"2 Item No.",$D157,"Link=",$G157)</t>
  </si>
  <si>
    <t>=IF(K157=0,0,M157/K157)</t>
  </si>
  <si>
    <t>=NL("Sum","5802 Value Entry","17 Sales Amount (Actual)","3 Posting Date",K$15,"Filters=",$H$11:$I$13,"2 Item No.",$D157,"Link=",$G157)</t>
  </si>
  <si>
    <t>=-NL("Sum","5802 Value Entry","14 Invoiced Quantity","3 Posting Date",O$15,"Filters=",$H$11:$I$13,"2 Item No.",$D157,"Link=",$G157)</t>
  </si>
  <si>
    <t>=IF(O157=0,0,Q157/O157)</t>
  </si>
  <si>
    <t>=NL("Sum","5802 Value Entry","17 Sales Amount (Actual)","3 Posting Date",O$15,"Filters=",$H$11:$I$13,"2 Item No.",$D157,"Link=",$G157)</t>
  </si>
  <si>
    <t>=C157</t>
  </si>
  <si>
    <t>="@@"&amp;NF(E158,"1 No.")</t>
  </si>
  <si>
    <t>="""NAV 2015"",""CRONUS JetCorp USA"",""27"",""1"",""S200014"""</t>
  </si>
  <si>
    <t>=NL("Link","5802 Value Entry",,"2 Item No.","=1 No.","Filters=",$H$10:$I$13,"Link=",G158)</t>
  </si>
  <si>
    <t>=NL("Link","18 Customer",,"1 No.","=5 Source No.","5900 Service Zone Code",C158)</t>
  </si>
  <si>
    <t>=-NL("Sum","5802 Value Entry","14 Invoiced Quantity","3 Posting Date",K$15,"Filters=",$H$11:$I$13,"2 Item No.",$D158,"Link=",$G158)</t>
  </si>
  <si>
    <t>=IF(K158=0,0,M158/K158)</t>
  </si>
  <si>
    <t>=NL("Sum","5802 Value Entry","17 Sales Amount (Actual)","3 Posting Date",K$15,"Filters=",$H$11:$I$13,"2 Item No.",$D158,"Link=",$G158)</t>
  </si>
  <si>
    <t>=-NL("Sum","5802 Value Entry","14 Invoiced Quantity","3 Posting Date",O$15,"Filters=",$H$11:$I$13,"2 Item No.",$D158,"Link=",$G158)</t>
  </si>
  <si>
    <t>=IF(O158=0,0,Q158/O158)</t>
  </si>
  <si>
    <t>=NL("Sum","5802 Value Entry","17 Sales Amount (Actual)","3 Posting Date",O$15,"Filters=",$H$11:$I$13,"2 Item No.",$D158,"Link=",$G158)</t>
  </si>
  <si>
    <t>=C158</t>
  </si>
  <si>
    <t>="@@"&amp;NF(E159,"1 No.")</t>
  </si>
  <si>
    <t>="""NAV 2015"",""CRONUS JetCorp USA"",""27"",""1"",""S200015"""</t>
  </si>
  <si>
    <t>=NL("Link","5802 Value Entry",,"2 Item No.","=1 No.","Filters=",$H$10:$I$13,"Link=",G159)</t>
  </si>
  <si>
    <t>=NL("Link","18 Customer",,"1 No.","=5 Source No.","5900 Service Zone Code",C159)</t>
  </si>
  <si>
    <t>=-NL("Sum","5802 Value Entry","14 Invoiced Quantity","3 Posting Date",K$15,"Filters=",$H$11:$I$13,"2 Item No.",$D159,"Link=",$G159)</t>
  </si>
  <si>
    <t>=IF(K159=0,0,M159/K159)</t>
  </si>
  <si>
    <t>=NL("Sum","5802 Value Entry","17 Sales Amount (Actual)","3 Posting Date",K$15,"Filters=",$H$11:$I$13,"2 Item No.",$D159,"Link=",$G159)</t>
  </si>
  <si>
    <t>=-NL("Sum","5802 Value Entry","14 Invoiced Quantity","3 Posting Date",O$15,"Filters=",$H$11:$I$13,"2 Item No.",$D159,"Link=",$G159)</t>
  </si>
  <si>
    <t>=IF(O159=0,0,Q159/O159)</t>
  </si>
  <si>
    <t>=NL("Sum","5802 Value Entry","17 Sales Amount (Actual)","3 Posting Date",O$15,"Filters=",$H$11:$I$13,"2 Item No.",$D159,"Link=",$G159)</t>
  </si>
  <si>
    <t>=C159</t>
  </si>
  <si>
    <t>="@@"&amp;NF(E160,"1 No.")</t>
  </si>
  <si>
    <t>="""NAV 2015"",""CRONUS JetCorp USA"",""27"",""1"",""S200016"""</t>
  </si>
  <si>
    <t>=NL("Link","5802 Value Entry",,"2 Item No.","=1 No.","Filters=",$H$10:$I$13,"Link=",G160)</t>
  </si>
  <si>
    <t>=NL("Link","18 Customer",,"1 No.","=5 Source No.","5900 Service Zone Code",C160)</t>
  </si>
  <si>
    <t>=-NL("Sum","5802 Value Entry","14 Invoiced Quantity","3 Posting Date",K$15,"Filters=",$H$11:$I$13,"2 Item No.",$D160,"Link=",$G160)</t>
  </si>
  <si>
    <t>=IF(K160=0,0,M160/K160)</t>
  </si>
  <si>
    <t>=NL("Sum","5802 Value Entry","17 Sales Amount (Actual)","3 Posting Date",K$15,"Filters=",$H$11:$I$13,"2 Item No.",$D160,"Link=",$G160)</t>
  </si>
  <si>
    <t>=-NL("Sum","5802 Value Entry","14 Invoiced Quantity","3 Posting Date",O$15,"Filters=",$H$11:$I$13,"2 Item No.",$D160,"Link=",$G160)</t>
  </si>
  <si>
    <t>=IF(O160=0,0,Q160/O160)</t>
  </si>
  <si>
    <t>=NL("Sum","5802 Value Entry","17 Sales Amount (Actual)","3 Posting Date",O$15,"Filters=",$H$11:$I$13,"2 Item No.",$D160,"Link=",$G160)</t>
  </si>
  <si>
    <t>=C160</t>
  </si>
  <si>
    <t>="@@"&amp;NF(E161,"1 No.")</t>
  </si>
  <si>
    <t>="""NAV 2015"",""CRONUS JetCorp USA"",""27"",""1"",""S200017"""</t>
  </si>
  <si>
    <t>=NL("Link","5802 Value Entry",,"2 Item No.","=1 No.","Filters=",$H$10:$I$13,"Link=",G161)</t>
  </si>
  <si>
    <t>=NL("Link","18 Customer",,"1 No.","=5 Source No.","5900 Service Zone Code",C161)</t>
  </si>
  <si>
    <t>=-NL("Sum","5802 Value Entry","14 Invoiced Quantity","3 Posting Date",K$15,"Filters=",$H$11:$I$13,"2 Item No.",$D161,"Link=",$G161)</t>
  </si>
  <si>
    <t>=IF(K161=0,0,M161/K161)</t>
  </si>
  <si>
    <t>=NL("Sum","5802 Value Entry","17 Sales Amount (Actual)","3 Posting Date",K$15,"Filters=",$H$11:$I$13,"2 Item No.",$D161,"Link=",$G161)</t>
  </si>
  <si>
    <t>=-NL("Sum","5802 Value Entry","14 Invoiced Quantity","3 Posting Date",O$15,"Filters=",$H$11:$I$13,"2 Item No.",$D161,"Link=",$G161)</t>
  </si>
  <si>
    <t>=IF(O161=0,0,Q161/O161)</t>
  </si>
  <si>
    <t>=NL("Sum","5802 Value Entry","17 Sales Amount (Actual)","3 Posting Date",O$15,"Filters=",$H$11:$I$13,"2 Item No.",$D161,"Link=",$G161)</t>
  </si>
  <si>
    <t>=C161</t>
  </si>
  <si>
    <t>="@@"&amp;NF(E162,"1 No.")</t>
  </si>
  <si>
    <t>="""NAV 2015"",""CRONUS JetCorp USA"",""27"",""1"",""S200018"""</t>
  </si>
  <si>
    <t>=NL("Link","5802 Value Entry",,"2 Item No.","=1 No.","Filters=",$H$10:$I$13,"Link=",G162)</t>
  </si>
  <si>
    <t>=NL("Link","18 Customer",,"1 No.","=5 Source No.","5900 Service Zone Code",C162)</t>
  </si>
  <si>
    <t>=-NL("Sum","5802 Value Entry","14 Invoiced Quantity","3 Posting Date",K$15,"Filters=",$H$11:$I$13,"2 Item No.",$D162,"Link=",$G162)</t>
  </si>
  <si>
    <t>=IF(K162=0,0,M162/K162)</t>
  </si>
  <si>
    <t>=NL("Sum","5802 Value Entry","17 Sales Amount (Actual)","3 Posting Date",K$15,"Filters=",$H$11:$I$13,"2 Item No.",$D162,"Link=",$G162)</t>
  </si>
  <si>
    <t>=-NL("Sum","5802 Value Entry","14 Invoiced Quantity","3 Posting Date",O$15,"Filters=",$H$11:$I$13,"2 Item No.",$D162,"Link=",$G162)</t>
  </si>
  <si>
    <t>=IF(O162=0,0,Q162/O162)</t>
  </si>
  <si>
    <t>=NL("Sum","5802 Value Entry","17 Sales Amount (Actual)","3 Posting Date",O$15,"Filters=",$H$11:$I$13,"2 Item No.",$D162,"Link=",$G162)</t>
  </si>
  <si>
    <t>=C162</t>
  </si>
  <si>
    <t>="@@"&amp;NF(E163,"1 No.")</t>
  </si>
  <si>
    <t>="""NAV 2015"",""CRONUS JetCorp USA"",""27"",""1"",""S200019"""</t>
  </si>
  <si>
    <t>=NL("Link","5802 Value Entry",,"2 Item No.","=1 No.","Filters=",$H$10:$I$13,"Link=",G163)</t>
  </si>
  <si>
    <t>=NL("Link","18 Customer",,"1 No.","=5 Source No.","5900 Service Zone Code",C163)</t>
  </si>
  <si>
    <t>=-NL("Sum","5802 Value Entry","14 Invoiced Quantity","3 Posting Date",K$15,"Filters=",$H$11:$I$13,"2 Item No.",$D163,"Link=",$G163)</t>
  </si>
  <si>
    <t>=IF(K163=0,0,M163/K163)</t>
  </si>
  <si>
    <t>=NL("Sum","5802 Value Entry","17 Sales Amount (Actual)","3 Posting Date",K$15,"Filters=",$H$11:$I$13,"2 Item No.",$D163,"Link=",$G163)</t>
  </si>
  <si>
    <t>=-NL("Sum","5802 Value Entry","14 Invoiced Quantity","3 Posting Date",O$15,"Filters=",$H$11:$I$13,"2 Item No.",$D163,"Link=",$G163)</t>
  </si>
  <si>
    <t>=IF(O163=0,0,Q163/O163)</t>
  </si>
  <si>
    <t>=NL("Sum","5802 Value Entry","17 Sales Amount (Actual)","3 Posting Date",O$15,"Filters=",$H$11:$I$13,"2 Item No.",$D163,"Link=",$G163)</t>
  </si>
  <si>
    <t>=C163</t>
  </si>
  <si>
    <t>="@@"&amp;NF(E164,"1 No.")</t>
  </si>
  <si>
    <t>="""NAV 2015"",""CRONUS JetCorp USA"",""27"",""1"",""S200020"""</t>
  </si>
  <si>
    <t>=NL("Link","5802 Value Entry",,"2 Item No.","=1 No.","Filters=",$H$10:$I$13,"Link=",G164)</t>
  </si>
  <si>
    <t>=NL("Link","18 Customer",,"1 No.","=5 Source No.","5900 Service Zone Code",C164)</t>
  </si>
  <si>
    <t>=-NL("Sum","5802 Value Entry","14 Invoiced Quantity","3 Posting Date",K$15,"Filters=",$H$11:$I$13,"2 Item No.",$D164,"Link=",$G164)</t>
  </si>
  <si>
    <t>=IF(K164=0,0,M164/K164)</t>
  </si>
  <si>
    <t>=NL("Sum","5802 Value Entry","17 Sales Amount (Actual)","3 Posting Date",K$15,"Filters=",$H$11:$I$13,"2 Item No.",$D164,"Link=",$G164)</t>
  </si>
  <si>
    <t>=-NL("Sum","5802 Value Entry","14 Invoiced Quantity","3 Posting Date",O$15,"Filters=",$H$11:$I$13,"2 Item No.",$D164,"Link=",$G164)</t>
  </si>
  <si>
    <t>=IF(O164=0,0,Q164/O164)</t>
  </si>
  <si>
    <t>=NL("Sum","5802 Value Entry","17 Sales Amount (Actual)","3 Posting Date",O$15,"Filters=",$H$11:$I$13,"2 Item No.",$D164,"Link=",$G164)</t>
  </si>
  <si>
    <t>=C164</t>
  </si>
  <si>
    <t>="@@"&amp;NF(E165,"1 No.")</t>
  </si>
  <si>
    <t>="""NAV 2015"",""CRONUS JetCorp USA"",""27"",""1"",""S200021"""</t>
  </si>
  <si>
    <t>=NL("Link","5802 Value Entry",,"2 Item No.","=1 No.","Filters=",$H$10:$I$13,"Link=",G165)</t>
  </si>
  <si>
    <t>=NL("Link","18 Customer",,"1 No.","=5 Source No.","5900 Service Zone Code",C165)</t>
  </si>
  <si>
    <t>=-NL("Sum","5802 Value Entry","14 Invoiced Quantity","3 Posting Date",K$15,"Filters=",$H$11:$I$13,"2 Item No.",$D165,"Link=",$G165)</t>
  </si>
  <si>
    <t>=IF(K165=0,0,M165/K165)</t>
  </si>
  <si>
    <t>=NL("Sum","5802 Value Entry","17 Sales Amount (Actual)","3 Posting Date",K$15,"Filters=",$H$11:$I$13,"2 Item No.",$D165,"Link=",$G165)</t>
  </si>
  <si>
    <t>=-NL("Sum","5802 Value Entry","14 Invoiced Quantity","3 Posting Date",O$15,"Filters=",$H$11:$I$13,"2 Item No.",$D165,"Link=",$G165)</t>
  </si>
  <si>
    <t>=IF(O165=0,0,Q165/O165)</t>
  </si>
  <si>
    <t>=NL("Sum","5802 Value Entry","17 Sales Amount (Actual)","3 Posting Date",O$15,"Filters=",$H$11:$I$13,"2 Item No.",$D165,"Link=",$G165)</t>
  </si>
  <si>
    <t>=C165</t>
  </si>
  <si>
    <t>="@@"&amp;NF(E166,"1 No.")</t>
  </si>
  <si>
    <t>="""NAV 2015"",""CRONUS JetCorp USA"",""27"",""1"",""S200022"""</t>
  </si>
  <si>
    <t>=NL("Link","5802 Value Entry",,"2 Item No.","=1 No.","Filters=",$H$10:$I$13,"Link=",G166)</t>
  </si>
  <si>
    <t>=NL("Link","18 Customer",,"1 No.","=5 Source No.","5900 Service Zone Code",C166)</t>
  </si>
  <si>
    <t>=-NL("Sum","5802 Value Entry","14 Invoiced Quantity","3 Posting Date",K$15,"Filters=",$H$11:$I$13,"2 Item No.",$D166,"Link=",$G166)</t>
  </si>
  <si>
    <t>=IF(K166=0,0,M166/K166)</t>
  </si>
  <si>
    <t>=NL("Sum","5802 Value Entry","17 Sales Amount (Actual)","3 Posting Date",K$15,"Filters=",$H$11:$I$13,"2 Item No.",$D166,"Link=",$G166)</t>
  </si>
  <si>
    <t>=-NL("Sum","5802 Value Entry","14 Invoiced Quantity","3 Posting Date",O$15,"Filters=",$H$11:$I$13,"2 Item No.",$D166,"Link=",$G166)</t>
  </si>
  <si>
    <t>=IF(O166=0,0,Q166/O166)</t>
  </si>
  <si>
    <t>=NL("Sum","5802 Value Entry","17 Sales Amount (Actual)","3 Posting Date",O$15,"Filters=",$H$11:$I$13,"2 Item No.",$D166,"Link=",$G166)</t>
  </si>
  <si>
    <t>=C166</t>
  </si>
  <si>
    <t>="@@"&amp;NF(E167,"1 No.")</t>
  </si>
  <si>
    <t>="""NAV 2015"",""CRONUS JetCorp USA"",""27"",""1"",""S200023"""</t>
  </si>
  <si>
    <t>=NL("Link","5802 Value Entry",,"2 Item No.","=1 No.","Filters=",$H$10:$I$13,"Link=",G167)</t>
  </si>
  <si>
    <t>=NL("Link","18 Customer",,"1 No.","=5 Source No.","5900 Service Zone Code",C167)</t>
  </si>
  <si>
    <t>=-NL("Sum","5802 Value Entry","14 Invoiced Quantity","3 Posting Date",K$15,"Filters=",$H$11:$I$13,"2 Item No.",$D167,"Link=",$G167)</t>
  </si>
  <si>
    <t>=IF(K167=0,0,M167/K167)</t>
  </si>
  <si>
    <t>=NL("Sum","5802 Value Entry","17 Sales Amount (Actual)","3 Posting Date",K$15,"Filters=",$H$11:$I$13,"2 Item No.",$D167,"Link=",$G167)</t>
  </si>
  <si>
    <t>=-NL("Sum","5802 Value Entry","14 Invoiced Quantity","3 Posting Date",O$15,"Filters=",$H$11:$I$13,"2 Item No.",$D167,"Link=",$G167)</t>
  </si>
  <si>
    <t>=IF(O167=0,0,Q167/O167)</t>
  </si>
  <si>
    <t>=NL("Sum","5802 Value Entry","17 Sales Amount (Actual)","3 Posting Date",O$15,"Filters=",$H$11:$I$13,"2 Item No.",$D167,"Link=",$G167)</t>
  </si>
  <si>
    <t>=C167</t>
  </si>
  <si>
    <t>="@@"&amp;NF(E168,"1 No.")</t>
  </si>
  <si>
    <t>="""NAV 2015"",""CRONUS JetCorp USA"",""27"",""1"",""S200024"""</t>
  </si>
  <si>
    <t>=NL("Link","5802 Value Entry",,"2 Item No.","=1 No.","Filters=",$H$10:$I$13,"Link=",G168)</t>
  </si>
  <si>
    <t>=NL("Link","18 Customer",,"1 No.","=5 Source No.","5900 Service Zone Code",C168)</t>
  </si>
  <si>
    <t>=-NL("Sum","5802 Value Entry","14 Invoiced Quantity","3 Posting Date",K$15,"Filters=",$H$11:$I$13,"2 Item No.",$D168,"Link=",$G168)</t>
  </si>
  <si>
    <t>=IF(K168=0,0,M168/K168)</t>
  </si>
  <si>
    <t>=NL("Sum","5802 Value Entry","17 Sales Amount (Actual)","3 Posting Date",K$15,"Filters=",$H$11:$I$13,"2 Item No.",$D168,"Link=",$G168)</t>
  </si>
  <si>
    <t>=-NL("Sum","5802 Value Entry","14 Invoiced Quantity","3 Posting Date",O$15,"Filters=",$H$11:$I$13,"2 Item No.",$D168,"Link=",$G168)</t>
  </si>
  <si>
    <t>=IF(O168=0,0,Q168/O168)</t>
  </si>
  <si>
    <t>=NL("Sum","5802 Value Entry","17 Sales Amount (Actual)","3 Posting Date",O$15,"Filters=",$H$11:$I$13,"2 Item No.",$D168,"Link=",$G168)</t>
  </si>
  <si>
    <t>=C168</t>
  </si>
  <si>
    <t>="@@"&amp;NF(E169,"1 No.")</t>
  </si>
  <si>
    <t>="""NAV 2015"",""CRONUS JetCorp USA"",""27"",""1"",""S200025"""</t>
  </si>
  <si>
    <t>=NL("Link","5802 Value Entry",,"2 Item No.","=1 No.","Filters=",$H$10:$I$13,"Link=",G169)</t>
  </si>
  <si>
    <t>=NL("Link","18 Customer",,"1 No.","=5 Source No.","5900 Service Zone Code",C169)</t>
  </si>
  <si>
    <t>=-NL("Sum","5802 Value Entry","14 Invoiced Quantity","3 Posting Date",K$15,"Filters=",$H$11:$I$13,"2 Item No.",$D169,"Link=",$G169)</t>
  </si>
  <si>
    <t>=IF(K169=0,0,M169/K169)</t>
  </si>
  <si>
    <t>=NL("Sum","5802 Value Entry","17 Sales Amount (Actual)","3 Posting Date",K$15,"Filters=",$H$11:$I$13,"2 Item No.",$D169,"Link=",$G169)</t>
  </si>
  <si>
    <t>=-NL("Sum","5802 Value Entry","14 Invoiced Quantity","3 Posting Date",O$15,"Filters=",$H$11:$I$13,"2 Item No.",$D169,"Link=",$G169)</t>
  </si>
  <si>
    <t>=IF(O169=0,0,Q169/O169)</t>
  </si>
  <si>
    <t>=NL("Sum","5802 Value Entry","17 Sales Amount (Actual)","3 Posting Date",O$15,"Filters=",$H$11:$I$13,"2 Item No.",$D169,"Link=",$G169)</t>
  </si>
  <si>
    <t>=C169</t>
  </si>
  <si>
    <t>="@@"&amp;NF(E170,"1 No.")</t>
  </si>
  <si>
    <t>="""NAV 2015"",""CRONUS JetCorp USA"",""27"",""1"",""S200026"""</t>
  </si>
  <si>
    <t>=NL("Link","5802 Value Entry",,"2 Item No.","=1 No.","Filters=",$H$10:$I$13,"Link=",G170)</t>
  </si>
  <si>
    <t>=NL("Link","18 Customer",,"1 No.","=5 Source No.","5900 Service Zone Code",C170)</t>
  </si>
  <si>
    <t>=-NL("Sum","5802 Value Entry","14 Invoiced Quantity","3 Posting Date",K$15,"Filters=",$H$11:$I$13,"2 Item No.",$D170,"Link=",$G170)</t>
  </si>
  <si>
    <t>=IF(K170=0,0,M170/K170)</t>
  </si>
  <si>
    <t>=NL("Sum","5802 Value Entry","17 Sales Amount (Actual)","3 Posting Date",K$15,"Filters=",$H$11:$I$13,"2 Item No.",$D170,"Link=",$G170)</t>
  </si>
  <si>
    <t>=-NL("Sum","5802 Value Entry","14 Invoiced Quantity","3 Posting Date",O$15,"Filters=",$H$11:$I$13,"2 Item No.",$D170,"Link=",$G170)</t>
  </si>
  <si>
    <t>=IF(O170=0,0,Q170/O170)</t>
  </si>
  <si>
    <t>=NL("Sum","5802 Value Entry","17 Sales Amount (Actual)","3 Posting Date",O$15,"Filters=",$H$11:$I$13,"2 Item No.",$D170,"Link=",$G170)</t>
  </si>
  <si>
    <t>=C170</t>
  </si>
  <si>
    <t>="@@"&amp;NF(E171,"1 No.")</t>
  </si>
  <si>
    <t>="""NAV 2015"",""CRONUS JetCorp USA"",""27"",""1"",""S200028"""</t>
  </si>
  <si>
    <t>=NL("Link","5802 Value Entry",,"2 Item No.","=1 No.","Filters=",$H$10:$I$13,"Link=",G171)</t>
  </si>
  <si>
    <t>=NL("Link","18 Customer",,"1 No.","=5 Source No.","5900 Service Zone Code",C171)</t>
  </si>
  <si>
    <t>=-NL("Sum","5802 Value Entry","14 Invoiced Quantity","3 Posting Date",K$15,"Filters=",$H$11:$I$13,"2 Item No.",$D171,"Link=",$G171)</t>
  </si>
  <si>
    <t>=IF(K171=0,0,M171/K171)</t>
  </si>
  <si>
    <t>=NL("Sum","5802 Value Entry","17 Sales Amount (Actual)","3 Posting Date",K$15,"Filters=",$H$11:$I$13,"2 Item No.",$D171,"Link=",$G171)</t>
  </si>
  <si>
    <t>=-NL("Sum","5802 Value Entry","14 Invoiced Quantity","3 Posting Date",O$15,"Filters=",$H$11:$I$13,"2 Item No.",$D171,"Link=",$G171)</t>
  </si>
  <si>
    <t>=IF(O171=0,0,Q171/O171)</t>
  </si>
  <si>
    <t>=NL("Sum","5802 Value Entry","17 Sales Amount (Actual)","3 Posting Date",O$15,"Filters=",$H$11:$I$13,"2 Item No.",$D171,"Link=",$G171)</t>
  </si>
  <si>
    <t>=C171</t>
  </si>
  <si>
    <t>="@@"&amp;NF(E172,"1 No.")</t>
  </si>
  <si>
    <t>="""NAV 2015"",""CRONUS JetCorp USA"",""27"",""1"",""S200030"""</t>
  </si>
  <si>
    <t>=NL("Link","5802 Value Entry",,"2 Item No.","=1 No.","Filters=",$H$10:$I$13,"Link=",G172)</t>
  </si>
  <si>
    <t>=NL("Link","18 Customer",,"1 No.","=5 Source No.","5900 Service Zone Code",C172)</t>
  </si>
  <si>
    <t>=-NL("Sum","5802 Value Entry","14 Invoiced Quantity","3 Posting Date",K$15,"Filters=",$H$11:$I$13,"2 Item No.",$D172,"Link=",$G172)</t>
  </si>
  <si>
    <t>=IF(K172=0,0,M172/K172)</t>
  </si>
  <si>
    <t>=NL("Sum","5802 Value Entry","17 Sales Amount (Actual)","3 Posting Date",K$15,"Filters=",$H$11:$I$13,"2 Item No.",$D172,"Link=",$G172)</t>
  </si>
  <si>
    <t>=-NL("Sum","5802 Value Entry","14 Invoiced Quantity","3 Posting Date",O$15,"Filters=",$H$11:$I$13,"2 Item No.",$D172,"Link=",$G172)</t>
  </si>
  <si>
    <t>=IF(O172=0,0,Q172/O172)</t>
  </si>
  <si>
    <t>=NL("Sum","5802 Value Entry","17 Sales Amount (Actual)","3 Posting Date",O$15,"Filters=",$H$11:$I$13,"2 Item No.",$D172,"Link=",$G172)</t>
  </si>
  <si>
    <t>=C172</t>
  </si>
  <si>
    <t>="@@"&amp;NF(E173,"1 No.")</t>
  </si>
  <si>
    <t>="""NAV 2015"",""CRONUS JetCorp USA"",""27"",""1"",""S200031"""</t>
  </si>
  <si>
    <t>=NL("Link","5802 Value Entry",,"2 Item No.","=1 No.","Filters=",$H$10:$I$13,"Link=",G173)</t>
  </si>
  <si>
    <t>=NL("Link","18 Customer",,"1 No.","=5 Source No.","5900 Service Zone Code",C173)</t>
  </si>
  <si>
    <t>=-NL("Sum","5802 Value Entry","14 Invoiced Quantity","3 Posting Date",K$15,"Filters=",$H$11:$I$13,"2 Item No.",$D173,"Link=",$G173)</t>
  </si>
  <si>
    <t>=IF(K173=0,0,M173/K173)</t>
  </si>
  <si>
    <t>=NL("Sum","5802 Value Entry","17 Sales Amount (Actual)","3 Posting Date",K$15,"Filters=",$H$11:$I$13,"2 Item No.",$D173,"Link=",$G173)</t>
  </si>
  <si>
    <t>=-NL("Sum","5802 Value Entry","14 Invoiced Quantity","3 Posting Date",O$15,"Filters=",$H$11:$I$13,"2 Item No.",$D173,"Link=",$G173)</t>
  </si>
  <si>
    <t>=IF(O173=0,0,Q173/O173)</t>
  </si>
  <si>
    <t>=NL("Sum","5802 Value Entry","17 Sales Amount (Actual)","3 Posting Date",O$15,"Filters=",$H$11:$I$13,"2 Item No.",$D173,"Link=",$G173)</t>
  </si>
  <si>
    <t>=SUBTOTAL(9,M20:M174)</t>
  </si>
  <si>
    <t>=SUBTOTAL(9,Q20:Q174)</t>
  </si>
  <si>
    <t>=SUBTOTAL(9,M19:M176)</t>
  </si>
  <si>
    <t>=SUBTOTAL(9,Q19:Q176)</t>
  </si>
  <si>
    <t>=NF(E21,"3 Description")</t>
  </si>
  <si>
    <t>=NF(E22,"3 Description")</t>
  </si>
  <si>
    <t>=NF(E23,"3 Description")</t>
  </si>
  <si>
    <t>=NF(E24,"3 Description")</t>
  </si>
  <si>
    <t>=NF(E25,"3 Description")</t>
  </si>
  <si>
    <t>=NF(E26,"3 Description")</t>
  </si>
  <si>
    <t>=NF(E27,"3 Description")</t>
  </si>
  <si>
    <t>=NF(E28,"3 Description")</t>
  </si>
  <si>
    <t>=NF(E29,"3 Description")</t>
  </si>
  <si>
    <t>=NF(E30,"3 Description")</t>
  </si>
  <si>
    <t>=NF(E31,"3 Description")</t>
  </si>
  <si>
    <t>=NF(E32,"3 Description")</t>
  </si>
  <si>
    <t>=NF(E33,"3 Description")</t>
  </si>
  <si>
    <t>=NF(E34,"3 Description")</t>
  </si>
  <si>
    <t>=NF(E35,"3 Description")</t>
  </si>
  <si>
    <t>=NF(E36,"3 Description")</t>
  </si>
  <si>
    <t>=NF(E37,"3 Description")</t>
  </si>
  <si>
    <t>=NF(E38,"3 Description")</t>
  </si>
  <si>
    <t>=NF(E39,"3 Description")</t>
  </si>
  <si>
    <t>=NF(E40,"3 Description")</t>
  </si>
  <si>
    <t>=NF(E41,"3 Description")</t>
  </si>
  <si>
    <t>=NF(E42,"3 Description")</t>
  </si>
  <si>
    <t>=NF(E43,"3 Description")</t>
  </si>
  <si>
    <t>=NF(E44,"3 Description")</t>
  </si>
  <si>
    <t>=NF(E45,"3 Description")</t>
  </si>
  <si>
    <t>=NF(E46,"3 Description")</t>
  </si>
  <si>
    <t>=NF(E47,"3 Description")</t>
  </si>
  <si>
    <t>=NF(E48,"3 Description")</t>
  </si>
  <si>
    <t>=NF(E49,"3 Description")</t>
  </si>
  <si>
    <t>=NF(E50,"3 Description")</t>
  </si>
  <si>
    <t>=NF(E51,"3 Description")</t>
  </si>
  <si>
    <t>=NF(E52,"3 Description")</t>
  </si>
  <si>
    <t>=NF(E53,"3 Description")</t>
  </si>
  <si>
    <t>=NF(E54,"3 Description")</t>
  </si>
  <si>
    <t>=NF(E55,"3 Description")</t>
  </si>
  <si>
    <t>=NF(E56,"3 Description")</t>
  </si>
  <si>
    <t>=NF(E57,"3 Description")</t>
  </si>
  <si>
    <t>=NF(E58,"3 Description")</t>
  </si>
  <si>
    <t>=NF(E59,"3 Description")</t>
  </si>
  <si>
    <t>=NF(E60,"3 Description")</t>
  </si>
  <si>
    <t>=NF(E61,"3 Description")</t>
  </si>
  <si>
    <t>=NF(E62,"3 Description")</t>
  </si>
  <si>
    <t>=NF(E63,"3 Description")</t>
  </si>
  <si>
    <t>=NF(E64,"3 Description")</t>
  </si>
  <si>
    <t>=NF(E65,"3 Description")</t>
  </si>
  <si>
    <t>=NF(E66,"3 Description")</t>
  </si>
  <si>
    <t>=NF(E67,"3 Description")</t>
  </si>
  <si>
    <t>=NF(E68,"3 Description")</t>
  </si>
  <si>
    <t>=NF(E69,"3 Description")</t>
  </si>
  <si>
    <t>=NF(E70,"3 Description")</t>
  </si>
  <si>
    <t>=NF(E71,"3 Description")</t>
  </si>
  <si>
    <t>=NF(E72,"3 Description")</t>
  </si>
  <si>
    <t>=NF(E73,"3 Description")</t>
  </si>
  <si>
    <t>=NF(E74,"3 Description")</t>
  </si>
  <si>
    <t>=NF(E75,"3 Description")</t>
  </si>
  <si>
    <t>=NF(E76,"3 Description")</t>
  </si>
  <si>
    <t>=NF(E77,"3 Description")</t>
  </si>
  <si>
    <t>=NF(E78,"3 Description")</t>
  </si>
  <si>
    <t>=NF(E79,"3 Description")</t>
  </si>
  <si>
    <t>=NF(E80,"3 Description")</t>
  </si>
  <si>
    <t>=NF(E81,"3 Description")</t>
  </si>
  <si>
    <t>=NF(E82,"3 Description")</t>
  </si>
  <si>
    <t>=NF(E83,"3 Description")</t>
  </si>
  <si>
    <t>=NF(E84,"3 Description")</t>
  </si>
  <si>
    <t>=NF(E85,"3 Description")</t>
  </si>
  <si>
    <t>=NF(E86,"3 Description")</t>
  </si>
  <si>
    <t>=NF(E87,"3 Description")</t>
  </si>
  <si>
    <t>=NF(E88,"3 Description")</t>
  </si>
  <si>
    <t>=NF(E89,"3 Description")</t>
  </si>
  <si>
    <t>=NF(E90,"3 Description")</t>
  </si>
  <si>
    <t>=NF(E91,"3 Description")</t>
  </si>
  <si>
    <t>=NF(E92,"3 Description")</t>
  </si>
  <si>
    <t>=NF(E93,"3 Description")</t>
  </si>
  <si>
    <t>=NF(E94,"3 Description")</t>
  </si>
  <si>
    <t>=NF(E95,"3 Description")</t>
  </si>
  <si>
    <t>=NF(E96,"3 Description")</t>
  </si>
  <si>
    <t>=NF(E97,"3 Description")</t>
  </si>
  <si>
    <t>=NF(E98,"3 Description")</t>
  </si>
  <si>
    <t>=NF(E99,"3 Description")</t>
  </si>
  <si>
    <t>=NF(E100,"3 Description")</t>
  </si>
  <si>
    <t>=NF(E101,"3 Description")</t>
  </si>
  <si>
    <t>=NF(E102,"3 Description")</t>
  </si>
  <si>
    <t>=NF(E103,"3 Description")</t>
  </si>
  <si>
    <t>=NF(E104,"3 Description")</t>
  </si>
  <si>
    <t>=NF(E105,"3 Description")</t>
  </si>
  <si>
    <t>=NF(E106,"3 Description")</t>
  </si>
  <si>
    <t>=NF(E107,"3 Description")</t>
  </si>
  <si>
    <t>=NF(E108,"3 Description")</t>
  </si>
  <si>
    <t>=NF(E109,"3 Description")</t>
  </si>
  <si>
    <t>=NF(E110,"3 Description")</t>
  </si>
  <si>
    <t>=NF(E111,"3 Description")</t>
  </si>
  <si>
    <t>=NF(E112,"3 Description")</t>
  </si>
  <si>
    <t>=NF(E113,"3 Description")</t>
  </si>
  <si>
    <t>=NF(E114,"3 Description")</t>
  </si>
  <si>
    <t>=NF(E115,"3 Description")</t>
  </si>
  <si>
    <t>=NF(E116,"3 Description")</t>
  </si>
  <si>
    <t>=NF(E117,"3 Description")</t>
  </si>
  <si>
    <t>=NF(E118,"3 Description")</t>
  </si>
  <si>
    <t>=NF(E119,"3 Description")</t>
  </si>
  <si>
    <t>=NF(E120,"3 Description")</t>
  </si>
  <si>
    <t>=NF(E121,"3 Description")</t>
  </si>
  <si>
    <t>=NF(E122,"3 Description")</t>
  </si>
  <si>
    <t>=NF(E123,"3 Description")</t>
  </si>
  <si>
    <t>=NF(E124,"3 Description")</t>
  </si>
  <si>
    <t>=NF(E125,"3 Description")</t>
  </si>
  <si>
    <t>=NF(E126,"3 Description")</t>
  </si>
  <si>
    <t>=NF(E127,"3 Description")</t>
  </si>
  <si>
    <t>=NF(E128,"3 Description")</t>
  </si>
  <si>
    <t>=NF(E129,"3 Description")</t>
  </si>
  <si>
    <t>=NF(E130,"3 Description")</t>
  </si>
  <si>
    <t>=NF(E131,"3 Description")</t>
  </si>
  <si>
    <t>=NF(E132,"3 Description")</t>
  </si>
  <si>
    <t>=NF(E133,"3 Description")</t>
  </si>
  <si>
    <t>=NF(E134,"3 Description")</t>
  </si>
  <si>
    <t>=NF(E135,"3 Description")</t>
  </si>
  <si>
    <t>=NF(E136,"3 Description")</t>
  </si>
  <si>
    <t>=NF(E137,"3 Description")</t>
  </si>
  <si>
    <t>=NF(E138,"3 Description")</t>
  </si>
  <si>
    <t>=NF(E139,"3 Description")</t>
  </si>
  <si>
    <t>=NF(E140,"3 Description")</t>
  </si>
  <si>
    <t>=NF(E141,"3 Description")</t>
  </si>
  <si>
    <t>=NF(E142,"3 Description")</t>
  </si>
  <si>
    <t>=NF(E143,"3 Description")</t>
  </si>
  <si>
    <t>=NF(E144,"3 Description")</t>
  </si>
  <si>
    <t>=NF(E145,"3 Description")</t>
  </si>
  <si>
    <t>=NF(E146,"3 Description")</t>
  </si>
  <si>
    <t>=NF(E147,"3 Description")</t>
  </si>
  <si>
    <t>=NF(E148,"3 Description")</t>
  </si>
  <si>
    <t>=NF(E149,"3 Description")</t>
  </si>
  <si>
    <t>=NF(E150,"3 Description")</t>
  </si>
  <si>
    <t>=NF(E151,"3 Description")</t>
  </si>
  <si>
    <t>=NF(E152,"3 Description")</t>
  </si>
  <si>
    <t>=NF(E153,"3 Description")</t>
  </si>
  <si>
    <t>=NF(E154,"3 Description")</t>
  </si>
  <si>
    <t>=NF(E155,"3 Description")</t>
  </si>
  <si>
    <t>=NF(E156,"3 Description")</t>
  </si>
  <si>
    <t>=NF(E157,"3 Description")</t>
  </si>
  <si>
    <t>=NF(E158,"3 Description")</t>
  </si>
  <si>
    <t>=NF(E159,"3 Description")</t>
  </si>
  <si>
    <t>=NF(E160,"3 Description")</t>
  </si>
  <si>
    <t>=NF(E161,"3 Description")</t>
  </si>
  <si>
    <t>=NF(E162,"3 Description")</t>
  </si>
  <si>
    <t>=NF(E163,"3 Description")</t>
  </si>
  <si>
    <t>=NF(E164,"3 Description")</t>
  </si>
  <si>
    <t>=NF(E165,"3 Description")</t>
  </si>
  <si>
    <t>=NF(E166,"3 Description")</t>
  </si>
  <si>
    <t>=NF(E167,"3 Description")</t>
  </si>
  <si>
    <t>=NF(E168,"3 Description")</t>
  </si>
  <si>
    <t>=NF(E169,"3 Description")</t>
  </si>
  <si>
    <t>=NF(E170,"3 Description")</t>
  </si>
  <si>
    <t>=NF(E171,"3 Description")</t>
  </si>
  <si>
    <t>=NF(E172,"3 Description")</t>
  </si>
  <si>
    <t>=NF(E173,"3 Description")</t>
  </si>
  <si>
    <t>Auto+Hide+Values+Formulas=Sheet6,Sheet4,Sheet5+FormulasOnly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</si>
</sst>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_);_(@_)"/>
    <numFmt numFmtId="165" formatCode="_(* #,##0.00_);_(* \(#,##0.00\);_(* &quot;-&quot;??_);_(@_)"/>
    <numFmt numFmtId="166" formatCode="_(* #,##0.00_);_(* \(#,##0.00\);_(* &quot; - &quot;??_);_(@_)"/>
    <numFmt numFmtId="167" formatCode="[$-409]mmm\-yy;@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A6A6A6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6A6A6"/>
      <name val="Calibri"/>
      <family val="2"/>
      <scheme val="minor"/>
    </font>
    <font>
      <sz val="11"/>
      <color rgb="FFC0C0C0"/>
      <name val="Calibri"/>
      <family val="2"/>
      <scheme val="minor"/>
    </font>
    <font>
      <sz val="11"/>
      <color rgb="FF80808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6" tint="-0.24994659260841701"/>
      <name val="Calibri"/>
      <family val="2"/>
      <scheme val="minor"/>
    </font>
    <font>
      <sz val="12"/>
      <color theme="6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2499465926084170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theme="4"/>
      </top>
      <bottom style="thin">
        <color rgb="FF0070C0"/>
      </bottom>
      <diagonal/>
    </border>
  </borders>
  <cellStyleXfs count="9">
    <xf numFmtId="0" fontId="0" fillId="0" borderId="0"/>
    <xf numFmtId="0" fontId="1" fillId="0" borderId="1" applyNumberFormat="0" applyFill="0" applyAlignment="0" applyProtection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5" fontId="13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2" fillId="0" borderId="0" xfId="0" applyFont="1"/>
    <xf numFmtId="0" fontId="3" fillId="2" borderId="0" xfId="0" applyFont="1" applyFill="1"/>
    <xf numFmtId="14" fontId="3" fillId="0" borderId="0" xfId="0" applyNumberFormat="1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 indent="1"/>
    </xf>
    <xf numFmtId="0" fontId="5" fillId="0" borderId="0" xfId="0" applyFont="1"/>
    <xf numFmtId="0" fontId="3" fillId="0" borderId="0" xfId="0" applyFont="1" applyAlignment="1">
      <alignment horizontal="left" indent="1"/>
    </xf>
    <xf numFmtId="166" fontId="3" fillId="0" borderId="0" xfId="0" applyNumberFormat="1" applyFont="1" applyAlignment="1">
      <alignment horizontal="left" indent="1"/>
    </xf>
    <xf numFmtId="164" fontId="3" fillId="0" borderId="0" xfId="0" applyNumberFormat="1" applyFont="1" applyAlignment="1">
      <alignment horizontal="left" indent="1"/>
    </xf>
    <xf numFmtId="165" fontId="0" fillId="0" borderId="0" xfId="0" applyNumberFormat="1"/>
    <xf numFmtId="14" fontId="6" fillId="0" borderId="0" xfId="0" applyNumberFormat="1" applyFont="1"/>
    <xf numFmtId="167" fontId="7" fillId="0" borderId="0" xfId="0" applyNumberFormat="1" applyFont="1"/>
    <xf numFmtId="167" fontId="7" fillId="3" borderId="0" xfId="0" applyNumberFormat="1" applyFont="1" applyFill="1"/>
    <xf numFmtId="0" fontId="8" fillId="3" borderId="0" xfId="0" applyFont="1" applyFill="1"/>
    <xf numFmtId="0" fontId="8" fillId="3" borderId="0" xfId="0" applyFont="1" applyFill="1" applyAlignment="1">
      <alignment horizontal="left" indent="1"/>
    </xf>
    <xf numFmtId="0" fontId="10" fillId="0" borderId="0" xfId="0" applyFont="1"/>
    <xf numFmtId="0" fontId="14" fillId="0" borderId="1" xfId="1" applyFont="1"/>
    <xf numFmtId="166" fontId="1" fillId="0" borderId="2" xfId="1" applyNumberFormat="1" applyBorder="1" applyAlignment="1">
      <alignment horizontal="right"/>
    </xf>
    <xf numFmtId="166" fontId="1" fillId="0" borderId="3" xfId="1" applyNumberFormat="1" applyBorder="1"/>
    <xf numFmtId="165" fontId="14" fillId="0" borderId="1" xfId="7" applyFont="1" applyBorder="1"/>
    <xf numFmtId="166" fontId="13" fillId="0" borderId="2" xfId="1" applyNumberFormat="1" applyFont="1" applyBorder="1" applyAlignment="1">
      <alignment horizontal="right"/>
    </xf>
    <xf numFmtId="0" fontId="15" fillId="0" borderId="1" xfId="1" applyFont="1"/>
    <xf numFmtId="0" fontId="0" fillId="0" borderId="0" xfId="0" quotePrefix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</cellXfs>
  <cellStyles count="9">
    <cellStyle name="Comma" xfId="7" builtinId="3"/>
    <cellStyle name="Comma 2" xfId="3" xr:uid="{00000000-0005-0000-0000-000001000000}"/>
    <cellStyle name="Hyperlink 3" xfId="8" xr:uid="{00000000-0005-0000-0000-000003000000}"/>
    <cellStyle name="Normal" xfId="0" builtinId="0"/>
    <cellStyle name="Normal 2" xfId="4" xr:uid="{00000000-0005-0000-0000-000005000000}"/>
    <cellStyle name="Normal 2 2" xfId="5" xr:uid="{00000000-0005-0000-0000-000006000000}"/>
    <cellStyle name="Normal 2 3" xfId="6" xr:uid="{00000000-0005-0000-0000-000007000000}"/>
    <cellStyle name="Normal 2 4" xfId="2" xr:uid="{00000000-0005-0000-0000-000008000000}"/>
    <cellStyle name="Total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topLeftCell="B2" workbookViewId="0">
      <selection activeCell="ALL1000" sqref="ALL1000"/>
    </sheetView>
  </sheetViews>
  <sheetFormatPr defaultRowHeight="15" x14ac:dyDescent="0.25"/>
  <cols>
    <col min="1" max="1" width="9.140625" hidden="1" customWidth="1"/>
    <col min="2" max="2" width="12.28515625" bestFit="1" customWidth="1"/>
    <col min="3" max="3" width="10.7109375" bestFit="1" customWidth="1"/>
  </cols>
  <sheetData>
    <row r="1" spans="1:7" hidden="1" x14ac:dyDescent="0.25">
      <c r="A1" s="1" t="s">
        <v>74</v>
      </c>
      <c r="B1" s="1" t="s">
        <v>0</v>
      </c>
      <c r="C1" s="1" t="s">
        <v>1</v>
      </c>
      <c r="D1" s="1" t="s">
        <v>2</v>
      </c>
      <c r="E1" s="1" t="s">
        <v>20</v>
      </c>
      <c r="F1" s="1"/>
      <c r="G1" s="1"/>
    </row>
    <row r="2" spans="1:7" x14ac:dyDescent="0.25">
      <c r="A2" s="1"/>
    </row>
    <row r="3" spans="1:7" x14ac:dyDescent="0.25">
      <c r="A3" s="1" t="s">
        <v>3</v>
      </c>
      <c r="B3" s="2" t="s">
        <v>4</v>
      </c>
      <c r="C3" s="3" t="str">
        <f>"12/01/2018"</f>
        <v>12/01/2018</v>
      </c>
      <c r="D3" s="2"/>
      <c r="E3" s="2" t="s">
        <v>21</v>
      </c>
      <c r="F3" s="4" t="str">
        <f>"12/01/18..01/05/19"</f>
        <v>12/01/18..01/05/19</v>
      </c>
    </row>
    <row r="4" spans="1:7" x14ac:dyDescent="0.25">
      <c r="A4" s="1" t="s">
        <v>3</v>
      </c>
      <c r="B4" s="2" t="s">
        <v>5</v>
      </c>
      <c r="C4" s="3" t="str">
        <f>"01/5/2019"</f>
        <v>01/5/2019</v>
      </c>
      <c r="D4" s="2"/>
      <c r="E4" s="2" t="s">
        <v>21</v>
      </c>
    </row>
    <row r="5" spans="1:7" x14ac:dyDescent="0.25">
      <c r="A5" s="1" t="s">
        <v>3</v>
      </c>
      <c r="B5" s="2" t="s">
        <v>12</v>
      </c>
      <c r="C5" s="3" t="str">
        <f>"*"</f>
        <v>*</v>
      </c>
      <c r="D5" s="2" t="str">
        <f>"Lookup"</f>
        <v>Lookup</v>
      </c>
      <c r="E5" s="2" t="s">
        <v>22</v>
      </c>
      <c r="F5" s="1" t="str">
        <f>IF(ServiceZone="*","[All]",ServiceZone)</f>
        <v>[All]</v>
      </c>
    </row>
    <row r="6" spans="1:7" x14ac:dyDescent="0.25">
      <c r="A6" s="1" t="s">
        <v>3</v>
      </c>
      <c r="B6" s="2" t="s">
        <v>13</v>
      </c>
      <c r="C6" s="4" t="str">
        <f>"*"</f>
        <v>*</v>
      </c>
      <c r="D6" s="2" t="str">
        <f>"Lookup"</f>
        <v>Lookup</v>
      </c>
      <c r="E6" s="2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78"/>
  <sheetViews>
    <sheetView showGridLines="0" tabSelected="1" topLeftCell="B2" zoomScaleNormal="100" workbookViewId="0">
      <selection activeCell="W25" sqref="W25"/>
    </sheetView>
  </sheetViews>
  <sheetFormatPr defaultRowHeight="15" x14ac:dyDescent="0.25"/>
  <cols>
    <col min="1" max="1" width="9.140625" hidden="1" customWidth="1"/>
    <col min="3" max="7" width="9.140625" hidden="1" customWidth="1"/>
    <col min="8" max="8" width="32.7109375" bestFit="1" customWidth="1"/>
    <col min="9" max="9" width="33.7109375" customWidth="1"/>
    <col min="10" max="10" width="1.42578125" customWidth="1"/>
    <col min="11" max="11" width="17.85546875" bestFit="1" customWidth="1"/>
    <col min="12" max="12" width="11" bestFit="1" customWidth="1"/>
    <col min="13" max="13" width="14.5703125" bestFit="1" customWidth="1"/>
    <col min="14" max="14" width="1.42578125" customWidth="1"/>
    <col min="15" max="15" width="17.85546875" bestFit="1" customWidth="1"/>
    <col min="16" max="16" width="11" bestFit="1" customWidth="1"/>
    <col min="17" max="17" width="14.5703125" bestFit="1" customWidth="1"/>
    <col min="18" max="18" width="1.42578125" customWidth="1"/>
  </cols>
  <sheetData>
    <row r="1" spans="1:18" hidden="1" x14ac:dyDescent="0.25">
      <c r="A1" s="1" t="s">
        <v>76</v>
      </c>
      <c r="B1" s="1"/>
      <c r="C1" s="1" t="s">
        <v>6</v>
      </c>
      <c r="D1" s="1" t="s">
        <v>6</v>
      </c>
      <c r="E1" s="1" t="s">
        <v>6</v>
      </c>
      <c r="F1" s="1" t="s">
        <v>6</v>
      </c>
      <c r="G1" s="1" t="s">
        <v>6</v>
      </c>
      <c r="H1" s="1" t="s">
        <v>7</v>
      </c>
      <c r="I1" s="1"/>
      <c r="J1" s="1"/>
      <c r="K1" s="1" t="s">
        <v>7</v>
      </c>
      <c r="L1" s="1" t="s">
        <v>7</v>
      </c>
      <c r="M1" s="1" t="s">
        <v>7</v>
      </c>
      <c r="O1" s="1" t="s">
        <v>57</v>
      </c>
      <c r="P1" s="1" t="s">
        <v>57</v>
      </c>
      <c r="Q1" s="1" t="s">
        <v>57</v>
      </c>
      <c r="R1" t="s">
        <v>58</v>
      </c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O2" s="1"/>
      <c r="P2" s="1"/>
      <c r="Q2" s="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O3" s="1"/>
      <c r="P3" s="1"/>
      <c r="Q3" s="1"/>
    </row>
    <row r="4" spans="1:18" ht="23.25" x14ac:dyDescent="0.35">
      <c r="A4" s="1"/>
      <c r="B4" s="1"/>
      <c r="C4" s="1"/>
      <c r="D4" s="1"/>
      <c r="E4" s="1"/>
      <c r="F4" s="1"/>
      <c r="G4" s="1"/>
      <c r="H4" s="27" t="s">
        <v>18</v>
      </c>
      <c r="I4" s="27"/>
      <c r="L4" s="1"/>
      <c r="M4" s="1"/>
      <c r="N4" s="1"/>
      <c r="P4" s="1"/>
      <c r="Q4" s="1"/>
      <c r="R4" s="1"/>
    </row>
    <row r="5" spans="1:18" ht="15.75" x14ac:dyDescent="0.25">
      <c r="A5" s="1"/>
      <c r="B5" s="1"/>
      <c r="C5" s="1"/>
      <c r="D5" s="1"/>
      <c r="E5" s="1"/>
      <c r="F5" s="1"/>
      <c r="G5" s="1"/>
      <c r="H5" s="17" t="str">
        <f>I10</f>
        <v>12/01/18..01/05/19</v>
      </c>
      <c r="I5" s="1"/>
      <c r="J5" s="1"/>
      <c r="K5" s="1"/>
      <c r="L5" s="1"/>
      <c r="M5" s="1"/>
      <c r="O5" s="1"/>
      <c r="P5" s="1"/>
      <c r="Q5" s="1"/>
    </row>
    <row r="6" spans="1:18" x14ac:dyDescent="0.25">
      <c r="A6" s="1"/>
      <c r="B6" s="1"/>
      <c r="C6" s="1"/>
      <c r="D6" s="1"/>
      <c r="E6" s="1"/>
      <c r="F6" s="1"/>
      <c r="G6" s="1"/>
      <c r="H6" s="1" t="str">
        <f>"Reporting for Service Zone(s):  [All]"</f>
        <v>Reporting for Service Zone(s):  [All]</v>
      </c>
      <c r="I6" s="1"/>
      <c r="J6" s="1"/>
      <c r="K6" s="1"/>
      <c r="O6" s="1"/>
    </row>
    <row r="7" spans="1:18" x14ac:dyDescent="0.25">
      <c r="A7" s="1"/>
      <c r="B7" s="1"/>
      <c r="C7" s="1"/>
      <c r="D7" s="1"/>
      <c r="E7" s="1"/>
      <c r="F7" s="1"/>
      <c r="G7" s="1"/>
      <c r="H7" s="25"/>
      <c r="J7" s="1"/>
      <c r="K7" s="1"/>
      <c r="L7" s="1"/>
      <c r="M7" s="1"/>
      <c r="O7" s="1"/>
      <c r="P7" s="1"/>
      <c r="Q7" s="1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O8" s="1"/>
      <c r="P8" s="1"/>
      <c r="Q8" s="1"/>
    </row>
    <row r="9" spans="1:18" hidden="1" x14ac:dyDescent="0.25">
      <c r="A9" s="1" t="s">
        <v>6</v>
      </c>
      <c r="B9" s="1"/>
      <c r="C9" s="1"/>
      <c r="D9" s="1"/>
      <c r="E9" s="1"/>
      <c r="F9" s="1"/>
      <c r="G9" s="1"/>
      <c r="H9" s="5" t="s">
        <v>23</v>
      </c>
      <c r="I9" s="1"/>
      <c r="J9" s="1"/>
      <c r="K9" s="1"/>
      <c r="L9" s="1"/>
      <c r="M9" s="1"/>
      <c r="O9" s="1"/>
      <c r="P9" s="1"/>
      <c r="Q9" s="1"/>
    </row>
    <row r="10" spans="1:18" hidden="1" x14ac:dyDescent="0.25">
      <c r="A10" s="1" t="s">
        <v>6</v>
      </c>
      <c r="B10" s="1"/>
      <c r="C10" s="1"/>
      <c r="D10" s="1"/>
      <c r="E10" s="1"/>
      <c r="F10" s="1"/>
      <c r="G10" s="1"/>
      <c r="H10" s="6" t="s">
        <v>24</v>
      </c>
      <c r="I10" s="5" t="str">
        <f>"12/01/18..01/05/19"</f>
        <v>12/01/18..01/05/19</v>
      </c>
      <c r="J10" s="1"/>
      <c r="K10" s="1"/>
      <c r="L10" s="1"/>
      <c r="M10" s="1"/>
      <c r="O10" s="1"/>
      <c r="P10" s="1"/>
      <c r="Q10" s="1"/>
    </row>
    <row r="11" spans="1:18" hidden="1" x14ac:dyDescent="0.25">
      <c r="A11" s="1" t="s">
        <v>6</v>
      </c>
      <c r="B11" s="1"/>
      <c r="C11" s="1"/>
      <c r="D11" s="1"/>
      <c r="E11" s="1"/>
      <c r="F11" s="1"/>
      <c r="G11" s="1"/>
      <c r="H11" s="6" t="s">
        <v>25</v>
      </c>
      <c r="I11" s="5" t="str">
        <f>"*"</f>
        <v>*</v>
      </c>
      <c r="J11" s="5"/>
      <c r="K11" s="5"/>
      <c r="L11" s="1"/>
      <c r="M11" s="1"/>
      <c r="O11" s="5"/>
      <c r="P11" s="1"/>
      <c r="Q11" s="1"/>
    </row>
    <row r="12" spans="1:18" hidden="1" x14ac:dyDescent="0.25">
      <c r="A12" s="1" t="s">
        <v>6</v>
      </c>
      <c r="B12" s="1"/>
      <c r="C12" s="1"/>
      <c r="D12" s="1"/>
      <c r="E12" s="1"/>
      <c r="F12" s="1"/>
      <c r="G12" s="1"/>
      <c r="H12" s="6" t="s">
        <v>26</v>
      </c>
      <c r="I12" s="5" t="s">
        <v>8</v>
      </c>
      <c r="J12" s="5"/>
      <c r="K12" s="5"/>
      <c r="L12" s="1"/>
      <c r="M12" s="1"/>
      <c r="O12" s="5"/>
      <c r="P12" s="1"/>
      <c r="Q12" s="1"/>
    </row>
    <row r="13" spans="1:18" hidden="1" x14ac:dyDescent="0.25">
      <c r="A13" s="1" t="s">
        <v>6</v>
      </c>
      <c r="B13" s="1"/>
      <c r="C13" s="1"/>
      <c r="D13" s="1"/>
      <c r="E13" s="1"/>
      <c r="F13" s="1"/>
      <c r="G13" s="1"/>
      <c r="H13" s="6" t="s">
        <v>27</v>
      </c>
      <c r="I13" s="5" t="s">
        <v>9</v>
      </c>
      <c r="J13" s="5"/>
      <c r="K13" s="12">
        <v>43435</v>
      </c>
      <c r="L13" s="1"/>
      <c r="M13" s="1"/>
      <c r="O13" s="12">
        <v>43466</v>
      </c>
      <c r="P13" s="1"/>
      <c r="Q13" s="1"/>
    </row>
    <row r="14" spans="1:18" hidden="1" x14ac:dyDescent="0.25">
      <c r="A14" s="1" t="s">
        <v>6</v>
      </c>
      <c r="B14" s="1"/>
      <c r="C14" s="1"/>
      <c r="D14" s="1"/>
      <c r="E14" s="1"/>
      <c r="F14" s="1"/>
      <c r="G14" s="1"/>
      <c r="H14" s="6" t="s">
        <v>28</v>
      </c>
      <c r="I14" s="7">
        <v>78</v>
      </c>
      <c r="J14" s="5"/>
      <c r="K14" s="12">
        <v>43465</v>
      </c>
      <c r="L14" s="1"/>
      <c r="M14" s="1"/>
      <c r="O14" s="12">
        <v>43496</v>
      </c>
      <c r="P14" s="1"/>
      <c r="Q14" s="1"/>
    </row>
    <row r="15" spans="1:18" hidden="1" x14ac:dyDescent="0.25">
      <c r="A15" s="1" t="s">
        <v>6</v>
      </c>
      <c r="B15" s="1"/>
      <c r="C15" s="1"/>
      <c r="D15" s="1"/>
      <c r="E15" s="1"/>
      <c r="F15" s="1"/>
      <c r="G15" s="1"/>
      <c r="H15" s="6" t="s">
        <v>68</v>
      </c>
      <c r="I15" s="26">
        <v>44013</v>
      </c>
      <c r="J15" s="5"/>
      <c r="K15" s="12" t="str">
        <f>"12/01/18..12/31/18"</f>
        <v>12/01/18..12/31/18</v>
      </c>
      <c r="L15" s="1"/>
      <c r="M15" s="1"/>
      <c r="O15" s="12" t="str">
        <f>"01/01/19..01/31/19"</f>
        <v>01/01/19..01/31/19</v>
      </c>
      <c r="P15" s="1"/>
      <c r="Q15" s="1"/>
    </row>
    <row r="16" spans="1:18" x14ac:dyDescent="0.25">
      <c r="K16" s="13"/>
      <c r="O16" s="13"/>
    </row>
    <row r="17" spans="1:17" x14ac:dyDescent="0.25">
      <c r="H17" s="15" t="s">
        <v>10</v>
      </c>
      <c r="I17" s="15"/>
      <c r="K17" s="14">
        <f>K13</f>
        <v>43435</v>
      </c>
      <c r="L17" s="14" t="s">
        <v>14</v>
      </c>
      <c r="M17" s="14"/>
      <c r="O17" s="14">
        <f>O13</f>
        <v>43466</v>
      </c>
      <c r="P17" s="14" t="s">
        <v>14</v>
      </c>
      <c r="Q17" s="14"/>
    </row>
    <row r="18" spans="1:17" x14ac:dyDescent="0.25">
      <c r="H18" s="16"/>
      <c r="I18" s="16" t="s">
        <v>11</v>
      </c>
      <c r="K18" s="16" t="s">
        <v>15</v>
      </c>
      <c r="L18" s="16" t="s">
        <v>16</v>
      </c>
      <c r="M18" s="16" t="s">
        <v>17</v>
      </c>
      <c r="O18" s="16" t="s">
        <v>15</v>
      </c>
      <c r="P18" s="16" t="s">
        <v>16</v>
      </c>
      <c r="Q18" s="16" t="s">
        <v>17</v>
      </c>
    </row>
    <row r="19" spans="1:17" x14ac:dyDescent="0.25">
      <c r="C19" s="7" t="str">
        <f>"@@"&amp;E19</f>
        <v>@@</v>
      </c>
      <c r="D19" s="7"/>
      <c r="E19" s="7" t="str">
        <f>""</f>
        <v/>
      </c>
      <c r="F19" s="7" t="str">
        <f>"∞||""5802 Value Entry"",""5 Source No."",""=1 No."",""3 Posting Date"",""12/01/18..01/05/19"",""2 Item No."",""*"",""4 Item Ledger Entry Type"",""Sale"",""105 Entry Type"",""&lt;&gt;Revaluation"""</f>
        <v>∞||"5802 Value Entry","5 Source No.","=1 No.","3 Posting Date","12/01/18..01/05/19","2 Item No.","*","4 Item Ledger Entry Type","Sale","105 Entry Type","&lt;&gt;Revaluation"</v>
      </c>
      <c r="H19" s="4" t="str">
        <f>""</f>
        <v/>
      </c>
    </row>
    <row r="20" spans="1:17" x14ac:dyDescent="0.25">
      <c r="C20" s="7" t="str">
        <f>C19</f>
        <v>@@</v>
      </c>
      <c r="D20" s="7" t="str">
        <f>"@@C100002"</f>
        <v>@@C100002</v>
      </c>
      <c r="E20" s="7" t="str">
        <f>"""NAV 2015"",""CRONUS JetCorp USA"",""27"",""1"",""C100002"""</f>
        <v>"NAV 2015","CRONUS JetCorp USA","27","1","C100002"</v>
      </c>
      <c r="F20" s="7" t="str">
        <f t="shared" ref="F20:F51" si="0">"∞||""5802 Value Entry"",""2 Item No."",""=1 No."",""3 Posting Date"",""12/01/18..01/05/19"",""2 Item No."",""*"",""4 Item Ledger Entry Type"",""Sale"",""105 Entry Type"",""&lt;&gt;Revaluation"",""Link="",""∞||""""18 Customer"""",""""1 No."""",""""=5 Source No."""",""""5900 Service Zone Code"""",""""@@"""""&amp;""""</f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20" s="7" t="str">
        <f t="shared" ref="G20:G51" si="1">"∞||""18 Customer"",""1 No."",""=5 Source No."",""5900 Service Zone Code"",""@@"""</f>
        <v>∞||"18 Customer","1 No.","=5 Source No.","5900 Service Zone Code","@@"</v>
      </c>
      <c r="I20" s="8" t="str">
        <f>"Border Style"</f>
        <v>Border Style</v>
      </c>
      <c r="J20" s="8"/>
      <c r="K20" s="10">
        <v>253</v>
      </c>
      <c r="L20" s="11">
        <f t="shared" ref="L20:L51" si="2">IF(K20=0,0,M20/K20)</f>
        <v>53.194664031620547</v>
      </c>
      <c r="M20" s="9">
        <v>13458.249999999998</v>
      </c>
      <c r="O20" s="10">
        <v>289</v>
      </c>
      <c r="P20" s="11">
        <f t="shared" ref="P20:P51" si="3">IF(O20=0,0,Q20/O20)</f>
        <v>52.278858131487887</v>
      </c>
      <c r="Q20" s="9">
        <v>15108.59</v>
      </c>
    </row>
    <row r="21" spans="1:17" x14ac:dyDescent="0.25">
      <c r="A21" t="s">
        <v>58</v>
      </c>
      <c r="C21" s="7" t="str">
        <f t="shared" ref="C21:C84" si="4">C20</f>
        <v>@@</v>
      </c>
      <c r="D21" s="7" t="str">
        <f>"@@C100003"</f>
        <v>@@C100003</v>
      </c>
      <c r="E21" s="7" t="str">
        <f>"""NAV 2015"",""CRONUS JetCorp USA"",""27"",""1"",""C100003"""</f>
        <v>"NAV 2015","CRONUS JetCorp USA","27","1","C100003"</v>
      </c>
      <c r="F21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21" s="7" t="str">
        <f t="shared" si="1"/>
        <v>∞||"18 Customer","1 No.","=5 Source No.","5900 Service Zone Code","@@"</v>
      </c>
      <c r="I21" s="8" t="str">
        <f>"Cherry Finish Frame"</f>
        <v>Cherry Finish Frame</v>
      </c>
      <c r="J21" s="8"/>
      <c r="K21" s="10">
        <v>1596.9999999999998</v>
      </c>
      <c r="L21" s="11">
        <f t="shared" si="2"/>
        <v>65.664126487163429</v>
      </c>
      <c r="M21" s="9">
        <v>104865.60999999999</v>
      </c>
      <c r="O21" s="10">
        <v>1310</v>
      </c>
      <c r="P21" s="11">
        <f t="shared" si="3"/>
        <v>63.77038167938931</v>
      </c>
      <c r="Q21" s="9">
        <v>83539.199999999997</v>
      </c>
    </row>
    <row r="22" spans="1:17" x14ac:dyDescent="0.25">
      <c r="A22" t="s">
        <v>58</v>
      </c>
      <c r="C22" s="7" t="str">
        <f t="shared" si="4"/>
        <v>@@</v>
      </c>
      <c r="D22" s="7" t="str">
        <f>"@@C100004"</f>
        <v>@@C100004</v>
      </c>
      <c r="E22" s="7" t="str">
        <f>"""NAV 2015"",""CRONUS JetCorp USA"",""27"",""1"",""C100004"""</f>
        <v>"NAV 2015","CRONUS JetCorp USA","27","1","C100004"</v>
      </c>
      <c r="F22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22" s="7" t="str">
        <f t="shared" si="1"/>
        <v>∞||"18 Customer","1 No.","=5 Source No.","5900 Service Zone Code","@@"</v>
      </c>
      <c r="I22" s="8" t="str">
        <f>"Walnut Medallian Plate"</f>
        <v>Walnut Medallian Plate</v>
      </c>
      <c r="J22" s="8"/>
      <c r="K22" s="10">
        <v>2322</v>
      </c>
      <c r="L22" s="11">
        <f t="shared" si="2"/>
        <v>56.579909560723522</v>
      </c>
      <c r="M22" s="9">
        <v>131378.55000000002</v>
      </c>
      <c r="O22" s="10">
        <v>1995</v>
      </c>
      <c r="P22" s="11">
        <f t="shared" si="3"/>
        <v>56.892671679197996</v>
      </c>
      <c r="Q22" s="9">
        <v>113500.88</v>
      </c>
    </row>
    <row r="23" spans="1:17" x14ac:dyDescent="0.25">
      <c r="A23" t="s">
        <v>58</v>
      </c>
      <c r="C23" s="7" t="str">
        <f t="shared" si="4"/>
        <v>@@</v>
      </c>
      <c r="D23" s="7" t="str">
        <f>"@@C100005"</f>
        <v>@@C100005</v>
      </c>
      <c r="E23" s="7" t="str">
        <f>"""NAV 2015"",""CRONUS JetCorp USA"",""27"",""1"",""C100005"""</f>
        <v>"NAV 2015","CRONUS JetCorp USA","27","1","C100005"</v>
      </c>
      <c r="F23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23" s="7" t="str">
        <f t="shared" si="1"/>
        <v>∞||"18 Customer","1 No.","=5 Source No.","5900 Service Zone Code","@@"</v>
      </c>
      <c r="I23" s="8" t="str">
        <f>"Cherry Finished Crystal Award"</f>
        <v>Cherry Finished Crystal Award</v>
      </c>
      <c r="J23" s="8"/>
      <c r="K23" s="10">
        <v>868</v>
      </c>
      <c r="L23" s="11">
        <f t="shared" si="2"/>
        <v>134.9198732718894</v>
      </c>
      <c r="M23" s="9">
        <v>117110.45</v>
      </c>
      <c r="O23" s="10">
        <v>1018.0000000000001</v>
      </c>
      <c r="P23" s="11">
        <f t="shared" si="3"/>
        <v>131.81637524557954</v>
      </c>
      <c r="Q23" s="9">
        <v>134189.06999999998</v>
      </c>
    </row>
    <row r="24" spans="1:17" x14ac:dyDescent="0.25">
      <c r="A24" t="s">
        <v>58</v>
      </c>
      <c r="C24" s="7" t="str">
        <f t="shared" si="4"/>
        <v>@@</v>
      </c>
      <c r="D24" s="7" t="str">
        <f>"@@C100006"</f>
        <v>@@C100006</v>
      </c>
      <c r="E24" s="7" t="str">
        <f>"""NAV 2015"",""CRONUS JetCorp USA"",""27"",""1"",""C100006"""</f>
        <v>"NAV 2015","CRONUS JetCorp USA","27","1","C100006"</v>
      </c>
      <c r="F24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24" s="7" t="str">
        <f t="shared" si="1"/>
        <v>∞||"18 Customer","1 No.","=5 Source No.","5900 Service Zone Code","@@"</v>
      </c>
      <c r="I24" s="8" t="str">
        <f>"Cherry Finished Crystal Award- Large"</f>
        <v>Cherry Finished Crystal Award- Large</v>
      </c>
      <c r="J24" s="8"/>
      <c r="K24" s="10">
        <v>633</v>
      </c>
      <c r="L24" s="11">
        <f t="shared" si="2"/>
        <v>199.89406003159556</v>
      </c>
      <c r="M24" s="9">
        <v>126532.93999999999</v>
      </c>
      <c r="O24" s="10">
        <v>736</v>
      </c>
      <c r="P24" s="11">
        <f t="shared" si="3"/>
        <v>199.23778532608696</v>
      </c>
      <c r="Q24" s="9">
        <v>146639.01</v>
      </c>
    </row>
    <row r="25" spans="1:17" x14ac:dyDescent="0.25">
      <c r="A25" t="s">
        <v>58</v>
      </c>
      <c r="C25" s="7" t="str">
        <f t="shared" si="4"/>
        <v>@@</v>
      </c>
      <c r="D25" s="7" t="str">
        <f>"@@C100007"</f>
        <v>@@C100007</v>
      </c>
      <c r="E25" s="7" t="str">
        <f>"""NAV 2015"",""CRONUS JetCorp USA"",""27"",""1"",""C100007"""</f>
        <v>"NAV 2015","CRONUS JetCorp USA","27","1","C100007"</v>
      </c>
      <c r="F25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25" s="7" t="str">
        <f t="shared" si="1"/>
        <v>∞||"18 Customer","1 No.","=5 Source No.","5900 Service Zone Code","@@"</v>
      </c>
      <c r="I25" s="8" t="str">
        <f>"7.5'' Bud Vase"</f>
        <v>7.5'' Bud Vase</v>
      </c>
      <c r="J25" s="8"/>
      <c r="K25" s="10">
        <v>1456</v>
      </c>
      <c r="L25" s="11">
        <f t="shared" si="2"/>
        <v>1.6332829670329669</v>
      </c>
      <c r="M25" s="9">
        <v>2378.06</v>
      </c>
      <c r="O25" s="10">
        <v>771</v>
      </c>
      <c r="P25" s="11">
        <f t="shared" si="3"/>
        <v>1.6423476005188067</v>
      </c>
      <c r="Q25" s="9">
        <v>1266.25</v>
      </c>
    </row>
    <row r="26" spans="1:17" x14ac:dyDescent="0.25">
      <c r="A26" t="s">
        <v>58</v>
      </c>
      <c r="C26" s="7" t="str">
        <f t="shared" si="4"/>
        <v>@@</v>
      </c>
      <c r="D26" s="7" t="str">
        <f>"@@C100008"</f>
        <v>@@C100008</v>
      </c>
      <c r="E26" s="7" t="str">
        <f>"""NAV 2015"",""CRONUS JetCorp USA"",""27"",""1"",""C100008"""</f>
        <v>"NAV 2015","CRONUS JetCorp USA","27","1","C100008"</v>
      </c>
      <c r="F26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26" s="7" t="str">
        <f t="shared" si="1"/>
        <v>∞||"18 Customer","1 No.","=5 Source No.","5900 Service Zone Code","@@"</v>
      </c>
      <c r="I26" s="8" t="str">
        <f>"Glacier Vase"</f>
        <v>Glacier Vase</v>
      </c>
      <c r="J26" s="8"/>
      <c r="K26" s="10">
        <v>645</v>
      </c>
      <c r="L26" s="11">
        <f t="shared" si="2"/>
        <v>8.7518294573643409</v>
      </c>
      <c r="M26" s="9">
        <v>5644.93</v>
      </c>
      <c r="O26" s="10">
        <v>879</v>
      </c>
      <c r="P26" s="11">
        <f t="shared" si="3"/>
        <v>8.7342093287827076</v>
      </c>
      <c r="Q26" s="9">
        <v>7677.37</v>
      </c>
    </row>
    <row r="27" spans="1:17" x14ac:dyDescent="0.25">
      <c r="A27" t="s">
        <v>58</v>
      </c>
      <c r="C27" s="7" t="str">
        <f t="shared" si="4"/>
        <v>@@</v>
      </c>
      <c r="D27" s="7" t="str">
        <f>"@@C100009"</f>
        <v>@@C100009</v>
      </c>
      <c r="E27" s="7" t="str">
        <f>"""NAV 2015"",""CRONUS JetCorp USA"",""27"",""1"",""C100009"""</f>
        <v>"NAV 2015","CRONUS JetCorp USA","27","1","C100009"</v>
      </c>
      <c r="F27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27" s="7" t="str">
        <f t="shared" si="1"/>
        <v>∞||"18 Customer","1 No.","=5 Source No.","5900 Service Zone Code","@@"</v>
      </c>
      <c r="I27" s="8" t="str">
        <f>"Normandy Vase"</f>
        <v>Normandy Vase</v>
      </c>
      <c r="J27" s="8"/>
      <c r="K27" s="10">
        <v>373</v>
      </c>
      <c r="L27" s="11">
        <f t="shared" si="2"/>
        <v>37.656193029490609</v>
      </c>
      <c r="M27" s="9">
        <v>14045.759999999998</v>
      </c>
      <c r="O27" s="10">
        <v>413.00000000000006</v>
      </c>
      <c r="P27" s="11">
        <f t="shared" si="3"/>
        <v>38.547215496368032</v>
      </c>
      <c r="Q27" s="9">
        <v>15920</v>
      </c>
    </row>
    <row r="28" spans="1:17" x14ac:dyDescent="0.25">
      <c r="A28" t="s">
        <v>58</v>
      </c>
      <c r="C28" s="7" t="str">
        <f t="shared" si="4"/>
        <v>@@</v>
      </c>
      <c r="D28" s="7" t="str">
        <f>"@@C100010"</f>
        <v>@@C100010</v>
      </c>
      <c r="E28" s="7" t="str">
        <f>"""NAV 2015"",""CRONUS JetCorp USA"",""27"",""1"",""C100010"""</f>
        <v>"NAV 2015","CRONUS JetCorp USA","27","1","C100010"</v>
      </c>
      <c r="F28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28" s="7" t="str">
        <f t="shared" si="1"/>
        <v>∞||"18 Customer","1 No.","=5 Source No.","5900 Service Zone Code","@@"</v>
      </c>
      <c r="I28" s="8" t="str">
        <f>"Wisper-Cut Vase"</f>
        <v>Wisper-Cut Vase</v>
      </c>
      <c r="J28" s="8"/>
      <c r="K28" s="10">
        <v>7</v>
      </c>
      <c r="L28" s="11">
        <f t="shared" si="2"/>
        <v>81.595714285714294</v>
      </c>
      <c r="M28" s="9">
        <v>571.17000000000007</v>
      </c>
      <c r="O28" s="10">
        <v>127.00000000000001</v>
      </c>
      <c r="P28" s="11">
        <f t="shared" si="3"/>
        <v>80.529921259842524</v>
      </c>
      <c r="Q28" s="9">
        <v>10227.300000000001</v>
      </c>
    </row>
    <row r="29" spans="1:17" x14ac:dyDescent="0.25">
      <c r="A29" t="s">
        <v>58</v>
      </c>
      <c r="C29" s="7" t="str">
        <f t="shared" si="4"/>
        <v>@@</v>
      </c>
      <c r="D29" s="7" t="str">
        <f>"@@C100011"</f>
        <v>@@C100011</v>
      </c>
      <c r="E29" s="7" t="str">
        <f>"""NAV 2015"",""CRONUS JetCorp USA"",""27"",""1"",""C100011"""</f>
        <v>"NAV 2015","CRONUS JetCorp USA","27","1","C100011"</v>
      </c>
      <c r="F29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29" s="7" t="str">
        <f t="shared" si="1"/>
        <v>∞||"18 Customer","1 No.","=5 Source No.","5900 Service Zone Code","@@"</v>
      </c>
      <c r="I29" s="8" t="str">
        <f>"Winter Frost Vase"</f>
        <v>Winter Frost Vase</v>
      </c>
      <c r="J29" s="8"/>
      <c r="K29" s="10">
        <v>199</v>
      </c>
      <c r="L29" s="11">
        <f t="shared" si="2"/>
        <v>58.998844221105522</v>
      </c>
      <c r="M29" s="9">
        <v>11740.769999999999</v>
      </c>
      <c r="O29" s="10">
        <v>147</v>
      </c>
      <c r="P29" s="11">
        <f t="shared" si="3"/>
        <v>56.96122448979591</v>
      </c>
      <c r="Q29" s="9">
        <v>8373.2999999999993</v>
      </c>
    </row>
    <row r="30" spans="1:17" x14ac:dyDescent="0.25">
      <c r="A30" t="s">
        <v>58</v>
      </c>
      <c r="C30" s="7" t="str">
        <f t="shared" si="4"/>
        <v>@@</v>
      </c>
      <c r="D30" s="7" t="str">
        <f>"@@C100014"</f>
        <v>@@C100014</v>
      </c>
      <c r="E30" s="7" t="str">
        <f>"""NAV 2015"",""CRONUS JetCorp USA"",""27"",""1"",""C100014"""</f>
        <v>"NAV 2015","CRONUS JetCorp USA","27","1","C100014"</v>
      </c>
      <c r="F30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30" s="7" t="str">
        <f t="shared" si="1"/>
        <v>∞||"18 Customer","1 No.","=5 Source No.","5900 Service Zone Code","@@"</v>
      </c>
      <c r="I30" s="8" t="str">
        <f>"Canvas Field Bag"</f>
        <v>Canvas Field Bag</v>
      </c>
      <c r="J30" s="8"/>
      <c r="K30" s="10">
        <v>2125</v>
      </c>
      <c r="L30" s="11">
        <f t="shared" si="2"/>
        <v>8.9549788235294123</v>
      </c>
      <c r="M30" s="9">
        <v>19029.330000000002</v>
      </c>
      <c r="O30" s="10">
        <v>966.99999999999989</v>
      </c>
      <c r="P30" s="11">
        <f t="shared" si="3"/>
        <v>8.7669700103412627</v>
      </c>
      <c r="Q30" s="9">
        <v>8477.66</v>
      </c>
    </row>
    <row r="31" spans="1:17" x14ac:dyDescent="0.25">
      <c r="A31" t="s">
        <v>58</v>
      </c>
      <c r="C31" s="7" t="str">
        <f t="shared" si="4"/>
        <v>@@</v>
      </c>
      <c r="D31" s="7" t="str">
        <f>"@@C100017"</f>
        <v>@@C100017</v>
      </c>
      <c r="E31" s="7" t="str">
        <f>"""NAV 2015"",""CRONUS JetCorp USA"",""27"",""1"",""C100017"""</f>
        <v>"NAV 2015","CRONUS JetCorp USA","27","1","C100017"</v>
      </c>
      <c r="F31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31" s="7" t="str">
        <f t="shared" si="1"/>
        <v>∞||"18 Customer","1 No.","=5 Source No.","5900 Service Zone Code","@@"</v>
      </c>
      <c r="I31" s="8" t="str">
        <f>"Wheeled Duffel"</f>
        <v>Wheeled Duffel</v>
      </c>
      <c r="J31" s="8"/>
      <c r="K31" s="10">
        <v>368</v>
      </c>
      <c r="L31" s="11">
        <f t="shared" si="2"/>
        <v>184.67741847826085</v>
      </c>
      <c r="M31" s="9">
        <v>67961.289999999994</v>
      </c>
      <c r="O31" s="10">
        <v>374</v>
      </c>
      <c r="P31" s="11">
        <f t="shared" si="3"/>
        <v>185.47791443850269</v>
      </c>
      <c r="Q31" s="9">
        <v>69368.740000000005</v>
      </c>
    </row>
    <row r="32" spans="1:17" x14ac:dyDescent="0.25">
      <c r="A32" t="s">
        <v>58</v>
      </c>
      <c r="C32" s="7" t="str">
        <f t="shared" si="4"/>
        <v>@@</v>
      </c>
      <c r="D32" s="7" t="str">
        <f>"@@C100018"</f>
        <v>@@C100018</v>
      </c>
      <c r="E32" s="7" t="str">
        <f>"""NAV 2015"",""CRONUS JetCorp USA"",""27"",""1"",""C100018"""</f>
        <v>"NAV 2015","CRONUS JetCorp USA","27","1","C100018"</v>
      </c>
      <c r="F32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32" s="7" t="str">
        <f t="shared" si="1"/>
        <v>∞||"18 Customer","1 No.","=5 Source No.","5900 Service Zone Code","@@"</v>
      </c>
      <c r="I32" s="8" t="str">
        <f>"Action Sport Duffel"</f>
        <v>Action Sport Duffel</v>
      </c>
      <c r="J32" s="8"/>
      <c r="K32" s="10">
        <v>1980.9999999999998</v>
      </c>
      <c r="L32" s="11">
        <f t="shared" si="2"/>
        <v>16.923129732458357</v>
      </c>
      <c r="M32" s="9">
        <v>33524.720000000001</v>
      </c>
      <c r="O32" s="10">
        <v>774.99999999999989</v>
      </c>
      <c r="P32" s="11">
        <f t="shared" si="3"/>
        <v>17.215948387096777</v>
      </c>
      <c r="Q32" s="9">
        <v>13342.359999999999</v>
      </c>
    </row>
    <row r="33" spans="1:17" x14ac:dyDescent="0.25">
      <c r="A33" t="s">
        <v>58</v>
      </c>
      <c r="C33" s="7" t="str">
        <f t="shared" si="4"/>
        <v>@@</v>
      </c>
      <c r="D33" s="7" t="str">
        <f>"@@C100019"</f>
        <v>@@C100019</v>
      </c>
      <c r="E33" s="7" t="str">
        <f>"""NAV 2015"",""CRONUS JetCorp USA"",""27"",""1"",""C100019"""</f>
        <v>"NAV 2015","CRONUS JetCorp USA","27","1","C100019"</v>
      </c>
      <c r="F33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33" s="7" t="str">
        <f t="shared" si="1"/>
        <v>∞||"18 Customer","1 No.","=5 Source No.","5900 Service Zone Code","@@"</v>
      </c>
      <c r="I33" s="8" t="str">
        <f>"Black Duffel Bag"</f>
        <v>Black Duffel Bag</v>
      </c>
      <c r="J33" s="8"/>
      <c r="K33" s="10">
        <v>1128</v>
      </c>
      <c r="L33" s="11">
        <f t="shared" si="2"/>
        <v>68.136631205673751</v>
      </c>
      <c r="M33" s="9">
        <v>76858.12</v>
      </c>
      <c r="O33" s="10">
        <v>1608</v>
      </c>
      <c r="P33" s="11">
        <f t="shared" si="3"/>
        <v>67.98608830845771</v>
      </c>
      <c r="Q33" s="9">
        <v>109321.63</v>
      </c>
    </row>
    <row r="34" spans="1:17" x14ac:dyDescent="0.25">
      <c r="A34" t="s">
        <v>58</v>
      </c>
      <c r="C34" s="7" t="str">
        <f t="shared" si="4"/>
        <v>@@</v>
      </c>
      <c r="D34" s="7" t="str">
        <f>"@@C100020"</f>
        <v>@@C100020</v>
      </c>
      <c r="E34" s="7" t="str">
        <f>"""NAV 2015"",""CRONUS JetCorp USA"",""27"",""1"",""C100020"""</f>
        <v>"NAV 2015","CRONUS JetCorp USA","27","1","C100020"</v>
      </c>
      <c r="F34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34" s="7" t="str">
        <f t="shared" si="1"/>
        <v>∞||"18 Customer","1 No.","=5 Source No.","5900 Service Zone Code","@@"</v>
      </c>
      <c r="I34" s="8" t="str">
        <f>"Gym Locker Bag"</f>
        <v>Gym Locker Bag</v>
      </c>
      <c r="J34" s="8"/>
      <c r="K34" s="10">
        <v>2187</v>
      </c>
      <c r="L34" s="11">
        <f t="shared" si="2"/>
        <v>13.123534522176499</v>
      </c>
      <c r="M34" s="9">
        <v>28701.170000000002</v>
      </c>
      <c r="O34" s="10">
        <v>1427</v>
      </c>
      <c r="P34" s="11">
        <f t="shared" si="3"/>
        <v>13.467568325157675</v>
      </c>
      <c r="Q34" s="9">
        <v>19218.22</v>
      </c>
    </row>
    <row r="35" spans="1:17" x14ac:dyDescent="0.25">
      <c r="A35" t="s">
        <v>58</v>
      </c>
      <c r="C35" s="7" t="str">
        <f t="shared" si="4"/>
        <v>@@</v>
      </c>
      <c r="D35" s="7" t="str">
        <f>"@@C100021"</f>
        <v>@@C100021</v>
      </c>
      <c r="E35" s="7" t="str">
        <f>"""NAV 2015"",""CRONUS JetCorp USA"",""27"",""1"",""C100021"""</f>
        <v>"NAV 2015","CRONUS JetCorp USA","27","1","C100021"</v>
      </c>
      <c r="F35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35" s="7" t="str">
        <f t="shared" si="1"/>
        <v>∞||"18 Customer","1 No.","=5 Source No.","5900 Service Zone Code","@@"</v>
      </c>
      <c r="I35" s="8" t="str">
        <f>"Canvas Boat Bag"</f>
        <v>Canvas Boat Bag</v>
      </c>
      <c r="J35" s="8"/>
      <c r="K35" s="10">
        <v>1382</v>
      </c>
      <c r="L35" s="11">
        <f t="shared" si="2"/>
        <v>9.9916570188133154</v>
      </c>
      <c r="M35" s="9">
        <v>13808.470000000001</v>
      </c>
      <c r="O35" s="10">
        <v>1562.9999999999998</v>
      </c>
      <c r="P35" s="11">
        <f t="shared" si="3"/>
        <v>9.9726231605886131</v>
      </c>
      <c r="Q35" s="9">
        <v>15587.21</v>
      </c>
    </row>
    <row r="36" spans="1:17" x14ac:dyDescent="0.25">
      <c r="A36" t="s">
        <v>58</v>
      </c>
      <c r="C36" s="7" t="str">
        <f t="shared" si="4"/>
        <v>@@</v>
      </c>
      <c r="D36" s="7" t="str">
        <f>"@@C100022"</f>
        <v>@@C100022</v>
      </c>
      <c r="E36" s="7" t="str">
        <f>"""NAV 2015"",""CRONUS JetCorp USA"",""27"",""1"",""C100022"""</f>
        <v>"NAV 2015","CRONUS JetCorp USA","27","1","C100022"</v>
      </c>
      <c r="F36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36" s="7" t="str">
        <f t="shared" si="1"/>
        <v>∞||"18 Customer","1 No.","=5 Source No.","5900 Service Zone Code","@@"</v>
      </c>
      <c r="I36" s="8" t="str">
        <f>"Two-Toned Cap"</f>
        <v>Two-Toned Cap</v>
      </c>
      <c r="J36" s="8"/>
      <c r="K36" s="10">
        <v>2779</v>
      </c>
      <c r="L36" s="11">
        <f t="shared" si="2"/>
        <v>3.0760993163008283</v>
      </c>
      <c r="M36" s="9">
        <v>8548.4800000000014</v>
      </c>
      <c r="O36" s="10">
        <v>3042</v>
      </c>
      <c r="P36" s="11">
        <f t="shared" si="3"/>
        <v>3.0439546351084812</v>
      </c>
      <c r="Q36" s="9">
        <v>9259.7099999999991</v>
      </c>
    </row>
    <row r="37" spans="1:17" x14ac:dyDescent="0.25">
      <c r="A37" t="s">
        <v>58</v>
      </c>
      <c r="C37" s="7" t="str">
        <f t="shared" si="4"/>
        <v>@@</v>
      </c>
      <c r="D37" s="7" t="str">
        <f>"@@C100023"</f>
        <v>@@C100023</v>
      </c>
      <c r="E37" s="7" t="str">
        <f>"""NAV 2015"",""CRONUS JetCorp USA"",""27"",""1"",""C100023"""</f>
        <v>"NAV 2015","CRONUS JetCorp USA","27","1","C100023"</v>
      </c>
      <c r="F37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37" s="7" t="str">
        <f t="shared" si="1"/>
        <v>∞||"18 Customer","1 No.","=5 Source No.","5900 Service Zone Code","@@"</v>
      </c>
      <c r="I37" s="8" t="str">
        <f>"Two-Toned Knit Hat"</f>
        <v>Two-Toned Knit Hat</v>
      </c>
      <c r="J37" s="8"/>
      <c r="K37" s="10">
        <v>2974</v>
      </c>
      <c r="L37" s="11">
        <f t="shared" si="2"/>
        <v>2.5956489576328177</v>
      </c>
      <c r="M37" s="9">
        <v>7719.4599999999991</v>
      </c>
      <c r="O37" s="10">
        <v>3028</v>
      </c>
      <c r="P37" s="11">
        <f t="shared" si="3"/>
        <v>2.5691710700132098</v>
      </c>
      <c r="Q37" s="9">
        <v>7779.45</v>
      </c>
    </row>
    <row r="38" spans="1:17" x14ac:dyDescent="0.25">
      <c r="A38" t="s">
        <v>58</v>
      </c>
      <c r="C38" s="7" t="str">
        <f t="shared" si="4"/>
        <v>@@</v>
      </c>
      <c r="D38" s="7" t="str">
        <f>"@@C100024"</f>
        <v>@@C100024</v>
      </c>
      <c r="E38" s="7" t="str">
        <f>"""NAV 2015"",""CRONUS JetCorp USA"",""27"",""1"",""C100024"""</f>
        <v>"NAV 2015","CRONUS JetCorp USA","27","1","C100024"</v>
      </c>
      <c r="F38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38" s="7" t="str">
        <f t="shared" si="1"/>
        <v>∞||"18 Customer","1 No.","=5 Source No.","5900 Service Zone Code","@@"</v>
      </c>
      <c r="I38" s="8" t="str">
        <f>"Knit Hat with Bill"</f>
        <v>Knit Hat with Bill</v>
      </c>
      <c r="J38" s="8"/>
      <c r="K38" s="10">
        <v>1869</v>
      </c>
      <c r="L38" s="11">
        <f t="shared" si="2"/>
        <v>5.1480684858212946</v>
      </c>
      <c r="M38" s="9">
        <v>9621.74</v>
      </c>
      <c r="O38" s="10">
        <v>1613</v>
      </c>
      <c r="P38" s="11">
        <f t="shared" si="3"/>
        <v>5.0610415375077489</v>
      </c>
      <c r="Q38" s="9">
        <v>8163.4599999999991</v>
      </c>
    </row>
    <row r="39" spans="1:17" x14ac:dyDescent="0.25">
      <c r="A39" t="s">
        <v>58</v>
      </c>
      <c r="C39" s="7" t="str">
        <f t="shared" si="4"/>
        <v>@@</v>
      </c>
      <c r="D39" s="7" t="str">
        <f>"@@C100025"</f>
        <v>@@C100025</v>
      </c>
      <c r="E39" s="7" t="str">
        <f>"""NAV 2015"",""CRONUS JetCorp USA"",""27"",""1"",""C100025"""</f>
        <v>"NAV 2015","CRONUS JetCorp USA","27","1","C100025"</v>
      </c>
      <c r="F39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39" s="7" t="str">
        <f t="shared" si="1"/>
        <v>∞||"18 Customer","1 No.","=5 Source No.","5900 Service Zone Code","@@"</v>
      </c>
      <c r="I39" s="8" t="str">
        <f>"Striped Knit Hat"</f>
        <v>Striped Knit Hat</v>
      </c>
      <c r="J39" s="8"/>
      <c r="K39" s="10">
        <v>3007</v>
      </c>
      <c r="L39" s="11">
        <f t="shared" si="2"/>
        <v>2.8585666777519125</v>
      </c>
      <c r="M39" s="9">
        <v>8595.7100000000009</v>
      </c>
      <c r="O39" s="10">
        <v>3989</v>
      </c>
      <c r="P39" s="11">
        <f t="shared" si="3"/>
        <v>2.8536450238154929</v>
      </c>
      <c r="Q39" s="9">
        <v>11383.19</v>
      </c>
    </row>
    <row r="40" spans="1:17" x14ac:dyDescent="0.25">
      <c r="A40" t="s">
        <v>58</v>
      </c>
      <c r="C40" s="7" t="str">
        <f t="shared" si="4"/>
        <v>@@</v>
      </c>
      <c r="D40" s="7" t="str">
        <f>"@@C100026"</f>
        <v>@@C100026</v>
      </c>
      <c r="E40" s="7" t="str">
        <f>"""NAV 2015"",""CRONUS JetCorp USA"",""27"",""1"",""C100026"""</f>
        <v>"NAV 2015","CRONUS JetCorp USA","27","1","C100026"</v>
      </c>
      <c r="F40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40" s="7" t="str">
        <f t="shared" si="1"/>
        <v>∞||"18 Customer","1 No.","=5 Source No.","5900 Service Zone Code","@@"</v>
      </c>
      <c r="I40" s="8" t="str">
        <f>"Fleece Beanie"</f>
        <v>Fleece Beanie</v>
      </c>
      <c r="J40" s="8"/>
      <c r="K40" s="10">
        <v>3592</v>
      </c>
      <c r="L40" s="11">
        <f t="shared" si="2"/>
        <v>2.9838557906458796</v>
      </c>
      <c r="M40" s="9">
        <v>10718.01</v>
      </c>
      <c r="O40" s="10">
        <v>4619</v>
      </c>
      <c r="P40" s="11">
        <f t="shared" si="3"/>
        <v>2.9823208486685426</v>
      </c>
      <c r="Q40" s="9">
        <v>13775.339999999998</v>
      </c>
    </row>
    <row r="41" spans="1:17" x14ac:dyDescent="0.25">
      <c r="A41" t="s">
        <v>58</v>
      </c>
      <c r="C41" s="7" t="str">
        <f t="shared" si="4"/>
        <v>@@</v>
      </c>
      <c r="D41" s="7" t="str">
        <f>"@@C100027"</f>
        <v>@@C100027</v>
      </c>
      <c r="E41" s="7" t="str">
        <f>"""NAV 2015"",""CRONUS JetCorp USA"",""27"",""1"",""C100027"""</f>
        <v>"NAV 2015","CRONUS JetCorp USA","27","1","C100027"</v>
      </c>
      <c r="F41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41" s="7" t="str">
        <f t="shared" si="1"/>
        <v>∞||"18 Customer","1 No.","=5 Source No.","5900 Service Zone Code","@@"</v>
      </c>
      <c r="I41" s="8" t="str">
        <f>"Pique Visor"</f>
        <v>Pique Visor</v>
      </c>
      <c r="J41" s="8"/>
      <c r="K41" s="10">
        <v>1707.9999999999998</v>
      </c>
      <c r="L41" s="11">
        <f t="shared" si="2"/>
        <v>6.0573477751756455</v>
      </c>
      <c r="M41" s="9">
        <v>10345.950000000001</v>
      </c>
      <c r="O41" s="10">
        <v>2362</v>
      </c>
      <c r="P41" s="11">
        <f t="shared" si="3"/>
        <v>6.0266130397967821</v>
      </c>
      <c r="Q41" s="9">
        <v>14234.859999999999</v>
      </c>
    </row>
    <row r="42" spans="1:17" x14ac:dyDescent="0.25">
      <c r="A42" t="s">
        <v>58</v>
      </c>
      <c r="C42" s="7" t="str">
        <f t="shared" si="4"/>
        <v>@@</v>
      </c>
      <c r="D42" s="7" t="str">
        <f>"@@C100028"</f>
        <v>@@C100028</v>
      </c>
      <c r="E42" s="7" t="str">
        <f>"""NAV 2015"",""CRONUS JetCorp USA"",""27"",""1"",""C100028"""</f>
        <v>"NAV 2015","CRONUS JetCorp USA","27","1","C100028"</v>
      </c>
      <c r="F42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42" s="7" t="str">
        <f t="shared" si="1"/>
        <v>∞||"18 Customer","1 No.","=5 Source No.","5900 Service Zone Code","@@"</v>
      </c>
      <c r="I42" s="8" t="str">
        <f>"Twill Visor"</f>
        <v>Twill Visor</v>
      </c>
      <c r="J42" s="8"/>
      <c r="K42" s="10">
        <v>3649</v>
      </c>
      <c r="L42" s="11">
        <f t="shared" si="2"/>
        <v>4.9149575226089341</v>
      </c>
      <c r="M42" s="9">
        <v>17934.68</v>
      </c>
      <c r="O42" s="10">
        <v>2650</v>
      </c>
      <c r="P42" s="11">
        <f t="shared" si="3"/>
        <v>4.9263735849056607</v>
      </c>
      <c r="Q42" s="9">
        <v>13054.890000000001</v>
      </c>
    </row>
    <row r="43" spans="1:17" x14ac:dyDescent="0.25">
      <c r="A43" t="s">
        <v>58</v>
      </c>
      <c r="C43" s="7" t="str">
        <f t="shared" si="4"/>
        <v>@@</v>
      </c>
      <c r="D43" s="7" t="str">
        <f>"@@C100029"</f>
        <v>@@C100029</v>
      </c>
      <c r="E43" s="7" t="str">
        <f>"""NAV 2015"",""CRONUS JetCorp USA"",""27"",""1"",""C100029"""</f>
        <v>"NAV 2015","CRONUS JetCorp USA","27","1","C100029"</v>
      </c>
      <c r="F43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43" s="7" t="str">
        <f t="shared" si="1"/>
        <v>∞||"18 Customer","1 No.","=5 Source No.","5900 Service Zone Code","@@"</v>
      </c>
      <c r="I43" s="8" t="str">
        <f>"Distressed Twill Visor"</f>
        <v>Distressed Twill Visor</v>
      </c>
      <c r="J43" s="8"/>
      <c r="K43" s="10">
        <v>3704</v>
      </c>
      <c r="L43" s="11">
        <f t="shared" si="2"/>
        <v>3.2839902807775383</v>
      </c>
      <c r="M43" s="9">
        <v>12163.900000000001</v>
      </c>
      <c r="O43" s="10">
        <v>4122</v>
      </c>
      <c r="P43" s="11">
        <f t="shared" si="3"/>
        <v>3.2807569141193591</v>
      </c>
      <c r="Q43" s="9">
        <v>13523.279999999999</v>
      </c>
    </row>
    <row r="44" spans="1:17" x14ac:dyDescent="0.25">
      <c r="A44" t="s">
        <v>58</v>
      </c>
      <c r="C44" s="7" t="str">
        <f t="shared" si="4"/>
        <v>@@</v>
      </c>
      <c r="D44" s="7" t="str">
        <f>"@@C100030"</f>
        <v>@@C100030</v>
      </c>
      <c r="E44" s="7" t="str">
        <f>"""NAV 2015"",""CRONUS JetCorp USA"",""27"",""1"",""C100030"""</f>
        <v>"NAV 2015","CRONUS JetCorp USA","27","1","C100030"</v>
      </c>
      <c r="F44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44" s="7" t="str">
        <f t="shared" si="1"/>
        <v>∞||"18 Customer","1 No.","=5 Source No.","5900 Service Zone Code","@@"</v>
      </c>
      <c r="I44" s="8" t="str">
        <f>"Fashion Visor"</f>
        <v>Fashion Visor</v>
      </c>
      <c r="J44" s="8"/>
      <c r="K44" s="10">
        <v>3165</v>
      </c>
      <c r="L44" s="11">
        <f t="shared" si="2"/>
        <v>4.2214628751974725</v>
      </c>
      <c r="M44" s="9">
        <v>13360.93</v>
      </c>
      <c r="O44" s="10">
        <v>2930</v>
      </c>
      <c r="P44" s="11">
        <f t="shared" si="3"/>
        <v>4.2133686006825934</v>
      </c>
      <c r="Q44" s="9">
        <v>12345.17</v>
      </c>
    </row>
    <row r="45" spans="1:17" x14ac:dyDescent="0.25">
      <c r="A45" t="s">
        <v>58</v>
      </c>
      <c r="C45" s="7" t="str">
        <f t="shared" si="4"/>
        <v>@@</v>
      </c>
      <c r="D45" s="7" t="str">
        <f>"@@C100031"</f>
        <v>@@C100031</v>
      </c>
      <c r="E45" s="7" t="str">
        <f>"""NAV 2015"",""CRONUS JetCorp USA"",""27"",""1"",""C100031"""</f>
        <v>"NAV 2015","CRONUS JetCorp USA","27","1","C100031"</v>
      </c>
      <c r="F45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45" s="7" t="str">
        <f t="shared" si="1"/>
        <v>∞||"18 Customer","1 No.","=5 Source No.","5900 Service Zone Code","@@"</v>
      </c>
      <c r="I45" s="8" t="str">
        <f>"Carabiner Watch"</f>
        <v>Carabiner Watch</v>
      </c>
      <c r="J45" s="8"/>
      <c r="K45" s="10">
        <v>2361</v>
      </c>
      <c r="L45" s="11">
        <f t="shared" si="2"/>
        <v>17.775789919525625</v>
      </c>
      <c r="M45" s="9">
        <v>41968.639999999999</v>
      </c>
      <c r="O45" s="10">
        <v>1684.0000000000002</v>
      </c>
      <c r="P45" s="11">
        <f t="shared" si="3"/>
        <v>18.236781472684083</v>
      </c>
      <c r="Q45" s="9">
        <v>30710.739999999998</v>
      </c>
    </row>
    <row r="46" spans="1:17" x14ac:dyDescent="0.25">
      <c r="A46" t="s">
        <v>58</v>
      </c>
      <c r="C46" s="7" t="str">
        <f t="shared" si="4"/>
        <v>@@</v>
      </c>
      <c r="D46" s="7" t="str">
        <f>"@@C100032"</f>
        <v>@@C100032</v>
      </c>
      <c r="E46" s="7" t="str">
        <f>"""NAV 2015"",""CRONUS JetCorp USA"",""27"",""1"",""C100032"""</f>
        <v>"NAV 2015","CRONUS JetCorp USA","27","1","C100032"</v>
      </c>
      <c r="F46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46" s="7" t="str">
        <f t="shared" si="1"/>
        <v>∞||"18 Customer","1 No.","=5 Source No.","5900 Service Zone Code","@@"</v>
      </c>
      <c r="I46" s="8" t="str">
        <f>"Clip-on Clock"</f>
        <v>Clip-on Clock</v>
      </c>
      <c r="J46" s="8"/>
      <c r="K46" s="10">
        <v>2433</v>
      </c>
      <c r="L46" s="11">
        <f t="shared" si="2"/>
        <v>7.9206494040279489</v>
      </c>
      <c r="M46" s="9">
        <v>19270.939999999999</v>
      </c>
      <c r="O46" s="10">
        <v>1796</v>
      </c>
      <c r="P46" s="11">
        <f t="shared" si="3"/>
        <v>7.9471993318485525</v>
      </c>
      <c r="Q46" s="9">
        <v>14273.17</v>
      </c>
    </row>
    <row r="47" spans="1:17" x14ac:dyDescent="0.25">
      <c r="A47" t="s">
        <v>58</v>
      </c>
      <c r="C47" s="7" t="str">
        <f t="shared" si="4"/>
        <v>@@</v>
      </c>
      <c r="D47" s="7" t="str">
        <f>"@@C100033"</f>
        <v>@@C100033</v>
      </c>
      <c r="E47" s="7" t="str">
        <f>"""NAV 2015"",""CRONUS JetCorp USA"",""27"",""1"",""C100033"""</f>
        <v>"NAV 2015","CRONUS JetCorp USA","27","1","C100033"</v>
      </c>
      <c r="F47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47" s="7" t="str">
        <f t="shared" si="1"/>
        <v>∞||"18 Customer","1 No.","=5 Source No.","5900 Service Zone Code","@@"</v>
      </c>
      <c r="I47" s="8" t="str">
        <f>"Frames &amp; Clock"</f>
        <v>Frames &amp; Clock</v>
      </c>
      <c r="J47" s="8"/>
      <c r="K47" s="10">
        <v>2089</v>
      </c>
      <c r="L47" s="11">
        <f t="shared" si="2"/>
        <v>4.7270129248444226</v>
      </c>
      <c r="M47" s="9">
        <v>9874.73</v>
      </c>
      <c r="O47" s="10">
        <v>2579</v>
      </c>
      <c r="P47" s="11">
        <f t="shared" si="3"/>
        <v>4.6569561845676617</v>
      </c>
      <c r="Q47" s="9">
        <v>12010.289999999999</v>
      </c>
    </row>
    <row r="48" spans="1:17" x14ac:dyDescent="0.25">
      <c r="A48" t="s">
        <v>58</v>
      </c>
      <c r="C48" s="7" t="str">
        <f t="shared" si="4"/>
        <v>@@</v>
      </c>
      <c r="D48" s="7" t="str">
        <f>"@@C100034"</f>
        <v>@@C100034</v>
      </c>
      <c r="E48" s="7" t="str">
        <f>"""NAV 2015"",""CRONUS JetCorp USA"",""27"",""1"",""C100034"""</f>
        <v>"NAV 2015","CRONUS JetCorp USA","27","1","C100034"</v>
      </c>
      <c r="F48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48" s="7" t="str">
        <f t="shared" si="1"/>
        <v>∞||"18 Customer","1 No.","=5 Source No.","5900 Service Zone Code","@@"</v>
      </c>
      <c r="I48" s="8" t="str">
        <f>"Clock &amp; Pen Holder"</f>
        <v>Clock &amp; Pen Holder</v>
      </c>
      <c r="J48" s="8"/>
      <c r="K48" s="10">
        <v>745</v>
      </c>
      <c r="L48" s="11">
        <f t="shared" si="2"/>
        <v>15.380214765100671</v>
      </c>
      <c r="M48" s="9">
        <v>11458.26</v>
      </c>
      <c r="O48" s="10">
        <v>493.00000000000006</v>
      </c>
      <c r="P48" s="11">
        <f t="shared" si="3"/>
        <v>15.331115618661256</v>
      </c>
      <c r="Q48" s="9">
        <v>7558.24</v>
      </c>
    </row>
    <row r="49" spans="1:17" x14ac:dyDescent="0.25">
      <c r="A49" t="s">
        <v>58</v>
      </c>
      <c r="C49" s="7" t="str">
        <f t="shared" si="4"/>
        <v>@@</v>
      </c>
      <c r="D49" s="7" t="str">
        <f>"@@C100035"</f>
        <v>@@C100035</v>
      </c>
      <c r="E49" s="7" t="str">
        <f>"""NAV 2015"",""CRONUS JetCorp USA"",""27"",""1"",""C100035"""</f>
        <v>"NAV 2015","CRONUS JetCorp USA","27","1","C100035"</v>
      </c>
      <c r="F49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49" s="7" t="str">
        <f t="shared" si="1"/>
        <v>∞||"18 Customer","1 No.","=5 Source No.","5900 Service Zone Code","@@"</v>
      </c>
      <c r="I49" s="8" t="str">
        <f>"Calculator &amp; World Time Clock"</f>
        <v>Calculator &amp; World Time Clock</v>
      </c>
      <c r="J49" s="8"/>
      <c r="K49" s="10">
        <v>2334</v>
      </c>
      <c r="L49" s="11">
        <f t="shared" si="2"/>
        <v>2.8577720651242502</v>
      </c>
      <c r="M49" s="9">
        <v>6670.04</v>
      </c>
      <c r="O49" s="10">
        <v>2707</v>
      </c>
      <c r="P49" s="11">
        <f t="shared" si="3"/>
        <v>2.837052087181382</v>
      </c>
      <c r="Q49" s="9">
        <v>7679.9000000000005</v>
      </c>
    </row>
    <row r="50" spans="1:17" x14ac:dyDescent="0.25">
      <c r="A50" t="s">
        <v>58</v>
      </c>
      <c r="C50" s="7" t="str">
        <f t="shared" si="4"/>
        <v>@@</v>
      </c>
      <c r="D50" s="7" t="str">
        <f>"@@C100036"</f>
        <v>@@C100036</v>
      </c>
      <c r="E50" s="7" t="str">
        <f>"""NAV 2015"",""CRONUS JetCorp USA"",""27"",""1"",""C100036"""</f>
        <v>"NAV 2015","CRONUS JetCorp USA","27","1","C100036"</v>
      </c>
      <c r="F50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50" s="7" t="str">
        <f t="shared" si="1"/>
        <v>∞||"18 Customer","1 No.","=5 Source No.","5900 Service Zone Code","@@"</v>
      </c>
      <c r="I50" s="8" t="str">
        <f>"Clock &amp; Business Card Holder"</f>
        <v>Clock &amp; Business Card Holder</v>
      </c>
      <c r="J50" s="8"/>
      <c r="K50" s="10">
        <v>916</v>
      </c>
      <c r="L50" s="11">
        <f t="shared" si="2"/>
        <v>8.4840174672489077</v>
      </c>
      <c r="M50" s="9">
        <v>7771.36</v>
      </c>
      <c r="O50" s="10">
        <v>757.99999999999989</v>
      </c>
      <c r="P50" s="11">
        <f t="shared" si="3"/>
        <v>8.4715963060686015</v>
      </c>
      <c r="Q50" s="9">
        <v>6421.4699999999993</v>
      </c>
    </row>
    <row r="51" spans="1:17" x14ac:dyDescent="0.25">
      <c r="A51" t="s">
        <v>58</v>
      </c>
      <c r="C51" s="7" t="str">
        <f t="shared" si="4"/>
        <v>@@</v>
      </c>
      <c r="D51" s="7" t="str">
        <f>"@@C100037"</f>
        <v>@@C100037</v>
      </c>
      <c r="E51" s="7" t="str">
        <f>"""NAV 2015"",""CRONUS JetCorp USA"",""27"",""1"",""C100037"""</f>
        <v>"NAV 2015","CRONUS JetCorp USA","27","1","C100037"</v>
      </c>
      <c r="F51" s="7" t="str">
        <f t="shared" si="0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51" s="7" t="str">
        <f t="shared" si="1"/>
        <v>∞||"18 Customer","1 No.","=5 Source No.","5900 Service Zone Code","@@"</v>
      </c>
      <c r="I51" s="8" t="str">
        <f>"World Time Travel Alarm"</f>
        <v>World Time Travel Alarm</v>
      </c>
      <c r="J51" s="8"/>
      <c r="K51" s="10">
        <v>631</v>
      </c>
      <c r="L51" s="11">
        <f t="shared" si="2"/>
        <v>8.7341204437400961</v>
      </c>
      <c r="M51" s="9">
        <v>5511.2300000000005</v>
      </c>
      <c r="O51" s="10">
        <v>1095</v>
      </c>
      <c r="P51" s="11">
        <f t="shared" si="3"/>
        <v>8.6822465753424645</v>
      </c>
      <c r="Q51" s="9">
        <v>9507.06</v>
      </c>
    </row>
    <row r="52" spans="1:17" x14ac:dyDescent="0.25">
      <c r="A52" t="s">
        <v>58</v>
      </c>
      <c r="C52" s="7" t="str">
        <f t="shared" si="4"/>
        <v>@@</v>
      </c>
      <c r="D52" s="7" t="str">
        <f>"@@C100038"</f>
        <v>@@C100038</v>
      </c>
      <c r="E52" s="7" t="str">
        <f>"""NAV 2015"",""CRONUS JetCorp USA"",""27"",""1"",""C100038"""</f>
        <v>"NAV 2015","CRONUS JetCorp USA","27","1","C100038"</v>
      </c>
      <c r="F52" s="7" t="str">
        <f t="shared" ref="F52:F83" si="5">"∞||""5802 Value Entry"",""2 Item No."",""=1 No."",""3 Posting Date"",""12/01/18..01/05/19"",""2 Item No."",""*"",""4 Item Ledger Entry Type"",""Sale"",""105 Entry Type"",""&lt;&gt;Revaluation"",""Link="",""∞||""""18 Customer"""",""""1 No."""",""""=5 Source No."""",""""5900 Service Zone Code"""",""""@@"""""&amp;""""</f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52" s="7" t="str">
        <f t="shared" ref="G52:G83" si="6">"∞||""18 Customer"",""1 No."",""=5 Source No."",""5900 Service Zone Code"",""@@"""</f>
        <v>∞||"18 Customer","1 No.","=5 Source No.","5900 Service Zone Code","@@"</v>
      </c>
      <c r="I52" s="8" t="str">
        <f>"Foldable Travel Speakers"</f>
        <v>Foldable Travel Speakers</v>
      </c>
      <c r="J52" s="8"/>
      <c r="K52" s="10">
        <v>831</v>
      </c>
      <c r="L52" s="11">
        <f t="shared" ref="L52:L83" si="7">IF(K52=0,0,M52/K52)</f>
        <v>4.6458243080625747</v>
      </c>
      <c r="M52" s="9">
        <v>3860.68</v>
      </c>
      <c r="O52" s="10">
        <v>1218</v>
      </c>
      <c r="P52" s="11">
        <f t="shared" ref="P52:P83" si="8">IF(O52=0,0,Q52/O52)</f>
        <v>4.6187274220032837</v>
      </c>
      <c r="Q52" s="9">
        <v>5625.61</v>
      </c>
    </row>
    <row r="53" spans="1:17" x14ac:dyDescent="0.25">
      <c r="A53" t="s">
        <v>58</v>
      </c>
      <c r="C53" s="7" t="str">
        <f t="shared" si="4"/>
        <v>@@</v>
      </c>
      <c r="D53" s="7" t="str">
        <f>"@@C100039"</f>
        <v>@@C100039</v>
      </c>
      <c r="E53" s="7" t="str">
        <f>"""NAV 2015"",""CRONUS JetCorp USA"",""27"",""1"",""C100039"""</f>
        <v>"NAV 2015","CRONUS JetCorp USA","27","1","C100039"</v>
      </c>
      <c r="F53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53" s="7" t="str">
        <f t="shared" si="6"/>
        <v>∞||"18 Customer","1 No.","=5 Source No.","5900 Service Zone Code","@@"</v>
      </c>
      <c r="I53" s="8" t="str">
        <f>"Portable Speaker &amp; MP3 Dock"</f>
        <v>Portable Speaker &amp; MP3 Dock</v>
      </c>
      <c r="J53" s="8"/>
      <c r="K53" s="10">
        <v>441</v>
      </c>
      <c r="L53" s="11">
        <f t="shared" si="7"/>
        <v>14.474512471655329</v>
      </c>
      <c r="M53" s="9">
        <v>6383.26</v>
      </c>
      <c r="O53" s="10">
        <v>346</v>
      </c>
      <c r="P53" s="11">
        <f t="shared" si="8"/>
        <v>14.175028901734102</v>
      </c>
      <c r="Q53" s="9">
        <v>4904.5599999999995</v>
      </c>
    </row>
    <row r="54" spans="1:17" x14ac:dyDescent="0.25">
      <c r="A54" t="s">
        <v>58</v>
      </c>
      <c r="C54" s="7" t="str">
        <f t="shared" si="4"/>
        <v>@@</v>
      </c>
      <c r="D54" s="7" t="str">
        <f>"@@C100040"</f>
        <v>@@C100040</v>
      </c>
      <c r="E54" s="7" t="str">
        <f>"""NAV 2015"",""CRONUS JetCorp USA"",""27"",""1"",""C100040"""</f>
        <v>"NAV 2015","CRONUS JetCorp USA","27","1","C100040"</v>
      </c>
      <c r="F54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54" s="7" t="str">
        <f t="shared" si="6"/>
        <v>∞||"18 Customer","1 No.","=5 Source No.","5900 Service Zone Code","@@"</v>
      </c>
      <c r="I54" s="8" t="str">
        <f>"Channel Speaker System"</f>
        <v>Channel Speaker System</v>
      </c>
      <c r="J54" s="8"/>
      <c r="K54" s="10">
        <v>256</v>
      </c>
      <c r="L54" s="11">
        <f t="shared" si="7"/>
        <v>41.037226562499995</v>
      </c>
      <c r="M54" s="9">
        <v>10505.529999999999</v>
      </c>
      <c r="O54" s="10">
        <v>769</v>
      </c>
      <c r="P54" s="11">
        <f t="shared" si="8"/>
        <v>40.884525357607288</v>
      </c>
      <c r="Q54" s="9">
        <v>31440.200000000004</v>
      </c>
    </row>
    <row r="55" spans="1:17" x14ac:dyDescent="0.25">
      <c r="A55" t="s">
        <v>58</v>
      </c>
      <c r="C55" s="7" t="str">
        <f t="shared" si="4"/>
        <v>@@</v>
      </c>
      <c r="D55" s="7" t="str">
        <f>"@@C100041"</f>
        <v>@@C100041</v>
      </c>
      <c r="E55" s="7" t="str">
        <f>"""NAV 2015"",""CRONUS JetCorp USA"",""27"",""1"",""C100041"""</f>
        <v>"NAV 2015","CRONUS JetCorp USA","27","1","C100041"</v>
      </c>
      <c r="F55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55" s="7" t="str">
        <f t="shared" si="6"/>
        <v>∞||"18 Customer","1 No.","=5 Source No.","5900 Service Zone Code","@@"</v>
      </c>
      <c r="I55" s="8" t="str">
        <f>"Folding Stereo Speakers"</f>
        <v>Folding Stereo Speakers</v>
      </c>
      <c r="J55" s="8"/>
      <c r="K55" s="10">
        <v>605</v>
      </c>
      <c r="L55" s="11">
        <f t="shared" si="7"/>
        <v>14.814661157024792</v>
      </c>
      <c r="M55" s="9">
        <v>8962.869999999999</v>
      </c>
      <c r="O55" s="10">
        <v>945</v>
      </c>
      <c r="P55" s="11">
        <f t="shared" si="8"/>
        <v>14.901111111111112</v>
      </c>
      <c r="Q55" s="9">
        <v>14081.550000000001</v>
      </c>
    </row>
    <row r="56" spans="1:17" x14ac:dyDescent="0.25">
      <c r="A56" t="s">
        <v>58</v>
      </c>
      <c r="C56" s="7" t="str">
        <f t="shared" si="4"/>
        <v>@@</v>
      </c>
      <c r="D56" s="7" t="str">
        <f>"@@C100042"</f>
        <v>@@C100042</v>
      </c>
      <c r="E56" s="7" t="str">
        <f>"""NAV 2015"",""CRONUS JetCorp USA"",""27"",""1"",""C100042"""</f>
        <v>"NAV 2015","CRONUS JetCorp USA","27","1","C100042"</v>
      </c>
      <c r="F56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56" s="7" t="str">
        <f t="shared" si="6"/>
        <v>∞||"18 Customer","1 No.","=5 Source No.","5900 Service Zone Code","@@"</v>
      </c>
      <c r="I56" s="8" t="str">
        <f>"Retractable Earbuds"</f>
        <v>Retractable Earbuds</v>
      </c>
      <c r="J56" s="8"/>
      <c r="K56" s="10">
        <v>1055</v>
      </c>
      <c r="L56" s="11">
        <f t="shared" si="7"/>
        <v>1.9786919431279621</v>
      </c>
      <c r="M56" s="9">
        <v>2087.52</v>
      </c>
      <c r="O56" s="10">
        <v>559</v>
      </c>
      <c r="P56" s="11">
        <f t="shared" si="8"/>
        <v>1.9564042933810377</v>
      </c>
      <c r="Q56" s="9">
        <v>1093.6300000000001</v>
      </c>
    </row>
    <row r="57" spans="1:17" x14ac:dyDescent="0.25">
      <c r="A57" t="s">
        <v>58</v>
      </c>
      <c r="C57" s="7" t="str">
        <f t="shared" si="4"/>
        <v>@@</v>
      </c>
      <c r="D57" s="7" t="str">
        <f>"@@C100043"</f>
        <v>@@C100043</v>
      </c>
      <c r="E57" s="7" t="str">
        <f>"""NAV 2015"",""CRONUS JetCorp USA"",""27"",""1"",""C100043"""</f>
        <v>"NAV 2015","CRONUS JetCorp USA","27","1","C100043"</v>
      </c>
      <c r="F57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57" s="7" t="str">
        <f t="shared" si="6"/>
        <v>∞||"18 Customer","1 No.","=5 Source No.","5900 Service Zone Code","@@"</v>
      </c>
      <c r="I57" s="8" t="str">
        <f>"Pro-Travel Technology Set"</f>
        <v>Pro-Travel Technology Set</v>
      </c>
      <c r="J57" s="8"/>
      <c r="K57" s="10">
        <v>498</v>
      </c>
      <c r="L57" s="11">
        <f t="shared" si="7"/>
        <v>31.667891566265062</v>
      </c>
      <c r="M57" s="9">
        <v>15770.61</v>
      </c>
      <c r="O57" s="10">
        <v>331</v>
      </c>
      <c r="P57" s="11">
        <f t="shared" si="8"/>
        <v>31.450241691842901</v>
      </c>
      <c r="Q57" s="9">
        <v>10410.030000000001</v>
      </c>
    </row>
    <row r="58" spans="1:17" x14ac:dyDescent="0.25">
      <c r="A58" t="s">
        <v>58</v>
      </c>
      <c r="C58" s="7" t="str">
        <f t="shared" si="4"/>
        <v>@@</v>
      </c>
      <c r="D58" s="7" t="str">
        <f>"@@C100044"</f>
        <v>@@C100044</v>
      </c>
      <c r="E58" s="7" t="str">
        <f>"""NAV 2015"",""CRONUS JetCorp USA"",""27"",""1"",""C100044"""</f>
        <v>"NAV 2015","CRONUS JetCorp USA","27","1","C100044"</v>
      </c>
      <c r="F58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58" s="7" t="str">
        <f t="shared" si="6"/>
        <v>∞||"18 Customer","1 No.","=5 Source No.","5900 Service Zone Code","@@"</v>
      </c>
      <c r="I58" s="8" t="str">
        <f>"VOIP Headset with Mic"</f>
        <v>VOIP Headset with Mic</v>
      </c>
      <c r="J58" s="8"/>
      <c r="K58" s="10">
        <v>2052</v>
      </c>
      <c r="L58" s="11">
        <f t="shared" si="7"/>
        <v>2.1185038986354776</v>
      </c>
      <c r="M58" s="9">
        <v>4347.17</v>
      </c>
      <c r="O58" s="10">
        <v>2335</v>
      </c>
      <c r="P58" s="11">
        <f t="shared" si="8"/>
        <v>2.1094561027837258</v>
      </c>
      <c r="Q58" s="9">
        <v>4925.58</v>
      </c>
    </row>
    <row r="59" spans="1:17" x14ac:dyDescent="0.25">
      <c r="A59" t="s">
        <v>58</v>
      </c>
      <c r="C59" s="7" t="str">
        <f t="shared" si="4"/>
        <v>@@</v>
      </c>
      <c r="D59" s="7" t="str">
        <f>"@@C100045"</f>
        <v>@@C100045</v>
      </c>
      <c r="E59" s="7" t="str">
        <f>"""NAV 2015"",""CRONUS JetCorp USA"",""27"",""1"",""C100045"""</f>
        <v>"NAV 2015","CRONUS JetCorp USA","27","1","C100045"</v>
      </c>
      <c r="F59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59" s="7" t="str">
        <f t="shared" si="6"/>
        <v>∞||"18 Customer","1 No.","=5 Source No.","5900 Service Zone Code","@@"</v>
      </c>
      <c r="I59" s="8" t="str">
        <f>"Wireless Headphones"</f>
        <v>Wireless Headphones</v>
      </c>
      <c r="J59" s="8"/>
      <c r="K59" s="10">
        <v>299</v>
      </c>
      <c r="L59" s="11">
        <f t="shared" si="7"/>
        <v>27.350802675585282</v>
      </c>
      <c r="M59" s="9">
        <v>8177.8899999999994</v>
      </c>
      <c r="O59" s="10">
        <v>637</v>
      </c>
      <c r="P59" s="11">
        <f t="shared" si="8"/>
        <v>26.858979591836739</v>
      </c>
      <c r="Q59" s="9">
        <v>17109.170000000002</v>
      </c>
    </row>
    <row r="60" spans="1:17" x14ac:dyDescent="0.25">
      <c r="A60" t="s">
        <v>58</v>
      </c>
      <c r="C60" s="7" t="str">
        <f t="shared" si="4"/>
        <v>@@</v>
      </c>
      <c r="D60" s="7" t="str">
        <f>"@@C100046"</f>
        <v>@@C100046</v>
      </c>
      <c r="E60" s="7" t="str">
        <f>"""NAV 2015"",""CRONUS JetCorp USA"",""27"",""1"",""C100046"""</f>
        <v>"NAV 2015","CRONUS JetCorp USA","27","1","C100046"</v>
      </c>
      <c r="F60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60" s="7" t="str">
        <f t="shared" si="6"/>
        <v>∞||"18 Customer","1 No.","=5 Source No.","5900 Service Zone Code","@@"</v>
      </c>
      <c r="I60" s="8" t="str">
        <f>"1GB MP3 Player"</f>
        <v>1GB MP3 Player</v>
      </c>
      <c r="J60" s="8"/>
      <c r="K60" s="10">
        <v>765</v>
      </c>
      <c r="L60" s="11">
        <f t="shared" si="7"/>
        <v>19.263921568627449</v>
      </c>
      <c r="M60" s="9">
        <v>14736.9</v>
      </c>
      <c r="O60" s="10">
        <v>610</v>
      </c>
      <c r="P60" s="11">
        <f t="shared" si="8"/>
        <v>19.098032786885245</v>
      </c>
      <c r="Q60" s="9">
        <v>11649.8</v>
      </c>
    </row>
    <row r="61" spans="1:17" x14ac:dyDescent="0.25">
      <c r="A61" t="s">
        <v>58</v>
      </c>
      <c r="C61" s="7" t="str">
        <f t="shared" si="4"/>
        <v>@@</v>
      </c>
      <c r="D61" s="7" t="str">
        <f>"@@C100047"</f>
        <v>@@C100047</v>
      </c>
      <c r="E61" s="7" t="str">
        <f>"""NAV 2015"",""CRONUS JetCorp USA"",""27"",""1"",""C100047"""</f>
        <v>"NAV 2015","CRONUS JetCorp USA","27","1","C100047"</v>
      </c>
      <c r="F61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61" s="7" t="str">
        <f t="shared" si="6"/>
        <v>∞||"18 Customer","1 No.","=5 Source No.","5900 Service Zone Code","@@"</v>
      </c>
      <c r="I61" s="8" t="str">
        <f>"2GB MP3 Player"</f>
        <v>2GB MP3 Player</v>
      </c>
      <c r="J61" s="8"/>
      <c r="K61" s="10">
        <v>825.00000000000011</v>
      </c>
      <c r="L61" s="11">
        <f t="shared" si="7"/>
        <v>27.148448484848483</v>
      </c>
      <c r="M61" s="9">
        <v>22397.47</v>
      </c>
      <c r="O61" s="10">
        <v>247</v>
      </c>
      <c r="P61" s="11">
        <f t="shared" si="8"/>
        <v>27.001862348178133</v>
      </c>
      <c r="Q61" s="9">
        <v>6669.4599999999991</v>
      </c>
    </row>
    <row r="62" spans="1:17" x14ac:dyDescent="0.25">
      <c r="A62" t="s">
        <v>58</v>
      </c>
      <c r="C62" s="7" t="str">
        <f t="shared" si="4"/>
        <v>@@</v>
      </c>
      <c r="D62" s="7" t="str">
        <f>"@@C100048"</f>
        <v>@@C100048</v>
      </c>
      <c r="E62" s="7" t="str">
        <f>"""NAV 2015"",""CRONUS JetCorp USA"",""27"",""1"",""C100048"""</f>
        <v>"NAV 2015","CRONUS JetCorp USA","27","1","C100048"</v>
      </c>
      <c r="F62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62" s="7" t="str">
        <f t="shared" si="6"/>
        <v>∞||"18 Customer","1 No.","=5 Source No.","5900 Service Zone Code","@@"</v>
      </c>
      <c r="I62" s="8" t="str">
        <f>"USB MP3 Player"</f>
        <v>USB MP3 Player</v>
      </c>
      <c r="J62" s="8"/>
      <c r="K62" s="10">
        <v>867</v>
      </c>
      <c r="L62" s="11">
        <f t="shared" si="7"/>
        <v>12.188673587081892</v>
      </c>
      <c r="M62" s="9">
        <v>10567.58</v>
      </c>
      <c r="O62" s="10">
        <v>556</v>
      </c>
      <c r="P62" s="11">
        <f t="shared" si="8"/>
        <v>12.142014388489208</v>
      </c>
      <c r="Q62" s="9">
        <v>6750.96</v>
      </c>
    </row>
    <row r="63" spans="1:17" x14ac:dyDescent="0.25">
      <c r="A63" t="s">
        <v>58</v>
      </c>
      <c r="C63" s="7" t="str">
        <f t="shared" si="4"/>
        <v>@@</v>
      </c>
      <c r="D63" s="7" t="str">
        <f>"@@C100049"</f>
        <v>@@C100049</v>
      </c>
      <c r="E63" s="7" t="str">
        <f>"""NAV 2015"",""CRONUS JetCorp USA"",""27"",""1"",""C100049"""</f>
        <v>"NAV 2015","CRONUS JetCorp USA","27","1","C100049"</v>
      </c>
      <c r="F63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63" s="7" t="str">
        <f t="shared" si="6"/>
        <v>∞||"18 Customer","1 No.","=5 Source No.","5900 Service Zone Code","@@"</v>
      </c>
      <c r="I63" s="8" t="str">
        <f>"4GB MP3 Player"</f>
        <v>4GB MP3 Player</v>
      </c>
      <c r="J63" s="8"/>
      <c r="K63" s="10">
        <v>609</v>
      </c>
      <c r="L63" s="11">
        <f t="shared" si="7"/>
        <v>15.482725779967158</v>
      </c>
      <c r="M63" s="9">
        <v>9428.98</v>
      </c>
      <c r="O63" s="10">
        <v>752</v>
      </c>
      <c r="P63" s="11">
        <f t="shared" si="8"/>
        <v>15.107553191489361</v>
      </c>
      <c r="Q63" s="9">
        <v>11360.88</v>
      </c>
    </row>
    <row r="64" spans="1:17" x14ac:dyDescent="0.25">
      <c r="A64" t="s">
        <v>58</v>
      </c>
      <c r="C64" s="7" t="str">
        <f t="shared" si="4"/>
        <v>@@</v>
      </c>
      <c r="D64" s="7" t="str">
        <f>"@@C100050"</f>
        <v>@@C100050</v>
      </c>
      <c r="E64" s="7" t="str">
        <f>"""NAV 2015"",""CRONUS JetCorp USA"",""27"",""1"",""C100050"""</f>
        <v>"NAV 2015","CRONUS JetCorp USA","27","1","C100050"</v>
      </c>
      <c r="F64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64" s="7" t="str">
        <f t="shared" si="6"/>
        <v>∞||"18 Customer","1 No.","=5 Source No.","5900 Service Zone Code","@@"</v>
      </c>
      <c r="I64" s="8" t="str">
        <f>"Clip-on MP3 Player"</f>
        <v>Clip-on MP3 Player</v>
      </c>
      <c r="J64" s="8"/>
      <c r="K64" s="10">
        <v>518</v>
      </c>
      <c r="L64" s="11">
        <f t="shared" si="7"/>
        <v>18.281737451737452</v>
      </c>
      <c r="M64" s="9">
        <v>9469.94</v>
      </c>
      <c r="O64" s="10">
        <v>457</v>
      </c>
      <c r="P64" s="11">
        <f t="shared" si="8"/>
        <v>18.058949671772432</v>
      </c>
      <c r="Q64" s="9">
        <v>8252.94</v>
      </c>
    </row>
    <row r="65" spans="1:17" x14ac:dyDescent="0.25">
      <c r="A65" t="s">
        <v>58</v>
      </c>
      <c r="C65" s="7" t="str">
        <f t="shared" si="4"/>
        <v>@@</v>
      </c>
      <c r="D65" s="7" t="str">
        <f>"@@C100051"</f>
        <v>@@C100051</v>
      </c>
      <c r="E65" s="7" t="str">
        <f>"""NAV 2015"",""CRONUS JetCorp USA"",""27"",""1"",""C100051"""</f>
        <v>"NAV 2015","CRONUS JetCorp USA","27","1","C100051"</v>
      </c>
      <c r="F65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65" s="7" t="str">
        <f t="shared" si="6"/>
        <v>∞||"18 Customer","1 No.","=5 Source No.","5900 Service Zone Code","@@"</v>
      </c>
      <c r="I65" s="8" t="str">
        <f>"Bamboo Digital Picutre Frame"</f>
        <v>Bamboo Digital Picutre Frame</v>
      </c>
      <c r="J65" s="8"/>
      <c r="K65" s="10">
        <v>279</v>
      </c>
      <c r="L65" s="11">
        <f t="shared" si="7"/>
        <v>48.595232974910395</v>
      </c>
      <c r="M65" s="9">
        <v>13558.07</v>
      </c>
      <c r="O65" s="10">
        <v>636</v>
      </c>
      <c r="P65" s="11">
        <f t="shared" si="8"/>
        <v>48.753867924528301</v>
      </c>
      <c r="Q65" s="9">
        <v>31007.46</v>
      </c>
    </row>
    <row r="66" spans="1:17" x14ac:dyDescent="0.25">
      <c r="A66" t="s">
        <v>58</v>
      </c>
      <c r="C66" s="7" t="str">
        <f t="shared" si="4"/>
        <v>@@</v>
      </c>
      <c r="D66" s="7" t="str">
        <f>"@@C100052"</f>
        <v>@@C100052</v>
      </c>
      <c r="E66" s="7" t="str">
        <f>"""NAV 2015"",""CRONUS JetCorp USA"",""27"",""1"",""C100052"""</f>
        <v>"NAV 2015","CRONUS JetCorp USA","27","1","C100052"</v>
      </c>
      <c r="F66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66" s="7" t="str">
        <f t="shared" si="6"/>
        <v>∞||"18 Customer","1 No.","=5 Source No.","5900 Service Zone Code","@@"</v>
      </c>
      <c r="I66" s="8" t="str">
        <f>"Black Digital Picture Frame"</f>
        <v>Black Digital Picture Frame</v>
      </c>
      <c r="J66" s="8"/>
      <c r="K66" s="10">
        <v>630</v>
      </c>
      <c r="L66" s="11">
        <f t="shared" si="7"/>
        <v>46.72360317460317</v>
      </c>
      <c r="M66" s="9">
        <v>29435.87</v>
      </c>
      <c r="O66" s="10">
        <v>553</v>
      </c>
      <c r="P66" s="11">
        <f t="shared" si="8"/>
        <v>47.167142857142856</v>
      </c>
      <c r="Q66" s="9">
        <v>26083.43</v>
      </c>
    </row>
    <row r="67" spans="1:17" x14ac:dyDescent="0.25">
      <c r="A67" t="s">
        <v>58</v>
      </c>
      <c r="C67" s="7" t="str">
        <f t="shared" si="4"/>
        <v>@@</v>
      </c>
      <c r="D67" s="7" t="str">
        <f>"@@C100053"</f>
        <v>@@C100053</v>
      </c>
      <c r="E67" s="7" t="str">
        <f>"""NAV 2015"",""CRONUS JetCorp USA"",""27"",""1"",""C100053"""</f>
        <v>"NAV 2015","CRONUS JetCorp USA","27","1","C100053"</v>
      </c>
      <c r="F67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67" s="7" t="str">
        <f t="shared" si="6"/>
        <v>∞||"18 Customer","1 No.","=5 Source No.","5900 Service Zone Code","@@"</v>
      </c>
      <c r="I67" s="8" t="str">
        <f>"Book Style Photo Frame &amp; Clock"</f>
        <v>Book Style Photo Frame &amp; Clock</v>
      </c>
      <c r="J67" s="8"/>
      <c r="K67" s="10">
        <v>151</v>
      </c>
      <c r="L67" s="11">
        <f t="shared" si="7"/>
        <v>20.405165562913908</v>
      </c>
      <c r="M67" s="9">
        <v>3081.18</v>
      </c>
      <c r="O67" s="10">
        <v>548</v>
      </c>
      <c r="P67" s="11">
        <f t="shared" si="8"/>
        <v>20.32897810218978</v>
      </c>
      <c r="Q67" s="9">
        <v>11140.279999999999</v>
      </c>
    </row>
    <row r="68" spans="1:17" x14ac:dyDescent="0.25">
      <c r="A68" t="s">
        <v>58</v>
      </c>
      <c r="C68" s="7" t="str">
        <f t="shared" si="4"/>
        <v>@@</v>
      </c>
      <c r="D68" s="7" t="str">
        <f>"@@C100054"</f>
        <v>@@C100054</v>
      </c>
      <c r="E68" s="7" t="str">
        <f>"""NAV 2015"",""CRONUS JetCorp USA"",""27"",""1"",""C100054"""</f>
        <v>"NAV 2015","CRONUS JetCorp USA","27","1","C100054"</v>
      </c>
      <c r="F68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68" s="7" t="str">
        <f t="shared" si="6"/>
        <v>∞||"18 Customer","1 No.","=5 Source No.","5900 Service Zone Code","@@"</v>
      </c>
      <c r="I68" s="8" t="str">
        <f>"Cherry Finish Photo Frame &amp; Clock"</f>
        <v>Cherry Finish Photo Frame &amp; Clock</v>
      </c>
      <c r="J68" s="8"/>
      <c r="K68" s="10">
        <v>637</v>
      </c>
      <c r="L68" s="11">
        <f t="shared" si="7"/>
        <v>20.43951334379906</v>
      </c>
      <c r="M68" s="9">
        <v>13019.970000000001</v>
      </c>
      <c r="O68" s="10">
        <v>1014.9999999999999</v>
      </c>
      <c r="P68" s="11">
        <f t="shared" si="8"/>
        <v>20.318876847290642</v>
      </c>
      <c r="Q68" s="9">
        <v>20623.66</v>
      </c>
    </row>
    <row r="69" spans="1:17" x14ac:dyDescent="0.25">
      <c r="A69" t="s">
        <v>58</v>
      </c>
      <c r="C69" s="7" t="str">
        <f t="shared" si="4"/>
        <v>@@</v>
      </c>
      <c r="D69" s="7" t="str">
        <f>"@@C100055"</f>
        <v>@@C100055</v>
      </c>
      <c r="E69" s="7" t="str">
        <f>"""NAV 2015"",""CRONUS JetCorp USA"",""27"",""1"",""C100055"""</f>
        <v>"NAV 2015","CRONUS JetCorp USA","27","1","C100055"</v>
      </c>
      <c r="F69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69" s="7" t="str">
        <f t="shared" si="6"/>
        <v>∞||"18 Customer","1 No.","=5 Source No.","5900 Service Zone Code","@@"</v>
      </c>
      <c r="I69" s="8" t="str">
        <f>"Silver Plated Photo Frame"</f>
        <v>Silver Plated Photo Frame</v>
      </c>
      <c r="J69" s="8"/>
      <c r="K69" s="10">
        <v>558</v>
      </c>
      <c r="L69" s="11">
        <f t="shared" si="7"/>
        <v>38.975071684587817</v>
      </c>
      <c r="M69" s="9">
        <v>21748.09</v>
      </c>
      <c r="O69" s="10">
        <v>699</v>
      </c>
      <c r="P69" s="11">
        <f t="shared" si="8"/>
        <v>37.938569384835475</v>
      </c>
      <c r="Q69" s="9">
        <v>26519.059999999998</v>
      </c>
    </row>
    <row r="70" spans="1:17" x14ac:dyDescent="0.25">
      <c r="A70" t="s">
        <v>58</v>
      </c>
      <c r="C70" s="7" t="str">
        <f t="shared" si="4"/>
        <v>@@</v>
      </c>
      <c r="D70" s="7" t="str">
        <f>"@@C100056"</f>
        <v>@@C100056</v>
      </c>
      <c r="E70" s="7" t="str">
        <f>"""NAV 2015"",""CRONUS JetCorp USA"",""27"",""1"",""C100056"""</f>
        <v>"NAV 2015","CRONUS JetCorp USA","27","1","C100056"</v>
      </c>
      <c r="F70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70" s="7" t="str">
        <f t="shared" si="6"/>
        <v>∞||"18 Customer","1 No.","=5 Source No.","5900 Service Zone Code","@@"</v>
      </c>
      <c r="I70" s="8" t="str">
        <f>"Contemporary Desk Calculator"</f>
        <v>Contemporary Desk Calculator</v>
      </c>
      <c r="J70" s="8"/>
      <c r="K70" s="10">
        <v>1056</v>
      </c>
      <c r="L70" s="11">
        <f t="shared" si="7"/>
        <v>5.2744318181818182</v>
      </c>
      <c r="M70" s="9">
        <v>5569.8</v>
      </c>
      <c r="O70" s="10">
        <v>1950</v>
      </c>
      <c r="P70" s="11">
        <f t="shared" si="8"/>
        <v>5.2730666666666668</v>
      </c>
      <c r="Q70" s="9">
        <v>10282.48</v>
      </c>
    </row>
    <row r="71" spans="1:17" x14ac:dyDescent="0.25">
      <c r="A71" t="s">
        <v>58</v>
      </c>
      <c r="C71" s="7" t="str">
        <f t="shared" si="4"/>
        <v>@@</v>
      </c>
      <c r="D71" s="7" t="str">
        <f>"@@C100061"</f>
        <v>@@C100061</v>
      </c>
      <c r="E71" s="7" t="str">
        <f>"""NAV 2015"",""CRONUS JetCorp USA"",""27"",""1"",""C100061"""</f>
        <v>"NAV 2015","CRONUS JetCorp USA","27","1","C100061"</v>
      </c>
      <c r="F71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71" s="7" t="str">
        <f t="shared" si="6"/>
        <v>∞||"18 Customer","1 No.","=5 Source No.","5900 Service Zone Code","@@"</v>
      </c>
      <c r="I71" s="8" t="str">
        <f>"Bistro Mug"</f>
        <v>Bistro Mug</v>
      </c>
      <c r="J71" s="8"/>
      <c r="K71" s="10">
        <v>600</v>
      </c>
      <c r="L71" s="11">
        <f t="shared" si="7"/>
        <v>1.2778166666666668</v>
      </c>
      <c r="M71" s="9">
        <v>766.69</v>
      </c>
      <c r="O71" s="10">
        <v>1110</v>
      </c>
      <c r="P71" s="11">
        <f t="shared" si="8"/>
        <v>1.2844594594594594</v>
      </c>
      <c r="Q71" s="9">
        <v>1425.75</v>
      </c>
    </row>
    <row r="72" spans="1:17" x14ac:dyDescent="0.25">
      <c r="A72" t="s">
        <v>58</v>
      </c>
      <c r="C72" s="7" t="str">
        <f t="shared" si="4"/>
        <v>@@</v>
      </c>
      <c r="D72" s="7" t="str">
        <f>"@@C100062"</f>
        <v>@@C100062</v>
      </c>
      <c r="E72" s="7" t="str">
        <f>"""NAV 2015"",""CRONUS JetCorp USA"",""27"",""1"",""C100062"""</f>
        <v>"NAV 2015","CRONUS JetCorp USA","27","1","C100062"</v>
      </c>
      <c r="F72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72" s="7" t="str">
        <f t="shared" si="6"/>
        <v>∞||"18 Customer","1 No.","=5 Source No.","5900 Service Zone Code","@@"</v>
      </c>
      <c r="I72" s="8" t="str">
        <f>"Tall Matte Finish Mug"</f>
        <v>Tall Matte Finish Mug</v>
      </c>
      <c r="J72" s="8"/>
      <c r="K72" s="10">
        <v>1130</v>
      </c>
      <c r="L72" s="11">
        <f t="shared" si="7"/>
        <v>1.1911858407079645</v>
      </c>
      <c r="M72" s="9">
        <v>1346.04</v>
      </c>
      <c r="O72" s="10">
        <v>589</v>
      </c>
      <c r="P72" s="11">
        <f t="shared" si="8"/>
        <v>1.1903225806451612</v>
      </c>
      <c r="Q72" s="9">
        <v>701.09999999999991</v>
      </c>
    </row>
    <row r="73" spans="1:17" x14ac:dyDescent="0.25">
      <c r="A73" t="s">
        <v>58</v>
      </c>
      <c r="C73" s="7" t="str">
        <f t="shared" si="4"/>
        <v>@@</v>
      </c>
      <c r="D73" s="7" t="str">
        <f>"@@C100063"</f>
        <v>@@C100063</v>
      </c>
      <c r="E73" s="7" t="str">
        <f>"""NAV 2015"",""CRONUS JetCorp USA"",""27"",""1"",""C100063"""</f>
        <v>"NAV 2015","CRONUS JetCorp USA","27","1","C100063"</v>
      </c>
      <c r="F73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73" s="7" t="str">
        <f t="shared" si="6"/>
        <v>∞||"18 Customer","1 No.","=5 Source No.","5900 Service Zone Code","@@"</v>
      </c>
      <c r="I73" s="8" t="str">
        <f>"Soup Mug"</f>
        <v>Soup Mug</v>
      </c>
      <c r="J73" s="8"/>
      <c r="K73" s="10">
        <v>986.00000000000011</v>
      </c>
      <c r="L73" s="11">
        <f t="shared" si="7"/>
        <v>1.5965922920892492</v>
      </c>
      <c r="M73" s="9">
        <v>1574.24</v>
      </c>
      <c r="O73" s="10">
        <v>842.00000000000011</v>
      </c>
      <c r="P73" s="11">
        <f t="shared" si="8"/>
        <v>1.621128266033254</v>
      </c>
      <c r="Q73" s="9">
        <v>1364.99</v>
      </c>
    </row>
    <row r="74" spans="1:17" x14ac:dyDescent="0.25">
      <c r="A74" t="s">
        <v>58</v>
      </c>
      <c r="C74" s="7" t="str">
        <f t="shared" si="4"/>
        <v>@@</v>
      </c>
      <c r="D74" s="7" t="str">
        <f>"@@C100066"</f>
        <v>@@C100066</v>
      </c>
      <c r="E74" s="7" t="str">
        <f>"""NAV 2015"",""CRONUS JetCorp USA"",""27"",""1"",""C100066"""</f>
        <v>"NAV 2015","CRONUS JetCorp USA","27","1","C100066"</v>
      </c>
      <c r="F74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74" s="7" t="str">
        <f t="shared" si="6"/>
        <v>∞||"18 Customer","1 No.","=5 Source No.","5900 Service Zone Code","@@"</v>
      </c>
      <c r="I74" s="8" t="str">
        <f>"Fashion Travel Mug"</f>
        <v>Fashion Travel Mug</v>
      </c>
      <c r="J74" s="8"/>
      <c r="K74" s="10">
        <v>912</v>
      </c>
      <c r="L74" s="11">
        <f t="shared" si="7"/>
        <v>3.5109868421052632</v>
      </c>
      <c r="M74" s="9">
        <v>3202.02</v>
      </c>
      <c r="O74" s="10">
        <v>1557</v>
      </c>
      <c r="P74" s="11">
        <f t="shared" si="8"/>
        <v>3.5071290944123312</v>
      </c>
      <c r="Q74" s="9">
        <v>5460.5999999999995</v>
      </c>
    </row>
    <row r="75" spans="1:17" x14ac:dyDescent="0.25">
      <c r="A75" t="s">
        <v>58</v>
      </c>
      <c r="C75" s="7" t="str">
        <f t="shared" si="4"/>
        <v>@@</v>
      </c>
      <c r="D75" s="7" t="str">
        <f>"@@C100067"</f>
        <v>@@C100067</v>
      </c>
      <c r="E75" s="7" t="str">
        <f>"""NAV 2015"",""CRONUS JetCorp USA"",""27"",""1"",""C100067"""</f>
        <v>"NAV 2015","CRONUS JetCorp USA","27","1","C100067"</v>
      </c>
      <c r="F75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75" s="7" t="str">
        <f t="shared" si="6"/>
        <v>∞||"18 Customer","1 No.","=5 Source No.","5900 Service Zone Code","@@"</v>
      </c>
      <c r="I75" s="8" t="str">
        <f>"Stainless Thermos"</f>
        <v>Stainless Thermos</v>
      </c>
      <c r="J75" s="8"/>
      <c r="K75" s="10">
        <v>961</v>
      </c>
      <c r="L75" s="11">
        <f t="shared" si="7"/>
        <v>4.5968054110301777</v>
      </c>
      <c r="M75" s="9">
        <v>4417.5300000000007</v>
      </c>
      <c r="O75" s="10">
        <v>1207</v>
      </c>
      <c r="P75" s="11">
        <f t="shared" si="8"/>
        <v>4.5652112676056342</v>
      </c>
      <c r="Q75" s="9">
        <v>5510.21</v>
      </c>
    </row>
    <row r="76" spans="1:17" x14ac:dyDescent="0.25">
      <c r="A76" t="s">
        <v>58</v>
      </c>
      <c r="C76" s="7" t="str">
        <f t="shared" si="4"/>
        <v>@@</v>
      </c>
      <c r="D76" s="7" t="str">
        <f>"@@E100001"</f>
        <v>@@E100001</v>
      </c>
      <c r="E76" s="7" t="str">
        <f>"""NAV 2015"",""CRONUS JetCorp USA"",""27"",""1"",""E100001"""</f>
        <v>"NAV 2015","CRONUS JetCorp USA","27","1","E100001"</v>
      </c>
      <c r="F76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76" s="7" t="str">
        <f t="shared" si="6"/>
        <v>∞||"18 Customer","1 No.","=5 Source No.","5900 Service Zone Code","@@"</v>
      </c>
      <c r="I76" s="8" t="str">
        <f>"Sport Bag"</f>
        <v>Sport Bag</v>
      </c>
      <c r="J76" s="8"/>
      <c r="K76" s="10">
        <v>5945</v>
      </c>
      <c r="L76" s="11">
        <f t="shared" si="7"/>
        <v>1.7547922624053827</v>
      </c>
      <c r="M76" s="9">
        <v>10432.24</v>
      </c>
      <c r="O76" s="10">
        <v>3745</v>
      </c>
      <c r="P76" s="11">
        <f t="shared" si="8"/>
        <v>1.7434472630173565</v>
      </c>
      <c r="Q76" s="9">
        <v>6529.21</v>
      </c>
    </row>
    <row r="77" spans="1:17" x14ac:dyDescent="0.25">
      <c r="A77" t="s">
        <v>58</v>
      </c>
      <c r="C77" s="7" t="str">
        <f t="shared" si="4"/>
        <v>@@</v>
      </c>
      <c r="D77" s="7" t="str">
        <f>"@@E100002"</f>
        <v>@@E100002</v>
      </c>
      <c r="E77" s="7" t="str">
        <f>"""NAV 2015"",""CRONUS JetCorp USA"",""27"",""1"",""E100002"""</f>
        <v>"NAV 2015","CRONUS JetCorp USA","27","1","E100002"</v>
      </c>
      <c r="F77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77" s="7" t="str">
        <f t="shared" si="6"/>
        <v>∞||"18 Customer","1 No.","=5 Source No.","5900 Service Zone Code","@@"</v>
      </c>
      <c r="I77" s="8" t="str">
        <f>"Cotton Classic Tote"</f>
        <v>Cotton Classic Tote</v>
      </c>
      <c r="J77" s="8"/>
      <c r="K77" s="10">
        <v>1494</v>
      </c>
      <c r="L77" s="11">
        <f t="shared" si="7"/>
        <v>1.2100468540829987</v>
      </c>
      <c r="M77" s="9">
        <v>1807.81</v>
      </c>
      <c r="O77" s="10">
        <v>1867.9999999999998</v>
      </c>
      <c r="P77" s="11">
        <f t="shared" si="8"/>
        <v>1.2165792291220558</v>
      </c>
      <c r="Q77" s="9">
        <v>2272.5700000000002</v>
      </c>
    </row>
    <row r="78" spans="1:17" x14ac:dyDescent="0.25">
      <c r="A78" t="s">
        <v>58</v>
      </c>
      <c r="C78" s="7" t="str">
        <f t="shared" si="4"/>
        <v>@@</v>
      </c>
      <c r="D78" s="7" t="str">
        <f>"@@E100003"</f>
        <v>@@E100003</v>
      </c>
      <c r="E78" s="7" t="str">
        <f>"""NAV 2015"",""CRONUS JetCorp USA"",""27"",""1"",""E100003"""</f>
        <v>"NAV 2015","CRONUS JetCorp USA","27","1","E100003"</v>
      </c>
      <c r="F78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78" s="7" t="str">
        <f t="shared" si="6"/>
        <v>∞||"18 Customer","1 No.","=5 Source No.","5900 Service Zone Code","@@"</v>
      </c>
      <c r="I78" s="8" t="str">
        <f>"Recycled Tote"</f>
        <v>Recycled Tote</v>
      </c>
      <c r="J78" s="8"/>
      <c r="K78" s="10">
        <v>1004</v>
      </c>
      <c r="L78" s="11">
        <f t="shared" si="7"/>
        <v>3.0282171314741029</v>
      </c>
      <c r="M78" s="9">
        <v>3040.3299999999995</v>
      </c>
      <c r="O78" s="10">
        <v>1779</v>
      </c>
      <c r="P78" s="11">
        <f t="shared" si="8"/>
        <v>3.0023383923552558</v>
      </c>
      <c r="Q78" s="9">
        <v>5341.16</v>
      </c>
    </row>
    <row r="79" spans="1:17" x14ac:dyDescent="0.25">
      <c r="A79" t="s">
        <v>58</v>
      </c>
      <c r="C79" s="7" t="str">
        <f t="shared" si="4"/>
        <v>@@</v>
      </c>
      <c r="D79" s="7" t="str">
        <f>"@@E100004"</f>
        <v>@@E100004</v>
      </c>
      <c r="E79" s="7" t="str">
        <f>"""NAV 2015"",""CRONUS JetCorp USA"",""27"",""1"",""E100004"""</f>
        <v>"NAV 2015","CRONUS JetCorp USA","27","1","E100004"</v>
      </c>
      <c r="F79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79" s="7" t="str">
        <f t="shared" si="6"/>
        <v>∞||"18 Customer","1 No.","=5 Source No.","5900 Service Zone Code","@@"</v>
      </c>
      <c r="I79" s="8" t="str">
        <f>"Laminated Tote"</f>
        <v>Laminated Tote</v>
      </c>
      <c r="J79" s="8"/>
      <c r="K79" s="10">
        <v>1057</v>
      </c>
      <c r="L79" s="11">
        <f t="shared" si="7"/>
        <v>1.8174077578051091</v>
      </c>
      <c r="M79" s="9">
        <v>1921.0000000000002</v>
      </c>
      <c r="O79" s="10">
        <v>2122</v>
      </c>
      <c r="P79" s="11">
        <f t="shared" si="8"/>
        <v>1.8050188501413762</v>
      </c>
      <c r="Q79" s="9">
        <v>3830.2500000000005</v>
      </c>
    </row>
    <row r="80" spans="1:17" x14ac:dyDescent="0.25">
      <c r="A80" t="s">
        <v>58</v>
      </c>
      <c r="C80" s="7" t="str">
        <f t="shared" si="4"/>
        <v>@@</v>
      </c>
      <c r="D80" s="7" t="str">
        <f>"@@E100005"</f>
        <v>@@E100005</v>
      </c>
      <c r="E80" s="7" t="str">
        <f>"""NAV 2015"",""CRONUS JetCorp USA"",""27"",""1"",""E100005"""</f>
        <v>"NAV 2015","CRONUS JetCorp USA","27","1","E100005"</v>
      </c>
      <c r="F80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80" s="7" t="str">
        <f t="shared" si="6"/>
        <v>∞||"18 Customer","1 No.","=5 Source No.","5900 Service Zone Code","@@"</v>
      </c>
      <c r="I80" s="8" t="str">
        <f>"All Purpose Tote"</f>
        <v>All Purpose Tote</v>
      </c>
      <c r="J80" s="8"/>
      <c r="K80" s="10">
        <v>457</v>
      </c>
      <c r="L80" s="11">
        <f t="shared" si="7"/>
        <v>2.5285557986870897</v>
      </c>
      <c r="M80" s="9">
        <v>1155.55</v>
      </c>
      <c r="O80" s="10">
        <v>1381</v>
      </c>
      <c r="P80" s="11">
        <f t="shared" si="8"/>
        <v>2.4992976104272264</v>
      </c>
      <c r="Q80" s="9">
        <v>3451.5299999999997</v>
      </c>
    </row>
    <row r="81" spans="1:17" x14ac:dyDescent="0.25">
      <c r="A81" t="s">
        <v>58</v>
      </c>
      <c r="C81" s="7" t="str">
        <f t="shared" si="4"/>
        <v>@@</v>
      </c>
      <c r="D81" s="7" t="str">
        <f>"@@E100006"</f>
        <v>@@E100006</v>
      </c>
      <c r="E81" s="7" t="str">
        <f>"""NAV 2015"",""CRONUS JetCorp USA"",""27"",""1"",""E100006"""</f>
        <v>"NAV 2015","CRONUS JetCorp USA","27","1","E100006"</v>
      </c>
      <c r="F81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81" s="7" t="str">
        <f t="shared" si="6"/>
        <v>∞||"18 Customer","1 No.","=5 Source No.","5900 Service Zone Code","@@"</v>
      </c>
      <c r="I81" s="8" t="str">
        <f>"Budget Tote Bag"</f>
        <v>Budget Tote Bag</v>
      </c>
      <c r="J81" s="8"/>
      <c r="K81" s="10">
        <v>2180</v>
      </c>
      <c r="L81" s="11">
        <f t="shared" si="7"/>
        <v>8.7399082568807324E-2</v>
      </c>
      <c r="M81" s="9">
        <v>190.52999999999997</v>
      </c>
      <c r="O81" s="10">
        <v>1520.0000000000002</v>
      </c>
      <c r="P81" s="11">
        <f t="shared" si="8"/>
        <v>8.7559210526315781E-2</v>
      </c>
      <c r="Q81" s="9">
        <v>133.09</v>
      </c>
    </row>
    <row r="82" spans="1:17" x14ac:dyDescent="0.25">
      <c r="A82" t="s">
        <v>58</v>
      </c>
      <c r="C82" s="7" t="str">
        <f t="shared" si="4"/>
        <v>@@</v>
      </c>
      <c r="D82" s="7" t="str">
        <f>"@@E100007"</f>
        <v>@@E100007</v>
      </c>
      <c r="E82" s="7" t="str">
        <f>"""NAV 2015"",""CRONUS JetCorp USA"",""27"",""1"",""E100007"""</f>
        <v>"NAV 2015","CRONUS JetCorp USA","27","1","E100007"</v>
      </c>
      <c r="F82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82" s="7" t="str">
        <f t="shared" si="6"/>
        <v>∞||"18 Customer","1 No.","=5 Source No.","5900 Service Zone Code","@@"</v>
      </c>
      <c r="I82" s="8" t="str">
        <f>"Plastic Handle Bag"</f>
        <v>Plastic Handle Bag</v>
      </c>
      <c r="J82" s="8"/>
      <c r="K82" s="10">
        <v>1340</v>
      </c>
      <c r="L82" s="11">
        <f t="shared" si="7"/>
        <v>0.31949253731343286</v>
      </c>
      <c r="M82" s="9">
        <v>428.12</v>
      </c>
      <c r="O82" s="10">
        <v>2242</v>
      </c>
      <c r="P82" s="11">
        <f t="shared" si="8"/>
        <v>0.31888938447814447</v>
      </c>
      <c r="Q82" s="9">
        <v>714.94999999999993</v>
      </c>
    </row>
    <row r="83" spans="1:17" x14ac:dyDescent="0.25">
      <c r="A83" t="s">
        <v>58</v>
      </c>
      <c r="C83" s="7" t="str">
        <f t="shared" si="4"/>
        <v>@@</v>
      </c>
      <c r="D83" s="7" t="str">
        <f>"@@E100008"</f>
        <v>@@E100008</v>
      </c>
      <c r="E83" s="7" t="str">
        <f>"""NAV 2015"",""CRONUS JetCorp USA"",""27"",""1"",""E100008"""</f>
        <v>"NAV 2015","CRONUS JetCorp USA","27","1","E100008"</v>
      </c>
      <c r="F83" s="7" t="str">
        <f t="shared" si="5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83" s="7" t="str">
        <f t="shared" si="6"/>
        <v>∞||"18 Customer","1 No.","=5 Source No.","5900 Service Zone Code","@@"</v>
      </c>
      <c r="I83" s="8" t="str">
        <f>"Super Shopper"</f>
        <v>Super Shopper</v>
      </c>
      <c r="J83" s="8"/>
      <c r="K83" s="10">
        <v>1196</v>
      </c>
      <c r="L83" s="11">
        <f t="shared" si="7"/>
        <v>0.22290133779264218</v>
      </c>
      <c r="M83" s="9">
        <v>266.59000000000003</v>
      </c>
      <c r="O83" s="10">
        <v>928</v>
      </c>
      <c r="P83" s="11">
        <f t="shared" si="8"/>
        <v>0.22321120689655174</v>
      </c>
      <c r="Q83" s="9">
        <v>207.14000000000001</v>
      </c>
    </row>
    <row r="84" spans="1:17" x14ac:dyDescent="0.25">
      <c r="A84" t="s">
        <v>58</v>
      </c>
      <c r="C84" s="7" t="str">
        <f t="shared" si="4"/>
        <v>@@</v>
      </c>
      <c r="D84" s="7" t="str">
        <f>"@@E100009"</f>
        <v>@@E100009</v>
      </c>
      <c r="E84" s="7" t="str">
        <f>"""NAV 2015"",""CRONUS JetCorp USA"",""27"",""1"",""E100009"""</f>
        <v>"NAV 2015","CRONUS JetCorp USA","27","1","E100009"</v>
      </c>
      <c r="F84" s="7" t="str">
        <f t="shared" ref="F84:F115" si="9">"∞||""5802 Value Entry"",""2 Item No."",""=1 No."",""3 Posting Date"",""12/01/18..01/05/19"",""2 Item No."",""*"",""4 Item Ledger Entry Type"",""Sale"",""105 Entry Type"",""&lt;&gt;Revaluation"",""Link="",""∞||""""18 Customer"""",""""1 No."""",""""=5 Source No."""",""""5900 Service Zone Code"""",""""@@"""""&amp;""""</f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84" s="7" t="str">
        <f t="shared" ref="G84:G115" si="10">"∞||""18 Customer"",""1 No."",""=5 Source No."",""5900 Service Zone Code"",""@@"""</f>
        <v>∞||"18 Customer","1 No.","=5 Source No.","5900 Service Zone Code","@@"</v>
      </c>
      <c r="I84" s="8" t="str">
        <f>"Die-Cut Tote"</f>
        <v>Die-Cut Tote</v>
      </c>
      <c r="J84" s="8"/>
      <c r="K84" s="10">
        <v>1493</v>
      </c>
      <c r="L84" s="11">
        <f t="shared" ref="L84:L115" si="11">IF(K84=0,0,M84/K84)</f>
        <v>0.22502344273275288</v>
      </c>
      <c r="M84" s="9">
        <v>335.96000000000004</v>
      </c>
      <c r="O84" s="10">
        <v>1514</v>
      </c>
      <c r="P84" s="11">
        <f t="shared" ref="P84:P115" si="12">IF(O84=0,0,Q84/O84)</f>
        <v>0.22413474240422723</v>
      </c>
      <c r="Q84" s="9">
        <v>339.34000000000003</v>
      </c>
    </row>
    <row r="85" spans="1:17" x14ac:dyDescent="0.25">
      <c r="A85" t="s">
        <v>58</v>
      </c>
      <c r="C85" s="7" t="str">
        <f t="shared" ref="C85:C148" si="13">C84</f>
        <v>@@</v>
      </c>
      <c r="D85" s="7" t="str">
        <f>"@@E100010"</f>
        <v>@@E100010</v>
      </c>
      <c r="E85" s="7" t="str">
        <f>"""NAV 2015"",""CRONUS JetCorp USA"",""27"",""1"",""E100010"""</f>
        <v>"NAV 2015","CRONUS JetCorp USA","27","1","E100010"</v>
      </c>
      <c r="F85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85" s="7" t="str">
        <f t="shared" si="10"/>
        <v>∞||"18 Customer","1 No.","=5 Source No.","5900 Service Zone Code","@@"</v>
      </c>
      <c r="I85" s="8" t="str">
        <f>"Vinyl Tote"</f>
        <v>Vinyl Tote</v>
      </c>
      <c r="J85" s="8"/>
      <c r="K85" s="10">
        <v>917</v>
      </c>
      <c r="L85" s="11">
        <f t="shared" si="11"/>
        <v>0.30332606324972733</v>
      </c>
      <c r="M85" s="9">
        <v>278.14999999999998</v>
      </c>
      <c r="O85" s="10">
        <v>1922</v>
      </c>
      <c r="P85" s="11">
        <f t="shared" si="12"/>
        <v>0.29912070759625387</v>
      </c>
      <c r="Q85" s="9">
        <v>574.91</v>
      </c>
    </row>
    <row r="86" spans="1:17" x14ac:dyDescent="0.25">
      <c r="A86" t="s">
        <v>58</v>
      </c>
      <c r="C86" s="7" t="str">
        <f t="shared" si="13"/>
        <v>@@</v>
      </c>
      <c r="D86" s="7" t="str">
        <f>"@@E100011"</f>
        <v>@@E100011</v>
      </c>
      <c r="E86" s="7" t="str">
        <f>"""NAV 2015"",""CRONUS JetCorp USA"",""27"",""1"",""E100011"""</f>
        <v>"NAV 2015","CRONUS JetCorp USA","27","1","E100011"</v>
      </c>
      <c r="F86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86" s="7" t="str">
        <f t="shared" si="10"/>
        <v>∞||"18 Customer","1 No.","=5 Source No.","5900 Service Zone Code","@@"</v>
      </c>
      <c r="I86" s="8" t="str">
        <f>"Plastic Sun Visor"</f>
        <v>Plastic Sun Visor</v>
      </c>
      <c r="J86" s="8"/>
      <c r="K86" s="10">
        <v>2735</v>
      </c>
      <c r="L86" s="11">
        <f t="shared" si="11"/>
        <v>0.77815356489945153</v>
      </c>
      <c r="M86" s="9">
        <v>2128.25</v>
      </c>
      <c r="O86" s="10">
        <v>3955</v>
      </c>
      <c r="P86" s="11">
        <f t="shared" si="12"/>
        <v>0.78068520859671298</v>
      </c>
      <c r="Q86" s="9">
        <v>3087.6099999999997</v>
      </c>
    </row>
    <row r="87" spans="1:17" x14ac:dyDescent="0.25">
      <c r="A87" t="s">
        <v>58</v>
      </c>
      <c r="C87" s="7" t="str">
        <f t="shared" si="13"/>
        <v>@@</v>
      </c>
      <c r="D87" s="7" t="str">
        <f>"@@E100012"</f>
        <v>@@E100012</v>
      </c>
      <c r="E87" s="7" t="str">
        <f>"""NAV 2015"",""CRONUS JetCorp USA"",""27"",""1"",""E100012"""</f>
        <v>"NAV 2015","CRONUS JetCorp USA","27","1","E100012"</v>
      </c>
      <c r="F87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87" s="7" t="str">
        <f t="shared" si="10"/>
        <v>∞||"18 Customer","1 No.","=5 Source No.","5900 Service Zone Code","@@"</v>
      </c>
      <c r="I87" s="8" t="str">
        <f>"Canvas Stopwatch"</f>
        <v>Canvas Stopwatch</v>
      </c>
      <c r="J87" s="8"/>
      <c r="K87" s="10">
        <v>3495</v>
      </c>
      <c r="L87" s="11">
        <f t="shared" si="11"/>
        <v>3.5818884120171672</v>
      </c>
      <c r="M87" s="9">
        <v>12518.699999999999</v>
      </c>
      <c r="O87" s="10">
        <v>4068.0000000000005</v>
      </c>
      <c r="P87" s="11">
        <f t="shared" si="12"/>
        <v>3.5630973451327432</v>
      </c>
      <c r="Q87" s="9">
        <v>14494.68</v>
      </c>
    </row>
    <row r="88" spans="1:17" x14ac:dyDescent="0.25">
      <c r="A88" t="s">
        <v>58</v>
      </c>
      <c r="C88" s="7" t="str">
        <f t="shared" si="13"/>
        <v>@@</v>
      </c>
      <c r="D88" s="7" t="str">
        <f>"@@E100013"</f>
        <v>@@E100013</v>
      </c>
      <c r="E88" s="7" t="str">
        <f>"""NAV 2015"",""CRONUS JetCorp USA"",""27"",""1"",""E100013"""</f>
        <v>"NAV 2015","CRONUS JetCorp USA","27","1","E100013"</v>
      </c>
      <c r="F88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88" s="7" t="str">
        <f t="shared" si="10"/>
        <v>∞||"18 Customer","1 No.","=5 Source No.","5900 Service Zone Code","@@"</v>
      </c>
      <c r="I88" s="8" t="str">
        <f>"Clip-on Stopwatch"</f>
        <v>Clip-on Stopwatch</v>
      </c>
      <c r="J88" s="8"/>
      <c r="K88" s="10">
        <v>2952</v>
      </c>
      <c r="L88" s="11">
        <f t="shared" si="11"/>
        <v>2.6424356368563684</v>
      </c>
      <c r="M88" s="9">
        <v>7800.4699999999993</v>
      </c>
      <c r="O88" s="10">
        <v>2528</v>
      </c>
      <c r="P88" s="11">
        <f t="shared" si="12"/>
        <v>2.660775316455696</v>
      </c>
      <c r="Q88" s="9">
        <v>6726.44</v>
      </c>
    </row>
    <row r="89" spans="1:17" x14ac:dyDescent="0.25">
      <c r="A89" t="s">
        <v>58</v>
      </c>
      <c r="C89" s="7" t="str">
        <f t="shared" si="13"/>
        <v>@@</v>
      </c>
      <c r="D89" s="7" t="str">
        <f>"@@E100014"</f>
        <v>@@E100014</v>
      </c>
      <c r="E89" s="7" t="str">
        <f>"""NAV 2015"",""CRONUS JetCorp USA"",""27"",""1"",""E100014"""</f>
        <v>"NAV 2015","CRONUS JetCorp USA","27","1","E100014"</v>
      </c>
      <c r="F89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89" s="7" t="str">
        <f t="shared" si="10"/>
        <v>∞||"18 Customer","1 No.","=5 Source No.","5900 Service Zone Code","@@"</v>
      </c>
      <c r="I89" s="8" t="str">
        <f>"Stopwatch with Neck Rope"</f>
        <v>Stopwatch with Neck Rope</v>
      </c>
      <c r="J89" s="8"/>
      <c r="K89" s="10">
        <v>3556.0000000000005</v>
      </c>
      <c r="L89" s="11">
        <f t="shared" si="11"/>
        <v>2.670300899887514</v>
      </c>
      <c r="M89" s="9">
        <v>9495.59</v>
      </c>
      <c r="O89" s="10">
        <v>3091.0000000000005</v>
      </c>
      <c r="P89" s="11">
        <f t="shared" si="12"/>
        <v>2.640841151730831</v>
      </c>
      <c r="Q89" s="9">
        <v>8162.84</v>
      </c>
    </row>
    <row r="90" spans="1:17" x14ac:dyDescent="0.25">
      <c r="A90" t="s">
        <v>58</v>
      </c>
      <c r="C90" s="7" t="str">
        <f t="shared" si="13"/>
        <v>@@</v>
      </c>
      <c r="D90" s="7" t="str">
        <f>"@@E100015"</f>
        <v>@@E100015</v>
      </c>
      <c r="E90" s="7" t="str">
        <f>"""NAV 2015"",""CRONUS JetCorp USA"",""27"",""1"",""E100015"""</f>
        <v>"NAV 2015","CRONUS JetCorp USA","27","1","E100015"</v>
      </c>
      <c r="F90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90" s="7" t="str">
        <f t="shared" si="10"/>
        <v>∞||"18 Customer","1 No.","=5 Source No.","5900 Service Zone Code","@@"</v>
      </c>
      <c r="I90" s="8" t="str">
        <f>"360 Clip Watch"</f>
        <v>360 Clip Watch</v>
      </c>
      <c r="J90" s="8"/>
      <c r="K90" s="10">
        <v>4973</v>
      </c>
      <c r="L90" s="11">
        <f t="shared" si="11"/>
        <v>2.0688015282525636</v>
      </c>
      <c r="M90" s="9">
        <v>10288.15</v>
      </c>
      <c r="O90" s="10">
        <v>3299</v>
      </c>
      <c r="P90" s="11">
        <f t="shared" si="12"/>
        <v>2.0628463170657776</v>
      </c>
      <c r="Q90" s="9">
        <v>6805.3300000000008</v>
      </c>
    </row>
    <row r="91" spans="1:17" x14ac:dyDescent="0.25">
      <c r="A91" t="s">
        <v>58</v>
      </c>
      <c r="C91" s="7" t="str">
        <f t="shared" si="13"/>
        <v>@@</v>
      </c>
      <c r="D91" s="7" t="str">
        <f>"@@E100016"</f>
        <v>@@E100016</v>
      </c>
      <c r="E91" s="7" t="str">
        <f>"""NAV 2015"",""CRONUS JetCorp USA"",""27"",""1"",""E100016"""</f>
        <v>"NAV 2015","CRONUS JetCorp USA","27","1","E100016"</v>
      </c>
      <c r="F91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91" s="7" t="str">
        <f t="shared" si="10"/>
        <v>∞||"18 Customer","1 No.","=5 Source No.","5900 Service Zone Code","@@"</v>
      </c>
      <c r="I91" s="8" t="str">
        <f>"4 Function Rotating Carabiner Watch"</f>
        <v>4 Function Rotating Carabiner Watch</v>
      </c>
      <c r="J91" s="8"/>
      <c r="K91" s="10">
        <v>3534.9999999999995</v>
      </c>
      <c r="L91" s="11">
        <f t="shared" si="11"/>
        <v>2.9463734087694489</v>
      </c>
      <c r="M91" s="9">
        <v>10415.43</v>
      </c>
      <c r="O91" s="10">
        <v>2758</v>
      </c>
      <c r="P91" s="11">
        <f t="shared" si="12"/>
        <v>2.9121319796954315</v>
      </c>
      <c r="Q91" s="9">
        <v>8031.66</v>
      </c>
    </row>
    <row r="92" spans="1:17" x14ac:dyDescent="0.25">
      <c r="A92" t="s">
        <v>58</v>
      </c>
      <c r="C92" s="7" t="str">
        <f t="shared" si="13"/>
        <v>@@</v>
      </c>
      <c r="D92" s="7" t="str">
        <f>"@@E100017"</f>
        <v>@@E100017</v>
      </c>
      <c r="E92" s="7" t="str">
        <f>"""NAV 2015"",""CRONUS JetCorp USA"",""27"",""1"",""E100017"""</f>
        <v>"NAV 2015","CRONUS JetCorp USA","27","1","E100017"</v>
      </c>
      <c r="F92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92" s="7" t="str">
        <f t="shared" si="10"/>
        <v>∞||"18 Customer","1 No.","=5 Source No.","5900 Service Zone Code","@@"</v>
      </c>
      <c r="I92" s="8" t="str">
        <f>"Clip-on Clock with Compass"</f>
        <v>Clip-on Clock with Compass</v>
      </c>
      <c r="J92" s="8"/>
      <c r="K92" s="10">
        <v>3697.0000000000005</v>
      </c>
      <c r="L92" s="11">
        <f t="shared" si="11"/>
        <v>1.4984717338382472</v>
      </c>
      <c r="M92" s="9">
        <v>5539.85</v>
      </c>
      <c r="O92" s="10">
        <v>3443</v>
      </c>
      <c r="P92" s="11">
        <f t="shared" si="12"/>
        <v>1.5025907638687193</v>
      </c>
      <c r="Q92" s="9">
        <v>5173.42</v>
      </c>
    </row>
    <row r="93" spans="1:17" x14ac:dyDescent="0.25">
      <c r="A93" t="s">
        <v>58</v>
      </c>
      <c r="C93" s="7" t="str">
        <f t="shared" si="13"/>
        <v>@@</v>
      </c>
      <c r="D93" s="7" t="str">
        <f>"@@E100018"</f>
        <v>@@E100018</v>
      </c>
      <c r="E93" s="7" t="str">
        <f>"""NAV 2015"",""CRONUS JetCorp USA"",""27"",""1"",""E100018"""</f>
        <v>"NAV 2015","CRONUS JetCorp USA","27","1","E100018"</v>
      </c>
      <c r="F93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93" s="7" t="str">
        <f t="shared" si="10"/>
        <v>∞||"18 Customer","1 No.","=5 Source No.","5900 Service Zone Code","@@"</v>
      </c>
      <c r="I93" s="8" t="str">
        <f>"Flexi-Clock &amp; Clip"</f>
        <v>Flexi-Clock &amp; Clip</v>
      </c>
      <c r="J93" s="8"/>
      <c r="K93" s="10">
        <v>4427</v>
      </c>
      <c r="L93" s="11">
        <f t="shared" si="11"/>
        <v>1.0937451999096455</v>
      </c>
      <c r="M93" s="9">
        <v>4842.01</v>
      </c>
      <c r="O93" s="10">
        <v>4915</v>
      </c>
      <c r="P93" s="11">
        <f t="shared" si="12"/>
        <v>1.0834954221770092</v>
      </c>
      <c r="Q93" s="9">
        <v>5325.38</v>
      </c>
    </row>
    <row r="94" spans="1:17" x14ac:dyDescent="0.25">
      <c r="A94" t="s">
        <v>58</v>
      </c>
      <c r="C94" s="7" t="str">
        <f t="shared" si="13"/>
        <v>@@</v>
      </c>
      <c r="D94" s="7" t="str">
        <f>"@@E100019"</f>
        <v>@@E100019</v>
      </c>
      <c r="E94" s="7" t="str">
        <f>"""NAV 2015"",""CRONUS JetCorp USA"",""27"",""1"",""E100019"""</f>
        <v>"NAV 2015","CRONUS JetCorp USA","27","1","E100019"</v>
      </c>
      <c r="F94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94" s="7" t="str">
        <f t="shared" si="10"/>
        <v>∞||"18 Customer","1 No.","=5 Source No.","5900 Service Zone Code","@@"</v>
      </c>
      <c r="I94" s="8" t="str">
        <f>"Mini Travel Alarm"</f>
        <v>Mini Travel Alarm</v>
      </c>
      <c r="J94" s="8"/>
      <c r="K94" s="10">
        <v>2109</v>
      </c>
      <c r="L94" s="11">
        <f t="shared" si="11"/>
        <v>3.284556661925083</v>
      </c>
      <c r="M94" s="9">
        <v>6927.13</v>
      </c>
      <c r="O94" s="10">
        <v>1053</v>
      </c>
      <c r="P94" s="11">
        <f t="shared" si="12"/>
        <v>3.2616049382716046</v>
      </c>
      <c r="Q94" s="9">
        <v>3434.47</v>
      </c>
    </row>
    <row r="95" spans="1:17" x14ac:dyDescent="0.25">
      <c r="A95" t="s">
        <v>58</v>
      </c>
      <c r="C95" s="7" t="str">
        <f t="shared" si="13"/>
        <v>@@</v>
      </c>
      <c r="D95" s="7" t="str">
        <f>"@@E100020"</f>
        <v>@@E100020</v>
      </c>
      <c r="E95" s="7" t="str">
        <f>"""NAV 2015"",""CRONUS JetCorp USA"",""27"",""1"",""E100020"""</f>
        <v>"NAV 2015","CRONUS JetCorp USA","27","1","E100020"</v>
      </c>
      <c r="F95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95" s="7" t="str">
        <f t="shared" si="10"/>
        <v>∞||"18 Customer","1 No.","=5 Source No.","5900 Service Zone Code","@@"</v>
      </c>
      <c r="I95" s="8" t="str">
        <f>"Flip-up Travel Alarm"</f>
        <v>Flip-up Travel Alarm</v>
      </c>
      <c r="J95" s="8"/>
      <c r="K95" s="10">
        <v>703</v>
      </c>
      <c r="L95" s="11">
        <f t="shared" si="11"/>
        <v>8.879914651493598</v>
      </c>
      <c r="M95" s="9">
        <v>6242.58</v>
      </c>
      <c r="O95" s="10">
        <v>1054</v>
      </c>
      <c r="P95" s="11">
        <f t="shared" si="12"/>
        <v>8.8704269449715376</v>
      </c>
      <c r="Q95" s="9">
        <v>9349.43</v>
      </c>
    </row>
    <row r="96" spans="1:17" x14ac:dyDescent="0.25">
      <c r="A96" t="s">
        <v>58</v>
      </c>
      <c r="C96" s="7" t="str">
        <f t="shared" si="13"/>
        <v>@@</v>
      </c>
      <c r="D96" s="7" t="str">
        <f>"@@E100021"</f>
        <v>@@E100021</v>
      </c>
      <c r="E96" s="7" t="str">
        <f>"""NAV 2015"",""CRONUS JetCorp USA"",""27"",""1"",""E100021"""</f>
        <v>"NAV 2015","CRONUS JetCorp USA","27","1","E100021"</v>
      </c>
      <c r="F96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96" s="7" t="str">
        <f t="shared" si="10"/>
        <v>∞||"18 Customer","1 No.","=5 Source No.","5900 Service Zone Code","@@"</v>
      </c>
      <c r="I96" s="8" t="str">
        <f>"Slim Travel Alarm"</f>
        <v>Slim Travel Alarm</v>
      </c>
      <c r="J96" s="8"/>
      <c r="K96" s="10">
        <v>2725</v>
      </c>
      <c r="L96" s="11">
        <f t="shared" si="11"/>
        <v>2.7977100917431188</v>
      </c>
      <c r="M96" s="9">
        <v>7623.7599999999993</v>
      </c>
      <c r="O96" s="10">
        <v>2373</v>
      </c>
      <c r="P96" s="11">
        <f t="shared" si="12"/>
        <v>2.7808512431521279</v>
      </c>
      <c r="Q96" s="9">
        <v>6598.9599999999991</v>
      </c>
    </row>
    <row r="97" spans="1:17" x14ac:dyDescent="0.25">
      <c r="A97" t="s">
        <v>58</v>
      </c>
      <c r="C97" s="7" t="str">
        <f t="shared" si="13"/>
        <v>@@</v>
      </c>
      <c r="D97" s="7" t="str">
        <f>"@@E100022"</f>
        <v>@@E100022</v>
      </c>
      <c r="E97" s="7" t="str">
        <f>"""NAV 2015"",""CRONUS JetCorp USA"",""27"",""1"",""E100022"""</f>
        <v>"NAV 2015","CRONUS JetCorp USA","27","1","E100022"</v>
      </c>
      <c r="F97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97" s="7" t="str">
        <f t="shared" si="10"/>
        <v>∞||"18 Customer","1 No.","=5 Source No.","5900 Service Zone Code","@@"</v>
      </c>
      <c r="I97" s="8" t="str">
        <f>"Wide Screen Alarm Clock"</f>
        <v>Wide Screen Alarm Clock</v>
      </c>
      <c r="J97" s="8"/>
      <c r="K97" s="10">
        <v>3808.0000000000005</v>
      </c>
      <c r="L97" s="11">
        <f t="shared" si="11"/>
        <v>1.8710661764705878</v>
      </c>
      <c r="M97" s="9">
        <v>7125.0199999999995</v>
      </c>
      <c r="O97" s="10">
        <v>2526</v>
      </c>
      <c r="P97" s="11">
        <f t="shared" si="12"/>
        <v>1.8729334916864606</v>
      </c>
      <c r="Q97" s="9">
        <v>4731.03</v>
      </c>
    </row>
    <row r="98" spans="1:17" x14ac:dyDescent="0.25">
      <c r="A98" t="s">
        <v>58</v>
      </c>
      <c r="C98" s="7" t="str">
        <f t="shared" si="13"/>
        <v>@@</v>
      </c>
      <c r="D98" s="7" t="str">
        <f>"@@E100023"</f>
        <v>@@E100023</v>
      </c>
      <c r="E98" s="7" t="str">
        <f>"""NAV 2015"",""CRONUS JetCorp USA"",""27"",""1"",""E100023"""</f>
        <v>"NAV 2015","CRONUS JetCorp USA","27","1","E100023"</v>
      </c>
      <c r="F98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98" s="7" t="str">
        <f t="shared" si="10"/>
        <v>∞||"18 Customer","1 No.","=5 Source No.","5900 Service Zone Code","@@"</v>
      </c>
      <c r="I98" s="8" t="str">
        <f>"Sport Earbuds"</f>
        <v>Sport Earbuds</v>
      </c>
      <c r="J98" s="8"/>
      <c r="K98" s="10">
        <v>313</v>
      </c>
      <c r="L98" s="11">
        <f t="shared" si="11"/>
        <v>4.2351118210862619</v>
      </c>
      <c r="M98" s="9">
        <v>1325.59</v>
      </c>
      <c r="O98" s="10">
        <v>1298</v>
      </c>
      <c r="P98" s="11">
        <f t="shared" si="12"/>
        <v>4.4093143297380584</v>
      </c>
      <c r="Q98" s="9">
        <v>5723.29</v>
      </c>
    </row>
    <row r="99" spans="1:17" x14ac:dyDescent="0.25">
      <c r="A99" t="s">
        <v>58</v>
      </c>
      <c r="C99" s="7" t="str">
        <f t="shared" si="13"/>
        <v>@@</v>
      </c>
      <c r="D99" s="7" t="str">
        <f>"@@E100024"</f>
        <v>@@E100024</v>
      </c>
      <c r="E99" s="7" t="str">
        <f>"""NAV 2015"",""CRONUS JetCorp USA"",""27"",""1"",""E100024"""</f>
        <v>"NAV 2015","CRONUS JetCorp USA","27","1","E100024"</v>
      </c>
      <c r="F99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99" s="7" t="str">
        <f t="shared" si="10"/>
        <v>∞||"18 Customer","1 No.","=5 Source No.","5900 Service Zone Code","@@"</v>
      </c>
      <c r="I99" s="8" t="str">
        <f>"Arch Calculator"</f>
        <v>Arch Calculator</v>
      </c>
      <c r="J99" s="8"/>
      <c r="K99" s="10">
        <v>1057</v>
      </c>
      <c r="L99" s="11">
        <f t="shared" si="11"/>
        <v>3.1034153263954591</v>
      </c>
      <c r="M99" s="9">
        <v>3280.3100000000004</v>
      </c>
      <c r="O99" s="10">
        <v>1825.0000000000002</v>
      </c>
      <c r="P99" s="11">
        <f t="shared" si="12"/>
        <v>3.0479178082191782</v>
      </c>
      <c r="Q99" s="9">
        <v>5562.4500000000007</v>
      </c>
    </row>
    <row r="100" spans="1:17" x14ac:dyDescent="0.25">
      <c r="A100" t="s">
        <v>58</v>
      </c>
      <c r="C100" s="7" t="str">
        <f t="shared" si="13"/>
        <v>@@</v>
      </c>
      <c r="D100" s="7" t="str">
        <f>"@@E100025"</f>
        <v>@@E100025</v>
      </c>
      <c r="E100" s="7" t="str">
        <f>"""NAV 2015"",""CRONUS JetCorp USA"",""27"",""1"",""E100025"""</f>
        <v>"NAV 2015","CRONUS JetCorp USA","27","1","E100025"</v>
      </c>
      <c r="F100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00" s="7" t="str">
        <f t="shared" si="10"/>
        <v>∞||"18 Customer","1 No.","=5 Source No.","5900 Service Zone Code","@@"</v>
      </c>
      <c r="I100" s="8" t="str">
        <f>"Calc-U-Note"</f>
        <v>Calc-U-Note</v>
      </c>
      <c r="J100" s="8"/>
      <c r="K100" s="10">
        <v>460.00000000000006</v>
      </c>
      <c r="L100" s="11">
        <f t="shared" si="11"/>
        <v>1.5917391304347825</v>
      </c>
      <c r="M100" s="9">
        <v>732.2</v>
      </c>
      <c r="O100" s="10">
        <v>1790.9999999999998</v>
      </c>
      <c r="P100" s="11">
        <f t="shared" si="12"/>
        <v>1.5820826353992183</v>
      </c>
      <c r="Q100" s="9">
        <v>2833.5099999999998</v>
      </c>
    </row>
    <row r="101" spans="1:17" x14ac:dyDescent="0.25">
      <c r="A101" t="s">
        <v>58</v>
      </c>
      <c r="C101" s="7" t="str">
        <f t="shared" si="13"/>
        <v>@@</v>
      </c>
      <c r="D101" s="7" t="str">
        <f>"@@E100026"</f>
        <v>@@E100026</v>
      </c>
      <c r="E101" s="7" t="str">
        <f>"""NAV 2015"",""CRONUS JetCorp USA"",""27"",""1"",""E100026"""</f>
        <v>"NAV 2015","CRONUS JetCorp USA","27","1","E100026"</v>
      </c>
      <c r="F101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01" s="7" t="str">
        <f t="shared" si="10"/>
        <v>∞||"18 Customer","1 No.","=5 Source No.","5900 Service Zone Code","@@"</v>
      </c>
      <c r="I101" s="8" t="str">
        <f>"Desk Calculator"</f>
        <v>Desk Calculator</v>
      </c>
      <c r="J101" s="8"/>
      <c r="K101" s="10">
        <v>770</v>
      </c>
      <c r="L101" s="11">
        <f t="shared" si="11"/>
        <v>0.8314155844155845</v>
      </c>
      <c r="M101" s="9">
        <v>640.19000000000005</v>
      </c>
      <c r="O101" s="10">
        <v>1208</v>
      </c>
      <c r="P101" s="11">
        <f t="shared" si="12"/>
        <v>0.81900662251655632</v>
      </c>
      <c r="Q101" s="9">
        <v>989.36</v>
      </c>
    </row>
    <row r="102" spans="1:17" x14ac:dyDescent="0.25">
      <c r="A102" t="s">
        <v>58</v>
      </c>
      <c r="C102" s="7" t="str">
        <f t="shared" si="13"/>
        <v>@@</v>
      </c>
      <c r="D102" s="7" t="str">
        <f>"@@E100027"</f>
        <v>@@E100027</v>
      </c>
      <c r="E102" s="7" t="str">
        <f>"""NAV 2015"",""CRONUS JetCorp USA"",""27"",""1"",""E100027"""</f>
        <v>"NAV 2015","CRONUS JetCorp USA","27","1","E100027"</v>
      </c>
      <c r="F102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02" s="7" t="str">
        <f t="shared" si="10"/>
        <v>∞||"18 Customer","1 No.","=5 Source No.","5900 Service Zone Code","@@"</v>
      </c>
      <c r="I102" s="8" t="str">
        <f>"Ergo-Calculator"</f>
        <v>Ergo-Calculator</v>
      </c>
      <c r="J102" s="8"/>
      <c r="K102" s="10">
        <v>1332</v>
      </c>
      <c r="L102" s="11">
        <f t="shared" si="11"/>
        <v>2.3656906906906907</v>
      </c>
      <c r="M102" s="9">
        <v>3151.1</v>
      </c>
      <c r="O102" s="10">
        <v>1321</v>
      </c>
      <c r="P102" s="11">
        <f t="shared" si="12"/>
        <v>2.3515518546555638</v>
      </c>
      <c r="Q102" s="9">
        <v>3106.4</v>
      </c>
    </row>
    <row r="103" spans="1:17" x14ac:dyDescent="0.25">
      <c r="A103" t="s">
        <v>58</v>
      </c>
      <c r="C103" s="7" t="str">
        <f t="shared" si="13"/>
        <v>@@</v>
      </c>
      <c r="D103" s="7" t="str">
        <f>"@@E100028"</f>
        <v>@@E100028</v>
      </c>
      <c r="E103" s="7" t="str">
        <f>"""NAV 2015"",""CRONUS JetCorp USA"",""27"",""1"",""E100028"""</f>
        <v>"NAV 2015","CRONUS JetCorp USA","27","1","E100028"</v>
      </c>
      <c r="F103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03" s="7" t="str">
        <f t="shared" si="10"/>
        <v>∞||"18 Customer","1 No.","=5 Source No.","5900 Service Zone Code","@@"</v>
      </c>
      <c r="I103" s="8" t="str">
        <f>"USB 4-Port Hub"</f>
        <v>USB 4-Port Hub</v>
      </c>
      <c r="J103" s="8"/>
      <c r="K103" s="10">
        <v>1153</v>
      </c>
      <c r="L103" s="11">
        <f t="shared" si="11"/>
        <v>2.8151431049436249</v>
      </c>
      <c r="M103" s="9">
        <v>3245.8599999999997</v>
      </c>
      <c r="O103" s="10">
        <v>914</v>
      </c>
      <c r="P103" s="11">
        <f t="shared" si="12"/>
        <v>2.7906345733041573</v>
      </c>
      <c r="Q103" s="9">
        <v>2550.64</v>
      </c>
    </row>
    <row r="104" spans="1:17" x14ac:dyDescent="0.25">
      <c r="A104" t="s">
        <v>58</v>
      </c>
      <c r="C104" s="7" t="str">
        <f t="shared" si="13"/>
        <v>@@</v>
      </c>
      <c r="D104" s="7" t="str">
        <f>"@@E100029"</f>
        <v>@@E100029</v>
      </c>
      <c r="E104" s="7" t="str">
        <f>"""NAV 2015"",""CRONUS JetCorp USA"",""27"",""1"",""E100029"""</f>
        <v>"NAV 2015","CRONUS JetCorp USA","27","1","E100029"</v>
      </c>
      <c r="F104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04" s="7" t="str">
        <f t="shared" si="10"/>
        <v>∞||"18 Customer","1 No.","=5 Source No.","5900 Service Zone Code","@@"</v>
      </c>
      <c r="I104" s="8" t="str">
        <f>"LED Flex Light"</f>
        <v>LED Flex Light</v>
      </c>
      <c r="J104" s="8"/>
      <c r="K104" s="10">
        <v>1609</v>
      </c>
      <c r="L104" s="11">
        <f t="shared" si="11"/>
        <v>2.8194468614045989</v>
      </c>
      <c r="M104" s="9">
        <v>4536.49</v>
      </c>
      <c r="O104" s="10">
        <v>1232</v>
      </c>
      <c r="P104" s="11">
        <f t="shared" si="12"/>
        <v>2.8154545454545454</v>
      </c>
      <c r="Q104" s="9">
        <v>3468.64</v>
      </c>
    </row>
    <row r="105" spans="1:17" x14ac:dyDescent="0.25">
      <c r="A105" t="s">
        <v>58</v>
      </c>
      <c r="C105" s="7" t="str">
        <f t="shared" si="13"/>
        <v>@@</v>
      </c>
      <c r="D105" s="7" t="str">
        <f>"@@E100030"</f>
        <v>@@E100030</v>
      </c>
      <c r="E105" s="7" t="str">
        <f>"""NAV 2015"",""CRONUS JetCorp USA"",""27"",""1"",""E100030"""</f>
        <v>"NAV 2015","CRONUS JetCorp USA","27","1","E100030"</v>
      </c>
      <c r="F105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05" s="7" t="str">
        <f t="shared" si="10"/>
        <v>∞||"18 Customer","1 No.","=5 Source No.","5900 Service Zone Code","@@"</v>
      </c>
      <c r="I105" s="8" t="str">
        <f>"LED Keychain"</f>
        <v>LED Keychain</v>
      </c>
      <c r="J105" s="8"/>
      <c r="K105" s="10">
        <v>681</v>
      </c>
      <c r="L105" s="11">
        <f t="shared" si="11"/>
        <v>0.95055800293685766</v>
      </c>
      <c r="M105" s="9">
        <v>647.33000000000004</v>
      </c>
      <c r="O105" s="10">
        <v>1039</v>
      </c>
      <c r="P105" s="11">
        <f t="shared" si="12"/>
        <v>0.93983638113570744</v>
      </c>
      <c r="Q105" s="9">
        <v>976.49</v>
      </c>
    </row>
    <row r="106" spans="1:17" x14ac:dyDescent="0.25">
      <c r="A106" t="s">
        <v>58</v>
      </c>
      <c r="C106" s="7" t="str">
        <f t="shared" si="13"/>
        <v>@@</v>
      </c>
      <c r="D106" s="7" t="str">
        <f>"@@E100031"</f>
        <v>@@E100031</v>
      </c>
      <c r="E106" s="7" t="str">
        <f>"""NAV 2015"",""CRONUS JetCorp USA"",""27"",""1"",""E100031"""</f>
        <v>"NAV 2015","CRONUS JetCorp USA","27","1","E100031"</v>
      </c>
      <c r="F106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06" s="7" t="str">
        <f t="shared" si="10"/>
        <v>∞||"18 Customer","1 No.","=5 Source No.","5900 Service Zone Code","@@"</v>
      </c>
      <c r="I106" s="8" t="str">
        <f>"Ad Torch"</f>
        <v>Ad Torch</v>
      </c>
      <c r="J106" s="8"/>
      <c r="K106" s="10">
        <v>1300</v>
      </c>
      <c r="L106" s="11">
        <f t="shared" si="11"/>
        <v>2.712246153846154</v>
      </c>
      <c r="M106" s="9">
        <v>3525.92</v>
      </c>
      <c r="O106" s="10">
        <v>770</v>
      </c>
      <c r="P106" s="11">
        <f t="shared" si="12"/>
        <v>2.7062077922077923</v>
      </c>
      <c r="Q106" s="9">
        <v>2083.7800000000002</v>
      </c>
    </row>
    <row r="107" spans="1:17" x14ac:dyDescent="0.25">
      <c r="A107" t="s">
        <v>58</v>
      </c>
      <c r="C107" s="7" t="str">
        <f t="shared" si="13"/>
        <v>@@</v>
      </c>
      <c r="D107" s="7" t="str">
        <f>"@@E100032"</f>
        <v>@@E100032</v>
      </c>
      <c r="E107" s="7" t="str">
        <f>"""NAV 2015"",""CRONUS JetCorp USA"",""27"",""1"",""E100032"""</f>
        <v>"NAV 2015","CRONUS JetCorp USA","27","1","E100032"</v>
      </c>
      <c r="F107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07" s="7" t="str">
        <f t="shared" si="10"/>
        <v>∞||"18 Customer","1 No.","=5 Source No.","5900 Service Zone Code","@@"</v>
      </c>
      <c r="I107" s="8" t="str">
        <f>"Button Key-Light"</f>
        <v>Button Key-Light</v>
      </c>
      <c r="J107" s="8"/>
      <c r="K107" s="10">
        <v>1406</v>
      </c>
      <c r="L107" s="11">
        <f t="shared" si="11"/>
        <v>0.49977951635846379</v>
      </c>
      <c r="M107" s="9">
        <v>702.69</v>
      </c>
      <c r="O107" s="10">
        <v>1974</v>
      </c>
      <c r="P107" s="11">
        <f t="shared" si="12"/>
        <v>0.49207700101317126</v>
      </c>
      <c r="Q107" s="9">
        <v>971.36</v>
      </c>
    </row>
    <row r="108" spans="1:17" x14ac:dyDescent="0.25">
      <c r="A108" t="s">
        <v>58</v>
      </c>
      <c r="C108" s="7" t="str">
        <f t="shared" si="13"/>
        <v>@@</v>
      </c>
      <c r="D108" s="7" t="str">
        <f>"@@E100033"</f>
        <v>@@E100033</v>
      </c>
      <c r="E108" s="7" t="str">
        <f>"""NAV 2015"",""CRONUS JetCorp USA"",""27"",""1"",""E100033"""</f>
        <v>"NAV 2015","CRONUS JetCorp USA","27","1","E100033"</v>
      </c>
      <c r="F108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08" s="7" t="str">
        <f t="shared" si="10"/>
        <v>∞||"18 Customer","1 No.","=5 Source No.","5900 Service Zone Code","@@"</v>
      </c>
      <c r="I108" s="8" t="str">
        <f>"Dual Source Flashlight"</f>
        <v>Dual Source Flashlight</v>
      </c>
      <c r="J108" s="8"/>
      <c r="K108" s="10">
        <v>1489</v>
      </c>
      <c r="L108" s="11">
        <f t="shared" si="11"/>
        <v>3.198522498321021</v>
      </c>
      <c r="M108" s="9">
        <v>4762.6000000000004</v>
      </c>
      <c r="O108" s="10">
        <v>1792</v>
      </c>
      <c r="P108" s="11">
        <f t="shared" si="12"/>
        <v>3.1696763392857146</v>
      </c>
      <c r="Q108" s="9">
        <v>5680.06</v>
      </c>
    </row>
    <row r="109" spans="1:17" x14ac:dyDescent="0.25">
      <c r="A109" t="s">
        <v>58</v>
      </c>
      <c r="C109" s="7" t="str">
        <f t="shared" si="13"/>
        <v>@@</v>
      </c>
      <c r="D109" s="7" t="str">
        <f>"@@E100034"</f>
        <v>@@E100034</v>
      </c>
      <c r="E109" s="7" t="str">
        <f>"""NAV 2015"",""CRONUS JetCorp USA"",""27"",""1"",""E100034"""</f>
        <v>"NAV 2015","CRONUS JetCorp USA","27","1","E100034"</v>
      </c>
      <c r="F109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09" s="7" t="str">
        <f t="shared" si="10"/>
        <v>∞||"18 Customer","1 No.","=5 Source No.","5900 Service Zone Code","@@"</v>
      </c>
      <c r="I109" s="8" t="str">
        <f>"Bamboo 1GB USB Flash Drive"</f>
        <v>Bamboo 1GB USB Flash Drive</v>
      </c>
      <c r="J109" s="8"/>
      <c r="K109" s="10">
        <v>816</v>
      </c>
      <c r="L109" s="11">
        <f t="shared" si="11"/>
        <v>5.6733700980392161</v>
      </c>
      <c r="M109" s="9">
        <v>4629.47</v>
      </c>
      <c r="O109" s="10">
        <v>1786.9999999999998</v>
      </c>
      <c r="P109" s="11">
        <f t="shared" si="12"/>
        <v>5.6189423614997205</v>
      </c>
      <c r="Q109" s="9">
        <v>10041.049999999999</v>
      </c>
    </row>
    <row r="110" spans="1:17" x14ac:dyDescent="0.25">
      <c r="A110" t="s">
        <v>58</v>
      </c>
      <c r="C110" s="7" t="str">
        <f t="shared" si="13"/>
        <v>@@</v>
      </c>
      <c r="D110" s="7" t="str">
        <f>"@@E100035"</f>
        <v>@@E100035</v>
      </c>
      <c r="E110" s="7" t="str">
        <f>"""NAV 2015"",""CRONUS JetCorp USA"",""27"",""1"",""E100035"""</f>
        <v>"NAV 2015","CRONUS JetCorp USA","27","1","E100035"</v>
      </c>
      <c r="F110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10" s="7" t="str">
        <f t="shared" si="10"/>
        <v>∞||"18 Customer","1 No.","=5 Source No.","5900 Service Zone Code","@@"</v>
      </c>
      <c r="I110" s="8" t="str">
        <f>"2GB Foldout USB Flash Drive"</f>
        <v>2GB Foldout USB Flash Drive</v>
      </c>
      <c r="J110" s="8"/>
      <c r="K110" s="10">
        <v>1111</v>
      </c>
      <c r="L110" s="11">
        <f t="shared" si="11"/>
        <v>3.7708460846084608</v>
      </c>
      <c r="M110" s="9">
        <v>4189.41</v>
      </c>
      <c r="O110" s="10">
        <v>914</v>
      </c>
      <c r="P110" s="11">
        <f t="shared" si="12"/>
        <v>3.76</v>
      </c>
      <c r="Q110" s="9">
        <v>3436.64</v>
      </c>
    </row>
    <row r="111" spans="1:17" x14ac:dyDescent="0.25">
      <c r="A111" t="s">
        <v>58</v>
      </c>
      <c r="C111" s="7" t="str">
        <f t="shared" si="13"/>
        <v>@@</v>
      </c>
      <c r="D111" s="7" t="str">
        <f>"@@E100038"</f>
        <v>@@E100038</v>
      </c>
      <c r="E111" s="7" t="str">
        <f>"""NAV 2015"",""CRONUS JetCorp USA"",""27"",""1"",""E100038"""</f>
        <v>"NAV 2015","CRONUS JetCorp USA","27","1","E100038"</v>
      </c>
      <c r="F111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11" s="7" t="str">
        <f t="shared" si="10"/>
        <v>∞||"18 Customer","1 No.","=5 Source No.","5900 Service Zone Code","@@"</v>
      </c>
      <c r="I111" s="8" t="str">
        <f>"1GB USB Flash Drive Pen"</f>
        <v>1GB USB Flash Drive Pen</v>
      </c>
      <c r="J111" s="8"/>
      <c r="K111" s="10">
        <v>727</v>
      </c>
      <c r="L111" s="11">
        <f t="shared" si="11"/>
        <v>5.5407702888583223</v>
      </c>
      <c r="M111" s="9">
        <v>4028.1400000000003</v>
      </c>
      <c r="O111" s="10">
        <v>1737</v>
      </c>
      <c r="P111" s="11">
        <f t="shared" si="12"/>
        <v>5.4629188255613128</v>
      </c>
      <c r="Q111" s="9">
        <v>9489.09</v>
      </c>
    </row>
    <row r="112" spans="1:17" x14ac:dyDescent="0.25">
      <c r="A112" t="s">
        <v>58</v>
      </c>
      <c r="C112" s="7" t="str">
        <f t="shared" si="13"/>
        <v>@@</v>
      </c>
      <c r="D112" s="7" t="str">
        <f>"@@E100039"</f>
        <v>@@E100039</v>
      </c>
      <c r="E112" s="7" t="str">
        <f>"""NAV 2015"",""CRONUS JetCorp USA"",""27"",""1"",""E100039"""</f>
        <v>"NAV 2015","CRONUS JetCorp USA","27","1","E100039"</v>
      </c>
      <c r="F112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12" s="7" t="str">
        <f t="shared" si="10"/>
        <v>∞||"18 Customer","1 No.","=5 Source No.","5900 Service Zone Code","@@"</v>
      </c>
      <c r="I112" s="8" t="str">
        <f>"Campfire Mug"</f>
        <v>Campfire Mug</v>
      </c>
      <c r="J112" s="8"/>
      <c r="K112" s="10">
        <v>1009</v>
      </c>
      <c r="L112" s="11">
        <f t="shared" si="11"/>
        <v>1.6534291377601587</v>
      </c>
      <c r="M112" s="9">
        <v>1668.3100000000002</v>
      </c>
      <c r="O112" s="10">
        <v>1946</v>
      </c>
      <c r="P112" s="11">
        <f t="shared" si="12"/>
        <v>1.6693473792394655</v>
      </c>
      <c r="Q112" s="9">
        <v>3248.5499999999997</v>
      </c>
    </row>
    <row r="113" spans="1:17" x14ac:dyDescent="0.25">
      <c r="A113" t="s">
        <v>58</v>
      </c>
      <c r="C113" s="7" t="str">
        <f t="shared" si="13"/>
        <v>@@</v>
      </c>
      <c r="D113" s="7" t="str">
        <f>"@@E100040"</f>
        <v>@@E100040</v>
      </c>
      <c r="E113" s="7" t="str">
        <f>"""NAV 2015"",""CRONUS JetCorp USA"",""27"",""1"",""E100040"""</f>
        <v>"NAV 2015","CRONUS JetCorp USA","27","1","E100040"</v>
      </c>
      <c r="F113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13" s="7" t="str">
        <f t="shared" si="10"/>
        <v>∞||"18 Customer","1 No.","=5 Source No.","5900 Service Zone Code","@@"</v>
      </c>
      <c r="I113" s="8" t="str">
        <f>"Wave Mug"</f>
        <v>Wave Mug</v>
      </c>
      <c r="J113" s="8"/>
      <c r="K113" s="10">
        <v>2019.0000000000002</v>
      </c>
      <c r="L113" s="11">
        <f t="shared" si="11"/>
        <v>1.6525854383358094</v>
      </c>
      <c r="M113" s="9">
        <v>3336.5699999999997</v>
      </c>
      <c r="O113" s="10">
        <v>1764</v>
      </c>
      <c r="P113" s="11">
        <f t="shared" si="12"/>
        <v>1.6396031746031745</v>
      </c>
      <c r="Q113" s="9">
        <v>2892.2599999999998</v>
      </c>
    </row>
    <row r="114" spans="1:17" x14ac:dyDescent="0.25">
      <c r="A114" t="s">
        <v>58</v>
      </c>
      <c r="C114" s="7" t="str">
        <f t="shared" si="13"/>
        <v>@@</v>
      </c>
      <c r="D114" s="7" t="str">
        <f>"@@E100041"</f>
        <v>@@E100041</v>
      </c>
      <c r="E114" s="7" t="str">
        <f>"""NAV 2015"",""CRONUS JetCorp USA"",""27"",""1"",""E100041"""</f>
        <v>"NAV 2015","CRONUS JetCorp USA","27","1","E100041"</v>
      </c>
      <c r="F114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14" s="7" t="str">
        <f t="shared" si="10"/>
        <v>∞||"18 Customer","1 No.","=5 Source No.","5900 Service Zone Code","@@"</v>
      </c>
      <c r="I114" s="8" t="str">
        <f>"Biodegradable Colored SPORT BOT"</f>
        <v>Biodegradable Colored SPORT BOT</v>
      </c>
      <c r="J114" s="8"/>
      <c r="K114" s="10">
        <v>1316</v>
      </c>
      <c r="L114" s="11">
        <f t="shared" si="11"/>
        <v>0.67373100303951372</v>
      </c>
      <c r="M114" s="9">
        <v>886.63</v>
      </c>
      <c r="O114" s="10">
        <v>3234</v>
      </c>
      <c r="P114" s="11">
        <f t="shared" si="12"/>
        <v>0.67215831787260349</v>
      </c>
      <c r="Q114" s="9">
        <v>2173.7599999999998</v>
      </c>
    </row>
    <row r="115" spans="1:17" x14ac:dyDescent="0.25">
      <c r="A115" t="s">
        <v>58</v>
      </c>
      <c r="C115" s="7" t="str">
        <f t="shared" si="13"/>
        <v>@@</v>
      </c>
      <c r="D115" s="7" t="str">
        <f>"@@E100042"</f>
        <v>@@E100042</v>
      </c>
      <c r="E115" s="7" t="str">
        <f>"""NAV 2015"",""CRONUS JetCorp USA"",""27"",""1"",""E100042"""</f>
        <v>"NAV 2015","CRONUS JetCorp USA","27","1","E100042"</v>
      </c>
      <c r="F115" s="7" t="str">
        <f t="shared" si="9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15" s="7" t="str">
        <f t="shared" si="10"/>
        <v>∞||"18 Customer","1 No.","=5 Source No.","5900 Service Zone Code","@@"</v>
      </c>
      <c r="I115" s="8" t="str">
        <f>"Soft Touch Travel Mug"</f>
        <v>Soft Touch Travel Mug</v>
      </c>
      <c r="J115" s="8"/>
      <c r="K115" s="10">
        <v>1585</v>
      </c>
      <c r="L115" s="11">
        <f t="shared" si="11"/>
        <v>3.7855015772870662</v>
      </c>
      <c r="M115" s="9">
        <v>6000.0199999999995</v>
      </c>
      <c r="O115" s="10">
        <v>2063</v>
      </c>
      <c r="P115" s="11">
        <f t="shared" si="12"/>
        <v>3.7655986427532717</v>
      </c>
      <c r="Q115" s="9">
        <v>7768.4299999999994</v>
      </c>
    </row>
    <row r="116" spans="1:17" x14ac:dyDescent="0.25">
      <c r="A116" t="s">
        <v>58</v>
      </c>
      <c r="C116" s="7" t="str">
        <f t="shared" si="13"/>
        <v>@@</v>
      </c>
      <c r="D116" s="7" t="str">
        <f>"@@E100043"</f>
        <v>@@E100043</v>
      </c>
      <c r="E116" s="7" t="str">
        <f>"""NAV 2015"",""CRONUS JetCorp USA"",""27"",""1"",""E100043"""</f>
        <v>"NAV 2015","CRONUS JetCorp USA","27","1","E100043"</v>
      </c>
      <c r="F116" s="7" t="str">
        <f t="shared" ref="F116:F147" si="14">"∞||""5802 Value Entry"",""2 Item No."",""=1 No."",""3 Posting Date"",""12/01/18..01/05/19"",""2 Item No."",""*"",""4 Item Ledger Entry Type"",""Sale"",""105 Entry Type"",""&lt;&gt;Revaluation"",""Link="",""∞||""""18 Customer"""",""""1 No."""",""""=5 Source No."""",""""5900 Service Zone Code"""",""""@@"""""&amp;""""</f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16" s="7" t="str">
        <f t="shared" ref="G116:G147" si="15">"∞||""18 Customer"",""1 No."",""=5 Source No."",""5900 Service Zone Code"",""@@"""</f>
        <v>∞||"18 Customer","1 No.","=5 Source No.","5900 Service Zone Code","@@"</v>
      </c>
      <c r="I116" s="8" t="str">
        <f>"Pub Glass"</f>
        <v>Pub Glass</v>
      </c>
      <c r="J116" s="8"/>
      <c r="K116" s="10">
        <v>733</v>
      </c>
      <c r="L116" s="11">
        <f t="shared" ref="L116:L147" si="16">IF(K116=0,0,M116/K116)</f>
        <v>1.3832060027285129</v>
      </c>
      <c r="M116" s="9">
        <v>1013.89</v>
      </c>
      <c r="O116" s="10">
        <v>1514</v>
      </c>
      <c r="P116" s="11">
        <f t="shared" ref="P116:P147" si="17">IF(O116=0,0,Q116/O116)</f>
        <v>1.3611690885072656</v>
      </c>
      <c r="Q116" s="9">
        <v>2060.81</v>
      </c>
    </row>
    <row r="117" spans="1:17" x14ac:dyDescent="0.25">
      <c r="A117" t="s">
        <v>58</v>
      </c>
      <c r="C117" s="7" t="str">
        <f t="shared" si="13"/>
        <v>@@</v>
      </c>
      <c r="D117" s="7" t="str">
        <f>"@@E100044"</f>
        <v>@@E100044</v>
      </c>
      <c r="E117" s="7" t="str">
        <f>"""NAV 2015"",""CRONUS JetCorp USA"",""27"",""1"",""E100044"""</f>
        <v>"NAV 2015","CRONUS JetCorp USA","27","1","E100044"</v>
      </c>
      <c r="F117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17" s="7" t="str">
        <f t="shared" si="15"/>
        <v>∞||"18 Customer","1 No.","=5 Source No.","5900 Service Zone Code","@@"</v>
      </c>
      <c r="I117" s="8" t="str">
        <f>"Juice Glass"</f>
        <v>Juice Glass</v>
      </c>
      <c r="J117" s="8"/>
      <c r="K117" s="10">
        <v>1177</v>
      </c>
      <c r="L117" s="11">
        <f t="shared" si="16"/>
        <v>0.56332200509770602</v>
      </c>
      <c r="M117" s="9">
        <v>663.03</v>
      </c>
      <c r="O117" s="10">
        <v>1770</v>
      </c>
      <c r="P117" s="11">
        <f t="shared" si="17"/>
        <v>0.56327683615819213</v>
      </c>
      <c r="Q117" s="9">
        <v>997</v>
      </c>
    </row>
    <row r="118" spans="1:17" x14ac:dyDescent="0.25">
      <c r="A118" t="s">
        <v>58</v>
      </c>
      <c r="C118" s="7" t="str">
        <f t="shared" si="13"/>
        <v>@@</v>
      </c>
      <c r="D118" s="7" t="str">
        <f>"@@E100045"</f>
        <v>@@E100045</v>
      </c>
      <c r="E118" s="7" t="str">
        <f>"""NAV 2015"",""CRONUS JetCorp USA"",""27"",""1"",""E100045"""</f>
        <v>"NAV 2015","CRONUS JetCorp USA","27","1","E100045"</v>
      </c>
      <c r="F118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18" s="7" t="str">
        <f t="shared" si="15"/>
        <v>∞||"18 Customer","1 No.","=5 Source No.","5900 Service Zone Code","@@"</v>
      </c>
      <c r="I118" s="8" t="str">
        <f>"Flute"</f>
        <v>Flute</v>
      </c>
      <c r="J118" s="8"/>
      <c r="K118" s="10">
        <v>1453</v>
      </c>
      <c r="L118" s="11">
        <f t="shared" si="16"/>
        <v>0.96042670337233316</v>
      </c>
      <c r="M118" s="9">
        <v>1395.5</v>
      </c>
      <c r="O118" s="10">
        <v>1034</v>
      </c>
      <c r="P118" s="11">
        <f t="shared" si="17"/>
        <v>0.96054158607350104</v>
      </c>
      <c r="Q118" s="9">
        <v>993.2</v>
      </c>
    </row>
    <row r="119" spans="1:17" x14ac:dyDescent="0.25">
      <c r="A119" t="s">
        <v>58</v>
      </c>
      <c r="C119" s="7" t="str">
        <f t="shared" si="13"/>
        <v>@@</v>
      </c>
      <c r="D119" s="7" t="str">
        <f>"@@E100046"</f>
        <v>@@E100046</v>
      </c>
      <c r="E119" s="7" t="str">
        <f>"""NAV 2015"",""CRONUS JetCorp USA"",""27"",""1"",""E100046"""</f>
        <v>"NAV 2015","CRONUS JetCorp USA","27","1","E100046"</v>
      </c>
      <c r="F119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19" s="7" t="str">
        <f t="shared" si="15"/>
        <v>∞||"18 Customer","1 No.","=5 Source No.","5900 Service Zone Code","@@"</v>
      </c>
      <c r="I119" s="8" t="str">
        <f>"Milk Bottle"</f>
        <v>Milk Bottle</v>
      </c>
      <c r="J119" s="8"/>
      <c r="K119" s="10">
        <v>722</v>
      </c>
      <c r="L119" s="11">
        <f t="shared" si="16"/>
        <v>1.7968975069252076</v>
      </c>
      <c r="M119" s="9">
        <v>1297.3599999999999</v>
      </c>
      <c r="O119" s="10">
        <v>1388</v>
      </c>
      <c r="P119" s="11">
        <f t="shared" si="17"/>
        <v>1.8038256484149857</v>
      </c>
      <c r="Q119" s="9">
        <v>2503.71</v>
      </c>
    </row>
    <row r="120" spans="1:17" x14ac:dyDescent="0.25">
      <c r="A120" t="s">
        <v>58</v>
      </c>
      <c r="C120" s="7" t="str">
        <f t="shared" si="13"/>
        <v>@@</v>
      </c>
      <c r="D120" s="7" t="str">
        <f>"@@E100047"</f>
        <v>@@E100047</v>
      </c>
      <c r="E120" s="7" t="str">
        <f>"""NAV 2015"",""CRONUS JetCorp USA"",""27"",""1"",""E100047"""</f>
        <v>"NAV 2015","CRONUS JetCorp USA","27","1","E100047"</v>
      </c>
      <c r="F120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20" s="7" t="str">
        <f t="shared" si="15"/>
        <v>∞||"18 Customer","1 No.","=5 Source No.","5900 Service Zone Code","@@"</v>
      </c>
      <c r="I120" s="8" t="str">
        <f>"Chardonnay Glass"</f>
        <v>Chardonnay Glass</v>
      </c>
      <c r="J120" s="8"/>
      <c r="K120" s="10">
        <v>1443</v>
      </c>
      <c r="L120" s="11">
        <f t="shared" si="16"/>
        <v>1.7533264033264035</v>
      </c>
      <c r="M120" s="9">
        <v>2530.0500000000002</v>
      </c>
      <c r="O120" s="10">
        <v>2192</v>
      </c>
      <c r="P120" s="11">
        <f t="shared" si="17"/>
        <v>1.7511222627737224</v>
      </c>
      <c r="Q120" s="9">
        <v>3838.4599999999996</v>
      </c>
    </row>
    <row r="121" spans="1:17" x14ac:dyDescent="0.25">
      <c r="A121" t="s">
        <v>58</v>
      </c>
      <c r="C121" s="7" t="str">
        <f t="shared" si="13"/>
        <v>@@</v>
      </c>
      <c r="D121" s="7" t="str">
        <f>"@@S100001"</f>
        <v>@@S100001</v>
      </c>
      <c r="E121" s="7" t="str">
        <f>"""NAV 2015"",""CRONUS JetCorp USA"",""27"",""1"",""S100001"""</f>
        <v>"NAV 2015","CRONUS JetCorp USA","27","1","S100001"</v>
      </c>
      <c r="F121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21" s="7" t="str">
        <f t="shared" si="15"/>
        <v>∞||"18 Customer","1 No.","=5 Source No.","5900 Service Zone Code","@@"</v>
      </c>
      <c r="I121" s="8" t="str">
        <f>"Basketball Graphic Plaque"</f>
        <v>Basketball Graphic Plaque</v>
      </c>
      <c r="J121" s="8"/>
      <c r="K121" s="10">
        <v>2687</v>
      </c>
      <c r="L121" s="11">
        <f t="shared" si="16"/>
        <v>16.094637141793822</v>
      </c>
      <c r="M121" s="9">
        <v>43246.29</v>
      </c>
      <c r="O121" s="10">
        <v>1298</v>
      </c>
      <c r="P121" s="11">
        <f t="shared" si="17"/>
        <v>16.015007704160247</v>
      </c>
      <c r="Q121" s="9">
        <v>20787.48</v>
      </c>
    </row>
    <row r="122" spans="1:17" x14ac:dyDescent="0.25">
      <c r="A122" t="s">
        <v>58</v>
      </c>
      <c r="C122" s="7" t="str">
        <f t="shared" si="13"/>
        <v>@@</v>
      </c>
      <c r="D122" s="7" t="str">
        <f>"@@S100002"</f>
        <v>@@S100002</v>
      </c>
      <c r="E122" s="7" t="str">
        <f>"""NAV 2015"",""CRONUS JetCorp USA"",""27"",""1"",""S100002"""</f>
        <v>"NAV 2015","CRONUS JetCorp USA","27","1","S100002"</v>
      </c>
      <c r="F122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22" s="7" t="str">
        <f t="shared" si="15"/>
        <v>∞||"18 Customer","1 No.","=5 Source No.","5900 Service Zone Code","@@"</v>
      </c>
      <c r="I122" s="8" t="str">
        <f>"Football Graphic Plaque"</f>
        <v>Football Graphic Plaque</v>
      </c>
      <c r="J122" s="8"/>
      <c r="K122" s="10">
        <v>1495</v>
      </c>
      <c r="L122" s="11">
        <f t="shared" si="16"/>
        <v>23.774428093645483</v>
      </c>
      <c r="M122" s="9">
        <v>35542.769999999997</v>
      </c>
      <c r="O122" s="10">
        <v>739</v>
      </c>
      <c r="P122" s="11">
        <f t="shared" si="17"/>
        <v>23.464384303112315</v>
      </c>
      <c r="Q122" s="9">
        <v>17340.18</v>
      </c>
    </row>
    <row r="123" spans="1:17" x14ac:dyDescent="0.25">
      <c r="A123" t="s">
        <v>58</v>
      </c>
      <c r="C123" s="7" t="str">
        <f t="shared" si="13"/>
        <v>@@</v>
      </c>
      <c r="D123" s="7" t="str">
        <f>"@@S100003"</f>
        <v>@@S100003</v>
      </c>
      <c r="E123" s="7" t="str">
        <f>"""NAV 2015"",""CRONUS JetCorp USA"",""27"",""1"",""S100003"""</f>
        <v>"NAV 2015","CRONUS JetCorp USA","27","1","S100003"</v>
      </c>
      <c r="F123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23" s="7" t="str">
        <f t="shared" si="15"/>
        <v>∞||"18 Customer","1 No.","=5 Source No.","5900 Service Zone Code","@@"</v>
      </c>
      <c r="I123" s="8" t="str">
        <f>"Soccer #1 Pin"</f>
        <v>Soccer #1 Pin</v>
      </c>
      <c r="J123" s="8"/>
      <c r="K123" s="10">
        <v>4636</v>
      </c>
      <c r="L123" s="11">
        <f t="shared" si="16"/>
        <v>1.4412748058671268</v>
      </c>
      <c r="M123" s="9">
        <v>6681.75</v>
      </c>
      <c r="O123" s="10">
        <v>3553</v>
      </c>
      <c r="P123" s="11">
        <f t="shared" si="17"/>
        <v>1.4442752603433719</v>
      </c>
      <c r="Q123" s="9">
        <v>5131.51</v>
      </c>
    </row>
    <row r="124" spans="1:17" x14ac:dyDescent="0.25">
      <c r="A124" t="s">
        <v>58</v>
      </c>
      <c r="C124" s="7" t="str">
        <f t="shared" si="13"/>
        <v>@@</v>
      </c>
      <c r="D124" s="7" t="str">
        <f>"@@S100004"</f>
        <v>@@S100004</v>
      </c>
      <c r="E124" s="7" t="str">
        <f>"""NAV 2015"",""CRONUS JetCorp USA"",""27"",""1"",""S100004"""</f>
        <v>"NAV 2015","CRONUS JetCorp USA","27","1","S100004"</v>
      </c>
      <c r="F124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24" s="7" t="str">
        <f t="shared" si="15"/>
        <v>∞||"18 Customer","1 No.","=5 Source No.","5900 Service Zone Code","@@"</v>
      </c>
      <c r="I124" s="8" t="str">
        <f>"Award Medallian - 2''"</f>
        <v>Award Medallian - 2''</v>
      </c>
      <c r="J124" s="8"/>
      <c r="K124" s="10">
        <v>1729.0000000000002</v>
      </c>
      <c r="L124" s="11">
        <f t="shared" si="16"/>
        <v>13.48020821283979</v>
      </c>
      <c r="M124" s="9">
        <v>23307.279999999999</v>
      </c>
      <c r="O124" s="10">
        <v>1739</v>
      </c>
      <c r="P124" s="11">
        <f t="shared" si="17"/>
        <v>13.618849913743531</v>
      </c>
      <c r="Q124" s="9">
        <v>23683.18</v>
      </c>
    </row>
    <row r="125" spans="1:17" x14ac:dyDescent="0.25">
      <c r="A125" t="s">
        <v>58</v>
      </c>
      <c r="C125" s="7" t="str">
        <f t="shared" si="13"/>
        <v>@@</v>
      </c>
      <c r="D125" s="7" t="str">
        <f>"@@S100005"</f>
        <v>@@S100005</v>
      </c>
      <c r="E125" s="7" t="str">
        <f>"""NAV 2015"",""CRONUS JetCorp USA"",""27"",""1"",""S100005"""</f>
        <v>"NAV 2015","CRONUS JetCorp USA","27","1","S100005"</v>
      </c>
      <c r="F125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25" s="7" t="str">
        <f t="shared" si="15"/>
        <v>∞||"18 Customer","1 No.","=5 Source No.","5900 Service Zone Code","@@"</v>
      </c>
      <c r="I125" s="8" t="str">
        <f>"Award Medallian - 2.5''"</f>
        <v>Award Medallian - 2.5''</v>
      </c>
      <c r="J125" s="8"/>
      <c r="K125" s="10">
        <v>2018</v>
      </c>
      <c r="L125" s="11">
        <f t="shared" si="16"/>
        <v>8.3594003964321111</v>
      </c>
      <c r="M125" s="9">
        <v>16869.27</v>
      </c>
      <c r="O125" s="10">
        <v>1392</v>
      </c>
      <c r="P125" s="11">
        <f t="shared" si="17"/>
        <v>8.224511494252873</v>
      </c>
      <c r="Q125" s="9">
        <v>11448.519999999999</v>
      </c>
    </row>
    <row r="126" spans="1:17" x14ac:dyDescent="0.25">
      <c r="A126" t="s">
        <v>58</v>
      </c>
      <c r="C126" s="7" t="str">
        <f t="shared" si="13"/>
        <v>@@</v>
      </c>
      <c r="D126" s="7" t="str">
        <f>"@@S100006"</f>
        <v>@@S100006</v>
      </c>
      <c r="E126" s="7" t="str">
        <f>"""NAV 2015"",""CRONUS JetCorp USA"",""27"",""1"",""S100006"""</f>
        <v>"NAV 2015","CRONUS JetCorp USA","27","1","S100006"</v>
      </c>
      <c r="F126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26" s="7" t="str">
        <f t="shared" si="15"/>
        <v>∞||"18 Customer","1 No.","=5 Source No.","5900 Service Zone Code","@@"</v>
      </c>
      <c r="I126" s="8" t="str">
        <f>"Award Medallian - 3''"</f>
        <v>Award Medallian - 3''</v>
      </c>
      <c r="J126" s="8"/>
      <c r="K126" s="10">
        <v>2372</v>
      </c>
      <c r="L126" s="11">
        <f t="shared" si="16"/>
        <v>10.972415682967959</v>
      </c>
      <c r="M126" s="9">
        <v>26026.57</v>
      </c>
      <c r="O126" s="10">
        <v>2509</v>
      </c>
      <c r="P126" s="11">
        <f t="shared" si="17"/>
        <v>10.821119968114788</v>
      </c>
      <c r="Q126" s="9">
        <v>27150.190000000002</v>
      </c>
    </row>
    <row r="127" spans="1:17" x14ac:dyDescent="0.25">
      <c r="A127" t="s">
        <v>58</v>
      </c>
      <c r="C127" s="7" t="str">
        <f t="shared" si="13"/>
        <v>@@</v>
      </c>
      <c r="D127" s="7" t="str">
        <f>"@@S100007"</f>
        <v>@@S100007</v>
      </c>
      <c r="E127" s="7" t="str">
        <f>"""NAV 2015"",""CRONUS JetCorp USA"",""27"",""1"",""S100007"""</f>
        <v>"NAV 2015","CRONUS JetCorp USA","27","1","S100007"</v>
      </c>
      <c r="F127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27" s="7" t="str">
        <f t="shared" si="15"/>
        <v>∞||"18 Customer","1 No.","=5 Source No.","5900 Service Zone Code","@@"</v>
      </c>
      <c r="I127" s="8" t="str">
        <f>"Baseball Figure Trophy"</f>
        <v>Baseball Figure Trophy</v>
      </c>
      <c r="J127" s="8"/>
      <c r="K127" s="10">
        <v>2799</v>
      </c>
      <c r="L127" s="11">
        <f t="shared" si="16"/>
        <v>7.0716327259735623</v>
      </c>
      <c r="M127" s="9">
        <v>19793.5</v>
      </c>
      <c r="O127" s="10">
        <v>1423</v>
      </c>
      <c r="P127" s="11">
        <f t="shared" si="17"/>
        <v>7.0526774420238922</v>
      </c>
      <c r="Q127" s="9">
        <v>10035.959999999999</v>
      </c>
    </row>
    <row r="128" spans="1:17" x14ac:dyDescent="0.25">
      <c r="A128" t="s">
        <v>58</v>
      </c>
      <c r="C128" s="7" t="str">
        <f t="shared" si="13"/>
        <v>@@</v>
      </c>
      <c r="D128" s="7" t="str">
        <f>"@@S100008"</f>
        <v>@@S100008</v>
      </c>
      <c r="E128" s="7" t="str">
        <f>"""NAV 2015"",""CRONUS JetCorp USA"",""27"",""1"",""S100008"""</f>
        <v>"NAV 2015","CRONUS JetCorp USA","27","1","S100008"</v>
      </c>
      <c r="F128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28" s="7" t="str">
        <f t="shared" si="15"/>
        <v>∞||"18 Customer","1 No.","=5 Source No.","5900 Service Zone Code","@@"</v>
      </c>
      <c r="I128" s="8" t="str">
        <f>"Soccer Figure Trophy"</f>
        <v>Soccer Figure Trophy</v>
      </c>
      <c r="J128" s="8"/>
      <c r="K128" s="10">
        <v>2884</v>
      </c>
      <c r="L128" s="11">
        <f t="shared" si="16"/>
        <v>5.7305513176144247</v>
      </c>
      <c r="M128" s="9">
        <v>16526.91</v>
      </c>
      <c r="O128" s="10">
        <v>1748.0000000000002</v>
      </c>
      <c r="P128" s="11">
        <f t="shared" si="17"/>
        <v>5.6434382151029752</v>
      </c>
      <c r="Q128" s="9">
        <v>9864.7300000000014</v>
      </c>
    </row>
    <row r="129" spans="1:17" x14ac:dyDescent="0.25">
      <c r="A129" t="s">
        <v>58</v>
      </c>
      <c r="C129" s="7" t="str">
        <f t="shared" si="13"/>
        <v>@@</v>
      </c>
      <c r="D129" s="7" t="str">
        <f>"@@S100009"</f>
        <v>@@S100009</v>
      </c>
      <c r="E129" s="7" t="str">
        <f>"""NAV 2015"",""CRONUS JetCorp USA"",""27"",""1"",""S100009"""</f>
        <v>"NAV 2015","CRONUS JetCorp USA","27","1","S100009"</v>
      </c>
      <c r="F129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29" s="7" t="str">
        <f t="shared" si="15"/>
        <v>∞||"18 Customer","1 No.","=5 Source No.","5900 Service Zone Code","@@"</v>
      </c>
      <c r="I129" s="8" t="str">
        <f>"Engraved Basketball Award"</f>
        <v>Engraved Basketball Award</v>
      </c>
      <c r="J129" s="8"/>
      <c r="K129" s="10">
        <v>2292</v>
      </c>
      <c r="L129" s="11">
        <f t="shared" si="16"/>
        <v>18.34825479930192</v>
      </c>
      <c r="M129" s="9">
        <v>42054.2</v>
      </c>
      <c r="O129" s="10">
        <v>1728</v>
      </c>
      <c r="P129" s="11">
        <f t="shared" si="17"/>
        <v>18.039461805555558</v>
      </c>
      <c r="Q129" s="9">
        <v>31172.190000000002</v>
      </c>
    </row>
    <row r="130" spans="1:17" x14ac:dyDescent="0.25">
      <c r="A130" t="s">
        <v>58</v>
      </c>
      <c r="C130" s="7" t="str">
        <f t="shared" si="13"/>
        <v>@@</v>
      </c>
      <c r="D130" s="7" t="str">
        <f>"@@S100010"</f>
        <v>@@S100010</v>
      </c>
      <c r="E130" s="7" t="str">
        <f>"""NAV 2015"",""CRONUS JetCorp USA"",""27"",""1"",""S100010"""</f>
        <v>"NAV 2015","CRONUS JetCorp USA","27","1","S100010"</v>
      </c>
      <c r="F130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30" s="7" t="str">
        <f t="shared" si="15"/>
        <v>∞||"18 Customer","1 No.","=5 Source No.","5900 Service Zone Code","@@"</v>
      </c>
      <c r="I130" s="8" t="str">
        <f>"Golf Relaxed Cap"</f>
        <v>Golf Relaxed Cap</v>
      </c>
      <c r="J130" s="8"/>
      <c r="K130" s="10">
        <v>2544</v>
      </c>
      <c r="L130" s="11">
        <f t="shared" si="16"/>
        <v>9.8628380503144655</v>
      </c>
      <c r="M130" s="9">
        <v>25091.06</v>
      </c>
      <c r="O130" s="10">
        <v>2601</v>
      </c>
      <c r="P130" s="11">
        <f t="shared" si="17"/>
        <v>9.7294271434063813</v>
      </c>
      <c r="Q130" s="9">
        <v>25306.239999999998</v>
      </c>
    </row>
    <row r="131" spans="1:17" x14ac:dyDescent="0.25">
      <c r="A131" t="s">
        <v>58</v>
      </c>
      <c r="C131" s="7" t="str">
        <f t="shared" si="13"/>
        <v>@@</v>
      </c>
      <c r="D131" s="7" t="str">
        <f>"@@S100011"</f>
        <v>@@S100011</v>
      </c>
      <c r="E131" s="7" t="str">
        <f>"""NAV 2015"",""CRONUS JetCorp USA"",""27"",""1"",""S100011"""</f>
        <v>"NAV 2015","CRONUS JetCorp USA","27","1","S100011"</v>
      </c>
      <c r="F131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31" s="7" t="str">
        <f t="shared" si="15"/>
        <v>∞||"18 Customer","1 No.","=5 Source No.","5900 Service Zone Code","@@"</v>
      </c>
      <c r="I131" s="8" t="str">
        <f>"All Star Cap"</f>
        <v>All Star Cap</v>
      </c>
      <c r="J131" s="8"/>
      <c r="K131" s="10">
        <v>3967</v>
      </c>
      <c r="L131" s="11">
        <f t="shared" si="16"/>
        <v>1.3930904965969246</v>
      </c>
      <c r="M131" s="9">
        <v>5526.39</v>
      </c>
      <c r="O131" s="10">
        <v>2735</v>
      </c>
      <c r="P131" s="11">
        <f t="shared" si="17"/>
        <v>1.3935502742230346</v>
      </c>
      <c r="Q131" s="9">
        <v>3811.3599999999997</v>
      </c>
    </row>
    <row r="132" spans="1:17" x14ac:dyDescent="0.25">
      <c r="A132" t="s">
        <v>58</v>
      </c>
      <c r="C132" s="7" t="str">
        <f t="shared" si="13"/>
        <v>@@</v>
      </c>
      <c r="D132" s="7" t="str">
        <f>"@@S100012"</f>
        <v>@@S100012</v>
      </c>
      <c r="E132" s="7" t="str">
        <f>"""NAV 2015"",""CRONUS JetCorp USA"",""27"",""1"",""S100012"""</f>
        <v>"NAV 2015","CRONUS JetCorp USA","27","1","S100012"</v>
      </c>
      <c r="F132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32" s="7" t="str">
        <f t="shared" si="15"/>
        <v>∞||"18 Customer","1 No.","=5 Source No.","5900 Service Zone Code","@@"</v>
      </c>
      <c r="I132" s="8" t="str">
        <f>"Raw-Edge Patch BALL CAP"</f>
        <v>Raw-Edge Patch BALL CAP</v>
      </c>
      <c r="J132" s="8"/>
      <c r="K132" s="10">
        <v>1353</v>
      </c>
      <c r="L132" s="11">
        <f t="shared" si="16"/>
        <v>9.8291352549889126</v>
      </c>
      <c r="M132" s="9">
        <v>13298.82</v>
      </c>
      <c r="O132" s="10">
        <v>1010</v>
      </c>
      <c r="P132" s="11">
        <f t="shared" si="17"/>
        <v>10.026346534653467</v>
      </c>
      <c r="Q132" s="9">
        <v>10126.61</v>
      </c>
    </row>
    <row r="133" spans="1:17" x14ac:dyDescent="0.25">
      <c r="A133" t="s">
        <v>58</v>
      </c>
      <c r="C133" s="7" t="str">
        <f t="shared" si="13"/>
        <v>@@</v>
      </c>
      <c r="D133" s="7" t="str">
        <f>"@@S100013"</f>
        <v>@@S100013</v>
      </c>
      <c r="E133" s="7" t="str">
        <f>"""NAV 2015"",""CRONUS JetCorp USA"",""27"",""1"",""S100013"""</f>
        <v>"NAV 2015","CRONUS JetCorp USA","27","1","S100013"</v>
      </c>
      <c r="F133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33" s="7" t="str">
        <f t="shared" si="15"/>
        <v>∞||"18 Customer","1 No.","=5 Source No.","5900 Service Zone Code","@@"</v>
      </c>
      <c r="I133" s="8" t="str">
        <f>"Mesh BALL CAP"</f>
        <v>Mesh BALL CAP</v>
      </c>
      <c r="J133" s="8"/>
      <c r="K133" s="10">
        <v>2737</v>
      </c>
      <c r="L133" s="11">
        <f t="shared" si="16"/>
        <v>6.3058129338691993</v>
      </c>
      <c r="M133" s="9">
        <v>17259.009999999998</v>
      </c>
      <c r="O133" s="10">
        <v>1143</v>
      </c>
      <c r="P133" s="11">
        <f t="shared" si="17"/>
        <v>6.2489326334208224</v>
      </c>
      <c r="Q133" s="9">
        <v>7142.53</v>
      </c>
    </row>
    <row r="134" spans="1:17" x14ac:dyDescent="0.25">
      <c r="A134" t="s">
        <v>58</v>
      </c>
      <c r="C134" s="7" t="str">
        <f t="shared" si="13"/>
        <v>@@</v>
      </c>
      <c r="D134" s="7" t="str">
        <f>"@@S100014"</f>
        <v>@@S100014</v>
      </c>
      <c r="E134" s="7" t="str">
        <f>"""NAV 2015"",""CRONUS JetCorp USA"",""27"",""1"",""S100014"""</f>
        <v>"NAV 2015","CRONUS JetCorp USA","27","1","S100014"</v>
      </c>
      <c r="F134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34" s="7" t="str">
        <f t="shared" si="15"/>
        <v>∞||"18 Customer","1 No.","=5 Source No.","5900 Service Zone Code","@@"</v>
      </c>
      <c r="I134" s="8" t="str">
        <f>"Chunky Knit Hat"</f>
        <v>Chunky Knit Hat</v>
      </c>
      <c r="J134" s="8"/>
      <c r="K134" s="10">
        <v>1274</v>
      </c>
      <c r="L134" s="11">
        <f t="shared" si="16"/>
        <v>9.3888226059654638</v>
      </c>
      <c r="M134" s="9">
        <v>11961.36</v>
      </c>
      <c r="O134" s="10">
        <v>2055</v>
      </c>
      <c r="P134" s="11">
        <f t="shared" si="17"/>
        <v>9.4532652068126541</v>
      </c>
      <c r="Q134" s="9">
        <v>19426.460000000003</v>
      </c>
    </row>
    <row r="135" spans="1:17" x14ac:dyDescent="0.25">
      <c r="A135" t="s">
        <v>58</v>
      </c>
      <c r="C135" s="7" t="str">
        <f t="shared" si="13"/>
        <v>@@</v>
      </c>
      <c r="D135" s="7" t="str">
        <f>"@@S100015"</f>
        <v>@@S100015</v>
      </c>
      <c r="E135" s="7" t="str">
        <f>"""NAV 2015"",""CRONUS JetCorp USA"",""27"",""1"",""S100015"""</f>
        <v>"NAV 2015","CRONUS JetCorp USA","27","1","S100015"</v>
      </c>
      <c r="F135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35" s="7" t="str">
        <f t="shared" si="15"/>
        <v>∞||"18 Customer","1 No.","=5 Source No.","5900 Service Zone Code","@@"</v>
      </c>
      <c r="I135" s="8" t="str">
        <f>"Raw-Edge Bucket Hat"</f>
        <v>Raw-Edge Bucket Hat</v>
      </c>
      <c r="J135" s="8"/>
      <c r="K135" s="10">
        <v>2742</v>
      </c>
      <c r="L135" s="11">
        <f t="shared" si="16"/>
        <v>7.0129102844638957</v>
      </c>
      <c r="M135" s="9">
        <v>19229.400000000001</v>
      </c>
      <c r="O135" s="10">
        <v>1466</v>
      </c>
      <c r="P135" s="11">
        <f t="shared" si="17"/>
        <v>7.1099522510231923</v>
      </c>
      <c r="Q135" s="9">
        <v>10423.19</v>
      </c>
    </row>
    <row r="136" spans="1:17" x14ac:dyDescent="0.25">
      <c r="A136" t="s">
        <v>58</v>
      </c>
      <c r="C136" s="7" t="str">
        <f t="shared" si="13"/>
        <v>@@</v>
      </c>
      <c r="D136" s="7" t="str">
        <f>"@@S100016"</f>
        <v>@@S100016</v>
      </c>
      <c r="E136" s="7" t="str">
        <f>"""NAV 2015"",""CRONUS JetCorp USA"",""27"",""1"",""S100016"""</f>
        <v>"NAV 2015","CRONUS JetCorp USA","27","1","S100016"</v>
      </c>
      <c r="F136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36" s="7" t="str">
        <f t="shared" si="15"/>
        <v>∞||"18 Customer","1 No.","=5 Source No.","5900 Service Zone Code","@@"</v>
      </c>
      <c r="I136" s="8" t="str">
        <f>"Mesh Bucket Hat"</f>
        <v>Mesh Bucket Hat</v>
      </c>
      <c r="J136" s="8"/>
      <c r="K136" s="10">
        <v>3692.9999999999995</v>
      </c>
      <c r="L136" s="11">
        <f t="shared" si="16"/>
        <v>4.8193582453290009</v>
      </c>
      <c r="M136" s="9">
        <v>17797.89</v>
      </c>
      <c r="O136" s="10">
        <v>4258</v>
      </c>
      <c r="P136" s="11">
        <f t="shared" si="17"/>
        <v>4.7728393612024425</v>
      </c>
      <c r="Q136" s="9">
        <v>20322.75</v>
      </c>
    </row>
    <row r="137" spans="1:17" x14ac:dyDescent="0.25">
      <c r="A137" t="s">
        <v>58</v>
      </c>
      <c r="C137" s="7" t="str">
        <f t="shared" si="13"/>
        <v>@@</v>
      </c>
      <c r="D137" s="7" t="str">
        <f>"@@S100017"</f>
        <v>@@S100017</v>
      </c>
      <c r="E137" s="7" t="str">
        <f>"""NAV 2015"",""CRONUS JetCorp USA"",""27"",""1"",""S100017"""</f>
        <v>"NAV 2015","CRONUS JetCorp USA","27","1","S100017"</v>
      </c>
      <c r="F137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37" s="7" t="str">
        <f t="shared" si="15"/>
        <v>∞||"18 Customer","1 No.","=5 Source No.","5900 Service Zone Code","@@"</v>
      </c>
      <c r="I137" s="8" t="str">
        <f>"Microfiber Bucket Hat"</f>
        <v>Microfiber Bucket Hat</v>
      </c>
      <c r="J137" s="8"/>
      <c r="K137" s="10">
        <v>2592</v>
      </c>
      <c r="L137" s="11">
        <f t="shared" si="16"/>
        <v>7.0397067901234571</v>
      </c>
      <c r="M137" s="9">
        <v>18246.920000000002</v>
      </c>
      <c r="O137" s="10">
        <v>1955.0000000000002</v>
      </c>
      <c r="P137" s="11">
        <f t="shared" si="17"/>
        <v>6.9893708439897697</v>
      </c>
      <c r="Q137" s="9">
        <v>13664.220000000001</v>
      </c>
    </row>
    <row r="138" spans="1:17" x14ac:dyDescent="0.25">
      <c r="A138" t="s">
        <v>58</v>
      </c>
      <c r="C138" s="7" t="str">
        <f t="shared" si="13"/>
        <v>@@</v>
      </c>
      <c r="D138" s="7" t="str">
        <f>"@@S100018"</f>
        <v>@@S100018</v>
      </c>
      <c r="E138" s="7" t="str">
        <f>"""NAV 2015"",""CRONUS JetCorp USA"",""27"",""1"",""S100018"""</f>
        <v>"NAV 2015","CRONUS JetCorp USA","27","1","S100018"</v>
      </c>
      <c r="F138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38" s="7" t="str">
        <f t="shared" si="15"/>
        <v>∞||"18 Customer","1 No.","=5 Source No.","5900 Service Zone Code","@@"</v>
      </c>
      <c r="I138" s="8" t="str">
        <f>"Crusher Bucket Hat"</f>
        <v>Crusher Bucket Hat</v>
      </c>
      <c r="J138" s="8"/>
      <c r="K138" s="10">
        <v>1561</v>
      </c>
      <c r="L138" s="11">
        <f t="shared" si="16"/>
        <v>7.1849583600256253</v>
      </c>
      <c r="M138" s="9">
        <v>11215.720000000001</v>
      </c>
      <c r="O138" s="10">
        <v>2017.0000000000002</v>
      </c>
      <c r="P138" s="11">
        <f t="shared" si="17"/>
        <v>7.1550223103619226</v>
      </c>
      <c r="Q138" s="9">
        <v>14431.68</v>
      </c>
    </row>
    <row r="139" spans="1:17" x14ac:dyDescent="0.25">
      <c r="A139" t="s">
        <v>58</v>
      </c>
      <c r="C139" s="7" t="str">
        <f t="shared" si="13"/>
        <v>@@</v>
      </c>
      <c r="D139" s="7" t="str">
        <f>"@@S100019"</f>
        <v>@@S100019</v>
      </c>
      <c r="E139" s="7" t="str">
        <f>"""NAV 2015"",""CRONUS JetCorp USA"",""27"",""1"",""S100019"""</f>
        <v>"NAV 2015","CRONUS JetCorp USA","27","1","S100019"</v>
      </c>
      <c r="F139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39" s="7" t="str">
        <f t="shared" si="15"/>
        <v>∞||"18 Customer","1 No.","=5 Source No.","5900 Service Zone Code","@@"</v>
      </c>
      <c r="I139" s="8" t="str">
        <f>"Sportsman Bucket Hat"</f>
        <v>Sportsman Bucket Hat</v>
      </c>
      <c r="J139" s="8"/>
      <c r="K139" s="10">
        <v>3765.0000000000005</v>
      </c>
      <c r="L139" s="11">
        <f t="shared" si="16"/>
        <v>4.4421699867197875</v>
      </c>
      <c r="M139" s="9">
        <v>16724.77</v>
      </c>
      <c r="O139" s="10">
        <v>3692</v>
      </c>
      <c r="P139" s="11">
        <f t="shared" si="17"/>
        <v>4.3752356446370531</v>
      </c>
      <c r="Q139" s="9">
        <v>16153.37</v>
      </c>
    </row>
    <row r="140" spans="1:17" x14ac:dyDescent="0.25">
      <c r="A140" t="s">
        <v>58</v>
      </c>
      <c r="C140" s="7" t="str">
        <f t="shared" si="13"/>
        <v>@@</v>
      </c>
      <c r="D140" s="7" t="str">
        <f>"@@S100020"</f>
        <v>@@S100020</v>
      </c>
      <c r="E140" s="7" t="str">
        <f>"""NAV 2015"",""CRONUS JetCorp USA"",""27"",""1"",""S100020"""</f>
        <v>"NAV 2015","CRONUS JetCorp USA","27","1","S100020"</v>
      </c>
      <c r="F140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40" s="7" t="str">
        <f t="shared" si="15"/>
        <v>∞||"18 Customer","1 No.","=5 Source No.","5900 Service Zone Code","@@"</v>
      </c>
      <c r="I140" s="8" t="str">
        <f>"Super Sport Stopwatch"</f>
        <v>Super Sport Stopwatch</v>
      </c>
      <c r="J140" s="8"/>
      <c r="K140" s="10">
        <v>3329</v>
      </c>
      <c r="L140" s="11">
        <f t="shared" si="16"/>
        <v>2.1020156203063984</v>
      </c>
      <c r="M140" s="9">
        <v>6997.6100000000006</v>
      </c>
      <c r="O140" s="10">
        <v>4366</v>
      </c>
      <c r="P140" s="11">
        <f t="shared" si="17"/>
        <v>2.1027805771873567</v>
      </c>
      <c r="Q140" s="9">
        <v>9180.74</v>
      </c>
    </row>
    <row r="141" spans="1:17" x14ac:dyDescent="0.25">
      <c r="A141" t="s">
        <v>58</v>
      </c>
      <c r="C141" s="7" t="str">
        <f t="shared" si="13"/>
        <v>@@</v>
      </c>
      <c r="D141" s="7" t="str">
        <f>"@@S100021"</f>
        <v>@@S100021</v>
      </c>
      <c r="E141" s="7" t="str">
        <f>"""NAV 2015"",""CRONUS JetCorp USA"",""27"",""1"",""S100021"""</f>
        <v>"NAV 2015","CRONUS JetCorp USA","27","1","S100021"</v>
      </c>
      <c r="F141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41" s="7" t="str">
        <f t="shared" si="15"/>
        <v>∞||"18 Customer","1 No.","=5 Source No.","5900 Service Zone Code","@@"</v>
      </c>
      <c r="I141" s="8" t="str">
        <f>"Translucent Stopwatch"</f>
        <v>Translucent Stopwatch</v>
      </c>
      <c r="J141" s="8"/>
      <c r="K141" s="10">
        <v>6004</v>
      </c>
      <c r="L141" s="11">
        <f t="shared" si="16"/>
        <v>4.022068620919387</v>
      </c>
      <c r="M141" s="9">
        <v>24148.5</v>
      </c>
      <c r="O141" s="10">
        <v>4674</v>
      </c>
      <c r="P141" s="11">
        <f t="shared" si="17"/>
        <v>3.9849529311082588</v>
      </c>
      <c r="Q141" s="9">
        <v>18625.670000000002</v>
      </c>
    </row>
    <row r="142" spans="1:17" x14ac:dyDescent="0.25">
      <c r="A142" t="s">
        <v>58</v>
      </c>
      <c r="C142" s="7" t="str">
        <f t="shared" si="13"/>
        <v>@@</v>
      </c>
      <c r="D142" s="7" t="str">
        <f>"@@S100023"</f>
        <v>@@S100023</v>
      </c>
      <c r="E142" s="7" t="str">
        <f>"""NAV 2015"",""CRONUS JetCorp USA"",""27"",""1"",""S100023"""</f>
        <v>"NAV 2015","CRONUS JetCorp USA","27","1","S100023"</v>
      </c>
      <c r="F142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42" s="7" t="str">
        <f t="shared" si="15"/>
        <v>∞||"18 Customer","1 No.","=5 Source No.","5900 Service Zone Code","@@"</v>
      </c>
      <c r="I142" s="8" t="str">
        <f>"Gripper SPORT BOT"</f>
        <v>Gripper SPORT BOT</v>
      </c>
      <c r="J142" s="8"/>
      <c r="K142" s="10">
        <v>639</v>
      </c>
      <c r="L142" s="11">
        <f t="shared" si="16"/>
        <v>1.945602503912363</v>
      </c>
      <c r="M142" s="9">
        <v>1243.24</v>
      </c>
      <c r="O142" s="10">
        <v>1874.0000000000002</v>
      </c>
      <c r="P142" s="11">
        <f t="shared" si="17"/>
        <v>1.9134685165421557</v>
      </c>
      <c r="Q142" s="9">
        <v>3585.84</v>
      </c>
    </row>
    <row r="143" spans="1:17" x14ac:dyDescent="0.25">
      <c r="A143" t="s">
        <v>58</v>
      </c>
      <c r="C143" s="7" t="str">
        <f t="shared" si="13"/>
        <v>@@</v>
      </c>
      <c r="D143" s="7" t="str">
        <f>"@@S100024"</f>
        <v>@@S100024</v>
      </c>
      <c r="E143" s="7" t="str">
        <f>"""NAV 2015"",""CRONUS JetCorp USA"",""27"",""1"",""S100024"""</f>
        <v>"NAV 2015","CRONUS JetCorp USA","27","1","S100024"</v>
      </c>
      <c r="F143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43" s="7" t="str">
        <f t="shared" si="15"/>
        <v>∞||"18 Customer","1 No.","=5 Source No.","5900 Service Zone Code","@@"</v>
      </c>
      <c r="I143" s="8" t="str">
        <f>"Aluminum SPORT BOT"</f>
        <v>Aluminum SPORT BOT</v>
      </c>
      <c r="J143" s="8"/>
      <c r="K143" s="10">
        <v>984.00000000000011</v>
      </c>
      <c r="L143" s="11">
        <f t="shared" si="16"/>
        <v>3.4473272357723568</v>
      </c>
      <c r="M143" s="9">
        <v>3392.1699999999996</v>
      </c>
      <c r="O143" s="10">
        <v>1419</v>
      </c>
      <c r="P143" s="11">
        <f t="shared" si="17"/>
        <v>3.4246863988724456</v>
      </c>
      <c r="Q143" s="9">
        <v>4859.63</v>
      </c>
    </row>
    <row r="144" spans="1:17" x14ac:dyDescent="0.25">
      <c r="A144" t="s">
        <v>58</v>
      </c>
      <c r="C144" s="7" t="str">
        <f t="shared" si="13"/>
        <v>@@</v>
      </c>
      <c r="D144" s="7" t="str">
        <f>"@@S100025"</f>
        <v>@@S100025</v>
      </c>
      <c r="E144" s="7" t="str">
        <f>"""NAV 2015"",""CRONUS JetCorp USA"",""27"",""1"",""S100025"""</f>
        <v>"NAV 2015","CRONUS JetCorp USA","27","1","S100025"</v>
      </c>
      <c r="F144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44" s="7" t="str">
        <f t="shared" si="15"/>
        <v>∞||"18 Customer","1 No.","=5 Source No.","5900 Service Zone Code","@@"</v>
      </c>
      <c r="I144" s="8" t="str">
        <f>"SPORT BOT with Pop Lid"</f>
        <v>SPORT BOT with Pop Lid</v>
      </c>
      <c r="J144" s="8"/>
      <c r="K144" s="10">
        <v>1350</v>
      </c>
      <c r="L144" s="11">
        <f t="shared" si="16"/>
        <v>1.6434222222222221</v>
      </c>
      <c r="M144" s="9">
        <v>2218.62</v>
      </c>
      <c r="O144" s="10">
        <v>1593</v>
      </c>
      <c r="P144" s="11">
        <f t="shared" si="17"/>
        <v>1.6416070307595731</v>
      </c>
      <c r="Q144" s="9">
        <v>2615.08</v>
      </c>
    </row>
    <row r="145" spans="1:17" x14ac:dyDescent="0.25">
      <c r="A145" t="s">
        <v>58</v>
      </c>
      <c r="C145" s="7" t="str">
        <f t="shared" si="13"/>
        <v>@@</v>
      </c>
      <c r="D145" s="7" t="str">
        <f>"@@S100026"</f>
        <v>@@S100026</v>
      </c>
      <c r="E145" s="7" t="str">
        <f>"""NAV 2015"",""CRONUS JetCorp USA"",""27"",""1"",""S100026"""</f>
        <v>"NAV 2015","CRONUS JetCorp USA","27","1","S100026"</v>
      </c>
      <c r="F145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45" s="7" t="str">
        <f t="shared" si="15"/>
        <v>∞||"18 Customer","1 No.","=5 Source No.","5900 Service Zone Code","@@"</v>
      </c>
      <c r="I145" s="8" t="str">
        <f>"Wide SPORT BOT"</f>
        <v>Wide SPORT BOT</v>
      </c>
      <c r="J145" s="8"/>
      <c r="K145" s="10">
        <v>2934</v>
      </c>
      <c r="L145" s="11">
        <f t="shared" si="16"/>
        <v>3.9270722563053853</v>
      </c>
      <c r="M145" s="9">
        <v>11522.03</v>
      </c>
      <c r="O145" s="10">
        <v>3552.0000000000005</v>
      </c>
      <c r="P145" s="11">
        <f t="shared" si="17"/>
        <v>3.9404701576576571</v>
      </c>
      <c r="Q145" s="9">
        <v>13996.55</v>
      </c>
    </row>
    <row r="146" spans="1:17" x14ac:dyDescent="0.25">
      <c r="A146" t="s">
        <v>58</v>
      </c>
      <c r="C146" s="7" t="str">
        <f t="shared" si="13"/>
        <v>@@</v>
      </c>
      <c r="D146" s="7" t="str">
        <f>"@@S200001"</f>
        <v>@@S200001</v>
      </c>
      <c r="E146" s="7" t="str">
        <f>"""NAV 2015"",""CRONUS JetCorp USA"",""27"",""1"",""S200001"""</f>
        <v>"NAV 2015","CRONUS JetCorp USA","27","1","S200001"</v>
      </c>
      <c r="F146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46" s="7" t="str">
        <f t="shared" si="15"/>
        <v>∞||"18 Customer","1 No.","=5 Source No.","5900 Service Zone Code","@@"</v>
      </c>
      <c r="I146" s="8" t="str">
        <f>"3.25"" Lamp of Knowledge Trophy"</f>
        <v>3.25" Lamp of Knowledge Trophy</v>
      </c>
      <c r="J146" s="8"/>
      <c r="K146" s="10">
        <v>193</v>
      </c>
      <c r="L146" s="11">
        <f t="shared" si="16"/>
        <v>9.7746113989637298</v>
      </c>
      <c r="M146" s="9">
        <v>1886.5</v>
      </c>
      <c r="O146" s="10">
        <v>337</v>
      </c>
      <c r="P146" s="11">
        <f t="shared" si="17"/>
        <v>9.7999999999999989</v>
      </c>
      <c r="Q146" s="9">
        <v>3302.6</v>
      </c>
    </row>
    <row r="147" spans="1:17" x14ac:dyDescent="0.25">
      <c r="A147" t="s">
        <v>58</v>
      </c>
      <c r="C147" s="7" t="str">
        <f t="shared" si="13"/>
        <v>@@</v>
      </c>
      <c r="D147" s="7" t="str">
        <f>"@@S200003"</f>
        <v>@@S200003</v>
      </c>
      <c r="E147" s="7" t="str">
        <f>"""NAV 2015"",""CRONUS JetCorp USA"",""27"",""1"",""S200003"""</f>
        <v>"NAV 2015","CRONUS JetCorp USA","27","1","S200003"</v>
      </c>
      <c r="F147" s="7" t="str">
        <f t="shared" si="14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47" s="7" t="str">
        <f t="shared" si="15"/>
        <v>∞||"18 Customer","1 No.","=5 Source No.","5900 Service Zone Code","@@"</v>
      </c>
      <c r="I147" s="8" t="str">
        <f>"5"" Male Graduate Trophy"</f>
        <v>5" Male Graduate Trophy</v>
      </c>
      <c r="J147" s="8"/>
      <c r="K147" s="10">
        <v>288</v>
      </c>
      <c r="L147" s="11">
        <f t="shared" si="16"/>
        <v>7.3500000000000005</v>
      </c>
      <c r="M147" s="9">
        <v>2116.8000000000002</v>
      </c>
      <c r="O147" s="10">
        <v>15</v>
      </c>
      <c r="P147" s="11">
        <f t="shared" si="17"/>
        <v>7.35</v>
      </c>
      <c r="Q147" s="9">
        <v>110.25</v>
      </c>
    </row>
    <row r="148" spans="1:17" x14ac:dyDescent="0.25">
      <c r="A148" t="s">
        <v>58</v>
      </c>
      <c r="C148" s="7" t="str">
        <f t="shared" si="13"/>
        <v>@@</v>
      </c>
      <c r="D148" s="7" t="str">
        <f>"@@S200004"</f>
        <v>@@S200004</v>
      </c>
      <c r="E148" s="7" t="str">
        <f>"""NAV 2015"",""CRONUS JetCorp USA"",""27"",""1"",""S200004"""</f>
        <v>"NAV 2015","CRONUS JetCorp USA","27","1","S200004"</v>
      </c>
      <c r="F148" s="7" t="str">
        <f t="shared" ref="F148:F173" si="18">"∞||""5802 Value Entry"",""2 Item No."",""=1 No."",""3 Posting Date"",""12/01/18..01/05/19"",""2 Item No."",""*"",""4 Item Ledger Entry Type"",""Sale"",""105 Entry Type"",""&lt;&gt;Revaluation"",""Link="",""∞||""""18 Customer"""",""""1 No."""",""""=5 Source No."""",""""5900 Service Zone Code"""",""""@@"""""&amp;""""</f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48" s="7" t="str">
        <f t="shared" ref="G148:G173" si="19">"∞||""18 Customer"",""1 No."",""=5 Source No."",""5900 Service Zone Code"",""@@"""</f>
        <v>∞||"18 Customer","1 No.","=5 Source No.","5900 Service Zone Code","@@"</v>
      </c>
      <c r="I148" s="8" t="str">
        <f>"5"" Female Graduate Trophy"</f>
        <v>5" Female Graduate Trophy</v>
      </c>
      <c r="J148" s="8"/>
      <c r="K148" s="10">
        <v>48</v>
      </c>
      <c r="L148" s="11">
        <f t="shared" ref="L148:L179" si="20">IF(K148=0,0,M148/K148)</f>
        <v>7.3500000000000005</v>
      </c>
      <c r="M148" s="9">
        <v>352.8</v>
      </c>
      <c r="O148" s="10">
        <v>337</v>
      </c>
      <c r="P148" s="11">
        <f t="shared" ref="P148:P179" si="21">IF(O148=0,0,Q148/O148)</f>
        <v>7.35</v>
      </c>
      <c r="Q148" s="9">
        <v>2476.9499999999998</v>
      </c>
    </row>
    <row r="149" spans="1:17" x14ac:dyDescent="0.25">
      <c r="A149" t="s">
        <v>58</v>
      </c>
      <c r="C149" s="7" t="str">
        <f t="shared" ref="C149:C173" si="22">C148</f>
        <v>@@</v>
      </c>
      <c r="D149" s="7" t="str">
        <f>"@@S200005"</f>
        <v>@@S200005</v>
      </c>
      <c r="E149" s="7" t="str">
        <f>"""NAV 2015"",""CRONUS JetCorp USA"",""27"",""1"",""S200005"""</f>
        <v>"NAV 2015","CRONUS JetCorp USA","27","1","S200005"</v>
      </c>
      <c r="F149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49" s="7" t="str">
        <f t="shared" si="19"/>
        <v>∞||"18 Customer","1 No.","=5 Source No.","5900 Service Zone Code","@@"</v>
      </c>
      <c r="I149" s="8" t="str">
        <f>"4.75"" Spelling B Trophy"</f>
        <v>4.75" Spelling B Trophy</v>
      </c>
      <c r="J149" s="8"/>
      <c r="K149" s="10">
        <v>311</v>
      </c>
      <c r="L149" s="11">
        <f t="shared" si="20"/>
        <v>9.8012861736334411</v>
      </c>
      <c r="M149" s="9">
        <v>3048.2000000000003</v>
      </c>
      <c r="O149" s="10">
        <v>6</v>
      </c>
      <c r="P149" s="11">
        <f t="shared" si="21"/>
        <v>9.7999999999999989</v>
      </c>
      <c r="Q149" s="9">
        <v>58.8</v>
      </c>
    </row>
    <row r="150" spans="1:17" x14ac:dyDescent="0.25">
      <c r="A150" t="s">
        <v>58</v>
      </c>
      <c r="C150" s="7" t="str">
        <f t="shared" si="22"/>
        <v>@@</v>
      </c>
      <c r="D150" s="7" t="str">
        <f>"@@S200006"</f>
        <v>@@S200006</v>
      </c>
      <c r="E150" s="7" t="str">
        <f>"""NAV 2015"",""CRONUS JetCorp USA"",""27"",""1"",""S200006"""</f>
        <v>"NAV 2015","CRONUS JetCorp USA","27","1","S200006"</v>
      </c>
      <c r="F150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50" s="7" t="str">
        <f t="shared" si="19"/>
        <v>∞||"18 Customer","1 No.","=5 Source No.","5900 Service Zone Code","@@"</v>
      </c>
      <c r="I150" s="8" t="str">
        <f>"3.75"" Soccer Trophy"</f>
        <v>3.75" Soccer Trophy</v>
      </c>
      <c r="J150" s="8"/>
      <c r="K150" s="10">
        <v>0</v>
      </c>
      <c r="L150" s="11">
        <f t="shared" si="20"/>
        <v>0</v>
      </c>
      <c r="M150" s="9">
        <v>0</v>
      </c>
      <c r="O150" s="10">
        <v>428.00000000000006</v>
      </c>
      <c r="P150" s="11">
        <f t="shared" si="21"/>
        <v>9.7908878504672892</v>
      </c>
      <c r="Q150" s="9">
        <v>4190.5</v>
      </c>
    </row>
    <row r="151" spans="1:17" x14ac:dyDescent="0.25">
      <c r="A151" t="s">
        <v>58</v>
      </c>
      <c r="C151" s="7" t="str">
        <f t="shared" si="22"/>
        <v>@@</v>
      </c>
      <c r="D151" s="7" t="str">
        <f>"@@S200007"</f>
        <v>@@S200007</v>
      </c>
      <c r="E151" s="7" t="str">
        <f>"""NAV 2015"",""CRONUS JetCorp USA"",""27"",""1"",""S200007"""</f>
        <v>"NAV 2015","CRONUS JetCorp USA","27","1","S200007"</v>
      </c>
      <c r="F151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51" s="7" t="str">
        <f t="shared" si="19"/>
        <v>∞||"18 Customer","1 No.","=5 Source No.","5900 Service Zone Code","@@"</v>
      </c>
      <c r="I151" s="8" t="str">
        <f>"3.75"" Football Trophy"</f>
        <v>3.75" Football Trophy</v>
      </c>
      <c r="J151" s="8"/>
      <c r="K151" s="10">
        <v>144</v>
      </c>
      <c r="L151" s="11">
        <f t="shared" si="20"/>
        <v>9.6999999999999993</v>
      </c>
      <c r="M151" s="9">
        <v>1396.8</v>
      </c>
      <c r="O151" s="10">
        <v>720</v>
      </c>
      <c r="P151" s="11">
        <f t="shared" si="21"/>
        <v>9.7800000000000011</v>
      </c>
      <c r="Q151" s="9">
        <v>7041.6</v>
      </c>
    </row>
    <row r="152" spans="1:17" x14ac:dyDescent="0.25">
      <c r="A152" t="s">
        <v>58</v>
      </c>
      <c r="C152" s="7" t="str">
        <f t="shared" si="22"/>
        <v>@@</v>
      </c>
      <c r="D152" s="7" t="str">
        <f>"@@S200008"</f>
        <v>@@S200008</v>
      </c>
      <c r="E152" s="7" t="str">
        <f>"""NAV 2015"",""CRONUS JetCorp USA"",""27"",""1"",""S200008"""</f>
        <v>"NAV 2015","CRONUS JetCorp USA","27","1","S200008"</v>
      </c>
      <c r="F152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52" s="7" t="str">
        <f t="shared" si="19"/>
        <v>∞||"18 Customer","1 No.","=5 Source No.","5900 Service Zone Code","@@"</v>
      </c>
      <c r="I152" s="8" t="str">
        <f>"3.75"" Basketball Trophy"</f>
        <v>3.75" Basketball Trophy</v>
      </c>
      <c r="J152" s="8"/>
      <c r="K152" s="10">
        <v>288</v>
      </c>
      <c r="L152" s="11">
        <f t="shared" si="20"/>
        <v>9.8000000000000007</v>
      </c>
      <c r="M152" s="9">
        <v>2822.4</v>
      </c>
      <c r="O152" s="10">
        <v>108</v>
      </c>
      <c r="P152" s="11">
        <f t="shared" si="21"/>
        <v>9.6222222222222218</v>
      </c>
      <c r="Q152" s="9">
        <v>1039.2</v>
      </c>
    </row>
    <row r="153" spans="1:17" x14ac:dyDescent="0.25">
      <c r="A153" t="s">
        <v>58</v>
      </c>
      <c r="C153" s="7" t="str">
        <f t="shared" si="22"/>
        <v>@@</v>
      </c>
      <c r="D153" s="7" t="str">
        <f>"@@S200009"</f>
        <v>@@S200009</v>
      </c>
      <c r="E153" s="7" t="str">
        <f>"""NAV 2015"",""CRONUS JetCorp USA"",""27"",""1"",""S200009"""</f>
        <v>"NAV 2015","CRONUS JetCorp USA","27","1","S200009"</v>
      </c>
      <c r="F153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53" s="7" t="str">
        <f t="shared" si="19"/>
        <v>∞||"18 Customer","1 No.","=5 Source No.","5900 Service Zone Code","@@"</v>
      </c>
      <c r="I153" s="8" t="str">
        <f>"3.75"" Volleyball Trophy"</f>
        <v>3.75" Volleyball Trophy</v>
      </c>
      <c r="J153" s="8"/>
      <c r="K153" s="10">
        <v>144</v>
      </c>
      <c r="L153" s="11">
        <f t="shared" si="20"/>
        <v>9.3999999999999986</v>
      </c>
      <c r="M153" s="9">
        <v>1353.6</v>
      </c>
      <c r="O153" s="10">
        <v>288</v>
      </c>
      <c r="P153" s="11">
        <f t="shared" si="21"/>
        <v>9.8000000000000007</v>
      </c>
      <c r="Q153" s="9">
        <v>2822.4</v>
      </c>
    </row>
    <row r="154" spans="1:17" x14ac:dyDescent="0.25">
      <c r="A154" t="s">
        <v>58</v>
      </c>
      <c r="C154" s="7" t="str">
        <f t="shared" si="22"/>
        <v>@@</v>
      </c>
      <c r="D154" s="7" t="str">
        <f>"@@S200010"</f>
        <v>@@S200010</v>
      </c>
      <c r="E154" s="7" t="str">
        <f>"""NAV 2015"",""CRONUS JetCorp USA"",""27"",""1"",""S200010"""</f>
        <v>"NAV 2015","CRONUS JetCorp USA","27","1","S200010"</v>
      </c>
      <c r="F154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54" s="7" t="str">
        <f t="shared" si="19"/>
        <v>∞||"18 Customer","1 No.","=5 Source No.","5900 Service Zone Code","@@"</v>
      </c>
      <c r="I154" s="8" t="str">
        <f>"3.75"" Wrestling Trophy"</f>
        <v>3.75" Wrestling Trophy</v>
      </c>
      <c r="J154" s="8"/>
      <c r="K154" s="10">
        <v>288</v>
      </c>
      <c r="L154" s="11">
        <f t="shared" si="20"/>
        <v>9.75</v>
      </c>
      <c r="M154" s="9">
        <v>2808</v>
      </c>
      <c r="O154" s="10">
        <v>144</v>
      </c>
      <c r="P154" s="11">
        <f t="shared" si="21"/>
        <v>9.8000000000000007</v>
      </c>
      <c r="Q154" s="9">
        <v>1411.2</v>
      </c>
    </row>
    <row r="155" spans="1:17" x14ac:dyDescent="0.25">
      <c r="A155" t="s">
        <v>58</v>
      </c>
      <c r="C155" s="7" t="str">
        <f t="shared" si="22"/>
        <v>@@</v>
      </c>
      <c r="D155" s="7" t="str">
        <f>"@@S200011"</f>
        <v>@@S200011</v>
      </c>
      <c r="E155" s="7" t="str">
        <f>"""NAV 2015"",""CRONUS JetCorp USA"",""27"",""1"",""S200011"""</f>
        <v>"NAV 2015","CRONUS JetCorp USA","27","1","S200011"</v>
      </c>
      <c r="F155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55" s="7" t="str">
        <f t="shared" si="19"/>
        <v>∞||"18 Customer","1 No.","=5 Source No.","5900 Service Zone Code","@@"</v>
      </c>
      <c r="I155" s="8" t="str">
        <f>"10.75"" Star Riser Lamp of Knowledge Trophy"</f>
        <v>10.75" Star Riser Lamp of Knowledge Trophy</v>
      </c>
      <c r="J155" s="8"/>
      <c r="K155" s="10">
        <v>145</v>
      </c>
      <c r="L155" s="11">
        <f t="shared" si="20"/>
        <v>11.75344827586207</v>
      </c>
      <c r="M155" s="9">
        <v>1704.2500000000002</v>
      </c>
      <c r="O155" s="10">
        <v>193</v>
      </c>
      <c r="P155" s="11">
        <f t="shared" si="21"/>
        <v>12.25</v>
      </c>
      <c r="Q155" s="9">
        <v>2364.25</v>
      </c>
    </row>
    <row r="156" spans="1:17" x14ac:dyDescent="0.25">
      <c r="A156" t="s">
        <v>58</v>
      </c>
      <c r="C156" s="7" t="str">
        <f t="shared" si="22"/>
        <v>@@</v>
      </c>
      <c r="D156" s="7" t="str">
        <f>"@@S200012"</f>
        <v>@@S200012</v>
      </c>
      <c r="E156" s="7" t="str">
        <f>"""NAV 2015"",""CRONUS JetCorp USA"",""27"",""1"",""S200012"""</f>
        <v>"NAV 2015","CRONUS JetCorp USA","27","1","S200012"</v>
      </c>
      <c r="F156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56" s="7" t="str">
        <f t="shared" si="19"/>
        <v>∞||"18 Customer","1 No.","=5 Source No.","5900 Service Zone Code","@@"</v>
      </c>
      <c r="I156" s="8" t="str">
        <f>"10.75"" Star Riser Apple Trophy"</f>
        <v>10.75" Star Riser Apple Trophy</v>
      </c>
      <c r="J156" s="8"/>
      <c r="K156" s="10">
        <v>192</v>
      </c>
      <c r="L156" s="11">
        <f t="shared" si="20"/>
        <v>12.25</v>
      </c>
      <c r="M156" s="9">
        <v>2352</v>
      </c>
      <c r="O156" s="10">
        <v>858.00000000000011</v>
      </c>
      <c r="P156" s="11">
        <f t="shared" si="21"/>
        <v>12.040209790209788</v>
      </c>
      <c r="Q156" s="9">
        <v>10330.5</v>
      </c>
    </row>
    <row r="157" spans="1:17" x14ac:dyDescent="0.25">
      <c r="A157" t="s">
        <v>58</v>
      </c>
      <c r="C157" s="7" t="str">
        <f t="shared" si="22"/>
        <v>@@</v>
      </c>
      <c r="D157" s="7" t="str">
        <f>"@@S200013"</f>
        <v>@@S200013</v>
      </c>
      <c r="E157" s="7" t="str">
        <f>"""NAV 2015"",""CRONUS JetCorp USA"",""27"",""1"",""S200013"""</f>
        <v>"NAV 2015","CRONUS JetCorp USA","27","1","S200013"</v>
      </c>
      <c r="F157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57" s="7" t="str">
        <f t="shared" si="19"/>
        <v>∞||"18 Customer","1 No.","=5 Source No.","5900 Service Zone Code","@@"</v>
      </c>
      <c r="I157" s="8" t="str">
        <f>"10.75"" Star Riser Soccer Trophy"</f>
        <v>10.75" Star Riser Soccer Trophy</v>
      </c>
      <c r="J157" s="8"/>
      <c r="K157" s="10">
        <v>289</v>
      </c>
      <c r="L157" s="11">
        <f t="shared" si="20"/>
        <v>12.000865051903112</v>
      </c>
      <c r="M157" s="9">
        <v>3468.2499999999995</v>
      </c>
      <c r="O157" s="10">
        <v>271</v>
      </c>
      <c r="P157" s="11">
        <f t="shared" si="21"/>
        <v>12.25</v>
      </c>
      <c r="Q157" s="9">
        <v>3319.75</v>
      </c>
    </row>
    <row r="158" spans="1:17" x14ac:dyDescent="0.25">
      <c r="A158" t="s">
        <v>58</v>
      </c>
      <c r="C158" s="7" t="str">
        <f t="shared" si="22"/>
        <v>@@</v>
      </c>
      <c r="D158" s="7" t="str">
        <f>"@@S200014"</f>
        <v>@@S200014</v>
      </c>
      <c r="E158" s="7" t="str">
        <f>"""NAV 2015"",""CRONUS JetCorp USA"",""27"",""1"",""S200014"""</f>
        <v>"NAV 2015","CRONUS JetCorp USA","27","1","S200014"</v>
      </c>
      <c r="F158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58" s="7" t="str">
        <f t="shared" si="19"/>
        <v>∞||"18 Customer","1 No.","=5 Source No.","5900 Service Zone Code","@@"</v>
      </c>
      <c r="I158" s="8" t="str">
        <f>"10.75"" Star Riser FootballTrophy"</f>
        <v>10.75" Star Riser FootballTrophy</v>
      </c>
      <c r="J158" s="8"/>
      <c r="K158" s="10">
        <v>144</v>
      </c>
      <c r="L158" s="11">
        <f t="shared" si="20"/>
        <v>12.125000000000002</v>
      </c>
      <c r="M158" s="9">
        <v>1746.0000000000002</v>
      </c>
      <c r="O158" s="10">
        <v>36</v>
      </c>
      <c r="P158" s="11">
        <f t="shared" si="21"/>
        <v>12.25</v>
      </c>
      <c r="Q158" s="9">
        <v>441</v>
      </c>
    </row>
    <row r="159" spans="1:17" x14ac:dyDescent="0.25">
      <c r="A159" t="s">
        <v>58</v>
      </c>
      <c r="C159" s="7" t="str">
        <f t="shared" si="22"/>
        <v>@@</v>
      </c>
      <c r="D159" s="7" t="str">
        <f>"@@S200015"</f>
        <v>@@S200015</v>
      </c>
      <c r="E159" s="7" t="str">
        <f>"""NAV 2015"",""CRONUS JetCorp USA"",""27"",""1"",""S200015"""</f>
        <v>"NAV 2015","CRONUS JetCorp USA","27","1","S200015"</v>
      </c>
      <c r="F159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59" s="7" t="str">
        <f t="shared" si="19"/>
        <v>∞||"18 Customer","1 No.","=5 Source No.","5900 Service Zone Code","@@"</v>
      </c>
      <c r="I159" s="8" t="str">
        <f>"10.75"" Star Riser Basketball Trophy"</f>
        <v>10.75" Star Riser Basketball Trophy</v>
      </c>
      <c r="J159" s="8"/>
      <c r="K159" s="10">
        <v>336</v>
      </c>
      <c r="L159" s="11">
        <f t="shared" si="20"/>
        <v>12.25</v>
      </c>
      <c r="M159" s="9">
        <v>4116</v>
      </c>
      <c r="O159" s="10">
        <v>252</v>
      </c>
      <c r="P159" s="11">
        <f t="shared" si="21"/>
        <v>12.178571428571429</v>
      </c>
      <c r="Q159" s="9">
        <v>3069</v>
      </c>
    </row>
    <row r="160" spans="1:17" x14ac:dyDescent="0.25">
      <c r="A160" t="s">
        <v>58</v>
      </c>
      <c r="C160" s="7" t="str">
        <f t="shared" si="22"/>
        <v>@@</v>
      </c>
      <c r="D160" s="7" t="str">
        <f>"@@S200016"</f>
        <v>@@S200016</v>
      </c>
      <c r="E160" s="7" t="str">
        <f>"""NAV 2015"",""CRONUS JetCorp USA"",""27"",""1"",""S200016"""</f>
        <v>"NAV 2015","CRONUS JetCorp USA","27","1","S200016"</v>
      </c>
      <c r="F160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60" s="7" t="str">
        <f t="shared" si="19"/>
        <v>∞||"18 Customer","1 No.","=5 Source No.","5900 Service Zone Code","@@"</v>
      </c>
      <c r="I160" s="8" t="str">
        <f>"10.75"" Star Riser Volleyball Trophy"</f>
        <v>10.75" Star Riser Volleyball Trophy</v>
      </c>
      <c r="J160" s="8"/>
      <c r="K160" s="10">
        <v>143</v>
      </c>
      <c r="L160" s="11">
        <f t="shared" si="20"/>
        <v>12.124125874125873</v>
      </c>
      <c r="M160" s="9">
        <v>1733.75</v>
      </c>
      <c r="O160" s="10">
        <v>289</v>
      </c>
      <c r="P160" s="11">
        <f t="shared" si="21"/>
        <v>11.938581314878894</v>
      </c>
      <c r="Q160" s="9">
        <v>3450.2500000000005</v>
      </c>
    </row>
    <row r="161" spans="1:17" x14ac:dyDescent="0.25">
      <c r="A161" t="s">
        <v>58</v>
      </c>
      <c r="C161" s="7" t="str">
        <f t="shared" si="22"/>
        <v>@@</v>
      </c>
      <c r="D161" s="7" t="str">
        <f>"@@S200017"</f>
        <v>@@S200017</v>
      </c>
      <c r="E161" s="7" t="str">
        <f>"""NAV 2015"",""CRONUS JetCorp USA"",""27"",""1"",""S200017"""</f>
        <v>"NAV 2015","CRONUS JetCorp USA","27","1","S200017"</v>
      </c>
      <c r="F161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61" s="7" t="str">
        <f t="shared" si="19"/>
        <v>∞||"18 Customer","1 No.","=5 Source No.","5900 Service Zone Code","@@"</v>
      </c>
      <c r="I161" s="8" t="str">
        <f>"10.75"" Tourch Riser WrestlingTrophy"</f>
        <v>10.75" Tourch Riser WrestlingTrophy</v>
      </c>
      <c r="J161" s="8"/>
      <c r="K161" s="10">
        <v>144</v>
      </c>
      <c r="L161" s="11">
        <f t="shared" si="20"/>
        <v>12.125000000000002</v>
      </c>
      <c r="M161" s="9">
        <v>1746.0000000000002</v>
      </c>
      <c r="O161" s="10">
        <v>431</v>
      </c>
      <c r="P161" s="11">
        <f t="shared" si="21"/>
        <v>12.208236658932714</v>
      </c>
      <c r="Q161" s="9">
        <v>5261.75</v>
      </c>
    </row>
    <row r="162" spans="1:17" x14ac:dyDescent="0.25">
      <c r="A162" t="s">
        <v>58</v>
      </c>
      <c r="C162" s="7" t="str">
        <f t="shared" si="22"/>
        <v>@@</v>
      </c>
      <c r="D162" s="7" t="str">
        <f>"@@S200018"</f>
        <v>@@S200018</v>
      </c>
      <c r="E162" s="7" t="str">
        <f>"""NAV 2015"",""CRONUS JetCorp USA"",""27"",""1"",""S200018"""</f>
        <v>"NAV 2015","CRONUS JetCorp USA","27","1","S200018"</v>
      </c>
      <c r="F162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62" s="7" t="str">
        <f t="shared" si="19"/>
        <v>∞||"18 Customer","1 No.","=5 Source No.","5900 Service Zone Code","@@"</v>
      </c>
      <c r="I162" s="8" t="str">
        <f>"10.75"" Tourch Riser Lamp of Knowledge Trophy"</f>
        <v>10.75" Tourch Riser Lamp of Knowledge Trophy</v>
      </c>
      <c r="J162" s="8"/>
      <c r="K162" s="10">
        <v>145</v>
      </c>
      <c r="L162" s="11">
        <f t="shared" si="20"/>
        <v>12.25</v>
      </c>
      <c r="M162" s="9">
        <v>1776.25</v>
      </c>
      <c r="O162" s="10">
        <v>702</v>
      </c>
      <c r="P162" s="11">
        <f t="shared" si="21"/>
        <v>12.25</v>
      </c>
      <c r="Q162" s="9">
        <v>8599.5</v>
      </c>
    </row>
    <row r="163" spans="1:17" x14ac:dyDescent="0.25">
      <c r="A163" t="s">
        <v>58</v>
      </c>
      <c r="C163" s="7" t="str">
        <f t="shared" si="22"/>
        <v>@@</v>
      </c>
      <c r="D163" s="7" t="str">
        <f>"@@S200019"</f>
        <v>@@S200019</v>
      </c>
      <c r="E163" s="7" t="str">
        <f>"""NAV 2015"",""CRONUS JetCorp USA"",""27"",""1"",""S200019"""</f>
        <v>"NAV 2015","CRONUS JetCorp USA","27","1","S200019"</v>
      </c>
      <c r="F163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63" s="7" t="str">
        <f t="shared" si="19"/>
        <v>∞||"18 Customer","1 No.","=5 Source No.","5900 Service Zone Code","@@"</v>
      </c>
      <c r="I163" s="8" t="str">
        <f>"10.75"" Tourch Riser Apple Trophy"</f>
        <v>10.75" Tourch Riser Apple Trophy</v>
      </c>
      <c r="J163" s="8"/>
      <c r="K163" s="10">
        <v>7</v>
      </c>
      <c r="L163" s="11">
        <f t="shared" si="20"/>
        <v>14.7</v>
      </c>
      <c r="M163" s="9">
        <v>102.89999999999999</v>
      </c>
      <c r="O163" s="10">
        <v>361</v>
      </c>
      <c r="P163" s="11">
        <f t="shared" si="21"/>
        <v>14.520498614958449</v>
      </c>
      <c r="Q163" s="9">
        <v>5241.8999999999996</v>
      </c>
    </row>
    <row r="164" spans="1:17" x14ac:dyDescent="0.25">
      <c r="A164" t="s">
        <v>58</v>
      </c>
      <c r="C164" s="7" t="str">
        <f t="shared" si="22"/>
        <v>@@</v>
      </c>
      <c r="D164" s="7" t="str">
        <f>"@@S200020"</f>
        <v>@@S200020</v>
      </c>
      <c r="E164" s="7" t="str">
        <f>"""NAV 2015"",""CRONUS JetCorp USA"",""27"",""1"",""S200020"""</f>
        <v>"NAV 2015","CRONUS JetCorp USA","27","1","S200020"</v>
      </c>
      <c r="F164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64" s="7" t="str">
        <f t="shared" si="19"/>
        <v>∞||"18 Customer","1 No.","=5 Source No.","5900 Service Zone Code","@@"</v>
      </c>
      <c r="I164" s="8" t="str">
        <f>"10.75"" Tourch Riser Soccer Trophy"</f>
        <v>10.75" Tourch Riser Soccer Trophy</v>
      </c>
      <c r="J164" s="8"/>
      <c r="K164" s="10">
        <v>48</v>
      </c>
      <c r="L164" s="11">
        <f t="shared" si="20"/>
        <v>12.25</v>
      </c>
      <c r="M164" s="9">
        <v>588</v>
      </c>
      <c r="O164" s="10">
        <v>247</v>
      </c>
      <c r="P164" s="11">
        <f t="shared" si="21"/>
        <v>12.251012145748987</v>
      </c>
      <c r="Q164" s="9">
        <v>3026</v>
      </c>
    </row>
    <row r="165" spans="1:17" x14ac:dyDescent="0.25">
      <c r="A165" t="s">
        <v>58</v>
      </c>
      <c r="C165" s="7" t="str">
        <f t="shared" si="22"/>
        <v>@@</v>
      </c>
      <c r="D165" s="7" t="str">
        <f>"@@S200021"</f>
        <v>@@S200021</v>
      </c>
      <c r="E165" s="7" t="str">
        <f>"""NAV 2015"",""CRONUS JetCorp USA"",""27"",""1"",""S200021"""</f>
        <v>"NAV 2015","CRONUS JetCorp USA","27","1","S200021"</v>
      </c>
      <c r="F165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65" s="7" t="str">
        <f t="shared" si="19"/>
        <v>∞||"18 Customer","1 No.","=5 Source No.","5900 Service Zone Code","@@"</v>
      </c>
      <c r="I165" s="8" t="str">
        <f>"10.75"" Tourch Riser FootballTrophy"</f>
        <v>10.75" Tourch Riser FootballTrophy</v>
      </c>
      <c r="J165" s="8"/>
      <c r="K165" s="10">
        <v>0</v>
      </c>
      <c r="L165" s="11">
        <f t="shared" si="20"/>
        <v>0</v>
      </c>
      <c r="M165" s="9">
        <v>0</v>
      </c>
      <c r="O165" s="10">
        <v>432</v>
      </c>
      <c r="P165" s="11">
        <f t="shared" si="21"/>
        <v>12.25</v>
      </c>
      <c r="Q165" s="9">
        <v>5292</v>
      </c>
    </row>
    <row r="166" spans="1:17" x14ac:dyDescent="0.25">
      <c r="A166" t="s">
        <v>58</v>
      </c>
      <c r="C166" s="7" t="str">
        <f t="shared" si="22"/>
        <v>@@</v>
      </c>
      <c r="D166" s="7" t="str">
        <f>"@@S200022"</f>
        <v>@@S200022</v>
      </c>
      <c r="E166" s="7" t="str">
        <f>"""NAV 2015"",""CRONUS JetCorp USA"",""27"",""1"",""S200022"""</f>
        <v>"NAV 2015","CRONUS JetCorp USA","27","1","S200022"</v>
      </c>
      <c r="F166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66" s="7" t="str">
        <f t="shared" si="19"/>
        <v>∞||"18 Customer","1 No.","=5 Source No.","5900 Service Zone Code","@@"</v>
      </c>
      <c r="I166" s="8" t="str">
        <f>"10.75"" Tourch Riser Basketball Trophy"</f>
        <v>10.75" Tourch Riser Basketball Trophy</v>
      </c>
      <c r="J166" s="8"/>
      <c r="K166" s="10">
        <v>145</v>
      </c>
      <c r="L166" s="11">
        <f t="shared" si="20"/>
        <v>12.24655172413793</v>
      </c>
      <c r="M166" s="9">
        <v>1775.75</v>
      </c>
      <c r="O166" s="10">
        <v>288</v>
      </c>
      <c r="P166" s="11">
        <f t="shared" si="21"/>
        <v>12.25</v>
      </c>
      <c r="Q166" s="9">
        <v>3528</v>
      </c>
    </row>
    <row r="167" spans="1:17" x14ac:dyDescent="0.25">
      <c r="A167" t="s">
        <v>58</v>
      </c>
      <c r="C167" s="7" t="str">
        <f t="shared" si="22"/>
        <v>@@</v>
      </c>
      <c r="D167" s="7" t="str">
        <f>"@@S200023"</f>
        <v>@@S200023</v>
      </c>
      <c r="E167" s="7" t="str">
        <f>"""NAV 2015"",""CRONUS JetCorp USA"",""27"",""1"",""S200023"""</f>
        <v>"NAV 2015","CRONUS JetCorp USA","27","1","S200023"</v>
      </c>
      <c r="F167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67" s="7" t="str">
        <f t="shared" si="19"/>
        <v>∞||"18 Customer","1 No.","=5 Source No.","5900 Service Zone Code","@@"</v>
      </c>
      <c r="I167" s="8" t="str">
        <f>"10.75"" Tourch Riser Volleyball Trophy"</f>
        <v>10.75" Tourch Riser Volleyball Trophy</v>
      </c>
      <c r="J167" s="8"/>
      <c r="K167" s="10">
        <v>143</v>
      </c>
      <c r="L167" s="11">
        <f t="shared" si="20"/>
        <v>11.748251748251747</v>
      </c>
      <c r="M167" s="9">
        <v>1679.9999999999998</v>
      </c>
      <c r="O167" s="10">
        <v>456</v>
      </c>
      <c r="P167" s="11">
        <f t="shared" si="21"/>
        <v>12.092105263157896</v>
      </c>
      <c r="Q167" s="9">
        <v>5514</v>
      </c>
    </row>
    <row r="168" spans="1:17" x14ac:dyDescent="0.25">
      <c r="A168" t="s">
        <v>58</v>
      </c>
      <c r="C168" s="7" t="str">
        <f t="shared" si="22"/>
        <v>@@</v>
      </c>
      <c r="D168" s="7" t="str">
        <f>"@@S200024"</f>
        <v>@@S200024</v>
      </c>
      <c r="E168" s="7" t="str">
        <f>"""NAV 2015"",""CRONUS JetCorp USA"",""27"",""1"",""S200024"""</f>
        <v>"NAV 2015","CRONUS JetCorp USA","27","1","S200024"</v>
      </c>
      <c r="F168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68" s="7" t="str">
        <f t="shared" si="19"/>
        <v>∞||"18 Customer","1 No.","=5 Source No.","5900 Service Zone Code","@@"</v>
      </c>
      <c r="I168" s="8" t="str">
        <f>"10.75"" Tourch Riser Wrestling Trophy"</f>
        <v>10.75" Tourch Riser Wrestling Trophy</v>
      </c>
      <c r="J168" s="8"/>
      <c r="K168" s="10">
        <v>-1</v>
      </c>
      <c r="L168" s="11">
        <f t="shared" si="20"/>
        <v>12.25</v>
      </c>
      <c r="M168" s="9">
        <v>-12.25</v>
      </c>
      <c r="O168" s="10">
        <v>337</v>
      </c>
      <c r="P168" s="11">
        <f t="shared" si="21"/>
        <v>12.25</v>
      </c>
      <c r="Q168" s="9">
        <v>4128.25</v>
      </c>
    </row>
    <row r="169" spans="1:17" x14ac:dyDescent="0.25">
      <c r="A169" t="s">
        <v>58</v>
      </c>
      <c r="C169" s="7" t="str">
        <f t="shared" si="22"/>
        <v>@@</v>
      </c>
      <c r="D169" s="7" t="str">
        <f>"@@S200025"</f>
        <v>@@S200025</v>
      </c>
      <c r="E169" s="7" t="str">
        <f>"""NAV 2015"",""CRONUS JetCorp USA"",""27"",""1"",""S200025"""</f>
        <v>"NAV 2015","CRONUS JetCorp USA","27","1","S200025"</v>
      </c>
      <c r="F169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69" s="7" t="str">
        <f t="shared" si="19"/>
        <v>∞||"18 Customer","1 No.","=5 Source No.","5900 Service Zone Code","@@"</v>
      </c>
      <c r="I169" s="8" t="str">
        <f>"10.75"" Column Lamp of Knowledge Trophy"</f>
        <v>10.75" Column Lamp of Knowledge Trophy</v>
      </c>
      <c r="J169" s="8"/>
      <c r="K169" s="10">
        <v>42</v>
      </c>
      <c r="L169" s="11">
        <f t="shared" si="20"/>
        <v>9.8285714285714292</v>
      </c>
      <c r="M169" s="9">
        <v>412.8</v>
      </c>
      <c r="O169" s="10">
        <v>12</v>
      </c>
      <c r="P169" s="11">
        <f t="shared" si="21"/>
        <v>9.7999999999999989</v>
      </c>
      <c r="Q169" s="9">
        <v>117.6</v>
      </c>
    </row>
    <row r="170" spans="1:17" x14ac:dyDescent="0.25">
      <c r="A170" t="s">
        <v>58</v>
      </c>
      <c r="C170" s="7" t="str">
        <f t="shared" si="22"/>
        <v>@@</v>
      </c>
      <c r="D170" s="7" t="str">
        <f>"@@S200026"</f>
        <v>@@S200026</v>
      </c>
      <c r="E170" s="7" t="str">
        <f>"""NAV 2015"",""CRONUS JetCorp USA"",""27"",""1"",""S200026"""</f>
        <v>"NAV 2015","CRONUS JetCorp USA","27","1","S200026"</v>
      </c>
      <c r="F170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70" s="7" t="str">
        <f t="shared" si="19"/>
        <v>∞||"18 Customer","1 No.","=5 Source No.","5900 Service Zone Code","@@"</v>
      </c>
      <c r="I170" s="8" t="str">
        <f>"10.75"" Column Apple Trophy"</f>
        <v>10.75" Column Apple Trophy</v>
      </c>
      <c r="J170" s="8"/>
      <c r="K170" s="10">
        <v>288</v>
      </c>
      <c r="L170" s="11">
        <f t="shared" si="20"/>
        <v>14.700000000000001</v>
      </c>
      <c r="M170" s="9">
        <v>4233.6000000000004</v>
      </c>
      <c r="O170" s="10">
        <v>26</v>
      </c>
      <c r="P170" s="11">
        <f t="shared" si="21"/>
        <v>14.7</v>
      </c>
      <c r="Q170" s="9">
        <v>382.2</v>
      </c>
    </row>
    <row r="171" spans="1:17" x14ac:dyDescent="0.25">
      <c r="A171" t="s">
        <v>58</v>
      </c>
      <c r="C171" s="7" t="str">
        <f t="shared" si="22"/>
        <v>@@</v>
      </c>
      <c r="D171" s="7" t="str">
        <f>"@@S200028"</f>
        <v>@@S200028</v>
      </c>
      <c r="E171" s="7" t="str">
        <f>"""NAV 2015"",""CRONUS JetCorp USA"",""27"",""1"",""S200028"""</f>
        <v>"NAV 2015","CRONUS JetCorp USA","27","1","S200028"</v>
      </c>
      <c r="F171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71" s="7" t="str">
        <f t="shared" si="19"/>
        <v>∞||"18 Customer","1 No.","=5 Source No.","5900 Service Zone Code","@@"</v>
      </c>
      <c r="I171" s="8" t="str">
        <f>"10.75"" Column Football Trophy"</f>
        <v>10.75" Column Football Trophy</v>
      </c>
      <c r="J171" s="8"/>
      <c r="K171" s="10">
        <v>144</v>
      </c>
      <c r="L171" s="11">
        <f t="shared" si="20"/>
        <v>14.549999999999999</v>
      </c>
      <c r="M171" s="9">
        <v>2095.1999999999998</v>
      </c>
      <c r="O171" s="10">
        <v>25</v>
      </c>
      <c r="P171" s="11">
        <f t="shared" si="21"/>
        <v>14.7</v>
      </c>
      <c r="Q171" s="9">
        <v>367.5</v>
      </c>
    </row>
    <row r="172" spans="1:17" x14ac:dyDescent="0.25">
      <c r="A172" t="s">
        <v>58</v>
      </c>
      <c r="C172" s="7" t="str">
        <f t="shared" si="22"/>
        <v>@@</v>
      </c>
      <c r="D172" s="7" t="str">
        <f>"@@S200030"</f>
        <v>@@S200030</v>
      </c>
      <c r="E172" s="7" t="str">
        <f>"""NAV 2015"",""CRONUS JetCorp USA"",""27"",""1"",""S200030"""</f>
        <v>"NAV 2015","CRONUS JetCorp USA","27","1","S200030"</v>
      </c>
      <c r="F172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72" s="7" t="str">
        <f t="shared" si="19"/>
        <v>∞||"18 Customer","1 No.","=5 Source No.","5900 Service Zone Code","@@"</v>
      </c>
      <c r="I172" s="8" t="str">
        <f>"10.75"" Column Volleyball Trophy"</f>
        <v>10.75" Column Volleyball Trophy</v>
      </c>
      <c r="J172" s="8"/>
      <c r="K172" s="10">
        <v>24</v>
      </c>
      <c r="L172" s="11">
        <f t="shared" si="20"/>
        <v>14.700000000000001</v>
      </c>
      <c r="M172" s="9">
        <v>352.8</v>
      </c>
      <c r="O172" s="10">
        <v>103.00000000000001</v>
      </c>
      <c r="P172" s="11">
        <f t="shared" si="21"/>
        <v>14.699999999999998</v>
      </c>
      <c r="Q172" s="9">
        <v>1514.1</v>
      </c>
    </row>
    <row r="173" spans="1:17" x14ac:dyDescent="0.25">
      <c r="A173" t="s">
        <v>58</v>
      </c>
      <c r="C173" s="7" t="str">
        <f t="shared" si="22"/>
        <v>@@</v>
      </c>
      <c r="D173" s="7" t="str">
        <f>"@@S200031"</f>
        <v>@@S200031</v>
      </c>
      <c r="E173" s="7" t="str">
        <f>"""NAV 2015"",""CRONUS JetCorp USA"",""27"",""1"",""S200031"""</f>
        <v>"NAV 2015","CRONUS JetCorp USA","27","1","S200031"</v>
      </c>
      <c r="F173" s="7" t="str">
        <f t="shared" si="18"/>
        <v>∞||"5802 Value Entry","2 Item No.","=1 No.","3 Posting Date","12/01/18..01/05/19","2 Item No.","*","4 Item Ledger Entry Type","Sale","105 Entry Type","&lt;&gt;Revaluation","Link=","∞||""18 Customer"",""1 No."",""=5 Source No."",""5900 Service Zone Code"",""@@"""</v>
      </c>
      <c r="G173" s="7" t="str">
        <f t="shared" si="19"/>
        <v>∞||"18 Customer","1 No.","=5 Source No.","5900 Service Zone Code","@@"</v>
      </c>
      <c r="I173" s="8" t="str">
        <f>"10.75"" Column Wrestling Trophy"</f>
        <v>10.75" Column Wrestling Trophy</v>
      </c>
      <c r="J173" s="8"/>
      <c r="K173" s="10">
        <v>192</v>
      </c>
      <c r="L173" s="11">
        <f t="shared" si="20"/>
        <v>14.5875</v>
      </c>
      <c r="M173" s="9">
        <v>2800.8</v>
      </c>
      <c r="O173" s="10">
        <v>336</v>
      </c>
      <c r="P173" s="11">
        <f t="shared" si="21"/>
        <v>14.378571428571428</v>
      </c>
      <c r="Q173" s="9">
        <v>4831.2</v>
      </c>
    </row>
    <row r="175" spans="1:17" x14ac:dyDescent="0.25">
      <c r="H175" s="22" t="str">
        <f>"Subtotal for "&amp;H19</f>
        <v xml:space="preserve">Subtotal for </v>
      </c>
      <c r="I175" s="19"/>
      <c r="J175" s="19"/>
      <c r="K175" s="19"/>
      <c r="L175" s="19"/>
      <c r="M175" s="20">
        <f>SUBTOTAL(9,M20:M174)</f>
        <v>1846930.6800000009</v>
      </c>
      <c r="O175" s="19"/>
      <c r="P175" s="19"/>
      <c r="Q175" s="20">
        <f>SUBTOTAL(9,Q20:Q174)</f>
        <v>1870052.8499999994</v>
      </c>
    </row>
    <row r="177" spans="8:17" ht="16.5" thickBot="1" x14ac:dyDescent="0.3">
      <c r="H177" s="23" t="s">
        <v>19</v>
      </c>
      <c r="I177" s="18"/>
      <c r="J177" s="18"/>
      <c r="K177" s="18"/>
      <c r="L177" s="18"/>
      <c r="M177" s="21">
        <f>SUBTOTAL(9,M19:M176)</f>
        <v>1846930.6800000009</v>
      </c>
      <c r="O177" s="18"/>
      <c r="P177" s="18"/>
      <c r="Q177" s="21">
        <f>SUBTOTAL(9,Q19:Q176)</f>
        <v>1870052.8499999994</v>
      </c>
    </row>
    <row r="178" spans="8:17" ht="15.75" thickTop="1" x14ac:dyDescent="0.25"/>
  </sheetData>
  <mergeCells count="1">
    <mergeCell ref="H4:I4"/>
  </mergeCells>
  <pageMargins left="0.7" right="0.7" top="0.75" bottom="0.75" header="0.3" footer="0.3"/>
  <pageSetup scale="78" fitToHeight="0" orientation="landscape" horizontalDpi="300" verticalDpi="30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"/>
  <sheetViews>
    <sheetView workbookViewId="0"/>
  </sheetViews>
  <sheetFormatPr defaultRowHeight="15" x14ac:dyDescent="0.25"/>
  <sheetData>
    <row r="1" spans="1:6" x14ac:dyDescent="0.25">
      <c r="A1" s="24" t="s">
        <v>71</v>
      </c>
      <c r="B1" s="24" t="s">
        <v>0</v>
      </c>
      <c r="C1" s="24" t="s">
        <v>1</v>
      </c>
      <c r="D1" s="24" t="s">
        <v>2</v>
      </c>
      <c r="E1" s="24" t="s">
        <v>20</v>
      </c>
    </row>
    <row r="3" spans="1:6" x14ac:dyDescent="0.25">
      <c r="A3" s="24" t="s">
        <v>3</v>
      </c>
      <c r="B3" s="24" t="s">
        <v>4</v>
      </c>
      <c r="C3" s="24" t="s">
        <v>69</v>
      </c>
      <c r="E3" s="24" t="s">
        <v>21</v>
      </c>
      <c r="F3" s="24" t="s">
        <v>29</v>
      </c>
    </row>
    <row r="4" spans="1:6" x14ac:dyDescent="0.25">
      <c r="A4" s="24" t="s">
        <v>3</v>
      </c>
      <c r="B4" s="24" t="s">
        <v>5</v>
      </c>
      <c r="C4" s="24" t="s">
        <v>70</v>
      </c>
      <c r="E4" s="24" t="s">
        <v>21</v>
      </c>
    </row>
    <row r="5" spans="1:6" x14ac:dyDescent="0.25">
      <c r="A5" s="24" t="s">
        <v>3</v>
      </c>
      <c r="B5" s="24" t="s">
        <v>12</v>
      </c>
      <c r="C5" s="24" t="s">
        <v>32</v>
      </c>
      <c r="D5" s="24" t="s">
        <v>30</v>
      </c>
      <c r="E5" s="24" t="s">
        <v>22</v>
      </c>
      <c r="F5" s="24" t="s">
        <v>31</v>
      </c>
    </row>
    <row r="6" spans="1:6" x14ac:dyDescent="0.25">
      <c r="A6" s="24" t="s">
        <v>3</v>
      </c>
      <c r="B6" s="24" t="s">
        <v>13</v>
      </c>
      <c r="C6" s="24" t="s">
        <v>32</v>
      </c>
      <c r="D6" s="24" t="s"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"/>
  <sheetViews>
    <sheetView workbookViewId="0"/>
  </sheetViews>
  <sheetFormatPr defaultRowHeight="15" x14ac:dyDescent="0.25"/>
  <sheetData>
    <row r="1" spans="1:6" x14ac:dyDescent="0.25">
      <c r="A1" s="24" t="s">
        <v>71</v>
      </c>
      <c r="B1" s="24" t="s">
        <v>0</v>
      </c>
      <c r="C1" s="24" t="s">
        <v>1</v>
      </c>
      <c r="D1" s="24" t="s">
        <v>2</v>
      </c>
      <c r="E1" s="24" t="s">
        <v>20</v>
      </c>
    </row>
    <row r="3" spans="1:6" x14ac:dyDescent="0.25">
      <c r="A3" s="24" t="s">
        <v>3</v>
      </c>
      <c r="B3" s="24" t="s">
        <v>4</v>
      </c>
      <c r="C3" s="24" t="s">
        <v>69</v>
      </c>
      <c r="E3" s="24" t="s">
        <v>21</v>
      </c>
      <c r="F3" s="24" t="s">
        <v>29</v>
      </c>
    </row>
    <row r="4" spans="1:6" x14ac:dyDescent="0.25">
      <c r="A4" s="24" t="s">
        <v>3</v>
      </c>
      <c r="B4" s="24" t="s">
        <v>5</v>
      </c>
      <c r="C4" s="24" t="s">
        <v>70</v>
      </c>
      <c r="E4" s="24" t="s">
        <v>21</v>
      </c>
    </row>
    <row r="5" spans="1:6" x14ac:dyDescent="0.25">
      <c r="A5" s="24" t="s">
        <v>3</v>
      </c>
      <c r="B5" s="24" t="s">
        <v>12</v>
      </c>
      <c r="C5" s="24" t="s">
        <v>32</v>
      </c>
      <c r="D5" s="24" t="s">
        <v>30</v>
      </c>
      <c r="E5" s="24" t="s">
        <v>22</v>
      </c>
      <c r="F5" s="24" t="s">
        <v>31</v>
      </c>
    </row>
    <row r="6" spans="1:6" x14ac:dyDescent="0.25">
      <c r="A6" s="24" t="s">
        <v>3</v>
      </c>
      <c r="B6" s="24" t="s">
        <v>13</v>
      </c>
      <c r="C6" s="24" t="s">
        <v>32</v>
      </c>
      <c r="D6" s="24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4"/>
  <sheetViews>
    <sheetView workbookViewId="0"/>
  </sheetViews>
  <sheetFormatPr defaultRowHeight="15" x14ac:dyDescent="0.25"/>
  <sheetData>
    <row r="1" spans="1:13" x14ac:dyDescent="0.25">
      <c r="A1" s="24" t="s">
        <v>72</v>
      </c>
      <c r="C1" s="24" t="s">
        <v>6</v>
      </c>
      <c r="D1" s="24" t="s">
        <v>6</v>
      </c>
      <c r="E1" s="24" t="s">
        <v>6</v>
      </c>
      <c r="F1" s="24" t="s">
        <v>6</v>
      </c>
      <c r="G1" s="24" t="s">
        <v>6</v>
      </c>
      <c r="H1" s="24" t="s">
        <v>7</v>
      </c>
      <c r="K1" s="24" t="s">
        <v>7</v>
      </c>
      <c r="L1" s="24" t="s">
        <v>7</v>
      </c>
      <c r="M1" s="24" t="s">
        <v>7</v>
      </c>
    </row>
    <row r="4" spans="1:13" x14ac:dyDescent="0.25">
      <c r="H4" s="24" t="s">
        <v>18</v>
      </c>
    </row>
    <row r="5" spans="1:13" x14ac:dyDescent="0.25">
      <c r="H5" s="24" t="s">
        <v>34</v>
      </c>
    </row>
    <row r="6" spans="1:13" x14ac:dyDescent="0.25">
      <c r="H6" s="24" t="s">
        <v>35</v>
      </c>
    </row>
    <row r="9" spans="1:13" x14ac:dyDescent="0.25">
      <c r="A9" s="24" t="s">
        <v>6</v>
      </c>
      <c r="H9" s="24" t="s">
        <v>23</v>
      </c>
    </row>
    <row r="10" spans="1:13" x14ac:dyDescent="0.25">
      <c r="A10" s="24" t="s">
        <v>6</v>
      </c>
      <c r="H10" s="24" t="s">
        <v>24</v>
      </c>
      <c r="I10" s="24" t="s">
        <v>37</v>
      </c>
    </row>
    <row r="11" spans="1:13" x14ac:dyDescent="0.25">
      <c r="A11" s="24" t="s">
        <v>6</v>
      </c>
      <c r="H11" s="24" t="s">
        <v>25</v>
      </c>
      <c r="I11" s="24" t="s">
        <v>38</v>
      </c>
    </row>
    <row r="12" spans="1:13" x14ac:dyDescent="0.25">
      <c r="A12" s="24" t="s">
        <v>6</v>
      </c>
      <c r="H12" s="24" t="s">
        <v>26</v>
      </c>
      <c r="I12" s="24" t="s">
        <v>8</v>
      </c>
    </row>
    <row r="13" spans="1:13" x14ac:dyDescent="0.25">
      <c r="A13" s="24" t="s">
        <v>6</v>
      </c>
      <c r="H13" s="24" t="s">
        <v>27</v>
      </c>
      <c r="I13" s="24" t="s">
        <v>9</v>
      </c>
      <c r="K13" s="24" t="s">
        <v>39</v>
      </c>
    </row>
    <row r="14" spans="1:13" x14ac:dyDescent="0.25">
      <c r="A14" s="24" t="s">
        <v>6</v>
      </c>
      <c r="H14" s="24" t="s">
        <v>28</v>
      </c>
      <c r="I14" s="24" t="s">
        <v>65</v>
      </c>
      <c r="K14" s="24" t="s">
        <v>41</v>
      </c>
    </row>
    <row r="15" spans="1:13" x14ac:dyDescent="0.25">
      <c r="A15" s="24" t="s">
        <v>6</v>
      </c>
      <c r="H15" s="24" t="s">
        <v>68</v>
      </c>
      <c r="I15" s="24" t="s">
        <v>36</v>
      </c>
      <c r="K15" s="24" t="s">
        <v>42</v>
      </c>
    </row>
    <row r="17" spans="3:13" x14ac:dyDescent="0.25">
      <c r="H17" s="24" t="s">
        <v>10</v>
      </c>
      <c r="K17" s="24" t="s">
        <v>43</v>
      </c>
      <c r="L17" s="24" t="s">
        <v>14</v>
      </c>
    </row>
    <row r="18" spans="3:13" x14ac:dyDescent="0.25">
      <c r="I18" s="24" t="s">
        <v>11</v>
      </c>
      <c r="K18" s="24" t="s">
        <v>15</v>
      </c>
      <c r="L18" s="24" t="s">
        <v>16</v>
      </c>
      <c r="M18" s="24" t="s">
        <v>17</v>
      </c>
    </row>
    <row r="19" spans="3:13" x14ac:dyDescent="0.25">
      <c r="C19" s="24" t="s">
        <v>44</v>
      </c>
      <c r="E19" s="24" t="s">
        <v>66</v>
      </c>
      <c r="F19" s="24" t="s">
        <v>40</v>
      </c>
      <c r="H19" s="24" t="s">
        <v>45</v>
      </c>
    </row>
    <row r="20" spans="3:13" x14ac:dyDescent="0.25">
      <c r="C20" s="24" t="s">
        <v>46</v>
      </c>
      <c r="D20" s="24" t="s">
        <v>47</v>
      </c>
      <c r="E20" s="24" t="s">
        <v>67</v>
      </c>
      <c r="F20" s="24" t="s">
        <v>48</v>
      </c>
      <c r="G20" s="24" t="s">
        <v>49</v>
      </c>
      <c r="I20" s="24" t="s">
        <v>50</v>
      </c>
      <c r="K20" s="24" t="s">
        <v>51</v>
      </c>
      <c r="L20" s="24" t="s">
        <v>52</v>
      </c>
      <c r="M20" s="24" t="s">
        <v>53</v>
      </c>
    </row>
    <row r="22" spans="3:13" x14ac:dyDescent="0.25">
      <c r="H22" s="24" t="s">
        <v>54</v>
      </c>
      <c r="M22" s="24" t="s">
        <v>55</v>
      </c>
    </row>
    <row r="24" spans="3:13" x14ac:dyDescent="0.25">
      <c r="H24" s="24" t="s">
        <v>19</v>
      </c>
      <c r="M24" s="24" t="s">
        <v>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4"/>
  <sheetViews>
    <sheetView workbookViewId="0"/>
  </sheetViews>
  <sheetFormatPr defaultRowHeight="15" x14ac:dyDescent="0.25"/>
  <sheetData>
    <row r="1" spans="1:13" x14ac:dyDescent="0.25">
      <c r="A1" s="24" t="s">
        <v>72</v>
      </c>
      <c r="C1" s="24" t="s">
        <v>6</v>
      </c>
      <c r="D1" s="24" t="s">
        <v>6</v>
      </c>
      <c r="E1" s="24" t="s">
        <v>6</v>
      </c>
      <c r="F1" s="24" t="s">
        <v>6</v>
      </c>
      <c r="G1" s="24" t="s">
        <v>6</v>
      </c>
      <c r="H1" s="24" t="s">
        <v>7</v>
      </c>
      <c r="K1" s="24" t="s">
        <v>7</v>
      </c>
      <c r="L1" s="24" t="s">
        <v>7</v>
      </c>
      <c r="M1" s="24" t="s">
        <v>7</v>
      </c>
    </row>
    <row r="4" spans="1:13" x14ac:dyDescent="0.25">
      <c r="H4" s="24" t="s">
        <v>18</v>
      </c>
    </row>
    <row r="5" spans="1:13" x14ac:dyDescent="0.25">
      <c r="H5" s="24" t="s">
        <v>34</v>
      </c>
    </row>
    <row r="6" spans="1:13" x14ac:dyDescent="0.25">
      <c r="H6" s="24" t="s">
        <v>35</v>
      </c>
    </row>
    <row r="9" spans="1:13" x14ac:dyDescent="0.25">
      <c r="A9" s="24" t="s">
        <v>6</v>
      </c>
      <c r="H9" s="24" t="s">
        <v>23</v>
      </c>
    </row>
    <row r="10" spans="1:13" x14ac:dyDescent="0.25">
      <c r="A10" s="24" t="s">
        <v>6</v>
      </c>
      <c r="H10" s="24" t="s">
        <v>24</v>
      </c>
      <c r="I10" s="24" t="s">
        <v>37</v>
      </c>
    </row>
    <row r="11" spans="1:13" x14ac:dyDescent="0.25">
      <c r="A11" s="24" t="s">
        <v>6</v>
      </c>
      <c r="H11" s="24" t="s">
        <v>25</v>
      </c>
      <c r="I11" s="24" t="s">
        <v>38</v>
      </c>
    </row>
    <row r="12" spans="1:13" x14ac:dyDescent="0.25">
      <c r="A12" s="24" t="s">
        <v>6</v>
      </c>
      <c r="H12" s="24" t="s">
        <v>26</v>
      </c>
      <c r="I12" s="24" t="s">
        <v>8</v>
      </c>
    </row>
    <row r="13" spans="1:13" x14ac:dyDescent="0.25">
      <c r="A13" s="24" t="s">
        <v>6</v>
      </c>
      <c r="H13" s="24" t="s">
        <v>27</v>
      </c>
      <c r="I13" s="24" t="s">
        <v>9</v>
      </c>
      <c r="K13" s="24" t="s">
        <v>39</v>
      </c>
    </row>
    <row r="14" spans="1:13" x14ac:dyDescent="0.25">
      <c r="A14" s="24" t="s">
        <v>6</v>
      </c>
      <c r="H14" s="24" t="s">
        <v>28</v>
      </c>
      <c r="I14" s="24" t="s">
        <v>65</v>
      </c>
      <c r="K14" s="24" t="s">
        <v>41</v>
      </c>
    </row>
    <row r="15" spans="1:13" x14ac:dyDescent="0.25">
      <c r="A15" s="24" t="s">
        <v>6</v>
      </c>
      <c r="H15" s="24" t="s">
        <v>68</v>
      </c>
      <c r="I15" s="24" t="s">
        <v>36</v>
      </c>
      <c r="K15" s="24" t="s">
        <v>42</v>
      </c>
    </row>
    <row r="17" spans="3:13" x14ac:dyDescent="0.25">
      <c r="H17" s="24" t="s">
        <v>10</v>
      </c>
      <c r="K17" s="24" t="s">
        <v>43</v>
      </c>
      <c r="L17" s="24" t="s">
        <v>14</v>
      </c>
    </row>
    <row r="18" spans="3:13" x14ac:dyDescent="0.25">
      <c r="I18" s="24" t="s">
        <v>11</v>
      </c>
      <c r="K18" s="24" t="s">
        <v>15</v>
      </c>
      <c r="L18" s="24" t="s">
        <v>16</v>
      </c>
      <c r="M18" s="24" t="s">
        <v>17</v>
      </c>
    </row>
    <row r="19" spans="3:13" x14ac:dyDescent="0.25">
      <c r="C19" s="24" t="s">
        <v>44</v>
      </c>
      <c r="E19" s="24" t="s">
        <v>66</v>
      </c>
      <c r="F19" s="24" t="s">
        <v>40</v>
      </c>
      <c r="H19" s="24" t="s">
        <v>45</v>
      </c>
    </row>
    <row r="20" spans="3:13" x14ac:dyDescent="0.25">
      <c r="C20" s="24" t="s">
        <v>46</v>
      </c>
      <c r="D20" s="24" t="s">
        <v>47</v>
      </c>
      <c r="E20" s="24" t="s">
        <v>67</v>
      </c>
      <c r="F20" s="24" t="s">
        <v>48</v>
      </c>
      <c r="G20" s="24" t="s">
        <v>49</v>
      </c>
      <c r="I20" s="24" t="s">
        <v>50</v>
      </c>
      <c r="K20" s="24" t="s">
        <v>51</v>
      </c>
      <c r="L20" s="24" t="s">
        <v>52</v>
      </c>
      <c r="M20" s="24" t="s">
        <v>53</v>
      </c>
    </row>
    <row r="22" spans="3:13" x14ac:dyDescent="0.25">
      <c r="H22" s="24" t="s">
        <v>54</v>
      </c>
      <c r="M22" s="24" t="s">
        <v>55</v>
      </c>
    </row>
    <row r="24" spans="3:13" x14ac:dyDescent="0.25">
      <c r="H24" s="24" t="s">
        <v>19</v>
      </c>
      <c r="M24" s="24" t="s">
        <v>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1B099-3B77-466E-A7AE-21F3F4DDC0A7}">
  <dimension ref="A1:F6"/>
  <sheetViews>
    <sheetView workbookViewId="0"/>
  </sheetViews>
  <sheetFormatPr defaultRowHeight="15" x14ac:dyDescent="0.25"/>
  <sheetData>
    <row r="1" spans="1:6" x14ac:dyDescent="0.25">
      <c r="A1" s="24" t="s">
        <v>75</v>
      </c>
      <c r="B1" s="24" t="s">
        <v>0</v>
      </c>
      <c r="C1" s="24" t="s">
        <v>1</v>
      </c>
      <c r="D1" s="24" t="s">
        <v>2</v>
      </c>
      <c r="E1" s="24" t="s">
        <v>20</v>
      </c>
    </row>
    <row r="3" spans="1:6" x14ac:dyDescent="0.25">
      <c r="A3" s="24" t="s">
        <v>3</v>
      </c>
      <c r="B3" s="24" t="s">
        <v>4</v>
      </c>
      <c r="C3" s="24" t="s">
        <v>69</v>
      </c>
      <c r="E3" s="24" t="s">
        <v>21</v>
      </c>
      <c r="F3" s="24" t="s">
        <v>29</v>
      </c>
    </row>
    <row r="4" spans="1:6" x14ac:dyDescent="0.25">
      <c r="A4" s="24" t="s">
        <v>3</v>
      </c>
      <c r="B4" s="24" t="s">
        <v>5</v>
      </c>
      <c r="C4" s="24" t="s">
        <v>70</v>
      </c>
      <c r="E4" s="24" t="s">
        <v>21</v>
      </c>
    </row>
    <row r="5" spans="1:6" x14ac:dyDescent="0.25">
      <c r="A5" s="24" t="s">
        <v>3</v>
      </c>
      <c r="B5" s="24" t="s">
        <v>12</v>
      </c>
      <c r="C5" s="24" t="s">
        <v>32</v>
      </c>
      <c r="D5" s="24" t="s">
        <v>30</v>
      </c>
      <c r="E5" s="24" t="s">
        <v>22</v>
      </c>
      <c r="F5" s="24" t="s">
        <v>31</v>
      </c>
    </row>
    <row r="6" spans="1:6" x14ac:dyDescent="0.25">
      <c r="A6" s="24" t="s">
        <v>3</v>
      </c>
      <c r="B6" s="24" t="s">
        <v>13</v>
      </c>
      <c r="C6" s="24" t="s">
        <v>32</v>
      </c>
      <c r="D6" s="24" t="s">
        <v>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07930-05C4-4B6F-98E5-1CE9B99144B7}">
  <dimension ref="A1:R177"/>
  <sheetViews>
    <sheetView workbookViewId="0"/>
  </sheetViews>
  <sheetFormatPr defaultRowHeight="15" x14ac:dyDescent="0.25"/>
  <sheetData>
    <row r="1" spans="1:18" x14ac:dyDescent="0.25">
      <c r="A1" s="24" t="s">
        <v>1917</v>
      </c>
      <c r="C1" s="24" t="s">
        <v>6</v>
      </c>
      <c r="D1" s="24" t="s">
        <v>6</v>
      </c>
      <c r="E1" s="24" t="s">
        <v>6</v>
      </c>
      <c r="F1" s="24" t="s">
        <v>6</v>
      </c>
      <c r="G1" s="24" t="s">
        <v>6</v>
      </c>
      <c r="H1" s="24" t="s">
        <v>7</v>
      </c>
      <c r="K1" s="24" t="s">
        <v>7</v>
      </c>
      <c r="L1" s="24" t="s">
        <v>7</v>
      </c>
      <c r="M1" s="24" t="s">
        <v>7</v>
      </c>
      <c r="O1" s="24" t="s">
        <v>57</v>
      </c>
      <c r="P1" s="24" t="s">
        <v>57</v>
      </c>
      <c r="Q1" s="24" t="s">
        <v>57</v>
      </c>
      <c r="R1" s="24" t="s">
        <v>58</v>
      </c>
    </row>
    <row r="4" spans="1:18" x14ac:dyDescent="0.25">
      <c r="H4" s="24" t="s">
        <v>18</v>
      </c>
    </row>
    <row r="5" spans="1:18" x14ac:dyDescent="0.25">
      <c r="H5" s="24" t="s">
        <v>34</v>
      </c>
    </row>
    <row r="6" spans="1:18" x14ac:dyDescent="0.25">
      <c r="H6" s="24" t="s">
        <v>35</v>
      </c>
    </row>
    <row r="9" spans="1:18" x14ac:dyDescent="0.25">
      <c r="A9" s="24" t="s">
        <v>6</v>
      </c>
      <c r="H9" s="24" t="s">
        <v>23</v>
      </c>
    </row>
    <row r="10" spans="1:18" x14ac:dyDescent="0.25">
      <c r="A10" s="24" t="s">
        <v>6</v>
      </c>
      <c r="H10" s="24" t="s">
        <v>24</v>
      </c>
      <c r="I10" s="24" t="s">
        <v>37</v>
      </c>
    </row>
    <row r="11" spans="1:18" x14ac:dyDescent="0.25">
      <c r="A11" s="24" t="s">
        <v>6</v>
      </c>
      <c r="H11" s="24" t="s">
        <v>25</v>
      </c>
      <c r="I11" s="24" t="s">
        <v>38</v>
      </c>
    </row>
    <row r="12" spans="1:18" x14ac:dyDescent="0.25">
      <c r="A12" s="24" t="s">
        <v>6</v>
      </c>
      <c r="H12" s="24" t="s">
        <v>26</v>
      </c>
      <c r="I12" s="24" t="s">
        <v>8</v>
      </c>
    </row>
    <row r="13" spans="1:18" x14ac:dyDescent="0.25">
      <c r="A13" s="24" t="s">
        <v>6</v>
      </c>
      <c r="H13" s="24" t="s">
        <v>27</v>
      </c>
      <c r="I13" s="24" t="s">
        <v>9</v>
      </c>
      <c r="K13" s="24" t="s">
        <v>39</v>
      </c>
      <c r="O13" s="24" t="s">
        <v>73</v>
      </c>
    </row>
    <row r="14" spans="1:18" x14ac:dyDescent="0.25">
      <c r="A14" s="24" t="s">
        <v>6</v>
      </c>
      <c r="H14" s="24" t="s">
        <v>28</v>
      </c>
      <c r="I14" s="24" t="s">
        <v>65</v>
      </c>
      <c r="K14" s="24" t="s">
        <v>41</v>
      </c>
      <c r="O14" s="24" t="s">
        <v>59</v>
      </c>
    </row>
    <row r="15" spans="1:18" x14ac:dyDescent="0.25">
      <c r="A15" s="24" t="s">
        <v>6</v>
      </c>
      <c r="H15" s="24" t="s">
        <v>68</v>
      </c>
      <c r="I15" s="24" t="s">
        <v>36</v>
      </c>
      <c r="K15" s="24" t="s">
        <v>42</v>
      </c>
      <c r="O15" s="24" t="s">
        <v>60</v>
      </c>
    </row>
    <row r="17" spans="1:17" x14ac:dyDescent="0.25">
      <c r="H17" s="24" t="s">
        <v>10</v>
      </c>
      <c r="K17" s="24" t="s">
        <v>43</v>
      </c>
      <c r="L17" s="24" t="s">
        <v>14</v>
      </c>
      <c r="O17" s="24" t="s">
        <v>61</v>
      </c>
      <c r="P17" s="24" t="s">
        <v>14</v>
      </c>
    </row>
    <row r="18" spans="1:17" x14ac:dyDescent="0.25">
      <c r="I18" s="24" t="s">
        <v>11</v>
      </c>
      <c r="K18" s="24" t="s">
        <v>15</v>
      </c>
      <c r="L18" s="24" t="s">
        <v>16</v>
      </c>
      <c r="M18" s="24" t="s">
        <v>17</v>
      </c>
      <c r="O18" s="24" t="s">
        <v>15</v>
      </c>
      <c r="P18" s="24" t="s">
        <v>16</v>
      </c>
      <c r="Q18" s="24" t="s">
        <v>17</v>
      </c>
    </row>
    <row r="19" spans="1:17" x14ac:dyDescent="0.25">
      <c r="C19" s="24" t="s">
        <v>44</v>
      </c>
      <c r="E19" s="24" t="s">
        <v>66</v>
      </c>
      <c r="F19" s="24" t="s">
        <v>40</v>
      </c>
      <c r="H19" s="24" t="s">
        <v>45</v>
      </c>
    </row>
    <row r="20" spans="1:17" x14ac:dyDescent="0.25">
      <c r="C20" s="24" t="s">
        <v>46</v>
      </c>
      <c r="D20" s="24" t="s">
        <v>47</v>
      </c>
      <c r="E20" s="24" t="s">
        <v>67</v>
      </c>
      <c r="F20" s="24" t="s">
        <v>48</v>
      </c>
      <c r="G20" s="24" t="s">
        <v>49</v>
      </c>
      <c r="I20" s="24" t="s">
        <v>50</v>
      </c>
      <c r="K20" s="24" t="s">
        <v>51</v>
      </c>
      <c r="L20" s="24" t="s">
        <v>52</v>
      </c>
      <c r="M20" s="24" t="s">
        <v>53</v>
      </c>
      <c r="O20" s="24" t="s">
        <v>62</v>
      </c>
      <c r="P20" s="24" t="s">
        <v>63</v>
      </c>
      <c r="Q20" s="24" t="s">
        <v>64</v>
      </c>
    </row>
    <row r="21" spans="1:17" x14ac:dyDescent="0.25">
      <c r="A21" s="24" t="s">
        <v>58</v>
      </c>
      <c r="C21" s="24" t="s">
        <v>77</v>
      </c>
      <c r="D21" s="24" t="s">
        <v>78</v>
      </c>
      <c r="E21" s="24" t="s">
        <v>79</v>
      </c>
      <c r="F21" s="24" t="s">
        <v>80</v>
      </c>
      <c r="G21" s="24" t="s">
        <v>81</v>
      </c>
      <c r="I21" s="24" t="s">
        <v>1764</v>
      </c>
      <c r="K21" s="24" t="s">
        <v>82</v>
      </c>
      <c r="L21" s="24" t="s">
        <v>83</v>
      </c>
      <c r="M21" s="24" t="s">
        <v>84</v>
      </c>
      <c r="O21" s="24" t="s">
        <v>85</v>
      </c>
      <c r="P21" s="24" t="s">
        <v>86</v>
      </c>
      <c r="Q21" s="24" t="s">
        <v>87</v>
      </c>
    </row>
    <row r="22" spans="1:17" x14ac:dyDescent="0.25">
      <c r="A22" s="24" t="s">
        <v>58</v>
      </c>
      <c r="C22" s="24" t="s">
        <v>88</v>
      </c>
      <c r="D22" s="24" t="s">
        <v>89</v>
      </c>
      <c r="E22" s="24" t="s">
        <v>90</v>
      </c>
      <c r="F22" s="24" t="s">
        <v>91</v>
      </c>
      <c r="G22" s="24" t="s">
        <v>92</v>
      </c>
      <c r="I22" s="24" t="s">
        <v>1765</v>
      </c>
      <c r="K22" s="24" t="s">
        <v>93</v>
      </c>
      <c r="L22" s="24" t="s">
        <v>94</v>
      </c>
      <c r="M22" s="24" t="s">
        <v>95</v>
      </c>
      <c r="O22" s="24" t="s">
        <v>96</v>
      </c>
      <c r="P22" s="24" t="s">
        <v>97</v>
      </c>
      <c r="Q22" s="24" t="s">
        <v>98</v>
      </c>
    </row>
    <row r="23" spans="1:17" x14ac:dyDescent="0.25">
      <c r="A23" s="24" t="s">
        <v>58</v>
      </c>
      <c r="C23" s="24" t="s">
        <v>99</v>
      </c>
      <c r="D23" s="24" t="s">
        <v>100</v>
      </c>
      <c r="E23" s="24" t="s">
        <v>101</v>
      </c>
      <c r="F23" s="24" t="s">
        <v>102</v>
      </c>
      <c r="G23" s="24" t="s">
        <v>103</v>
      </c>
      <c r="I23" s="24" t="s">
        <v>1766</v>
      </c>
      <c r="K23" s="24" t="s">
        <v>104</v>
      </c>
      <c r="L23" s="24" t="s">
        <v>105</v>
      </c>
      <c r="M23" s="24" t="s">
        <v>106</v>
      </c>
      <c r="O23" s="24" t="s">
        <v>107</v>
      </c>
      <c r="P23" s="24" t="s">
        <v>108</v>
      </c>
      <c r="Q23" s="24" t="s">
        <v>109</v>
      </c>
    </row>
    <row r="24" spans="1:17" x14ac:dyDescent="0.25">
      <c r="A24" s="24" t="s">
        <v>58</v>
      </c>
      <c r="C24" s="24" t="s">
        <v>110</v>
      </c>
      <c r="D24" s="24" t="s">
        <v>111</v>
      </c>
      <c r="E24" s="24" t="s">
        <v>112</v>
      </c>
      <c r="F24" s="24" t="s">
        <v>113</v>
      </c>
      <c r="G24" s="24" t="s">
        <v>114</v>
      </c>
      <c r="I24" s="24" t="s">
        <v>1767</v>
      </c>
      <c r="K24" s="24" t="s">
        <v>115</v>
      </c>
      <c r="L24" s="24" t="s">
        <v>116</v>
      </c>
      <c r="M24" s="24" t="s">
        <v>117</v>
      </c>
      <c r="O24" s="24" t="s">
        <v>118</v>
      </c>
      <c r="P24" s="24" t="s">
        <v>119</v>
      </c>
      <c r="Q24" s="24" t="s">
        <v>120</v>
      </c>
    </row>
    <row r="25" spans="1:17" x14ac:dyDescent="0.25">
      <c r="A25" s="24" t="s">
        <v>58</v>
      </c>
      <c r="C25" s="24" t="s">
        <v>121</v>
      </c>
      <c r="D25" s="24" t="s">
        <v>122</v>
      </c>
      <c r="E25" s="24" t="s">
        <v>123</v>
      </c>
      <c r="F25" s="24" t="s">
        <v>124</v>
      </c>
      <c r="G25" s="24" t="s">
        <v>125</v>
      </c>
      <c r="I25" s="24" t="s">
        <v>1768</v>
      </c>
      <c r="K25" s="24" t="s">
        <v>126</v>
      </c>
      <c r="L25" s="24" t="s">
        <v>127</v>
      </c>
      <c r="M25" s="24" t="s">
        <v>128</v>
      </c>
      <c r="O25" s="24" t="s">
        <v>129</v>
      </c>
      <c r="P25" s="24" t="s">
        <v>130</v>
      </c>
      <c r="Q25" s="24" t="s">
        <v>131</v>
      </c>
    </row>
    <row r="26" spans="1:17" x14ac:dyDescent="0.25">
      <c r="A26" s="24" t="s">
        <v>58</v>
      </c>
      <c r="C26" s="24" t="s">
        <v>132</v>
      </c>
      <c r="D26" s="24" t="s">
        <v>133</v>
      </c>
      <c r="E26" s="24" t="s">
        <v>134</v>
      </c>
      <c r="F26" s="24" t="s">
        <v>135</v>
      </c>
      <c r="G26" s="24" t="s">
        <v>136</v>
      </c>
      <c r="I26" s="24" t="s">
        <v>1769</v>
      </c>
      <c r="K26" s="24" t="s">
        <v>137</v>
      </c>
      <c r="L26" s="24" t="s">
        <v>138</v>
      </c>
      <c r="M26" s="24" t="s">
        <v>139</v>
      </c>
      <c r="O26" s="24" t="s">
        <v>140</v>
      </c>
      <c r="P26" s="24" t="s">
        <v>141</v>
      </c>
      <c r="Q26" s="24" t="s">
        <v>142</v>
      </c>
    </row>
    <row r="27" spans="1:17" x14ac:dyDescent="0.25">
      <c r="A27" s="24" t="s">
        <v>58</v>
      </c>
      <c r="C27" s="24" t="s">
        <v>143</v>
      </c>
      <c r="D27" s="24" t="s">
        <v>144</v>
      </c>
      <c r="E27" s="24" t="s">
        <v>145</v>
      </c>
      <c r="F27" s="24" t="s">
        <v>146</v>
      </c>
      <c r="G27" s="24" t="s">
        <v>147</v>
      </c>
      <c r="I27" s="24" t="s">
        <v>1770</v>
      </c>
      <c r="K27" s="24" t="s">
        <v>148</v>
      </c>
      <c r="L27" s="24" t="s">
        <v>149</v>
      </c>
      <c r="M27" s="24" t="s">
        <v>150</v>
      </c>
      <c r="O27" s="24" t="s">
        <v>151</v>
      </c>
      <c r="P27" s="24" t="s">
        <v>152</v>
      </c>
      <c r="Q27" s="24" t="s">
        <v>153</v>
      </c>
    </row>
    <row r="28" spans="1:17" x14ac:dyDescent="0.25">
      <c r="A28" s="24" t="s">
        <v>58</v>
      </c>
      <c r="C28" s="24" t="s">
        <v>154</v>
      </c>
      <c r="D28" s="24" t="s">
        <v>155</v>
      </c>
      <c r="E28" s="24" t="s">
        <v>156</v>
      </c>
      <c r="F28" s="24" t="s">
        <v>157</v>
      </c>
      <c r="G28" s="24" t="s">
        <v>158</v>
      </c>
      <c r="I28" s="24" t="s">
        <v>1771</v>
      </c>
      <c r="K28" s="24" t="s">
        <v>159</v>
      </c>
      <c r="L28" s="24" t="s">
        <v>160</v>
      </c>
      <c r="M28" s="24" t="s">
        <v>161</v>
      </c>
      <c r="O28" s="24" t="s">
        <v>162</v>
      </c>
      <c r="P28" s="24" t="s">
        <v>163</v>
      </c>
      <c r="Q28" s="24" t="s">
        <v>164</v>
      </c>
    </row>
    <row r="29" spans="1:17" x14ac:dyDescent="0.25">
      <c r="A29" s="24" t="s">
        <v>58</v>
      </c>
      <c r="C29" s="24" t="s">
        <v>165</v>
      </c>
      <c r="D29" s="24" t="s">
        <v>166</v>
      </c>
      <c r="E29" s="24" t="s">
        <v>167</v>
      </c>
      <c r="F29" s="24" t="s">
        <v>168</v>
      </c>
      <c r="G29" s="24" t="s">
        <v>169</v>
      </c>
      <c r="I29" s="24" t="s">
        <v>1772</v>
      </c>
      <c r="K29" s="24" t="s">
        <v>170</v>
      </c>
      <c r="L29" s="24" t="s">
        <v>171</v>
      </c>
      <c r="M29" s="24" t="s">
        <v>172</v>
      </c>
      <c r="O29" s="24" t="s">
        <v>173</v>
      </c>
      <c r="P29" s="24" t="s">
        <v>174</v>
      </c>
      <c r="Q29" s="24" t="s">
        <v>175</v>
      </c>
    </row>
    <row r="30" spans="1:17" x14ac:dyDescent="0.25">
      <c r="A30" s="24" t="s">
        <v>58</v>
      </c>
      <c r="C30" s="24" t="s">
        <v>176</v>
      </c>
      <c r="D30" s="24" t="s">
        <v>177</v>
      </c>
      <c r="E30" s="24" t="s">
        <v>178</v>
      </c>
      <c r="F30" s="24" t="s">
        <v>179</v>
      </c>
      <c r="G30" s="24" t="s">
        <v>180</v>
      </c>
      <c r="I30" s="24" t="s">
        <v>1773</v>
      </c>
      <c r="K30" s="24" t="s">
        <v>181</v>
      </c>
      <c r="L30" s="24" t="s">
        <v>182</v>
      </c>
      <c r="M30" s="24" t="s">
        <v>183</v>
      </c>
      <c r="O30" s="24" t="s">
        <v>184</v>
      </c>
      <c r="P30" s="24" t="s">
        <v>185</v>
      </c>
      <c r="Q30" s="24" t="s">
        <v>186</v>
      </c>
    </row>
    <row r="31" spans="1:17" x14ac:dyDescent="0.25">
      <c r="A31" s="24" t="s">
        <v>58</v>
      </c>
      <c r="C31" s="24" t="s">
        <v>187</v>
      </c>
      <c r="D31" s="24" t="s">
        <v>188</v>
      </c>
      <c r="E31" s="24" t="s">
        <v>189</v>
      </c>
      <c r="F31" s="24" t="s">
        <v>190</v>
      </c>
      <c r="G31" s="24" t="s">
        <v>191</v>
      </c>
      <c r="I31" s="24" t="s">
        <v>1774</v>
      </c>
      <c r="K31" s="24" t="s">
        <v>192</v>
      </c>
      <c r="L31" s="24" t="s">
        <v>193</v>
      </c>
      <c r="M31" s="24" t="s">
        <v>194</v>
      </c>
      <c r="O31" s="24" t="s">
        <v>195</v>
      </c>
      <c r="P31" s="24" t="s">
        <v>196</v>
      </c>
      <c r="Q31" s="24" t="s">
        <v>197</v>
      </c>
    </row>
    <row r="32" spans="1:17" x14ac:dyDescent="0.25">
      <c r="A32" s="24" t="s">
        <v>58</v>
      </c>
      <c r="C32" s="24" t="s">
        <v>198</v>
      </c>
      <c r="D32" s="24" t="s">
        <v>199</v>
      </c>
      <c r="E32" s="24" t="s">
        <v>200</v>
      </c>
      <c r="F32" s="24" t="s">
        <v>201</v>
      </c>
      <c r="G32" s="24" t="s">
        <v>202</v>
      </c>
      <c r="I32" s="24" t="s">
        <v>1775</v>
      </c>
      <c r="K32" s="24" t="s">
        <v>203</v>
      </c>
      <c r="L32" s="24" t="s">
        <v>204</v>
      </c>
      <c r="M32" s="24" t="s">
        <v>205</v>
      </c>
      <c r="O32" s="24" t="s">
        <v>206</v>
      </c>
      <c r="P32" s="24" t="s">
        <v>207</v>
      </c>
      <c r="Q32" s="24" t="s">
        <v>208</v>
      </c>
    </row>
    <row r="33" spans="1:17" x14ac:dyDescent="0.25">
      <c r="A33" s="24" t="s">
        <v>58</v>
      </c>
      <c r="C33" s="24" t="s">
        <v>209</v>
      </c>
      <c r="D33" s="24" t="s">
        <v>210</v>
      </c>
      <c r="E33" s="24" t="s">
        <v>211</v>
      </c>
      <c r="F33" s="24" t="s">
        <v>212</v>
      </c>
      <c r="G33" s="24" t="s">
        <v>213</v>
      </c>
      <c r="I33" s="24" t="s">
        <v>1776</v>
      </c>
      <c r="K33" s="24" t="s">
        <v>214</v>
      </c>
      <c r="L33" s="24" t="s">
        <v>215</v>
      </c>
      <c r="M33" s="24" t="s">
        <v>216</v>
      </c>
      <c r="O33" s="24" t="s">
        <v>217</v>
      </c>
      <c r="P33" s="24" t="s">
        <v>218</v>
      </c>
      <c r="Q33" s="24" t="s">
        <v>219</v>
      </c>
    </row>
    <row r="34" spans="1:17" x14ac:dyDescent="0.25">
      <c r="A34" s="24" t="s">
        <v>58</v>
      </c>
      <c r="C34" s="24" t="s">
        <v>220</v>
      </c>
      <c r="D34" s="24" t="s">
        <v>221</v>
      </c>
      <c r="E34" s="24" t="s">
        <v>222</v>
      </c>
      <c r="F34" s="24" t="s">
        <v>223</v>
      </c>
      <c r="G34" s="24" t="s">
        <v>224</v>
      </c>
      <c r="I34" s="24" t="s">
        <v>1777</v>
      </c>
      <c r="K34" s="24" t="s">
        <v>225</v>
      </c>
      <c r="L34" s="24" t="s">
        <v>226</v>
      </c>
      <c r="M34" s="24" t="s">
        <v>227</v>
      </c>
      <c r="O34" s="24" t="s">
        <v>228</v>
      </c>
      <c r="P34" s="24" t="s">
        <v>229</v>
      </c>
      <c r="Q34" s="24" t="s">
        <v>230</v>
      </c>
    </row>
    <row r="35" spans="1:17" x14ac:dyDescent="0.25">
      <c r="A35" s="24" t="s">
        <v>58</v>
      </c>
      <c r="C35" s="24" t="s">
        <v>231</v>
      </c>
      <c r="D35" s="24" t="s">
        <v>232</v>
      </c>
      <c r="E35" s="24" t="s">
        <v>233</v>
      </c>
      <c r="F35" s="24" t="s">
        <v>234</v>
      </c>
      <c r="G35" s="24" t="s">
        <v>235</v>
      </c>
      <c r="I35" s="24" t="s">
        <v>1778</v>
      </c>
      <c r="K35" s="24" t="s">
        <v>236</v>
      </c>
      <c r="L35" s="24" t="s">
        <v>237</v>
      </c>
      <c r="M35" s="24" t="s">
        <v>238</v>
      </c>
      <c r="O35" s="24" t="s">
        <v>239</v>
      </c>
      <c r="P35" s="24" t="s">
        <v>240</v>
      </c>
      <c r="Q35" s="24" t="s">
        <v>241</v>
      </c>
    </row>
    <row r="36" spans="1:17" x14ac:dyDescent="0.25">
      <c r="A36" s="24" t="s">
        <v>58</v>
      </c>
      <c r="C36" s="24" t="s">
        <v>242</v>
      </c>
      <c r="D36" s="24" t="s">
        <v>243</v>
      </c>
      <c r="E36" s="24" t="s">
        <v>244</v>
      </c>
      <c r="F36" s="24" t="s">
        <v>245</v>
      </c>
      <c r="G36" s="24" t="s">
        <v>246</v>
      </c>
      <c r="I36" s="24" t="s">
        <v>1779</v>
      </c>
      <c r="K36" s="24" t="s">
        <v>247</v>
      </c>
      <c r="L36" s="24" t="s">
        <v>248</v>
      </c>
      <c r="M36" s="24" t="s">
        <v>249</v>
      </c>
      <c r="O36" s="24" t="s">
        <v>250</v>
      </c>
      <c r="P36" s="24" t="s">
        <v>251</v>
      </c>
      <c r="Q36" s="24" t="s">
        <v>252</v>
      </c>
    </row>
    <row r="37" spans="1:17" x14ac:dyDescent="0.25">
      <c r="A37" s="24" t="s">
        <v>58</v>
      </c>
      <c r="C37" s="24" t="s">
        <v>253</v>
      </c>
      <c r="D37" s="24" t="s">
        <v>254</v>
      </c>
      <c r="E37" s="24" t="s">
        <v>255</v>
      </c>
      <c r="F37" s="24" t="s">
        <v>256</v>
      </c>
      <c r="G37" s="24" t="s">
        <v>257</v>
      </c>
      <c r="I37" s="24" t="s">
        <v>1780</v>
      </c>
      <c r="K37" s="24" t="s">
        <v>258</v>
      </c>
      <c r="L37" s="24" t="s">
        <v>259</v>
      </c>
      <c r="M37" s="24" t="s">
        <v>260</v>
      </c>
      <c r="O37" s="24" t="s">
        <v>261</v>
      </c>
      <c r="P37" s="24" t="s">
        <v>262</v>
      </c>
      <c r="Q37" s="24" t="s">
        <v>263</v>
      </c>
    </row>
    <row r="38" spans="1:17" x14ac:dyDescent="0.25">
      <c r="A38" s="24" t="s">
        <v>58</v>
      </c>
      <c r="C38" s="24" t="s">
        <v>264</v>
      </c>
      <c r="D38" s="24" t="s">
        <v>265</v>
      </c>
      <c r="E38" s="24" t="s">
        <v>266</v>
      </c>
      <c r="F38" s="24" t="s">
        <v>267</v>
      </c>
      <c r="G38" s="24" t="s">
        <v>268</v>
      </c>
      <c r="I38" s="24" t="s">
        <v>1781</v>
      </c>
      <c r="K38" s="24" t="s">
        <v>269</v>
      </c>
      <c r="L38" s="24" t="s">
        <v>270</v>
      </c>
      <c r="M38" s="24" t="s">
        <v>271</v>
      </c>
      <c r="O38" s="24" t="s">
        <v>272</v>
      </c>
      <c r="P38" s="24" t="s">
        <v>273</v>
      </c>
      <c r="Q38" s="24" t="s">
        <v>274</v>
      </c>
    </row>
    <row r="39" spans="1:17" x14ac:dyDescent="0.25">
      <c r="A39" s="24" t="s">
        <v>58</v>
      </c>
      <c r="C39" s="24" t="s">
        <v>275</v>
      </c>
      <c r="D39" s="24" t="s">
        <v>276</v>
      </c>
      <c r="E39" s="24" t="s">
        <v>277</v>
      </c>
      <c r="F39" s="24" t="s">
        <v>278</v>
      </c>
      <c r="G39" s="24" t="s">
        <v>279</v>
      </c>
      <c r="I39" s="24" t="s">
        <v>1782</v>
      </c>
      <c r="K39" s="24" t="s">
        <v>280</v>
      </c>
      <c r="L39" s="24" t="s">
        <v>281</v>
      </c>
      <c r="M39" s="24" t="s">
        <v>282</v>
      </c>
      <c r="O39" s="24" t="s">
        <v>283</v>
      </c>
      <c r="P39" s="24" t="s">
        <v>284</v>
      </c>
      <c r="Q39" s="24" t="s">
        <v>285</v>
      </c>
    </row>
    <row r="40" spans="1:17" x14ac:dyDescent="0.25">
      <c r="A40" s="24" t="s">
        <v>58</v>
      </c>
      <c r="C40" s="24" t="s">
        <v>286</v>
      </c>
      <c r="D40" s="24" t="s">
        <v>287</v>
      </c>
      <c r="E40" s="24" t="s">
        <v>288</v>
      </c>
      <c r="F40" s="24" t="s">
        <v>289</v>
      </c>
      <c r="G40" s="24" t="s">
        <v>290</v>
      </c>
      <c r="I40" s="24" t="s">
        <v>1783</v>
      </c>
      <c r="K40" s="24" t="s">
        <v>291</v>
      </c>
      <c r="L40" s="24" t="s">
        <v>292</v>
      </c>
      <c r="M40" s="24" t="s">
        <v>293</v>
      </c>
      <c r="O40" s="24" t="s">
        <v>294</v>
      </c>
      <c r="P40" s="24" t="s">
        <v>295</v>
      </c>
      <c r="Q40" s="24" t="s">
        <v>296</v>
      </c>
    </row>
    <row r="41" spans="1:17" x14ac:dyDescent="0.25">
      <c r="A41" s="24" t="s">
        <v>58</v>
      </c>
      <c r="C41" s="24" t="s">
        <v>297</v>
      </c>
      <c r="D41" s="24" t="s">
        <v>298</v>
      </c>
      <c r="E41" s="24" t="s">
        <v>299</v>
      </c>
      <c r="F41" s="24" t="s">
        <v>300</v>
      </c>
      <c r="G41" s="24" t="s">
        <v>301</v>
      </c>
      <c r="I41" s="24" t="s">
        <v>1784</v>
      </c>
      <c r="K41" s="24" t="s">
        <v>302</v>
      </c>
      <c r="L41" s="24" t="s">
        <v>303</v>
      </c>
      <c r="M41" s="24" t="s">
        <v>304</v>
      </c>
      <c r="O41" s="24" t="s">
        <v>305</v>
      </c>
      <c r="P41" s="24" t="s">
        <v>306</v>
      </c>
      <c r="Q41" s="24" t="s">
        <v>307</v>
      </c>
    </row>
    <row r="42" spans="1:17" x14ac:dyDescent="0.25">
      <c r="A42" s="24" t="s">
        <v>58</v>
      </c>
      <c r="C42" s="24" t="s">
        <v>308</v>
      </c>
      <c r="D42" s="24" t="s">
        <v>309</v>
      </c>
      <c r="E42" s="24" t="s">
        <v>310</v>
      </c>
      <c r="F42" s="24" t="s">
        <v>311</v>
      </c>
      <c r="G42" s="24" t="s">
        <v>312</v>
      </c>
      <c r="I42" s="24" t="s">
        <v>1785</v>
      </c>
      <c r="K42" s="24" t="s">
        <v>313</v>
      </c>
      <c r="L42" s="24" t="s">
        <v>314</v>
      </c>
      <c r="M42" s="24" t="s">
        <v>315</v>
      </c>
      <c r="O42" s="24" t="s">
        <v>316</v>
      </c>
      <c r="P42" s="24" t="s">
        <v>317</v>
      </c>
      <c r="Q42" s="24" t="s">
        <v>318</v>
      </c>
    </row>
    <row r="43" spans="1:17" x14ac:dyDescent="0.25">
      <c r="A43" s="24" t="s">
        <v>58</v>
      </c>
      <c r="C43" s="24" t="s">
        <v>319</v>
      </c>
      <c r="D43" s="24" t="s">
        <v>320</v>
      </c>
      <c r="E43" s="24" t="s">
        <v>321</v>
      </c>
      <c r="F43" s="24" t="s">
        <v>322</v>
      </c>
      <c r="G43" s="24" t="s">
        <v>323</v>
      </c>
      <c r="I43" s="24" t="s">
        <v>1786</v>
      </c>
      <c r="K43" s="24" t="s">
        <v>324</v>
      </c>
      <c r="L43" s="24" t="s">
        <v>325</v>
      </c>
      <c r="M43" s="24" t="s">
        <v>326</v>
      </c>
      <c r="O43" s="24" t="s">
        <v>327</v>
      </c>
      <c r="P43" s="24" t="s">
        <v>328</v>
      </c>
      <c r="Q43" s="24" t="s">
        <v>329</v>
      </c>
    </row>
    <row r="44" spans="1:17" x14ac:dyDescent="0.25">
      <c r="A44" s="24" t="s">
        <v>58</v>
      </c>
      <c r="C44" s="24" t="s">
        <v>330</v>
      </c>
      <c r="D44" s="24" t="s">
        <v>331</v>
      </c>
      <c r="E44" s="24" t="s">
        <v>332</v>
      </c>
      <c r="F44" s="24" t="s">
        <v>333</v>
      </c>
      <c r="G44" s="24" t="s">
        <v>334</v>
      </c>
      <c r="I44" s="24" t="s">
        <v>1787</v>
      </c>
      <c r="K44" s="24" t="s">
        <v>335</v>
      </c>
      <c r="L44" s="24" t="s">
        <v>336</v>
      </c>
      <c r="M44" s="24" t="s">
        <v>337</v>
      </c>
      <c r="O44" s="24" t="s">
        <v>338</v>
      </c>
      <c r="P44" s="24" t="s">
        <v>339</v>
      </c>
      <c r="Q44" s="24" t="s">
        <v>340</v>
      </c>
    </row>
    <row r="45" spans="1:17" x14ac:dyDescent="0.25">
      <c r="A45" s="24" t="s">
        <v>58</v>
      </c>
      <c r="C45" s="24" t="s">
        <v>341</v>
      </c>
      <c r="D45" s="24" t="s">
        <v>342</v>
      </c>
      <c r="E45" s="24" t="s">
        <v>343</v>
      </c>
      <c r="F45" s="24" t="s">
        <v>344</v>
      </c>
      <c r="G45" s="24" t="s">
        <v>345</v>
      </c>
      <c r="I45" s="24" t="s">
        <v>1788</v>
      </c>
      <c r="K45" s="24" t="s">
        <v>346</v>
      </c>
      <c r="L45" s="24" t="s">
        <v>347</v>
      </c>
      <c r="M45" s="24" t="s">
        <v>348</v>
      </c>
      <c r="O45" s="24" t="s">
        <v>349</v>
      </c>
      <c r="P45" s="24" t="s">
        <v>350</v>
      </c>
      <c r="Q45" s="24" t="s">
        <v>351</v>
      </c>
    </row>
    <row r="46" spans="1:17" x14ac:dyDescent="0.25">
      <c r="A46" s="24" t="s">
        <v>58</v>
      </c>
      <c r="C46" s="24" t="s">
        <v>352</v>
      </c>
      <c r="D46" s="24" t="s">
        <v>353</v>
      </c>
      <c r="E46" s="24" t="s">
        <v>354</v>
      </c>
      <c r="F46" s="24" t="s">
        <v>355</v>
      </c>
      <c r="G46" s="24" t="s">
        <v>356</v>
      </c>
      <c r="I46" s="24" t="s">
        <v>1789</v>
      </c>
      <c r="K46" s="24" t="s">
        <v>357</v>
      </c>
      <c r="L46" s="24" t="s">
        <v>358</v>
      </c>
      <c r="M46" s="24" t="s">
        <v>359</v>
      </c>
      <c r="O46" s="24" t="s">
        <v>360</v>
      </c>
      <c r="P46" s="24" t="s">
        <v>361</v>
      </c>
      <c r="Q46" s="24" t="s">
        <v>362</v>
      </c>
    </row>
    <row r="47" spans="1:17" x14ac:dyDescent="0.25">
      <c r="A47" s="24" t="s">
        <v>58</v>
      </c>
      <c r="C47" s="24" t="s">
        <v>363</v>
      </c>
      <c r="D47" s="24" t="s">
        <v>364</v>
      </c>
      <c r="E47" s="24" t="s">
        <v>365</v>
      </c>
      <c r="F47" s="24" t="s">
        <v>366</v>
      </c>
      <c r="G47" s="24" t="s">
        <v>367</v>
      </c>
      <c r="I47" s="24" t="s">
        <v>1790</v>
      </c>
      <c r="K47" s="24" t="s">
        <v>368</v>
      </c>
      <c r="L47" s="24" t="s">
        <v>369</v>
      </c>
      <c r="M47" s="24" t="s">
        <v>370</v>
      </c>
      <c r="O47" s="24" t="s">
        <v>371</v>
      </c>
      <c r="P47" s="24" t="s">
        <v>372</v>
      </c>
      <c r="Q47" s="24" t="s">
        <v>373</v>
      </c>
    </row>
    <row r="48" spans="1:17" x14ac:dyDescent="0.25">
      <c r="A48" s="24" t="s">
        <v>58</v>
      </c>
      <c r="C48" s="24" t="s">
        <v>374</v>
      </c>
      <c r="D48" s="24" t="s">
        <v>375</v>
      </c>
      <c r="E48" s="24" t="s">
        <v>376</v>
      </c>
      <c r="F48" s="24" t="s">
        <v>377</v>
      </c>
      <c r="G48" s="24" t="s">
        <v>378</v>
      </c>
      <c r="I48" s="24" t="s">
        <v>1791</v>
      </c>
      <c r="K48" s="24" t="s">
        <v>379</v>
      </c>
      <c r="L48" s="24" t="s">
        <v>380</v>
      </c>
      <c r="M48" s="24" t="s">
        <v>381</v>
      </c>
      <c r="O48" s="24" t="s">
        <v>382</v>
      </c>
      <c r="P48" s="24" t="s">
        <v>383</v>
      </c>
      <c r="Q48" s="24" t="s">
        <v>384</v>
      </c>
    </row>
    <row r="49" spans="1:17" x14ac:dyDescent="0.25">
      <c r="A49" s="24" t="s">
        <v>58</v>
      </c>
      <c r="C49" s="24" t="s">
        <v>385</v>
      </c>
      <c r="D49" s="24" t="s">
        <v>386</v>
      </c>
      <c r="E49" s="24" t="s">
        <v>387</v>
      </c>
      <c r="F49" s="24" t="s">
        <v>388</v>
      </c>
      <c r="G49" s="24" t="s">
        <v>389</v>
      </c>
      <c r="I49" s="24" t="s">
        <v>1792</v>
      </c>
      <c r="K49" s="24" t="s">
        <v>390</v>
      </c>
      <c r="L49" s="24" t="s">
        <v>391</v>
      </c>
      <c r="M49" s="24" t="s">
        <v>392</v>
      </c>
      <c r="O49" s="24" t="s">
        <v>393</v>
      </c>
      <c r="P49" s="24" t="s">
        <v>394</v>
      </c>
      <c r="Q49" s="24" t="s">
        <v>395</v>
      </c>
    </row>
    <row r="50" spans="1:17" x14ac:dyDescent="0.25">
      <c r="A50" s="24" t="s">
        <v>58</v>
      </c>
      <c r="C50" s="24" t="s">
        <v>396</v>
      </c>
      <c r="D50" s="24" t="s">
        <v>397</v>
      </c>
      <c r="E50" s="24" t="s">
        <v>398</v>
      </c>
      <c r="F50" s="24" t="s">
        <v>399</v>
      </c>
      <c r="G50" s="24" t="s">
        <v>400</v>
      </c>
      <c r="I50" s="24" t="s">
        <v>1793</v>
      </c>
      <c r="K50" s="24" t="s">
        <v>401</v>
      </c>
      <c r="L50" s="24" t="s">
        <v>402</v>
      </c>
      <c r="M50" s="24" t="s">
        <v>403</v>
      </c>
      <c r="O50" s="24" t="s">
        <v>404</v>
      </c>
      <c r="P50" s="24" t="s">
        <v>405</v>
      </c>
      <c r="Q50" s="24" t="s">
        <v>406</v>
      </c>
    </row>
    <row r="51" spans="1:17" x14ac:dyDescent="0.25">
      <c r="A51" s="24" t="s">
        <v>58</v>
      </c>
      <c r="C51" s="24" t="s">
        <v>407</v>
      </c>
      <c r="D51" s="24" t="s">
        <v>408</v>
      </c>
      <c r="E51" s="24" t="s">
        <v>409</v>
      </c>
      <c r="F51" s="24" t="s">
        <v>410</v>
      </c>
      <c r="G51" s="24" t="s">
        <v>411</v>
      </c>
      <c r="I51" s="24" t="s">
        <v>1794</v>
      </c>
      <c r="K51" s="24" t="s">
        <v>412</v>
      </c>
      <c r="L51" s="24" t="s">
        <v>413</v>
      </c>
      <c r="M51" s="24" t="s">
        <v>414</v>
      </c>
      <c r="O51" s="24" t="s">
        <v>415</v>
      </c>
      <c r="P51" s="24" t="s">
        <v>416</v>
      </c>
      <c r="Q51" s="24" t="s">
        <v>417</v>
      </c>
    </row>
    <row r="52" spans="1:17" x14ac:dyDescent="0.25">
      <c r="A52" s="24" t="s">
        <v>58</v>
      </c>
      <c r="C52" s="24" t="s">
        <v>418</v>
      </c>
      <c r="D52" s="24" t="s">
        <v>419</v>
      </c>
      <c r="E52" s="24" t="s">
        <v>420</v>
      </c>
      <c r="F52" s="24" t="s">
        <v>421</v>
      </c>
      <c r="G52" s="24" t="s">
        <v>422</v>
      </c>
      <c r="I52" s="24" t="s">
        <v>1795</v>
      </c>
      <c r="K52" s="24" t="s">
        <v>423</v>
      </c>
      <c r="L52" s="24" t="s">
        <v>424</v>
      </c>
      <c r="M52" s="24" t="s">
        <v>425</v>
      </c>
      <c r="O52" s="24" t="s">
        <v>426</v>
      </c>
      <c r="P52" s="24" t="s">
        <v>427</v>
      </c>
      <c r="Q52" s="24" t="s">
        <v>428</v>
      </c>
    </row>
    <row r="53" spans="1:17" x14ac:dyDescent="0.25">
      <c r="A53" s="24" t="s">
        <v>58</v>
      </c>
      <c r="C53" s="24" t="s">
        <v>429</v>
      </c>
      <c r="D53" s="24" t="s">
        <v>430</v>
      </c>
      <c r="E53" s="24" t="s">
        <v>431</v>
      </c>
      <c r="F53" s="24" t="s">
        <v>432</v>
      </c>
      <c r="G53" s="24" t="s">
        <v>433</v>
      </c>
      <c r="I53" s="24" t="s">
        <v>1796</v>
      </c>
      <c r="K53" s="24" t="s">
        <v>434</v>
      </c>
      <c r="L53" s="24" t="s">
        <v>435</v>
      </c>
      <c r="M53" s="24" t="s">
        <v>436</v>
      </c>
      <c r="O53" s="24" t="s">
        <v>437</v>
      </c>
      <c r="P53" s="24" t="s">
        <v>438</v>
      </c>
      <c r="Q53" s="24" t="s">
        <v>439</v>
      </c>
    </row>
    <row r="54" spans="1:17" x14ac:dyDescent="0.25">
      <c r="A54" s="24" t="s">
        <v>58</v>
      </c>
      <c r="C54" s="24" t="s">
        <v>440</v>
      </c>
      <c r="D54" s="24" t="s">
        <v>441</v>
      </c>
      <c r="E54" s="24" t="s">
        <v>442</v>
      </c>
      <c r="F54" s="24" t="s">
        <v>443</v>
      </c>
      <c r="G54" s="24" t="s">
        <v>444</v>
      </c>
      <c r="I54" s="24" t="s">
        <v>1797</v>
      </c>
      <c r="K54" s="24" t="s">
        <v>445</v>
      </c>
      <c r="L54" s="24" t="s">
        <v>446</v>
      </c>
      <c r="M54" s="24" t="s">
        <v>447</v>
      </c>
      <c r="O54" s="24" t="s">
        <v>448</v>
      </c>
      <c r="P54" s="24" t="s">
        <v>449</v>
      </c>
      <c r="Q54" s="24" t="s">
        <v>450</v>
      </c>
    </row>
    <row r="55" spans="1:17" x14ac:dyDescent="0.25">
      <c r="A55" s="24" t="s">
        <v>58</v>
      </c>
      <c r="C55" s="24" t="s">
        <v>451</v>
      </c>
      <c r="D55" s="24" t="s">
        <v>452</v>
      </c>
      <c r="E55" s="24" t="s">
        <v>453</v>
      </c>
      <c r="F55" s="24" t="s">
        <v>454</v>
      </c>
      <c r="G55" s="24" t="s">
        <v>455</v>
      </c>
      <c r="I55" s="24" t="s">
        <v>1798</v>
      </c>
      <c r="K55" s="24" t="s">
        <v>456</v>
      </c>
      <c r="L55" s="24" t="s">
        <v>457</v>
      </c>
      <c r="M55" s="24" t="s">
        <v>458</v>
      </c>
      <c r="O55" s="24" t="s">
        <v>459</v>
      </c>
      <c r="P55" s="24" t="s">
        <v>460</v>
      </c>
      <c r="Q55" s="24" t="s">
        <v>461</v>
      </c>
    </row>
    <row r="56" spans="1:17" x14ac:dyDescent="0.25">
      <c r="A56" s="24" t="s">
        <v>58</v>
      </c>
      <c r="C56" s="24" t="s">
        <v>462</v>
      </c>
      <c r="D56" s="24" t="s">
        <v>463</v>
      </c>
      <c r="E56" s="24" t="s">
        <v>464</v>
      </c>
      <c r="F56" s="24" t="s">
        <v>465</v>
      </c>
      <c r="G56" s="24" t="s">
        <v>466</v>
      </c>
      <c r="I56" s="24" t="s">
        <v>1799</v>
      </c>
      <c r="K56" s="24" t="s">
        <v>467</v>
      </c>
      <c r="L56" s="24" t="s">
        <v>468</v>
      </c>
      <c r="M56" s="24" t="s">
        <v>469</v>
      </c>
      <c r="O56" s="24" t="s">
        <v>470</v>
      </c>
      <c r="P56" s="24" t="s">
        <v>471</v>
      </c>
      <c r="Q56" s="24" t="s">
        <v>472</v>
      </c>
    </row>
    <row r="57" spans="1:17" x14ac:dyDescent="0.25">
      <c r="A57" s="24" t="s">
        <v>58</v>
      </c>
      <c r="C57" s="24" t="s">
        <v>473</v>
      </c>
      <c r="D57" s="24" t="s">
        <v>474</v>
      </c>
      <c r="E57" s="24" t="s">
        <v>475</v>
      </c>
      <c r="F57" s="24" t="s">
        <v>476</v>
      </c>
      <c r="G57" s="24" t="s">
        <v>477</v>
      </c>
      <c r="I57" s="24" t="s">
        <v>1800</v>
      </c>
      <c r="K57" s="24" t="s">
        <v>478</v>
      </c>
      <c r="L57" s="24" t="s">
        <v>479</v>
      </c>
      <c r="M57" s="24" t="s">
        <v>480</v>
      </c>
      <c r="O57" s="24" t="s">
        <v>481</v>
      </c>
      <c r="P57" s="24" t="s">
        <v>482</v>
      </c>
      <c r="Q57" s="24" t="s">
        <v>483</v>
      </c>
    </row>
    <row r="58" spans="1:17" x14ac:dyDescent="0.25">
      <c r="A58" s="24" t="s">
        <v>58</v>
      </c>
      <c r="C58" s="24" t="s">
        <v>484</v>
      </c>
      <c r="D58" s="24" t="s">
        <v>485</v>
      </c>
      <c r="E58" s="24" t="s">
        <v>486</v>
      </c>
      <c r="F58" s="24" t="s">
        <v>487</v>
      </c>
      <c r="G58" s="24" t="s">
        <v>488</v>
      </c>
      <c r="I58" s="24" t="s">
        <v>1801</v>
      </c>
      <c r="K58" s="24" t="s">
        <v>489</v>
      </c>
      <c r="L58" s="24" t="s">
        <v>490</v>
      </c>
      <c r="M58" s="24" t="s">
        <v>491</v>
      </c>
      <c r="O58" s="24" t="s">
        <v>492</v>
      </c>
      <c r="P58" s="24" t="s">
        <v>493</v>
      </c>
      <c r="Q58" s="24" t="s">
        <v>494</v>
      </c>
    </row>
    <row r="59" spans="1:17" x14ac:dyDescent="0.25">
      <c r="A59" s="24" t="s">
        <v>58</v>
      </c>
      <c r="C59" s="24" t="s">
        <v>495</v>
      </c>
      <c r="D59" s="24" t="s">
        <v>496</v>
      </c>
      <c r="E59" s="24" t="s">
        <v>497</v>
      </c>
      <c r="F59" s="24" t="s">
        <v>498</v>
      </c>
      <c r="G59" s="24" t="s">
        <v>499</v>
      </c>
      <c r="I59" s="24" t="s">
        <v>1802</v>
      </c>
      <c r="K59" s="24" t="s">
        <v>500</v>
      </c>
      <c r="L59" s="24" t="s">
        <v>501</v>
      </c>
      <c r="M59" s="24" t="s">
        <v>502</v>
      </c>
      <c r="O59" s="24" t="s">
        <v>503</v>
      </c>
      <c r="P59" s="24" t="s">
        <v>504</v>
      </c>
      <c r="Q59" s="24" t="s">
        <v>505</v>
      </c>
    </row>
    <row r="60" spans="1:17" x14ac:dyDescent="0.25">
      <c r="A60" s="24" t="s">
        <v>58</v>
      </c>
      <c r="C60" s="24" t="s">
        <v>506</v>
      </c>
      <c r="D60" s="24" t="s">
        <v>507</v>
      </c>
      <c r="E60" s="24" t="s">
        <v>508</v>
      </c>
      <c r="F60" s="24" t="s">
        <v>509</v>
      </c>
      <c r="G60" s="24" t="s">
        <v>510</v>
      </c>
      <c r="I60" s="24" t="s">
        <v>1803</v>
      </c>
      <c r="K60" s="24" t="s">
        <v>511</v>
      </c>
      <c r="L60" s="24" t="s">
        <v>512</v>
      </c>
      <c r="M60" s="24" t="s">
        <v>513</v>
      </c>
      <c r="O60" s="24" t="s">
        <v>514</v>
      </c>
      <c r="P60" s="24" t="s">
        <v>515</v>
      </c>
      <c r="Q60" s="24" t="s">
        <v>516</v>
      </c>
    </row>
    <row r="61" spans="1:17" x14ac:dyDescent="0.25">
      <c r="A61" s="24" t="s">
        <v>58</v>
      </c>
      <c r="C61" s="24" t="s">
        <v>517</v>
      </c>
      <c r="D61" s="24" t="s">
        <v>518</v>
      </c>
      <c r="E61" s="24" t="s">
        <v>519</v>
      </c>
      <c r="F61" s="24" t="s">
        <v>520</v>
      </c>
      <c r="G61" s="24" t="s">
        <v>521</v>
      </c>
      <c r="I61" s="24" t="s">
        <v>1804</v>
      </c>
      <c r="K61" s="24" t="s">
        <v>522</v>
      </c>
      <c r="L61" s="24" t="s">
        <v>523</v>
      </c>
      <c r="M61" s="24" t="s">
        <v>524</v>
      </c>
      <c r="O61" s="24" t="s">
        <v>525</v>
      </c>
      <c r="P61" s="24" t="s">
        <v>526</v>
      </c>
      <c r="Q61" s="24" t="s">
        <v>527</v>
      </c>
    </row>
    <row r="62" spans="1:17" x14ac:dyDescent="0.25">
      <c r="A62" s="24" t="s">
        <v>58</v>
      </c>
      <c r="C62" s="24" t="s">
        <v>528</v>
      </c>
      <c r="D62" s="24" t="s">
        <v>529</v>
      </c>
      <c r="E62" s="24" t="s">
        <v>530</v>
      </c>
      <c r="F62" s="24" t="s">
        <v>531</v>
      </c>
      <c r="G62" s="24" t="s">
        <v>532</v>
      </c>
      <c r="I62" s="24" t="s">
        <v>1805</v>
      </c>
      <c r="K62" s="24" t="s">
        <v>533</v>
      </c>
      <c r="L62" s="24" t="s">
        <v>534</v>
      </c>
      <c r="M62" s="24" t="s">
        <v>535</v>
      </c>
      <c r="O62" s="24" t="s">
        <v>536</v>
      </c>
      <c r="P62" s="24" t="s">
        <v>537</v>
      </c>
      <c r="Q62" s="24" t="s">
        <v>538</v>
      </c>
    </row>
    <row r="63" spans="1:17" x14ac:dyDescent="0.25">
      <c r="A63" s="24" t="s">
        <v>58</v>
      </c>
      <c r="C63" s="24" t="s">
        <v>539</v>
      </c>
      <c r="D63" s="24" t="s">
        <v>540</v>
      </c>
      <c r="E63" s="24" t="s">
        <v>541</v>
      </c>
      <c r="F63" s="24" t="s">
        <v>542</v>
      </c>
      <c r="G63" s="24" t="s">
        <v>543</v>
      </c>
      <c r="I63" s="24" t="s">
        <v>1806</v>
      </c>
      <c r="K63" s="24" t="s">
        <v>544</v>
      </c>
      <c r="L63" s="24" t="s">
        <v>545</v>
      </c>
      <c r="M63" s="24" t="s">
        <v>546</v>
      </c>
      <c r="O63" s="24" t="s">
        <v>547</v>
      </c>
      <c r="P63" s="24" t="s">
        <v>548</v>
      </c>
      <c r="Q63" s="24" t="s">
        <v>549</v>
      </c>
    </row>
    <row r="64" spans="1:17" x14ac:dyDescent="0.25">
      <c r="A64" s="24" t="s">
        <v>58</v>
      </c>
      <c r="C64" s="24" t="s">
        <v>550</v>
      </c>
      <c r="D64" s="24" t="s">
        <v>551</v>
      </c>
      <c r="E64" s="24" t="s">
        <v>552</v>
      </c>
      <c r="F64" s="24" t="s">
        <v>553</v>
      </c>
      <c r="G64" s="24" t="s">
        <v>554</v>
      </c>
      <c r="I64" s="24" t="s">
        <v>1807</v>
      </c>
      <c r="K64" s="24" t="s">
        <v>555</v>
      </c>
      <c r="L64" s="24" t="s">
        <v>556</v>
      </c>
      <c r="M64" s="24" t="s">
        <v>557</v>
      </c>
      <c r="O64" s="24" t="s">
        <v>558</v>
      </c>
      <c r="P64" s="24" t="s">
        <v>559</v>
      </c>
      <c r="Q64" s="24" t="s">
        <v>560</v>
      </c>
    </row>
    <row r="65" spans="1:17" x14ac:dyDescent="0.25">
      <c r="A65" s="24" t="s">
        <v>58</v>
      </c>
      <c r="C65" s="24" t="s">
        <v>561</v>
      </c>
      <c r="D65" s="24" t="s">
        <v>562</v>
      </c>
      <c r="E65" s="24" t="s">
        <v>563</v>
      </c>
      <c r="F65" s="24" t="s">
        <v>564</v>
      </c>
      <c r="G65" s="24" t="s">
        <v>565</v>
      </c>
      <c r="I65" s="24" t="s">
        <v>1808</v>
      </c>
      <c r="K65" s="24" t="s">
        <v>566</v>
      </c>
      <c r="L65" s="24" t="s">
        <v>567</v>
      </c>
      <c r="M65" s="24" t="s">
        <v>568</v>
      </c>
      <c r="O65" s="24" t="s">
        <v>569</v>
      </c>
      <c r="P65" s="24" t="s">
        <v>570</v>
      </c>
      <c r="Q65" s="24" t="s">
        <v>571</v>
      </c>
    </row>
    <row r="66" spans="1:17" x14ac:dyDescent="0.25">
      <c r="A66" s="24" t="s">
        <v>58</v>
      </c>
      <c r="C66" s="24" t="s">
        <v>572</v>
      </c>
      <c r="D66" s="24" t="s">
        <v>573</v>
      </c>
      <c r="E66" s="24" t="s">
        <v>574</v>
      </c>
      <c r="F66" s="24" t="s">
        <v>575</v>
      </c>
      <c r="G66" s="24" t="s">
        <v>576</v>
      </c>
      <c r="I66" s="24" t="s">
        <v>1809</v>
      </c>
      <c r="K66" s="24" t="s">
        <v>577</v>
      </c>
      <c r="L66" s="24" t="s">
        <v>578</v>
      </c>
      <c r="M66" s="24" t="s">
        <v>579</v>
      </c>
      <c r="O66" s="24" t="s">
        <v>580</v>
      </c>
      <c r="P66" s="24" t="s">
        <v>581</v>
      </c>
      <c r="Q66" s="24" t="s">
        <v>582</v>
      </c>
    </row>
    <row r="67" spans="1:17" x14ac:dyDescent="0.25">
      <c r="A67" s="24" t="s">
        <v>58</v>
      </c>
      <c r="C67" s="24" t="s">
        <v>583</v>
      </c>
      <c r="D67" s="24" t="s">
        <v>584</v>
      </c>
      <c r="E67" s="24" t="s">
        <v>585</v>
      </c>
      <c r="F67" s="24" t="s">
        <v>586</v>
      </c>
      <c r="G67" s="24" t="s">
        <v>587</v>
      </c>
      <c r="I67" s="24" t="s">
        <v>1810</v>
      </c>
      <c r="K67" s="24" t="s">
        <v>588</v>
      </c>
      <c r="L67" s="24" t="s">
        <v>589</v>
      </c>
      <c r="M67" s="24" t="s">
        <v>590</v>
      </c>
      <c r="O67" s="24" t="s">
        <v>591</v>
      </c>
      <c r="P67" s="24" t="s">
        <v>592</v>
      </c>
      <c r="Q67" s="24" t="s">
        <v>593</v>
      </c>
    </row>
    <row r="68" spans="1:17" x14ac:dyDescent="0.25">
      <c r="A68" s="24" t="s">
        <v>58</v>
      </c>
      <c r="C68" s="24" t="s">
        <v>594</v>
      </c>
      <c r="D68" s="24" t="s">
        <v>595</v>
      </c>
      <c r="E68" s="24" t="s">
        <v>596</v>
      </c>
      <c r="F68" s="24" t="s">
        <v>597</v>
      </c>
      <c r="G68" s="24" t="s">
        <v>598</v>
      </c>
      <c r="I68" s="24" t="s">
        <v>1811</v>
      </c>
      <c r="K68" s="24" t="s">
        <v>599</v>
      </c>
      <c r="L68" s="24" t="s">
        <v>600</v>
      </c>
      <c r="M68" s="24" t="s">
        <v>601</v>
      </c>
      <c r="O68" s="24" t="s">
        <v>602</v>
      </c>
      <c r="P68" s="24" t="s">
        <v>603</v>
      </c>
      <c r="Q68" s="24" t="s">
        <v>604</v>
      </c>
    </row>
    <row r="69" spans="1:17" x14ac:dyDescent="0.25">
      <c r="A69" s="24" t="s">
        <v>58</v>
      </c>
      <c r="C69" s="24" t="s">
        <v>605</v>
      </c>
      <c r="D69" s="24" t="s">
        <v>606</v>
      </c>
      <c r="E69" s="24" t="s">
        <v>607</v>
      </c>
      <c r="F69" s="24" t="s">
        <v>608</v>
      </c>
      <c r="G69" s="24" t="s">
        <v>609</v>
      </c>
      <c r="I69" s="24" t="s">
        <v>1812</v>
      </c>
      <c r="K69" s="24" t="s">
        <v>610</v>
      </c>
      <c r="L69" s="24" t="s">
        <v>611</v>
      </c>
      <c r="M69" s="24" t="s">
        <v>612</v>
      </c>
      <c r="O69" s="24" t="s">
        <v>613</v>
      </c>
      <c r="P69" s="24" t="s">
        <v>614</v>
      </c>
      <c r="Q69" s="24" t="s">
        <v>615</v>
      </c>
    </row>
    <row r="70" spans="1:17" x14ac:dyDescent="0.25">
      <c r="A70" s="24" t="s">
        <v>58</v>
      </c>
      <c r="C70" s="24" t="s">
        <v>616</v>
      </c>
      <c r="D70" s="24" t="s">
        <v>617</v>
      </c>
      <c r="E70" s="24" t="s">
        <v>618</v>
      </c>
      <c r="F70" s="24" t="s">
        <v>619</v>
      </c>
      <c r="G70" s="24" t="s">
        <v>620</v>
      </c>
      <c r="I70" s="24" t="s">
        <v>1813</v>
      </c>
      <c r="K70" s="24" t="s">
        <v>621</v>
      </c>
      <c r="L70" s="24" t="s">
        <v>622</v>
      </c>
      <c r="M70" s="24" t="s">
        <v>623</v>
      </c>
      <c r="O70" s="24" t="s">
        <v>624</v>
      </c>
      <c r="P70" s="24" t="s">
        <v>625</v>
      </c>
      <c r="Q70" s="24" t="s">
        <v>626</v>
      </c>
    </row>
    <row r="71" spans="1:17" x14ac:dyDescent="0.25">
      <c r="A71" s="24" t="s">
        <v>58</v>
      </c>
      <c r="C71" s="24" t="s">
        <v>627</v>
      </c>
      <c r="D71" s="24" t="s">
        <v>628</v>
      </c>
      <c r="E71" s="24" t="s">
        <v>629</v>
      </c>
      <c r="F71" s="24" t="s">
        <v>630</v>
      </c>
      <c r="G71" s="24" t="s">
        <v>631</v>
      </c>
      <c r="I71" s="24" t="s">
        <v>1814</v>
      </c>
      <c r="K71" s="24" t="s">
        <v>632</v>
      </c>
      <c r="L71" s="24" t="s">
        <v>633</v>
      </c>
      <c r="M71" s="24" t="s">
        <v>634</v>
      </c>
      <c r="O71" s="24" t="s">
        <v>635</v>
      </c>
      <c r="P71" s="24" t="s">
        <v>636</v>
      </c>
      <c r="Q71" s="24" t="s">
        <v>637</v>
      </c>
    </row>
    <row r="72" spans="1:17" x14ac:dyDescent="0.25">
      <c r="A72" s="24" t="s">
        <v>58</v>
      </c>
      <c r="C72" s="24" t="s">
        <v>638</v>
      </c>
      <c r="D72" s="24" t="s">
        <v>639</v>
      </c>
      <c r="E72" s="24" t="s">
        <v>640</v>
      </c>
      <c r="F72" s="24" t="s">
        <v>641</v>
      </c>
      <c r="G72" s="24" t="s">
        <v>642</v>
      </c>
      <c r="I72" s="24" t="s">
        <v>1815</v>
      </c>
      <c r="K72" s="24" t="s">
        <v>643</v>
      </c>
      <c r="L72" s="24" t="s">
        <v>644</v>
      </c>
      <c r="M72" s="24" t="s">
        <v>645</v>
      </c>
      <c r="O72" s="24" t="s">
        <v>646</v>
      </c>
      <c r="P72" s="24" t="s">
        <v>647</v>
      </c>
      <c r="Q72" s="24" t="s">
        <v>648</v>
      </c>
    </row>
    <row r="73" spans="1:17" x14ac:dyDescent="0.25">
      <c r="A73" s="24" t="s">
        <v>58</v>
      </c>
      <c r="C73" s="24" t="s">
        <v>649</v>
      </c>
      <c r="D73" s="24" t="s">
        <v>650</v>
      </c>
      <c r="E73" s="24" t="s">
        <v>651</v>
      </c>
      <c r="F73" s="24" t="s">
        <v>652</v>
      </c>
      <c r="G73" s="24" t="s">
        <v>653</v>
      </c>
      <c r="I73" s="24" t="s">
        <v>1816</v>
      </c>
      <c r="K73" s="24" t="s">
        <v>654</v>
      </c>
      <c r="L73" s="24" t="s">
        <v>655</v>
      </c>
      <c r="M73" s="24" t="s">
        <v>656</v>
      </c>
      <c r="O73" s="24" t="s">
        <v>657</v>
      </c>
      <c r="P73" s="24" t="s">
        <v>658</v>
      </c>
      <c r="Q73" s="24" t="s">
        <v>659</v>
      </c>
    </row>
    <row r="74" spans="1:17" x14ac:dyDescent="0.25">
      <c r="A74" s="24" t="s">
        <v>58</v>
      </c>
      <c r="C74" s="24" t="s">
        <v>660</v>
      </c>
      <c r="D74" s="24" t="s">
        <v>661</v>
      </c>
      <c r="E74" s="24" t="s">
        <v>662</v>
      </c>
      <c r="F74" s="24" t="s">
        <v>663</v>
      </c>
      <c r="G74" s="24" t="s">
        <v>664</v>
      </c>
      <c r="I74" s="24" t="s">
        <v>1817</v>
      </c>
      <c r="K74" s="24" t="s">
        <v>665</v>
      </c>
      <c r="L74" s="24" t="s">
        <v>666</v>
      </c>
      <c r="M74" s="24" t="s">
        <v>667</v>
      </c>
      <c r="O74" s="24" t="s">
        <v>668</v>
      </c>
      <c r="P74" s="24" t="s">
        <v>669</v>
      </c>
      <c r="Q74" s="24" t="s">
        <v>670</v>
      </c>
    </row>
    <row r="75" spans="1:17" x14ac:dyDescent="0.25">
      <c r="A75" s="24" t="s">
        <v>58</v>
      </c>
      <c r="C75" s="24" t="s">
        <v>671</v>
      </c>
      <c r="D75" s="24" t="s">
        <v>672</v>
      </c>
      <c r="E75" s="24" t="s">
        <v>673</v>
      </c>
      <c r="F75" s="24" t="s">
        <v>674</v>
      </c>
      <c r="G75" s="24" t="s">
        <v>675</v>
      </c>
      <c r="I75" s="24" t="s">
        <v>1818</v>
      </c>
      <c r="K75" s="24" t="s">
        <v>676</v>
      </c>
      <c r="L75" s="24" t="s">
        <v>677</v>
      </c>
      <c r="M75" s="24" t="s">
        <v>678</v>
      </c>
      <c r="O75" s="24" t="s">
        <v>679</v>
      </c>
      <c r="P75" s="24" t="s">
        <v>680</v>
      </c>
      <c r="Q75" s="24" t="s">
        <v>681</v>
      </c>
    </row>
    <row r="76" spans="1:17" x14ac:dyDescent="0.25">
      <c r="A76" s="24" t="s">
        <v>58</v>
      </c>
      <c r="C76" s="24" t="s">
        <v>682</v>
      </c>
      <c r="D76" s="24" t="s">
        <v>683</v>
      </c>
      <c r="E76" s="24" t="s">
        <v>684</v>
      </c>
      <c r="F76" s="24" t="s">
        <v>685</v>
      </c>
      <c r="G76" s="24" t="s">
        <v>686</v>
      </c>
      <c r="I76" s="24" t="s">
        <v>1819</v>
      </c>
      <c r="K76" s="24" t="s">
        <v>687</v>
      </c>
      <c r="L76" s="24" t="s">
        <v>688</v>
      </c>
      <c r="M76" s="24" t="s">
        <v>689</v>
      </c>
      <c r="O76" s="24" t="s">
        <v>690</v>
      </c>
      <c r="P76" s="24" t="s">
        <v>691</v>
      </c>
      <c r="Q76" s="24" t="s">
        <v>692</v>
      </c>
    </row>
    <row r="77" spans="1:17" x14ac:dyDescent="0.25">
      <c r="A77" s="24" t="s">
        <v>58</v>
      </c>
      <c r="C77" s="24" t="s">
        <v>693</v>
      </c>
      <c r="D77" s="24" t="s">
        <v>694</v>
      </c>
      <c r="E77" s="24" t="s">
        <v>695</v>
      </c>
      <c r="F77" s="24" t="s">
        <v>696</v>
      </c>
      <c r="G77" s="24" t="s">
        <v>697</v>
      </c>
      <c r="I77" s="24" t="s">
        <v>1820</v>
      </c>
      <c r="K77" s="24" t="s">
        <v>698</v>
      </c>
      <c r="L77" s="24" t="s">
        <v>699</v>
      </c>
      <c r="M77" s="24" t="s">
        <v>700</v>
      </c>
      <c r="O77" s="24" t="s">
        <v>701</v>
      </c>
      <c r="P77" s="24" t="s">
        <v>702</v>
      </c>
      <c r="Q77" s="24" t="s">
        <v>703</v>
      </c>
    </row>
    <row r="78" spans="1:17" x14ac:dyDescent="0.25">
      <c r="A78" s="24" t="s">
        <v>58</v>
      </c>
      <c r="C78" s="24" t="s">
        <v>704</v>
      </c>
      <c r="D78" s="24" t="s">
        <v>705</v>
      </c>
      <c r="E78" s="24" t="s">
        <v>706</v>
      </c>
      <c r="F78" s="24" t="s">
        <v>707</v>
      </c>
      <c r="G78" s="24" t="s">
        <v>708</v>
      </c>
      <c r="I78" s="24" t="s">
        <v>1821</v>
      </c>
      <c r="K78" s="24" t="s">
        <v>709</v>
      </c>
      <c r="L78" s="24" t="s">
        <v>710</v>
      </c>
      <c r="M78" s="24" t="s">
        <v>711</v>
      </c>
      <c r="O78" s="24" t="s">
        <v>712</v>
      </c>
      <c r="P78" s="24" t="s">
        <v>713</v>
      </c>
      <c r="Q78" s="24" t="s">
        <v>714</v>
      </c>
    </row>
    <row r="79" spans="1:17" x14ac:dyDescent="0.25">
      <c r="A79" s="24" t="s">
        <v>58</v>
      </c>
      <c r="C79" s="24" t="s">
        <v>715</v>
      </c>
      <c r="D79" s="24" t="s">
        <v>716</v>
      </c>
      <c r="E79" s="24" t="s">
        <v>717</v>
      </c>
      <c r="F79" s="24" t="s">
        <v>718</v>
      </c>
      <c r="G79" s="24" t="s">
        <v>719</v>
      </c>
      <c r="I79" s="24" t="s">
        <v>1822</v>
      </c>
      <c r="K79" s="24" t="s">
        <v>720</v>
      </c>
      <c r="L79" s="24" t="s">
        <v>721</v>
      </c>
      <c r="M79" s="24" t="s">
        <v>722</v>
      </c>
      <c r="O79" s="24" t="s">
        <v>723</v>
      </c>
      <c r="P79" s="24" t="s">
        <v>724</v>
      </c>
      <c r="Q79" s="24" t="s">
        <v>725</v>
      </c>
    </row>
    <row r="80" spans="1:17" x14ac:dyDescent="0.25">
      <c r="A80" s="24" t="s">
        <v>58</v>
      </c>
      <c r="C80" s="24" t="s">
        <v>726</v>
      </c>
      <c r="D80" s="24" t="s">
        <v>727</v>
      </c>
      <c r="E80" s="24" t="s">
        <v>728</v>
      </c>
      <c r="F80" s="24" t="s">
        <v>729</v>
      </c>
      <c r="G80" s="24" t="s">
        <v>730</v>
      </c>
      <c r="I80" s="24" t="s">
        <v>1823</v>
      </c>
      <c r="K80" s="24" t="s">
        <v>731</v>
      </c>
      <c r="L80" s="24" t="s">
        <v>732</v>
      </c>
      <c r="M80" s="24" t="s">
        <v>733</v>
      </c>
      <c r="O80" s="24" t="s">
        <v>734</v>
      </c>
      <c r="P80" s="24" t="s">
        <v>735</v>
      </c>
      <c r="Q80" s="24" t="s">
        <v>736</v>
      </c>
    </row>
    <row r="81" spans="1:17" x14ac:dyDescent="0.25">
      <c r="A81" s="24" t="s">
        <v>58</v>
      </c>
      <c r="C81" s="24" t="s">
        <v>737</v>
      </c>
      <c r="D81" s="24" t="s">
        <v>738</v>
      </c>
      <c r="E81" s="24" t="s">
        <v>739</v>
      </c>
      <c r="F81" s="24" t="s">
        <v>740</v>
      </c>
      <c r="G81" s="24" t="s">
        <v>741</v>
      </c>
      <c r="I81" s="24" t="s">
        <v>1824</v>
      </c>
      <c r="K81" s="24" t="s">
        <v>742</v>
      </c>
      <c r="L81" s="24" t="s">
        <v>743</v>
      </c>
      <c r="M81" s="24" t="s">
        <v>744</v>
      </c>
      <c r="O81" s="24" t="s">
        <v>745</v>
      </c>
      <c r="P81" s="24" t="s">
        <v>746</v>
      </c>
      <c r="Q81" s="24" t="s">
        <v>747</v>
      </c>
    </row>
    <row r="82" spans="1:17" x14ac:dyDescent="0.25">
      <c r="A82" s="24" t="s">
        <v>58</v>
      </c>
      <c r="C82" s="24" t="s">
        <v>748</v>
      </c>
      <c r="D82" s="24" t="s">
        <v>749</v>
      </c>
      <c r="E82" s="24" t="s">
        <v>750</v>
      </c>
      <c r="F82" s="24" t="s">
        <v>751</v>
      </c>
      <c r="G82" s="24" t="s">
        <v>752</v>
      </c>
      <c r="I82" s="24" t="s">
        <v>1825</v>
      </c>
      <c r="K82" s="24" t="s">
        <v>753</v>
      </c>
      <c r="L82" s="24" t="s">
        <v>754</v>
      </c>
      <c r="M82" s="24" t="s">
        <v>755</v>
      </c>
      <c r="O82" s="24" t="s">
        <v>756</v>
      </c>
      <c r="P82" s="24" t="s">
        <v>757</v>
      </c>
      <c r="Q82" s="24" t="s">
        <v>758</v>
      </c>
    </row>
    <row r="83" spans="1:17" x14ac:dyDescent="0.25">
      <c r="A83" s="24" t="s">
        <v>58</v>
      </c>
      <c r="C83" s="24" t="s">
        <v>759</v>
      </c>
      <c r="D83" s="24" t="s">
        <v>760</v>
      </c>
      <c r="E83" s="24" t="s">
        <v>761</v>
      </c>
      <c r="F83" s="24" t="s">
        <v>762</v>
      </c>
      <c r="G83" s="24" t="s">
        <v>763</v>
      </c>
      <c r="I83" s="24" t="s">
        <v>1826</v>
      </c>
      <c r="K83" s="24" t="s">
        <v>764</v>
      </c>
      <c r="L83" s="24" t="s">
        <v>765</v>
      </c>
      <c r="M83" s="24" t="s">
        <v>766</v>
      </c>
      <c r="O83" s="24" t="s">
        <v>767</v>
      </c>
      <c r="P83" s="24" t="s">
        <v>768</v>
      </c>
      <c r="Q83" s="24" t="s">
        <v>769</v>
      </c>
    </row>
    <row r="84" spans="1:17" x14ac:dyDescent="0.25">
      <c r="A84" s="24" t="s">
        <v>58</v>
      </c>
      <c r="C84" s="24" t="s">
        <v>770</v>
      </c>
      <c r="D84" s="24" t="s">
        <v>771</v>
      </c>
      <c r="E84" s="24" t="s">
        <v>772</v>
      </c>
      <c r="F84" s="24" t="s">
        <v>773</v>
      </c>
      <c r="G84" s="24" t="s">
        <v>774</v>
      </c>
      <c r="I84" s="24" t="s">
        <v>1827</v>
      </c>
      <c r="K84" s="24" t="s">
        <v>775</v>
      </c>
      <c r="L84" s="24" t="s">
        <v>776</v>
      </c>
      <c r="M84" s="24" t="s">
        <v>777</v>
      </c>
      <c r="O84" s="24" t="s">
        <v>778</v>
      </c>
      <c r="P84" s="24" t="s">
        <v>779</v>
      </c>
      <c r="Q84" s="24" t="s">
        <v>780</v>
      </c>
    </row>
    <row r="85" spans="1:17" x14ac:dyDescent="0.25">
      <c r="A85" s="24" t="s">
        <v>58</v>
      </c>
      <c r="C85" s="24" t="s">
        <v>781</v>
      </c>
      <c r="D85" s="24" t="s">
        <v>782</v>
      </c>
      <c r="E85" s="24" t="s">
        <v>783</v>
      </c>
      <c r="F85" s="24" t="s">
        <v>784</v>
      </c>
      <c r="G85" s="24" t="s">
        <v>785</v>
      </c>
      <c r="I85" s="24" t="s">
        <v>1828</v>
      </c>
      <c r="K85" s="24" t="s">
        <v>786</v>
      </c>
      <c r="L85" s="24" t="s">
        <v>787</v>
      </c>
      <c r="M85" s="24" t="s">
        <v>788</v>
      </c>
      <c r="O85" s="24" t="s">
        <v>789</v>
      </c>
      <c r="P85" s="24" t="s">
        <v>790</v>
      </c>
      <c r="Q85" s="24" t="s">
        <v>791</v>
      </c>
    </row>
    <row r="86" spans="1:17" x14ac:dyDescent="0.25">
      <c r="A86" s="24" t="s">
        <v>58</v>
      </c>
      <c r="C86" s="24" t="s">
        <v>792</v>
      </c>
      <c r="D86" s="24" t="s">
        <v>793</v>
      </c>
      <c r="E86" s="24" t="s">
        <v>794</v>
      </c>
      <c r="F86" s="24" t="s">
        <v>795</v>
      </c>
      <c r="G86" s="24" t="s">
        <v>796</v>
      </c>
      <c r="I86" s="24" t="s">
        <v>1829</v>
      </c>
      <c r="K86" s="24" t="s">
        <v>797</v>
      </c>
      <c r="L86" s="24" t="s">
        <v>798</v>
      </c>
      <c r="M86" s="24" t="s">
        <v>799</v>
      </c>
      <c r="O86" s="24" t="s">
        <v>800</v>
      </c>
      <c r="P86" s="24" t="s">
        <v>801</v>
      </c>
      <c r="Q86" s="24" t="s">
        <v>802</v>
      </c>
    </row>
    <row r="87" spans="1:17" x14ac:dyDescent="0.25">
      <c r="A87" s="24" t="s">
        <v>58</v>
      </c>
      <c r="C87" s="24" t="s">
        <v>803</v>
      </c>
      <c r="D87" s="24" t="s">
        <v>804</v>
      </c>
      <c r="E87" s="24" t="s">
        <v>805</v>
      </c>
      <c r="F87" s="24" t="s">
        <v>806</v>
      </c>
      <c r="G87" s="24" t="s">
        <v>807</v>
      </c>
      <c r="I87" s="24" t="s">
        <v>1830</v>
      </c>
      <c r="K87" s="24" t="s">
        <v>808</v>
      </c>
      <c r="L87" s="24" t="s">
        <v>809</v>
      </c>
      <c r="M87" s="24" t="s">
        <v>810</v>
      </c>
      <c r="O87" s="24" t="s">
        <v>811</v>
      </c>
      <c r="P87" s="24" t="s">
        <v>812</v>
      </c>
      <c r="Q87" s="24" t="s">
        <v>813</v>
      </c>
    </row>
    <row r="88" spans="1:17" x14ac:dyDescent="0.25">
      <c r="A88" s="24" t="s">
        <v>58</v>
      </c>
      <c r="C88" s="24" t="s">
        <v>814</v>
      </c>
      <c r="D88" s="24" t="s">
        <v>815</v>
      </c>
      <c r="E88" s="24" t="s">
        <v>816</v>
      </c>
      <c r="F88" s="24" t="s">
        <v>817</v>
      </c>
      <c r="G88" s="24" t="s">
        <v>818</v>
      </c>
      <c r="I88" s="24" t="s">
        <v>1831</v>
      </c>
      <c r="K88" s="24" t="s">
        <v>819</v>
      </c>
      <c r="L88" s="24" t="s">
        <v>820</v>
      </c>
      <c r="M88" s="24" t="s">
        <v>821</v>
      </c>
      <c r="O88" s="24" t="s">
        <v>822</v>
      </c>
      <c r="P88" s="24" t="s">
        <v>823</v>
      </c>
      <c r="Q88" s="24" t="s">
        <v>824</v>
      </c>
    </row>
    <row r="89" spans="1:17" x14ac:dyDescent="0.25">
      <c r="A89" s="24" t="s">
        <v>58</v>
      </c>
      <c r="C89" s="24" t="s">
        <v>825</v>
      </c>
      <c r="D89" s="24" t="s">
        <v>826</v>
      </c>
      <c r="E89" s="24" t="s">
        <v>827</v>
      </c>
      <c r="F89" s="24" t="s">
        <v>828</v>
      </c>
      <c r="G89" s="24" t="s">
        <v>829</v>
      </c>
      <c r="I89" s="24" t="s">
        <v>1832</v>
      </c>
      <c r="K89" s="24" t="s">
        <v>830</v>
      </c>
      <c r="L89" s="24" t="s">
        <v>831</v>
      </c>
      <c r="M89" s="24" t="s">
        <v>832</v>
      </c>
      <c r="O89" s="24" t="s">
        <v>833</v>
      </c>
      <c r="P89" s="24" t="s">
        <v>834</v>
      </c>
      <c r="Q89" s="24" t="s">
        <v>835</v>
      </c>
    </row>
    <row r="90" spans="1:17" x14ac:dyDescent="0.25">
      <c r="A90" s="24" t="s">
        <v>58</v>
      </c>
      <c r="C90" s="24" t="s">
        <v>836</v>
      </c>
      <c r="D90" s="24" t="s">
        <v>837</v>
      </c>
      <c r="E90" s="24" t="s">
        <v>838</v>
      </c>
      <c r="F90" s="24" t="s">
        <v>839</v>
      </c>
      <c r="G90" s="24" t="s">
        <v>840</v>
      </c>
      <c r="I90" s="24" t="s">
        <v>1833</v>
      </c>
      <c r="K90" s="24" t="s">
        <v>841</v>
      </c>
      <c r="L90" s="24" t="s">
        <v>842</v>
      </c>
      <c r="M90" s="24" t="s">
        <v>843</v>
      </c>
      <c r="O90" s="24" t="s">
        <v>844</v>
      </c>
      <c r="P90" s="24" t="s">
        <v>845</v>
      </c>
      <c r="Q90" s="24" t="s">
        <v>846</v>
      </c>
    </row>
    <row r="91" spans="1:17" x14ac:dyDescent="0.25">
      <c r="A91" s="24" t="s">
        <v>58</v>
      </c>
      <c r="C91" s="24" t="s">
        <v>847</v>
      </c>
      <c r="D91" s="24" t="s">
        <v>848</v>
      </c>
      <c r="E91" s="24" t="s">
        <v>849</v>
      </c>
      <c r="F91" s="24" t="s">
        <v>850</v>
      </c>
      <c r="G91" s="24" t="s">
        <v>851</v>
      </c>
      <c r="I91" s="24" t="s">
        <v>1834</v>
      </c>
      <c r="K91" s="24" t="s">
        <v>852</v>
      </c>
      <c r="L91" s="24" t="s">
        <v>853</v>
      </c>
      <c r="M91" s="24" t="s">
        <v>854</v>
      </c>
      <c r="O91" s="24" t="s">
        <v>855</v>
      </c>
      <c r="P91" s="24" t="s">
        <v>856</v>
      </c>
      <c r="Q91" s="24" t="s">
        <v>857</v>
      </c>
    </row>
    <row r="92" spans="1:17" x14ac:dyDescent="0.25">
      <c r="A92" s="24" t="s">
        <v>58</v>
      </c>
      <c r="C92" s="24" t="s">
        <v>858</v>
      </c>
      <c r="D92" s="24" t="s">
        <v>859</v>
      </c>
      <c r="E92" s="24" t="s">
        <v>860</v>
      </c>
      <c r="F92" s="24" t="s">
        <v>861</v>
      </c>
      <c r="G92" s="24" t="s">
        <v>862</v>
      </c>
      <c r="I92" s="24" t="s">
        <v>1835</v>
      </c>
      <c r="K92" s="24" t="s">
        <v>863</v>
      </c>
      <c r="L92" s="24" t="s">
        <v>864</v>
      </c>
      <c r="M92" s="24" t="s">
        <v>865</v>
      </c>
      <c r="O92" s="24" t="s">
        <v>866</v>
      </c>
      <c r="P92" s="24" t="s">
        <v>867</v>
      </c>
      <c r="Q92" s="24" t="s">
        <v>868</v>
      </c>
    </row>
    <row r="93" spans="1:17" x14ac:dyDescent="0.25">
      <c r="A93" s="24" t="s">
        <v>58</v>
      </c>
      <c r="C93" s="24" t="s">
        <v>869</v>
      </c>
      <c r="D93" s="24" t="s">
        <v>870</v>
      </c>
      <c r="E93" s="24" t="s">
        <v>871</v>
      </c>
      <c r="F93" s="24" t="s">
        <v>872</v>
      </c>
      <c r="G93" s="24" t="s">
        <v>873</v>
      </c>
      <c r="I93" s="24" t="s">
        <v>1836</v>
      </c>
      <c r="K93" s="24" t="s">
        <v>874</v>
      </c>
      <c r="L93" s="24" t="s">
        <v>875</v>
      </c>
      <c r="M93" s="24" t="s">
        <v>876</v>
      </c>
      <c r="O93" s="24" t="s">
        <v>877</v>
      </c>
      <c r="P93" s="24" t="s">
        <v>878</v>
      </c>
      <c r="Q93" s="24" t="s">
        <v>879</v>
      </c>
    </row>
    <row r="94" spans="1:17" x14ac:dyDescent="0.25">
      <c r="A94" s="24" t="s">
        <v>58</v>
      </c>
      <c r="C94" s="24" t="s">
        <v>880</v>
      </c>
      <c r="D94" s="24" t="s">
        <v>881</v>
      </c>
      <c r="E94" s="24" t="s">
        <v>882</v>
      </c>
      <c r="F94" s="24" t="s">
        <v>883</v>
      </c>
      <c r="G94" s="24" t="s">
        <v>884</v>
      </c>
      <c r="I94" s="24" t="s">
        <v>1837</v>
      </c>
      <c r="K94" s="24" t="s">
        <v>885</v>
      </c>
      <c r="L94" s="24" t="s">
        <v>886</v>
      </c>
      <c r="M94" s="24" t="s">
        <v>887</v>
      </c>
      <c r="O94" s="24" t="s">
        <v>888</v>
      </c>
      <c r="P94" s="24" t="s">
        <v>889</v>
      </c>
      <c r="Q94" s="24" t="s">
        <v>890</v>
      </c>
    </row>
    <row r="95" spans="1:17" x14ac:dyDescent="0.25">
      <c r="A95" s="24" t="s">
        <v>58</v>
      </c>
      <c r="C95" s="24" t="s">
        <v>891</v>
      </c>
      <c r="D95" s="24" t="s">
        <v>892</v>
      </c>
      <c r="E95" s="24" t="s">
        <v>893</v>
      </c>
      <c r="F95" s="24" t="s">
        <v>894</v>
      </c>
      <c r="G95" s="24" t="s">
        <v>895</v>
      </c>
      <c r="I95" s="24" t="s">
        <v>1838</v>
      </c>
      <c r="K95" s="24" t="s">
        <v>896</v>
      </c>
      <c r="L95" s="24" t="s">
        <v>897</v>
      </c>
      <c r="M95" s="24" t="s">
        <v>898</v>
      </c>
      <c r="O95" s="24" t="s">
        <v>899</v>
      </c>
      <c r="P95" s="24" t="s">
        <v>900</v>
      </c>
      <c r="Q95" s="24" t="s">
        <v>901</v>
      </c>
    </row>
    <row r="96" spans="1:17" x14ac:dyDescent="0.25">
      <c r="A96" s="24" t="s">
        <v>58</v>
      </c>
      <c r="C96" s="24" t="s">
        <v>902</v>
      </c>
      <c r="D96" s="24" t="s">
        <v>903</v>
      </c>
      <c r="E96" s="24" t="s">
        <v>904</v>
      </c>
      <c r="F96" s="24" t="s">
        <v>905</v>
      </c>
      <c r="G96" s="24" t="s">
        <v>906</v>
      </c>
      <c r="I96" s="24" t="s">
        <v>1839</v>
      </c>
      <c r="K96" s="24" t="s">
        <v>907</v>
      </c>
      <c r="L96" s="24" t="s">
        <v>908</v>
      </c>
      <c r="M96" s="24" t="s">
        <v>909</v>
      </c>
      <c r="O96" s="24" t="s">
        <v>910</v>
      </c>
      <c r="P96" s="24" t="s">
        <v>911</v>
      </c>
      <c r="Q96" s="24" t="s">
        <v>912</v>
      </c>
    </row>
    <row r="97" spans="1:17" x14ac:dyDescent="0.25">
      <c r="A97" s="24" t="s">
        <v>58</v>
      </c>
      <c r="C97" s="24" t="s">
        <v>913</v>
      </c>
      <c r="D97" s="24" t="s">
        <v>914</v>
      </c>
      <c r="E97" s="24" t="s">
        <v>915</v>
      </c>
      <c r="F97" s="24" t="s">
        <v>916</v>
      </c>
      <c r="G97" s="24" t="s">
        <v>917</v>
      </c>
      <c r="I97" s="24" t="s">
        <v>1840</v>
      </c>
      <c r="K97" s="24" t="s">
        <v>918</v>
      </c>
      <c r="L97" s="24" t="s">
        <v>919</v>
      </c>
      <c r="M97" s="24" t="s">
        <v>920</v>
      </c>
      <c r="O97" s="24" t="s">
        <v>921</v>
      </c>
      <c r="P97" s="24" t="s">
        <v>922</v>
      </c>
      <c r="Q97" s="24" t="s">
        <v>923</v>
      </c>
    </row>
    <row r="98" spans="1:17" x14ac:dyDescent="0.25">
      <c r="A98" s="24" t="s">
        <v>58</v>
      </c>
      <c r="C98" s="24" t="s">
        <v>924</v>
      </c>
      <c r="D98" s="24" t="s">
        <v>925</v>
      </c>
      <c r="E98" s="24" t="s">
        <v>926</v>
      </c>
      <c r="F98" s="24" t="s">
        <v>927</v>
      </c>
      <c r="G98" s="24" t="s">
        <v>928</v>
      </c>
      <c r="I98" s="24" t="s">
        <v>1841</v>
      </c>
      <c r="K98" s="24" t="s">
        <v>929</v>
      </c>
      <c r="L98" s="24" t="s">
        <v>930</v>
      </c>
      <c r="M98" s="24" t="s">
        <v>931</v>
      </c>
      <c r="O98" s="24" t="s">
        <v>932</v>
      </c>
      <c r="P98" s="24" t="s">
        <v>933</v>
      </c>
      <c r="Q98" s="24" t="s">
        <v>934</v>
      </c>
    </row>
    <row r="99" spans="1:17" x14ac:dyDescent="0.25">
      <c r="A99" s="24" t="s">
        <v>58</v>
      </c>
      <c r="C99" s="24" t="s">
        <v>935</v>
      </c>
      <c r="D99" s="24" t="s">
        <v>936</v>
      </c>
      <c r="E99" s="24" t="s">
        <v>937</v>
      </c>
      <c r="F99" s="24" t="s">
        <v>938</v>
      </c>
      <c r="G99" s="24" t="s">
        <v>939</v>
      </c>
      <c r="I99" s="24" t="s">
        <v>1842</v>
      </c>
      <c r="K99" s="24" t="s">
        <v>940</v>
      </c>
      <c r="L99" s="24" t="s">
        <v>941</v>
      </c>
      <c r="M99" s="24" t="s">
        <v>942</v>
      </c>
      <c r="O99" s="24" t="s">
        <v>943</v>
      </c>
      <c r="P99" s="24" t="s">
        <v>944</v>
      </c>
      <c r="Q99" s="24" t="s">
        <v>945</v>
      </c>
    </row>
    <row r="100" spans="1:17" x14ac:dyDescent="0.25">
      <c r="A100" s="24" t="s">
        <v>58</v>
      </c>
      <c r="C100" s="24" t="s">
        <v>946</v>
      </c>
      <c r="D100" s="24" t="s">
        <v>947</v>
      </c>
      <c r="E100" s="24" t="s">
        <v>948</v>
      </c>
      <c r="F100" s="24" t="s">
        <v>949</v>
      </c>
      <c r="G100" s="24" t="s">
        <v>950</v>
      </c>
      <c r="I100" s="24" t="s">
        <v>1843</v>
      </c>
      <c r="K100" s="24" t="s">
        <v>951</v>
      </c>
      <c r="L100" s="24" t="s">
        <v>952</v>
      </c>
      <c r="M100" s="24" t="s">
        <v>953</v>
      </c>
      <c r="O100" s="24" t="s">
        <v>954</v>
      </c>
      <c r="P100" s="24" t="s">
        <v>955</v>
      </c>
      <c r="Q100" s="24" t="s">
        <v>956</v>
      </c>
    </row>
    <row r="101" spans="1:17" x14ac:dyDescent="0.25">
      <c r="A101" s="24" t="s">
        <v>58</v>
      </c>
      <c r="C101" s="24" t="s">
        <v>957</v>
      </c>
      <c r="D101" s="24" t="s">
        <v>958</v>
      </c>
      <c r="E101" s="24" t="s">
        <v>959</v>
      </c>
      <c r="F101" s="24" t="s">
        <v>960</v>
      </c>
      <c r="G101" s="24" t="s">
        <v>961</v>
      </c>
      <c r="I101" s="24" t="s">
        <v>1844</v>
      </c>
      <c r="K101" s="24" t="s">
        <v>962</v>
      </c>
      <c r="L101" s="24" t="s">
        <v>963</v>
      </c>
      <c r="M101" s="24" t="s">
        <v>964</v>
      </c>
      <c r="O101" s="24" t="s">
        <v>965</v>
      </c>
      <c r="P101" s="24" t="s">
        <v>966</v>
      </c>
      <c r="Q101" s="24" t="s">
        <v>967</v>
      </c>
    </row>
    <row r="102" spans="1:17" x14ac:dyDescent="0.25">
      <c r="A102" s="24" t="s">
        <v>58</v>
      </c>
      <c r="C102" s="24" t="s">
        <v>968</v>
      </c>
      <c r="D102" s="24" t="s">
        <v>969</v>
      </c>
      <c r="E102" s="24" t="s">
        <v>970</v>
      </c>
      <c r="F102" s="24" t="s">
        <v>971</v>
      </c>
      <c r="G102" s="24" t="s">
        <v>972</v>
      </c>
      <c r="I102" s="24" t="s">
        <v>1845</v>
      </c>
      <c r="K102" s="24" t="s">
        <v>973</v>
      </c>
      <c r="L102" s="24" t="s">
        <v>974</v>
      </c>
      <c r="M102" s="24" t="s">
        <v>975</v>
      </c>
      <c r="O102" s="24" t="s">
        <v>976</v>
      </c>
      <c r="P102" s="24" t="s">
        <v>977</v>
      </c>
      <c r="Q102" s="24" t="s">
        <v>978</v>
      </c>
    </row>
    <row r="103" spans="1:17" x14ac:dyDescent="0.25">
      <c r="A103" s="24" t="s">
        <v>58</v>
      </c>
      <c r="C103" s="24" t="s">
        <v>979</v>
      </c>
      <c r="D103" s="24" t="s">
        <v>980</v>
      </c>
      <c r="E103" s="24" t="s">
        <v>981</v>
      </c>
      <c r="F103" s="24" t="s">
        <v>982</v>
      </c>
      <c r="G103" s="24" t="s">
        <v>983</v>
      </c>
      <c r="I103" s="24" t="s">
        <v>1846</v>
      </c>
      <c r="K103" s="24" t="s">
        <v>984</v>
      </c>
      <c r="L103" s="24" t="s">
        <v>985</v>
      </c>
      <c r="M103" s="24" t="s">
        <v>986</v>
      </c>
      <c r="O103" s="24" t="s">
        <v>987</v>
      </c>
      <c r="P103" s="24" t="s">
        <v>988</v>
      </c>
      <c r="Q103" s="24" t="s">
        <v>989</v>
      </c>
    </row>
    <row r="104" spans="1:17" x14ac:dyDescent="0.25">
      <c r="A104" s="24" t="s">
        <v>58</v>
      </c>
      <c r="C104" s="24" t="s">
        <v>990</v>
      </c>
      <c r="D104" s="24" t="s">
        <v>991</v>
      </c>
      <c r="E104" s="24" t="s">
        <v>992</v>
      </c>
      <c r="F104" s="24" t="s">
        <v>993</v>
      </c>
      <c r="G104" s="24" t="s">
        <v>994</v>
      </c>
      <c r="I104" s="24" t="s">
        <v>1847</v>
      </c>
      <c r="K104" s="24" t="s">
        <v>995</v>
      </c>
      <c r="L104" s="24" t="s">
        <v>996</v>
      </c>
      <c r="M104" s="24" t="s">
        <v>997</v>
      </c>
      <c r="O104" s="24" t="s">
        <v>998</v>
      </c>
      <c r="P104" s="24" t="s">
        <v>999</v>
      </c>
      <c r="Q104" s="24" t="s">
        <v>1000</v>
      </c>
    </row>
    <row r="105" spans="1:17" x14ac:dyDescent="0.25">
      <c r="A105" s="24" t="s">
        <v>58</v>
      </c>
      <c r="C105" s="24" t="s">
        <v>1001</v>
      </c>
      <c r="D105" s="24" t="s">
        <v>1002</v>
      </c>
      <c r="E105" s="24" t="s">
        <v>1003</v>
      </c>
      <c r="F105" s="24" t="s">
        <v>1004</v>
      </c>
      <c r="G105" s="24" t="s">
        <v>1005</v>
      </c>
      <c r="I105" s="24" t="s">
        <v>1848</v>
      </c>
      <c r="K105" s="24" t="s">
        <v>1006</v>
      </c>
      <c r="L105" s="24" t="s">
        <v>1007</v>
      </c>
      <c r="M105" s="24" t="s">
        <v>1008</v>
      </c>
      <c r="O105" s="24" t="s">
        <v>1009</v>
      </c>
      <c r="P105" s="24" t="s">
        <v>1010</v>
      </c>
      <c r="Q105" s="24" t="s">
        <v>1011</v>
      </c>
    </row>
    <row r="106" spans="1:17" x14ac:dyDescent="0.25">
      <c r="A106" s="24" t="s">
        <v>58</v>
      </c>
      <c r="C106" s="24" t="s">
        <v>1012</v>
      </c>
      <c r="D106" s="24" t="s">
        <v>1013</v>
      </c>
      <c r="E106" s="24" t="s">
        <v>1014</v>
      </c>
      <c r="F106" s="24" t="s">
        <v>1015</v>
      </c>
      <c r="G106" s="24" t="s">
        <v>1016</v>
      </c>
      <c r="I106" s="24" t="s">
        <v>1849</v>
      </c>
      <c r="K106" s="24" t="s">
        <v>1017</v>
      </c>
      <c r="L106" s="24" t="s">
        <v>1018</v>
      </c>
      <c r="M106" s="24" t="s">
        <v>1019</v>
      </c>
      <c r="O106" s="24" t="s">
        <v>1020</v>
      </c>
      <c r="P106" s="24" t="s">
        <v>1021</v>
      </c>
      <c r="Q106" s="24" t="s">
        <v>1022</v>
      </c>
    </row>
    <row r="107" spans="1:17" x14ac:dyDescent="0.25">
      <c r="A107" s="24" t="s">
        <v>58</v>
      </c>
      <c r="C107" s="24" t="s">
        <v>1023</v>
      </c>
      <c r="D107" s="24" t="s">
        <v>1024</v>
      </c>
      <c r="E107" s="24" t="s">
        <v>1025</v>
      </c>
      <c r="F107" s="24" t="s">
        <v>1026</v>
      </c>
      <c r="G107" s="24" t="s">
        <v>1027</v>
      </c>
      <c r="I107" s="24" t="s">
        <v>1850</v>
      </c>
      <c r="K107" s="24" t="s">
        <v>1028</v>
      </c>
      <c r="L107" s="24" t="s">
        <v>1029</v>
      </c>
      <c r="M107" s="24" t="s">
        <v>1030</v>
      </c>
      <c r="O107" s="24" t="s">
        <v>1031</v>
      </c>
      <c r="P107" s="24" t="s">
        <v>1032</v>
      </c>
      <c r="Q107" s="24" t="s">
        <v>1033</v>
      </c>
    </row>
    <row r="108" spans="1:17" x14ac:dyDescent="0.25">
      <c r="A108" s="24" t="s">
        <v>58</v>
      </c>
      <c r="C108" s="24" t="s">
        <v>1034</v>
      </c>
      <c r="D108" s="24" t="s">
        <v>1035</v>
      </c>
      <c r="E108" s="24" t="s">
        <v>1036</v>
      </c>
      <c r="F108" s="24" t="s">
        <v>1037</v>
      </c>
      <c r="G108" s="24" t="s">
        <v>1038</v>
      </c>
      <c r="I108" s="24" t="s">
        <v>1851</v>
      </c>
      <c r="K108" s="24" t="s">
        <v>1039</v>
      </c>
      <c r="L108" s="24" t="s">
        <v>1040</v>
      </c>
      <c r="M108" s="24" t="s">
        <v>1041</v>
      </c>
      <c r="O108" s="24" t="s">
        <v>1042</v>
      </c>
      <c r="P108" s="24" t="s">
        <v>1043</v>
      </c>
      <c r="Q108" s="24" t="s">
        <v>1044</v>
      </c>
    </row>
    <row r="109" spans="1:17" x14ac:dyDescent="0.25">
      <c r="A109" s="24" t="s">
        <v>58</v>
      </c>
      <c r="C109" s="24" t="s">
        <v>1045</v>
      </c>
      <c r="D109" s="24" t="s">
        <v>1046</v>
      </c>
      <c r="E109" s="24" t="s">
        <v>1047</v>
      </c>
      <c r="F109" s="24" t="s">
        <v>1048</v>
      </c>
      <c r="G109" s="24" t="s">
        <v>1049</v>
      </c>
      <c r="I109" s="24" t="s">
        <v>1852</v>
      </c>
      <c r="K109" s="24" t="s">
        <v>1050</v>
      </c>
      <c r="L109" s="24" t="s">
        <v>1051</v>
      </c>
      <c r="M109" s="24" t="s">
        <v>1052</v>
      </c>
      <c r="O109" s="24" t="s">
        <v>1053</v>
      </c>
      <c r="P109" s="24" t="s">
        <v>1054</v>
      </c>
      <c r="Q109" s="24" t="s">
        <v>1055</v>
      </c>
    </row>
    <row r="110" spans="1:17" x14ac:dyDescent="0.25">
      <c r="A110" s="24" t="s">
        <v>58</v>
      </c>
      <c r="C110" s="24" t="s">
        <v>1056</v>
      </c>
      <c r="D110" s="24" t="s">
        <v>1057</v>
      </c>
      <c r="E110" s="24" t="s">
        <v>1058</v>
      </c>
      <c r="F110" s="24" t="s">
        <v>1059</v>
      </c>
      <c r="G110" s="24" t="s">
        <v>1060</v>
      </c>
      <c r="I110" s="24" t="s">
        <v>1853</v>
      </c>
      <c r="K110" s="24" t="s">
        <v>1061</v>
      </c>
      <c r="L110" s="24" t="s">
        <v>1062</v>
      </c>
      <c r="M110" s="24" t="s">
        <v>1063</v>
      </c>
      <c r="O110" s="24" t="s">
        <v>1064</v>
      </c>
      <c r="P110" s="24" t="s">
        <v>1065</v>
      </c>
      <c r="Q110" s="24" t="s">
        <v>1066</v>
      </c>
    </row>
    <row r="111" spans="1:17" x14ac:dyDescent="0.25">
      <c r="A111" s="24" t="s">
        <v>58</v>
      </c>
      <c r="C111" s="24" t="s">
        <v>1067</v>
      </c>
      <c r="D111" s="24" t="s">
        <v>1068</v>
      </c>
      <c r="E111" s="24" t="s">
        <v>1069</v>
      </c>
      <c r="F111" s="24" t="s">
        <v>1070</v>
      </c>
      <c r="G111" s="24" t="s">
        <v>1071</v>
      </c>
      <c r="I111" s="24" t="s">
        <v>1854</v>
      </c>
      <c r="K111" s="24" t="s">
        <v>1072</v>
      </c>
      <c r="L111" s="24" t="s">
        <v>1073</v>
      </c>
      <c r="M111" s="24" t="s">
        <v>1074</v>
      </c>
      <c r="O111" s="24" t="s">
        <v>1075</v>
      </c>
      <c r="P111" s="24" t="s">
        <v>1076</v>
      </c>
      <c r="Q111" s="24" t="s">
        <v>1077</v>
      </c>
    </row>
    <row r="112" spans="1:17" x14ac:dyDescent="0.25">
      <c r="A112" s="24" t="s">
        <v>58</v>
      </c>
      <c r="C112" s="24" t="s">
        <v>1078</v>
      </c>
      <c r="D112" s="24" t="s">
        <v>1079</v>
      </c>
      <c r="E112" s="24" t="s">
        <v>1080</v>
      </c>
      <c r="F112" s="24" t="s">
        <v>1081</v>
      </c>
      <c r="G112" s="24" t="s">
        <v>1082</v>
      </c>
      <c r="I112" s="24" t="s">
        <v>1855</v>
      </c>
      <c r="K112" s="24" t="s">
        <v>1083</v>
      </c>
      <c r="L112" s="24" t="s">
        <v>1084</v>
      </c>
      <c r="M112" s="24" t="s">
        <v>1085</v>
      </c>
      <c r="O112" s="24" t="s">
        <v>1086</v>
      </c>
      <c r="P112" s="24" t="s">
        <v>1087</v>
      </c>
      <c r="Q112" s="24" t="s">
        <v>1088</v>
      </c>
    </row>
    <row r="113" spans="1:17" x14ac:dyDescent="0.25">
      <c r="A113" s="24" t="s">
        <v>58</v>
      </c>
      <c r="C113" s="24" t="s">
        <v>1089</v>
      </c>
      <c r="D113" s="24" t="s">
        <v>1090</v>
      </c>
      <c r="E113" s="24" t="s">
        <v>1091</v>
      </c>
      <c r="F113" s="24" t="s">
        <v>1092</v>
      </c>
      <c r="G113" s="24" t="s">
        <v>1093</v>
      </c>
      <c r="I113" s="24" t="s">
        <v>1856</v>
      </c>
      <c r="K113" s="24" t="s">
        <v>1094</v>
      </c>
      <c r="L113" s="24" t="s">
        <v>1095</v>
      </c>
      <c r="M113" s="24" t="s">
        <v>1096</v>
      </c>
      <c r="O113" s="24" t="s">
        <v>1097</v>
      </c>
      <c r="P113" s="24" t="s">
        <v>1098</v>
      </c>
      <c r="Q113" s="24" t="s">
        <v>1099</v>
      </c>
    </row>
    <row r="114" spans="1:17" x14ac:dyDescent="0.25">
      <c r="A114" s="24" t="s">
        <v>58</v>
      </c>
      <c r="C114" s="24" t="s">
        <v>1100</v>
      </c>
      <c r="D114" s="24" t="s">
        <v>1101</v>
      </c>
      <c r="E114" s="24" t="s">
        <v>1102</v>
      </c>
      <c r="F114" s="24" t="s">
        <v>1103</v>
      </c>
      <c r="G114" s="24" t="s">
        <v>1104</v>
      </c>
      <c r="I114" s="24" t="s">
        <v>1857</v>
      </c>
      <c r="K114" s="24" t="s">
        <v>1105</v>
      </c>
      <c r="L114" s="24" t="s">
        <v>1106</v>
      </c>
      <c r="M114" s="24" t="s">
        <v>1107</v>
      </c>
      <c r="O114" s="24" t="s">
        <v>1108</v>
      </c>
      <c r="P114" s="24" t="s">
        <v>1109</v>
      </c>
      <c r="Q114" s="24" t="s">
        <v>1110</v>
      </c>
    </row>
    <row r="115" spans="1:17" x14ac:dyDescent="0.25">
      <c r="A115" s="24" t="s">
        <v>58</v>
      </c>
      <c r="C115" s="24" t="s">
        <v>1111</v>
      </c>
      <c r="D115" s="24" t="s">
        <v>1112</v>
      </c>
      <c r="E115" s="24" t="s">
        <v>1113</v>
      </c>
      <c r="F115" s="24" t="s">
        <v>1114</v>
      </c>
      <c r="G115" s="24" t="s">
        <v>1115</v>
      </c>
      <c r="I115" s="24" t="s">
        <v>1858</v>
      </c>
      <c r="K115" s="24" t="s">
        <v>1116</v>
      </c>
      <c r="L115" s="24" t="s">
        <v>1117</v>
      </c>
      <c r="M115" s="24" t="s">
        <v>1118</v>
      </c>
      <c r="O115" s="24" t="s">
        <v>1119</v>
      </c>
      <c r="P115" s="24" t="s">
        <v>1120</v>
      </c>
      <c r="Q115" s="24" t="s">
        <v>1121</v>
      </c>
    </row>
    <row r="116" spans="1:17" x14ac:dyDescent="0.25">
      <c r="A116" s="24" t="s">
        <v>58</v>
      </c>
      <c r="C116" s="24" t="s">
        <v>1122</v>
      </c>
      <c r="D116" s="24" t="s">
        <v>1123</v>
      </c>
      <c r="E116" s="24" t="s">
        <v>1124</v>
      </c>
      <c r="F116" s="24" t="s">
        <v>1125</v>
      </c>
      <c r="G116" s="24" t="s">
        <v>1126</v>
      </c>
      <c r="I116" s="24" t="s">
        <v>1859</v>
      </c>
      <c r="K116" s="24" t="s">
        <v>1127</v>
      </c>
      <c r="L116" s="24" t="s">
        <v>1128</v>
      </c>
      <c r="M116" s="24" t="s">
        <v>1129</v>
      </c>
      <c r="O116" s="24" t="s">
        <v>1130</v>
      </c>
      <c r="P116" s="24" t="s">
        <v>1131</v>
      </c>
      <c r="Q116" s="24" t="s">
        <v>1132</v>
      </c>
    </row>
    <row r="117" spans="1:17" x14ac:dyDescent="0.25">
      <c r="A117" s="24" t="s">
        <v>58</v>
      </c>
      <c r="C117" s="24" t="s">
        <v>1133</v>
      </c>
      <c r="D117" s="24" t="s">
        <v>1134</v>
      </c>
      <c r="E117" s="24" t="s">
        <v>1135</v>
      </c>
      <c r="F117" s="24" t="s">
        <v>1136</v>
      </c>
      <c r="G117" s="24" t="s">
        <v>1137</v>
      </c>
      <c r="I117" s="24" t="s">
        <v>1860</v>
      </c>
      <c r="K117" s="24" t="s">
        <v>1138</v>
      </c>
      <c r="L117" s="24" t="s">
        <v>1139</v>
      </c>
      <c r="M117" s="24" t="s">
        <v>1140</v>
      </c>
      <c r="O117" s="24" t="s">
        <v>1141</v>
      </c>
      <c r="P117" s="24" t="s">
        <v>1142</v>
      </c>
      <c r="Q117" s="24" t="s">
        <v>1143</v>
      </c>
    </row>
    <row r="118" spans="1:17" x14ac:dyDescent="0.25">
      <c r="A118" s="24" t="s">
        <v>58</v>
      </c>
      <c r="C118" s="24" t="s">
        <v>1144</v>
      </c>
      <c r="D118" s="24" t="s">
        <v>1145</v>
      </c>
      <c r="E118" s="24" t="s">
        <v>1146</v>
      </c>
      <c r="F118" s="24" t="s">
        <v>1147</v>
      </c>
      <c r="G118" s="24" t="s">
        <v>1148</v>
      </c>
      <c r="I118" s="24" t="s">
        <v>1861</v>
      </c>
      <c r="K118" s="24" t="s">
        <v>1149</v>
      </c>
      <c r="L118" s="24" t="s">
        <v>1150</v>
      </c>
      <c r="M118" s="24" t="s">
        <v>1151</v>
      </c>
      <c r="O118" s="24" t="s">
        <v>1152</v>
      </c>
      <c r="P118" s="24" t="s">
        <v>1153</v>
      </c>
      <c r="Q118" s="24" t="s">
        <v>1154</v>
      </c>
    </row>
    <row r="119" spans="1:17" x14ac:dyDescent="0.25">
      <c r="A119" s="24" t="s">
        <v>58</v>
      </c>
      <c r="C119" s="24" t="s">
        <v>1155</v>
      </c>
      <c r="D119" s="24" t="s">
        <v>1156</v>
      </c>
      <c r="E119" s="24" t="s">
        <v>1157</v>
      </c>
      <c r="F119" s="24" t="s">
        <v>1158</v>
      </c>
      <c r="G119" s="24" t="s">
        <v>1159</v>
      </c>
      <c r="I119" s="24" t="s">
        <v>1862</v>
      </c>
      <c r="K119" s="24" t="s">
        <v>1160</v>
      </c>
      <c r="L119" s="24" t="s">
        <v>1161</v>
      </c>
      <c r="M119" s="24" t="s">
        <v>1162</v>
      </c>
      <c r="O119" s="24" t="s">
        <v>1163</v>
      </c>
      <c r="P119" s="24" t="s">
        <v>1164</v>
      </c>
      <c r="Q119" s="24" t="s">
        <v>1165</v>
      </c>
    </row>
    <row r="120" spans="1:17" x14ac:dyDescent="0.25">
      <c r="A120" s="24" t="s">
        <v>58</v>
      </c>
      <c r="C120" s="24" t="s">
        <v>1166</v>
      </c>
      <c r="D120" s="24" t="s">
        <v>1167</v>
      </c>
      <c r="E120" s="24" t="s">
        <v>1168</v>
      </c>
      <c r="F120" s="24" t="s">
        <v>1169</v>
      </c>
      <c r="G120" s="24" t="s">
        <v>1170</v>
      </c>
      <c r="I120" s="24" t="s">
        <v>1863</v>
      </c>
      <c r="K120" s="24" t="s">
        <v>1171</v>
      </c>
      <c r="L120" s="24" t="s">
        <v>1172</v>
      </c>
      <c r="M120" s="24" t="s">
        <v>1173</v>
      </c>
      <c r="O120" s="24" t="s">
        <v>1174</v>
      </c>
      <c r="P120" s="24" t="s">
        <v>1175</v>
      </c>
      <c r="Q120" s="24" t="s">
        <v>1176</v>
      </c>
    </row>
    <row r="121" spans="1:17" x14ac:dyDescent="0.25">
      <c r="A121" s="24" t="s">
        <v>58</v>
      </c>
      <c r="C121" s="24" t="s">
        <v>1177</v>
      </c>
      <c r="D121" s="24" t="s">
        <v>1178</v>
      </c>
      <c r="E121" s="24" t="s">
        <v>1179</v>
      </c>
      <c r="F121" s="24" t="s">
        <v>1180</v>
      </c>
      <c r="G121" s="24" t="s">
        <v>1181</v>
      </c>
      <c r="I121" s="24" t="s">
        <v>1864</v>
      </c>
      <c r="K121" s="24" t="s">
        <v>1182</v>
      </c>
      <c r="L121" s="24" t="s">
        <v>1183</v>
      </c>
      <c r="M121" s="24" t="s">
        <v>1184</v>
      </c>
      <c r="O121" s="24" t="s">
        <v>1185</v>
      </c>
      <c r="P121" s="24" t="s">
        <v>1186</v>
      </c>
      <c r="Q121" s="24" t="s">
        <v>1187</v>
      </c>
    </row>
    <row r="122" spans="1:17" x14ac:dyDescent="0.25">
      <c r="A122" s="24" t="s">
        <v>58</v>
      </c>
      <c r="C122" s="24" t="s">
        <v>1188</v>
      </c>
      <c r="D122" s="24" t="s">
        <v>1189</v>
      </c>
      <c r="E122" s="24" t="s">
        <v>1190</v>
      </c>
      <c r="F122" s="24" t="s">
        <v>1191</v>
      </c>
      <c r="G122" s="24" t="s">
        <v>1192</v>
      </c>
      <c r="I122" s="24" t="s">
        <v>1865</v>
      </c>
      <c r="K122" s="24" t="s">
        <v>1193</v>
      </c>
      <c r="L122" s="24" t="s">
        <v>1194</v>
      </c>
      <c r="M122" s="24" t="s">
        <v>1195</v>
      </c>
      <c r="O122" s="24" t="s">
        <v>1196</v>
      </c>
      <c r="P122" s="24" t="s">
        <v>1197</v>
      </c>
      <c r="Q122" s="24" t="s">
        <v>1198</v>
      </c>
    </row>
    <row r="123" spans="1:17" x14ac:dyDescent="0.25">
      <c r="A123" s="24" t="s">
        <v>58</v>
      </c>
      <c r="C123" s="24" t="s">
        <v>1199</v>
      </c>
      <c r="D123" s="24" t="s">
        <v>1200</v>
      </c>
      <c r="E123" s="24" t="s">
        <v>1201</v>
      </c>
      <c r="F123" s="24" t="s">
        <v>1202</v>
      </c>
      <c r="G123" s="24" t="s">
        <v>1203</v>
      </c>
      <c r="I123" s="24" t="s">
        <v>1866</v>
      </c>
      <c r="K123" s="24" t="s">
        <v>1204</v>
      </c>
      <c r="L123" s="24" t="s">
        <v>1205</v>
      </c>
      <c r="M123" s="24" t="s">
        <v>1206</v>
      </c>
      <c r="O123" s="24" t="s">
        <v>1207</v>
      </c>
      <c r="P123" s="24" t="s">
        <v>1208</v>
      </c>
      <c r="Q123" s="24" t="s">
        <v>1209</v>
      </c>
    </row>
    <row r="124" spans="1:17" x14ac:dyDescent="0.25">
      <c r="A124" s="24" t="s">
        <v>58</v>
      </c>
      <c r="C124" s="24" t="s">
        <v>1210</v>
      </c>
      <c r="D124" s="24" t="s">
        <v>1211</v>
      </c>
      <c r="E124" s="24" t="s">
        <v>1212</v>
      </c>
      <c r="F124" s="24" t="s">
        <v>1213</v>
      </c>
      <c r="G124" s="24" t="s">
        <v>1214</v>
      </c>
      <c r="I124" s="24" t="s">
        <v>1867</v>
      </c>
      <c r="K124" s="24" t="s">
        <v>1215</v>
      </c>
      <c r="L124" s="24" t="s">
        <v>1216</v>
      </c>
      <c r="M124" s="24" t="s">
        <v>1217</v>
      </c>
      <c r="O124" s="24" t="s">
        <v>1218</v>
      </c>
      <c r="P124" s="24" t="s">
        <v>1219</v>
      </c>
      <c r="Q124" s="24" t="s">
        <v>1220</v>
      </c>
    </row>
    <row r="125" spans="1:17" x14ac:dyDescent="0.25">
      <c r="A125" s="24" t="s">
        <v>58</v>
      </c>
      <c r="C125" s="24" t="s">
        <v>1221</v>
      </c>
      <c r="D125" s="24" t="s">
        <v>1222</v>
      </c>
      <c r="E125" s="24" t="s">
        <v>1223</v>
      </c>
      <c r="F125" s="24" t="s">
        <v>1224</v>
      </c>
      <c r="G125" s="24" t="s">
        <v>1225</v>
      </c>
      <c r="I125" s="24" t="s">
        <v>1868</v>
      </c>
      <c r="K125" s="24" t="s">
        <v>1226</v>
      </c>
      <c r="L125" s="24" t="s">
        <v>1227</v>
      </c>
      <c r="M125" s="24" t="s">
        <v>1228</v>
      </c>
      <c r="O125" s="24" t="s">
        <v>1229</v>
      </c>
      <c r="P125" s="24" t="s">
        <v>1230</v>
      </c>
      <c r="Q125" s="24" t="s">
        <v>1231</v>
      </c>
    </row>
    <row r="126" spans="1:17" x14ac:dyDescent="0.25">
      <c r="A126" s="24" t="s">
        <v>58</v>
      </c>
      <c r="C126" s="24" t="s">
        <v>1232</v>
      </c>
      <c r="D126" s="24" t="s">
        <v>1233</v>
      </c>
      <c r="E126" s="24" t="s">
        <v>1234</v>
      </c>
      <c r="F126" s="24" t="s">
        <v>1235</v>
      </c>
      <c r="G126" s="24" t="s">
        <v>1236</v>
      </c>
      <c r="I126" s="24" t="s">
        <v>1869</v>
      </c>
      <c r="K126" s="24" t="s">
        <v>1237</v>
      </c>
      <c r="L126" s="24" t="s">
        <v>1238</v>
      </c>
      <c r="M126" s="24" t="s">
        <v>1239</v>
      </c>
      <c r="O126" s="24" t="s">
        <v>1240</v>
      </c>
      <c r="P126" s="24" t="s">
        <v>1241</v>
      </c>
      <c r="Q126" s="24" t="s">
        <v>1242</v>
      </c>
    </row>
    <row r="127" spans="1:17" x14ac:dyDescent="0.25">
      <c r="A127" s="24" t="s">
        <v>58</v>
      </c>
      <c r="C127" s="24" t="s">
        <v>1243</v>
      </c>
      <c r="D127" s="24" t="s">
        <v>1244</v>
      </c>
      <c r="E127" s="24" t="s">
        <v>1245</v>
      </c>
      <c r="F127" s="24" t="s">
        <v>1246</v>
      </c>
      <c r="G127" s="24" t="s">
        <v>1247</v>
      </c>
      <c r="I127" s="24" t="s">
        <v>1870</v>
      </c>
      <c r="K127" s="24" t="s">
        <v>1248</v>
      </c>
      <c r="L127" s="24" t="s">
        <v>1249</v>
      </c>
      <c r="M127" s="24" t="s">
        <v>1250</v>
      </c>
      <c r="O127" s="24" t="s">
        <v>1251</v>
      </c>
      <c r="P127" s="24" t="s">
        <v>1252</v>
      </c>
      <c r="Q127" s="24" t="s">
        <v>1253</v>
      </c>
    </row>
    <row r="128" spans="1:17" x14ac:dyDescent="0.25">
      <c r="A128" s="24" t="s">
        <v>58</v>
      </c>
      <c r="C128" s="24" t="s">
        <v>1254</v>
      </c>
      <c r="D128" s="24" t="s">
        <v>1255</v>
      </c>
      <c r="E128" s="24" t="s">
        <v>1256</v>
      </c>
      <c r="F128" s="24" t="s">
        <v>1257</v>
      </c>
      <c r="G128" s="24" t="s">
        <v>1258</v>
      </c>
      <c r="I128" s="24" t="s">
        <v>1871</v>
      </c>
      <c r="K128" s="24" t="s">
        <v>1259</v>
      </c>
      <c r="L128" s="24" t="s">
        <v>1260</v>
      </c>
      <c r="M128" s="24" t="s">
        <v>1261</v>
      </c>
      <c r="O128" s="24" t="s">
        <v>1262</v>
      </c>
      <c r="P128" s="24" t="s">
        <v>1263</v>
      </c>
      <c r="Q128" s="24" t="s">
        <v>1264</v>
      </c>
    </row>
    <row r="129" spans="1:17" x14ac:dyDescent="0.25">
      <c r="A129" s="24" t="s">
        <v>58</v>
      </c>
      <c r="C129" s="24" t="s">
        <v>1265</v>
      </c>
      <c r="D129" s="24" t="s">
        <v>1266</v>
      </c>
      <c r="E129" s="24" t="s">
        <v>1267</v>
      </c>
      <c r="F129" s="24" t="s">
        <v>1268</v>
      </c>
      <c r="G129" s="24" t="s">
        <v>1269</v>
      </c>
      <c r="I129" s="24" t="s">
        <v>1872</v>
      </c>
      <c r="K129" s="24" t="s">
        <v>1270</v>
      </c>
      <c r="L129" s="24" t="s">
        <v>1271</v>
      </c>
      <c r="M129" s="24" t="s">
        <v>1272</v>
      </c>
      <c r="O129" s="24" t="s">
        <v>1273</v>
      </c>
      <c r="P129" s="24" t="s">
        <v>1274</v>
      </c>
      <c r="Q129" s="24" t="s">
        <v>1275</v>
      </c>
    </row>
    <row r="130" spans="1:17" x14ac:dyDescent="0.25">
      <c r="A130" s="24" t="s">
        <v>58</v>
      </c>
      <c r="C130" s="24" t="s">
        <v>1276</v>
      </c>
      <c r="D130" s="24" t="s">
        <v>1277</v>
      </c>
      <c r="E130" s="24" t="s">
        <v>1278</v>
      </c>
      <c r="F130" s="24" t="s">
        <v>1279</v>
      </c>
      <c r="G130" s="24" t="s">
        <v>1280</v>
      </c>
      <c r="I130" s="24" t="s">
        <v>1873</v>
      </c>
      <c r="K130" s="24" t="s">
        <v>1281</v>
      </c>
      <c r="L130" s="24" t="s">
        <v>1282</v>
      </c>
      <c r="M130" s="24" t="s">
        <v>1283</v>
      </c>
      <c r="O130" s="24" t="s">
        <v>1284</v>
      </c>
      <c r="P130" s="24" t="s">
        <v>1285</v>
      </c>
      <c r="Q130" s="24" t="s">
        <v>1286</v>
      </c>
    </row>
    <row r="131" spans="1:17" x14ac:dyDescent="0.25">
      <c r="A131" s="24" t="s">
        <v>58</v>
      </c>
      <c r="C131" s="24" t="s">
        <v>1287</v>
      </c>
      <c r="D131" s="24" t="s">
        <v>1288</v>
      </c>
      <c r="E131" s="24" t="s">
        <v>1289</v>
      </c>
      <c r="F131" s="24" t="s">
        <v>1290</v>
      </c>
      <c r="G131" s="24" t="s">
        <v>1291</v>
      </c>
      <c r="I131" s="24" t="s">
        <v>1874</v>
      </c>
      <c r="K131" s="24" t="s">
        <v>1292</v>
      </c>
      <c r="L131" s="24" t="s">
        <v>1293</v>
      </c>
      <c r="M131" s="24" t="s">
        <v>1294</v>
      </c>
      <c r="O131" s="24" t="s">
        <v>1295</v>
      </c>
      <c r="P131" s="24" t="s">
        <v>1296</v>
      </c>
      <c r="Q131" s="24" t="s">
        <v>1297</v>
      </c>
    </row>
    <row r="132" spans="1:17" x14ac:dyDescent="0.25">
      <c r="A132" s="24" t="s">
        <v>58</v>
      </c>
      <c r="C132" s="24" t="s">
        <v>1298</v>
      </c>
      <c r="D132" s="24" t="s">
        <v>1299</v>
      </c>
      <c r="E132" s="24" t="s">
        <v>1300</v>
      </c>
      <c r="F132" s="24" t="s">
        <v>1301</v>
      </c>
      <c r="G132" s="24" t="s">
        <v>1302</v>
      </c>
      <c r="I132" s="24" t="s">
        <v>1875</v>
      </c>
      <c r="K132" s="24" t="s">
        <v>1303</v>
      </c>
      <c r="L132" s="24" t="s">
        <v>1304</v>
      </c>
      <c r="M132" s="24" t="s">
        <v>1305</v>
      </c>
      <c r="O132" s="24" t="s">
        <v>1306</v>
      </c>
      <c r="P132" s="24" t="s">
        <v>1307</v>
      </c>
      <c r="Q132" s="24" t="s">
        <v>1308</v>
      </c>
    </row>
    <row r="133" spans="1:17" x14ac:dyDescent="0.25">
      <c r="A133" s="24" t="s">
        <v>58</v>
      </c>
      <c r="C133" s="24" t="s">
        <v>1309</v>
      </c>
      <c r="D133" s="24" t="s">
        <v>1310</v>
      </c>
      <c r="E133" s="24" t="s">
        <v>1311</v>
      </c>
      <c r="F133" s="24" t="s">
        <v>1312</v>
      </c>
      <c r="G133" s="24" t="s">
        <v>1313</v>
      </c>
      <c r="I133" s="24" t="s">
        <v>1876</v>
      </c>
      <c r="K133" s="24" t="s">
        <v>1314</v>
      </c>
      <c r="L133" s="24" t="s">
        <v>1315</v>
      </c>
      <c r="M133" s="24" t="s">
        <v>1316</v>
      </c>
      <c r="O133" s="24" t="s">
        <v>1317</v>
      </c>
      <c r="P133" s="24" t="s">
        <v>1318</v>
      </c>
      <c r="Q133" s="24" t="s">
        <v>1319</v>
      </c>
    </row>
    <row r="134" spans="1:17" x14ac:dyDescent="0.25">
      <c r="A134" s="24" t="s">
        <v>58</v>
      </c>
      <c r="C134" s="24" t="s">
        <v>1320</v>
      </c>
      <c r="D134" s="24" t="s">
        <v>1321</v>
      </c>
      <c r="E134" s="24" t="s">
        <v>1322</v>
      </c>
      <c r="F134" s="24" t="s">
        <v>1323</v>
      </c>
      <c r="G134" s="24" t="s">
        <v>1324</v>
      </c>
      <c r="I134" s="24" t="s">
        <v>1877</v>
      </c>
      <c r="K134" s="24" t="s">
        <v>1325</v>
      </c>
      <c r="L134" s="24" t="s">
        <v>1326</v>
      </c>
      <c r="M134" s="24" t="s">
        <v>1327</v>
      </c>
      <c r="O134" s="24" t="s">
        <v>1328</v>
      </c>
      <c r="P134" s="24" t="s">
        <v>1329</v>
      </c>
      <c r="Q134" s="24" t="s">
        <v>1330</v>
      </c>
    </row>
    <row r="135" spans="1:17" x14ac:dyDescent="0.25">
      <c r="A135" s="24" t="s">
        <v>58</v>
      </c>
      <c r="C135" s="24" t="s">
        <v>1331</v>
      </c>
      <c r="D135" s="24" t="s">
        <v>1332</v>
      </c>
      <c r="E135" s="24" t="s">
        <v>1333</v>
      </c>
      <c r="F135" s="24" t="s">
        <v>1334</v>
      </c>
      <c r="G135" s="24" t="s">
        <v>1335</v>
      </c>
      <c r="I135" s="24" t="s">
        <v>1878</v>
      </c>
      <c r="K135" s="24" t="s">
        <v>1336</v>
      </c>
      <c r="L135" s="24" t="s">
        <v>1337</v>
      </c>
      <c r="M135" s="24" t="s">
        <v>1338</v>
      </c>
      <c r="O135" s="24" t="s">
        <v>1339</v>
      </c>
      <c r="P135" s="24" t="s">
        <v>1340</v>
      </c>
      <c r="Q135" s="24" t="s">
        <v>1341</v>
      </c>
    </row>
    <row r="136" spans="1:17" x14ac:dyDescent="0.25">
      <c r="A136" s="24" t="s">
        <v>58</v>
      </c>
      <c r="C136" s="24" t="s">
        <v>1342</v>
      </c>
      <c r="D136" s="24" t="s">
        <v>1343</v>
      </c>
      <c r="E136" s="24" t="s">
        <v>1344</v>
      </c>
      <c r="F136" s="24" t="s">
        <v>1345</v>
      </c>
      <c r="G136" s="24" t="s">
        <v>1346</v>
      </c>
      <c r="I136" s="24" t="s">
        <v>1879</v>
      </c>
      <c r="K136" s="24" t="s">
        <v>1347</v>
      </c>
      <c r="L136" s="24" t="s">
        <v>1348</v>
      </c>
      <c r="M136" s="24" t="s">
        <v>1349</v>
      </c>
      <c r="O136" s="24" t="s">
        <v>1350</v>
      </c>
      <c r="P136" s="24" t="s">
        <v>1351</v>
      </c>
      <c r="Q136" s="24" t="s">
        <v>1352</v>
      </c>
    </row>
    <row r="137" spans="1:17" x14ac:dyDescent="0.25">
      <c r="A137" s="24" t="s">
        <v>58</v>
      </c>
      <c r="C137" s="24" t="s">
        <v>1353</v>
      </c>
      <c r="D137" s="24" t="s">
        <v>1354</v>
      </c>
      <c r="E137" s="24" t="s">
        <v>1355</v>
      </c>
      <c r="F137" s="24" t="s">
        <v>1356</v>
      </c>
      <c r="G137" s="24" t="s">
        <v>1357</v>
      </c>
      <c r="I137" s="24" t="s">
        <v>1880</v>
      </c>
      <c r="K137" s="24" t="s">
        <v>1358</v>
      </c>
      <c r="L137" s="24" t="s">
        <v>1359</v>
      </c>
      <c r="M137" s="24" t="s">
        <v>1360</v>
      </c>
      <c r="O137" s="24" t="s">
        <v>1361</v>
      </c>
      <c r="P137" s="24" t="s">
        <v>1362</v>
      </c>
      <c r="Q137" s="24" t="s">
        <v>1363</v>
      </c>
    </row>
    <row r="138" spans="1:17" x14ac:dyDescent="0.25">
      <c r="A138" s="24" t="s">
        <v>58</v>
      </c>
      <c r="C138" s="24" t="s">
        <v>1364</v>
      </c>
      <c r="D138" s="24" t="s">
        <v>1365</v>
      </c>
      <c r="E138" s="24" t="s">
        <v>1366</v>
      </c>
      <c r="F138" s="24" t="s">
        <v>1367</v>
      </c>
      <c r="G138" s="24" t="s">
        <v>1368</v>
      </c>
      <c r="I138" s="24" t="s">
        <v>1881</v>
      </c>
      <c r="K138" s="24" t="s">
        <v>1369</v>
      </c>
      <c r="L138" s="24" t="s">
        <v>1370</v>
      </c>
      <c r="M138" s="24" t="s">
        <v>1371</v>
      </c>
      <c r="O138" s="24" t="s">
        <v>1372</v>
      </c>
      <c r="P138" s="24" t="s">
        <v>1373</v>
      </c>
      <c r="Q138" s="24" t="s">
        <v>1374</v>
      </c>
    </row>
    <row r="139" spans="1:17" x14ac:dyDescent="0.25">
      <c r="A139" s="24" t="s">
        <v>58</v>
      </c>
      <c r="C139" s="24" t="s">
        <v>1375</v>
      </c>
      <c r="D139" s="24" t="s">
        <v>1376</v>
      </c>
      <c r="E139" s="24" t="s">
        <v>1377</v>
      </c>
      <c r="F139" s="24" t="s">
        <v>1378</v>
      </c>
      <c r="G139" s="24" t="s">
        <v>1379</v>
      </c>
      <c r="I139" s="24" t="s">
        <v>1882</v>
      </c>
      <c r="K139" s="24" t="s">
        <v>1380</v>
      </c>
      <c r="L139" s="24" t="s">
        <v>1381</v>
      </c>
      <c r="M139" s="24" t="s">
        <v>1382</v>
      </c>
      <c r="O139" s="24" t="s">
        <v>1383</v>
      </c>
      <c r="P139" s="24" t="s">
        <v>1384</v>
      </c>
      <c r="Q139" s="24" t="s">
        <v>1385</v>
      </c>
    </row>
    <row r="140" spans="1:17" x14ac:dyDescent="0.25">
      <c r="A140" s="24" t="s">
        <v>58</v>
      </c>
      <c r="C140" s="24" t="s">
        <v>1386</v>
      </c>
      <c r="D140" s="24" t="s">
        <v>1387</v>
      </c>
      <c r="E140" s="24" t="s">
        <v>1388</v>
      </c>
      <c r="F140" s="24" t="s">
        <v>1389</v>
      </c>
      <c r="G140" s="24" t="s">
        <v>1390</v>
      </c>
      <c r="I140" s="24" t="s">
        <v>1883</v>
      </c>
      <c r="K140" s="24" t="s">
        <v>1391</v>
      </c>
      <c r="L140" s="24" t="s">
        <v>1392</v>
      </c>
      <c r="M140" s="24" t="s">
        <v>1393</v>
      </c>
      <c r="O140" s="24" t="s">
        <v>1394</v>
      </c>
      <c r="P140" s="24" t="s">
        <v>1395</v>
      </c>
      <c r="Q140" s="24" t="s">
        <v>1396</v>
      </c>
    </row>
    <row r="141" spans="1:17" x14ac:dyDescent="0.25">
      <c r="A141" s="24" t="s">
        <v>58</v>
      </c>
      <c r="C141" s="24" t="s">
        <v>1397</v>
      </c>
      <c r="D141" s="24" t="s">
        <v>1398</v>
      </c>
      <c r="E141" s="24" t="s">
        <v>1399</v>
      </c>
      <c r="F141" s="24" t="s">
        <v>1400</v>
      </c>
      <c r="G141" s="24" t="s">
        <v>1401</v>
      </c>
      <c r="I141" s="24" t="s">
        <v>1884</v>
      </c>
      <c r="K141" s="24" t="s">
        <v>1402</v>
      </c>
      <c r="L141" s="24" t="s">
        <v>1403</v>
      </c>
      <c r="M141" s="24" t="s">
        <v>1404</v>
      </c>
      <c r="O141" s="24" t="s">
        <v>1405</v>
      </c>
      <c r="P141" s="24" t="s">
        <v>1406</v>
      </c>
      <c r="Q141" s="24" t="s">
        <v>1407</v>
      </c>
    </row>
    <row r="142" spans="1:17" x14ac:dyDescent="0.25">
      <c r="A142" s="24" t="s">
        <v>58</v>
      </c>
      <c r="C142" s="24" t="s">
        <v>1408</v>
      </c>
      <c r="D142" s="24" t="s">
        <v>1409</v>
      </c>
      <c r="E142" s="24" t="s">
        <v>1410</v>
      </c>
      <c r="F142" s="24" t="s">
        <v>1411</v>
      </c>
      <c r="G142" s="24" t="s">
        <v>1412</v>
      </c>
      <c r="I142" s="24" t="s">
        <v>1885</v>
      </c>
      <c r="K142" s="24" t="s">
        <v>1413</v>
      </c>
      <c r="L142" s="24" t="s">
        <v>1414</v>
      </c>
      <c r="M142" s="24" t="s">
        <v>1415</v>
      </c>
      <c r="O142" s="24" t="s">
        <v>1416</v>
      </c>
      <c r="P142" s="24" t="s">
        <v>1417</v>
      </c>
      <c r="Q142" s="24" t="s">
        <v>1418</v>
      </c>
    </row>
    <row r="143" spans="1:17" x14ac:dyDescent="0.25">
      <c r="A143" s="24" t="s">
        <v>58</v>
      </c>
      <c r="C143" s="24" t="s">
        <v>1419</v>
      </c>
      <c r="D143" s="24" t="s">
        <v>1420</v>
      </c>
      <c r="E143" s="24" t="s">
        <v>1421</v>
      </c>
      <c r="F143" s="24" t="s">
        <v>1422</v>
      </c>
      <c r="G143" s="24" t="s">
        <v>1423</v>
      </c>
      <c r="I143" s="24" t="s">
        <v>1886</v>
      </c>
      <c r="K143" s="24" t="s">
        <v>1424</v>
      </c>
      <c r="L143" s="24" t="s">
        <v>1425</v>
      </c>
      <c r="M143" s="24" t="s">
        <v>1426</v>
      </c>
      <c r="O143" s="24" t="s">
        <v>1427</v>
      </c>
      <c r="P143" s="24" t="s">
        <v>1428</v>
      </c>
      <c r="Q143" s="24" t="s">
        <v>1429</v>
      </c>
    </row>
    <row r="144" spans="1:17" x14ac:dyDescent="0.25">
      <c r="A144" s="24" t="s">
        <v>58</v>
      </c>
      <c r="C144" s="24" t="s">
        <v>1430</v>
      </c>
      <c r="D144" s="24" t="s">
        <v>1431</v>
      </c>
      <c r="E144" s="24" t="s">
        <v>1432</v>
      </c>
      <c r="F144" s="24" t="s">
        <v>1433</v>
      </c>
      <c r="G144" s="24" t="s">
        <v>1434</v>
      </c>
      <c r="I144" s="24" t="s">
        <v>1887</v>
      </c>
      <c r="K144" s="24" t="s">
        <v>1435</v>
      </c>
      <c r="L144" s="24" t="s">
        <v>1436</v>
      </c>
      <c r="M144" s="24" t="s">
        <v>1437</v>
      </c>
      <c r="O144" s="24" t="s">
        <v>1438</v>
      </c>
      <c r="P144" s="24" t="s">
        <v>1439</v>
      </c>
      <c r="Q144" s="24" t="s">
        <v>1440</v>
      </c>
    </row>
    <row r="145" spans="1:17" x14ac:dyDescent="0.25">
      <c r="A145" s="24" t="s">
        <v>58</v>
      </c>
      <c r="C145" s="24" t="s">
        <v>1441</v>
      </c>
      <c r="D145" s="24" t="s">
        <v>1442</v>
      </c>
      <c r="E145" s="24" t="s">
        <v>1443</v>
      </c>
      <c r="F145" s="24" t="s">
        <v>1444</v>
      </c>
      <c r="G145" s="24" t="s">
        <v>1445</v>
      </c>
      <c r="I145" s="24" t="s">
        <v>1888</v>
      </c>
      <c r="K145" s="24" t="s">
        <v>1446</v>
      </c>
      <c r="L145" s="24" t="s">
        <v>1447</v>
      </c>
      <c r="M145" s="24" t="s">
        <v>1448</v>
      </c>
      <c r="O145" s="24" t="s">
        <v>1449</v>
      </c>
      <c r="P145" s="24" t="s">
        <v>1450</v>
      </c>
      <c r="Q145" s="24" t="s">
        <v>1451</v>
      </c>
    </row>
    <row r="146" spans="1:17" x14ac:dyDescent="0.25">
      <c r="A146" s="24" t="s">
        <v>58</v>
      </c>
      <c r="C146" s="24" t="s">
        <v>1452</v>
      </c>
      <c r="D146" s="24" t="s">
        <v>1453</v>
      </c>
      <c r="E146" s="24" t="s">
        <v>1454</v>
      </c>
      <c r="F146" s="24" t="s">
        <v>1455</v>
      </c>
      <c r="G146" s="24" t="s">
        <v>1456</v>
      </c>
      <c r="I146" s="24" t="s">
        <v>1889</v>
      </c>
      <c r="K146" s="24" t="s">
        <v>1457</v>
      </c>
      <c r="L146" s="24" t="s">
        <v>1458</v>
      </c>
      <c r="M146" s="24" t="s">
        <v>1459</v>
      </c>
      <c r="O146" s="24" t="s">
        <v>1460</v>
      </c>
      <c r="P146" s="24" t="s">
        <v>1461</v>
      </c>
      <c r="Q146" s="24" t="s">
        <v>1462</v>
      </c>
    </row>
    <row r="147" spans="1:17" x14ac:dyDescent="0.25">
      <c r="A147" s="24" t="s">
        <v>58</v>
      </c>
      <c r="C147" s="24" t="s">
        <v>1463</v>
      </c>
      <c r="D147" s="24" t="s">
        <v>1464</v>
      </c>
      <c r="E147" s="24" t="s">
        <v>1465</v>
      </c>
      <c r="F147" s="24" t="s">
        <v>1466</v>
      </c>
      <c r="G147" s="24" t="s">
        <v>1467</v>
      </c>
      <c r="I147" s="24" t="s">
        <v>1890</v>
      </c>
      <c r="K147" s="24" t="s">
        <v>1468</v>
      </c>
      <c r="L147" s="24" t="s">
        <v>1469</v>
      </c>
      <c r="M147" s="24" t="s">
        <v>1470</v>
      </c>
      <c r="O147" s="24" t="s">
        <v>1471</v>
      </c>
      <c r="P147" s="24" t="s">
        <v>1472</v>
      </c>
      <c r="Q147" s="24" t="s">
        <v>1473</v>
      </c>
    </row>
    <row r="148" spans="1:17" x14ac:dyDescent="0.25">
      <c r="A148" s="24" t="s">
        <v>58</v>
      </c>
      <c r="C148" s="24" t="s">
        <v>1474</v>
      </c>
      <c r="D148" s="24" t="s">
        <v>1475</v>
      </c>
      <c r="E148" s="24" t="s">
        <v>1476</v>
      </c>
      <c r="F148" s="24" t="s">
        <v>1477</v>
      </c>
      <c r="G148" s="24" t="s">
        <v>1478</v>
      </c>
      <c r="I148" s="24" t="s">
        <v>1891</v>
      </c>
      <c r="K148" s="24" t="s">
        <v>1479</v>
      </c>
      <c r="L148" s="24" t="s">
        <v>1480</v>
      </c>
      <c r="M148" s="24" t="s">
        <v>1481</v>
      </c>
      <c r="O148" s="24" t="s">
        <v>1482</v>
      </c>
      <c r="P148" s="24" t="s">
        <v>1483</v>
      </c>
      <c r="Q148" s="24" t="s">
        <v>1484</v>
      </c>
    </row>
    <row r="149" spans="1:17" x14ac:dyDescent="0.25">
      <c r="A149" s="24" t="s">
        <v>58</v>
      </c>
      <c r="C149" s="24" t="s">
        <v>1485</v>
      </c>
      <c r="D149" s="24" t="s">
        <v>1486</v>
      </c>
      <c r="E149" s="24" t="s">
        <v>1487</v>
      </c>
      <c r="F149" s="24" t="s">
        <v>1488</v>
      </c>
      <c r="G149" s="24" t="s">
        <v>1489</v>
      </c>
      <c r="I149" s="24" t="s">
        <v>1892</v>
      </c>
      <c r="K149" s="24" t="s">
        <v>1490</v>
      </c>
      <c r="L149" s="24" t="s">
        <v>1491</v>
      </c>
      <c r="M149" s="24" t="s">
        <v>1492</v>
      </c>
      <c r="O149" s="24" t="s">
        <v>1493</v>
      </c>
      <c r="P149" s="24" t="s">
        <v>1494</v>
      </c>
      <c r="Q149" s="24" t="s">
        <v>1495</v>
      </c>
    </row>
    <row r="150" spans="1:17" x14ac:dyDescent="0.25">
      <c r="A150" s="24" t="s">
        <v>58</v>
      </c>
      <c r="C150" s="24" t="s">
        <v>1496</v>
      </c>
      <c r="D150" s="24" t="s">
        <v>1497</v>
      </c>
      <c r="E150" s="24" t="s">
        <v>1498</v>
      </c>
      <c r="F150" s="24" t="s">
        <v>1499</v>
      </c>
      <c r="G150" s="24" t="s">
        <v>1500</v>
      </c>
      <c r="I150" s="24" t="s">
        <v>1893</v>
      </c>
      <c r="K150" s="24" t="s">
        <v>1501</v>
      </c>
      <c r="L150" s="24" t="s">
        <v>1502</v>
      </c>
      <c r="M150" s="24" t="s">
        <v>1503</v>
      </c>
      <c r="O150" s="24" t="s">
        <v>1504</v>
      </c>
      <c r="P150" s="24" t="s">
        <v>1505</v>
      </c>
      <c r="Q150" s="24" t="s">
        <v>1506</v>
      </c>
    </row>
    <row r="151" spans="1:17" x14ac:dyDescent="0.25">
      <c r="A151" s="24" t="s">
        <v>58</v>
      </c>
      <c r="C151" s="24" t="s">
        <v>1507</v>
      </c>
      <c r="D151" s="24" t="s">
        <v>1508</v>
      </c>
      <c r="E151" s="24" t="s">
        <v>1509</v>
      </c>
      <c r="F151" s="24" t="s">
        <v>1510</v>
      </c>
      <c r="G151" s="24" t="s">
        <v>1511</v>
      </c>
      <c r="I151" s="24" t="s">
        <v>1894</v>
      </c>
      <c r="K151" s="24" t="s">
        <v>1512</v>
      </c>
      <c r="L151" s="24" t="s">
        <v>1513</v>
      </c>
      <c r="M151" s="24" t="s">
        <v>1514</v>
      </c>
      <c r="O151" s="24" t="s">
        <v>1515</v>
      </c>
      <c r="P151" s="24" t="s">
        <v>1516</v>
      </c>
      <c r="Q151" s="24" t="s">
        <v>1517</v>
      </c>
    </row>
    <row r="152" spans="1:17" x14ac:dyDescent="0.25">
      <c r="A152" s="24" t="s">
        <v>58</v>
      </c>
      <c r="C152" s="24" t="s">
        <v>1518</v>
      </c>
      <c r="D152" s="24" t="s">
        <v>1519</v>
      </c>
      <c r="E152" s="24" t="s">
        <v>1520</v>
      </c>
      <c r="F152" s="24" t="s">
        <v>1521</v>
      </c>
      <c r="G152" s="24" t="s">
        <v>1522</v>
      </c>
      <c r="I152" s="24" t="s">
        <v>1895</v>
      </c>
      <c r="K152" s="24" t="s">
        <v>1523</v>
      </c>
      <c r="L152" s="24" t="s">
        <v>1524</v>
      </c>
      <c r="M152" s="24" t="s">
        <v>1525</v>
      </c>
      <c r="O152" s="24" t="s">
        <v>1526</v>
      </c>
      <c r="P152" s="24" t="s">
        <v>1527</v>
      </c>
      <c r="Q152" s="24" t="s">
        <v>1528</v>
      </c>
    </row>
    <row r="153" spans="1:17" x14ac:dyDescent="0.25">
      <c r="A153" s="24" t="s">
        <v>58</v>
      </c>
      <c r="C153" s="24" t="s">
        <v>1529</v>
      </c>
      <c r="D153" s="24" t="s">
        <v>1530</v>
      </c>
      <c r="E153" s="24" t="s">
        <v>1531</v>
      </c>
      <c r="F153" s="24" t="s">
        <v>1532</v>
      </c>
      <c r="G153" s="24" t="s">
        <v>1533</v>
      </c>
      <c r="I153" s="24" t="s">
        <v>1896</v>
      </c>
      <c r="K153" s="24" t="s">
        <v>1534</v>
      </c>
      <c r="L153" s="24" t="s">
        <v>1535</v>
      </c>
      <c r="M153" s="24" t="s">
        <v>1536</v>
      </c>
      <c r="O153" s="24" t="s">
        <v>1537</v>
      </c>
      <c r="P153" s="24" t="s">
        <v>1538</v>
      </c>
      <c r="Q153" s="24" t="s">
        <v>1539</v>
      </c>
    </row>
    <row r="154" spans="1:17" x14ac:dyDescent="0.25">
      <c r="A154" s="24" t="s">
        <v>58</v>
      </c>
      <c r="C154" s="24" t="s">
        <v>1540</v>
      </c>
      <c r="D154" s="24" t="s">
        <v>1541</v>
      </c>
      <c r="E154" s="24" t="s">
        <v>1542</v>
      </c>
      <c r="F154" s="24" t="s">
        <v>1543</v>
      </c>
      <c r="G154" s="24" t="s">
        <v>1544</v>
      </c>
      <c r="I154" s="24" t="s">
        <v>1897</v>
      </c>
      <c r="K154" s="24" t="s">
        <v>1545</v>
      </c>
      <c r="L154" s="24" t="s">
        <v>1546</v>
      </c>
      <c r="M154" s="24" t="s">
        <v>1547</v>
      </c>
      <c r="O154" s="24" t="s">
        <v>1548</v>
      </c>
      <c r="P154" s="24" t="s">
        <v>1549</v>
      </c>
      <c r="Q154" s="24" t="s">
        <v>1550</v>
      </c>
    </row>
    <row r="155" spans="1:17" x14ac:dyDescent="0.25">
      <c r="A155" s="24" t="s">
        <v>58</v>
      </c>
      <c r="C155" s="24" t="s">
        <v>1551</v>
      </c>
      <c r="D155" s="24" t="s">
        <v>1552</v>
      </c>
      <c r="E155" s="24" t="s">
        <v>1553</v>
      </c>
      <c r="F155" s="24" t="s">
        <v>1554</v>
      </c>
      <c r="G155" s="24" t="s">
        <v>1555</v>
      </c>
      <c r="I155" s="24" t="s">
        <v>1898</v>
      </c>
      <c r="K155" s="24" t="s">
        <v>1556</v>
      </c>
      <c r="L155" s="24" t="s">
        <v>1557</v>
      </c>
      <c r="M155" s="24" t="s">
        <v>1558</v>
      </c>
      <c r="O155" s="24" t="s">
        <v>1559</v>
      </c>
      <c r="P155" s="24" t="s">
        <v>1560</v>
      </c>
      <c r="Q155" s="24" t="s">
        <v>1561</v>
      </c>
    </row>
    <row r="156" spans="1:17" x14ac:dyDescent="0.25">
      <c r="A156" s="24" t="s">
        <v>58</v>
      </c>
      <c r="C156" s="24" t="s">
        <v>1562</v>
      </c>
      <c r="D156" s="24" t="s">
        <v>1563</v>
      </c>
      <c r="E156" s="24" t="s">
        <v>1564</v>
      </c>
      <c r="F156" s="24" t="s">
        <v>1565</v>
      </c>
      <c r="G156" s="24" t="s">
        <v>1566</v>
      </c>
      <c r="I156" s="24" t="s">
        <v>1899</v>
      </c>
      <c r="K156" s="24" t="s">
        <v>1567</v>
      </c>
      <c r="L156" s="24" t="s">
        <v>1568</v>
      </c>
      <c r="M156" s="24" t="s">
        <v>1569</v>
      </c>
      <c r="O156" s="24" t="s">
        <v>1570</v>
      </c>
      <c r="P156" s="24" t="s">
        <v>1571</v>
      </c>
      <c r="Q156" s="24" t="s">
        <v>1572</v>
      </c>
    </row>
    <row r="157" spans="1:17" x14ac:dyDescent="0.25">
      <c r="A157" s="24" t="s">
        <v>58</v>
      </c>
      <c r="C157" s="24" t="s">
        <v>1573</v>
      </c>
      <c r="D157" s="24" t="s">
        <v>1574</v>
      </c>
      <c r="E157" s="24" t="s">
        <v>1575</v>
      </c>
      <c r="F157" s="24" t="s">
        <v>1576</v>
      </c>
      <c r="G157" s="24" t="s">
        <v>1577</v>
      </c>
      <c r="I157" s="24" t="s">
        <v>1900</v>
      </c>
      <c r="K157" s="24" t="s">
        <v>1578</v>
      </c>
      <c r="L157" s="24" t="s">
        <v>1579</v>
      </c>
      <c r="M157" s="24" t="s">
        <v>1580</v>
      </c>
      <c r="O157" s="24" t="s">
        <v>1581</v>
      </c>
      <c r="P157" s="24" t="s">
        <v>1582</v>
      </c>
      <c r="Q157" s="24" t="s">
        <v>1583</v>
      </c>
    </row>
    <row r="158" spans="1:17" x14ac:dyDescent="0.25">
      <c r="A158" s="24" t="s">
        <v>58</v>
      </c>
      <c r="C158" s="24" t="s">
        <v>1584</v>
      </c>
      <c r="D158" s="24" t="s">
        <v>1585</v>
      </c>
      <c r="E158" s="24" t="s">
        <v>1586</v>
      </c>
      <c r="F158" s="24" t="s">
        <v>1587</v>
      </c>
      <c r="G158" s="24" t="s">
        <v>1588</v>
      </c>
      <c r="I158" s="24" t="s">
        <v>1901</v>
      </c>
      <c r="K158" s="24" t="s">
        <v>1589</v>
      </c>
      <c r="L158" s="24" t="s">
        <v>1590</v>
      </c>
      <c r="M158" s="24" t="s">
        <v>1591</v>
      </c>
      <c r="O158" s="24" t="s">
        <v>1592</v>
      </c>
      <c r="P158" s="24" t="s">
        <v>1593</v>
      </c>
      <c r="Q158" s="24" t="s">
        <v>1594</v>
      </c>
    </row>
    <row r="159" spans="1:17" x14ac:dyDescent="0.25">
      <c r="A159" s="24" t="s">
        <v>58</v>
      </c>
      <c r="C159" s="24" t="s">
        <v>1595</v>
      </c>
      <c r="D159" s="24" t="s">
        <v>1596</v>
      </c>
      <c r="E159" s="24" t="s">
        <v>1597</v>
      </c>
      <c r="F159" s="24" t="s">
        <v>1598</v>
      </c>
      <c r="G159" s="24" t="s">
        <v>1599</v>
      </c>
      <c r="I159" s="24" t="s">
        <v>1902</v>
      </c>
      <c r="K159" s="24" t="s">
        <v>1600</v>
      </c>
      <c r="L159" s="24" t="s">
        <v>1601</v>
      </c>
      <c r="M159" s="24" t="s">
        <v>1602</v>
      </c>
      <c r="O159" s="24" t="s">
        <v>1603</v>
      </c>
      <c r="P159" s="24" t="s">
        <v>1604</v>
      </c>
      <c r="Q159" s="24" t="s">
        <v>1605</v>
      </c>
    </row>
    <row r="160" spans="1:17" x14ac:dyDescent="0.25">
      <c r="A160" s="24" t="s">
        <v>58</v>
      </c>
      <c r="C160" s="24" t="s">
        <v>1606</v>
      </c>
      <c r="D160" s="24" t="s">
        <v>1607</v>
      </c>
      <c r="E160" s="24" t="s">
        <v>1608</v>
      </c>
      <c r="F160" s="24" t="s">
        <v>1609</v>
      </c>
      <c r="G160" s="24" t="s">
        <v>1610</v>
      </c>
      <c r="I160" s="24" t="s">
        <v>1903</v>
      </c>
      <c r="K160" s="24" t="s">
        <v>1611</v>
      </c>
      <c r="L160" s="24" t="s">
        <v>1612</v>
      </c>
      <c r="M160" s="24" t="s">
        <v>1613</v>
      </c>
      <c r="O160" s="24" t="s">
        <v>1614</v>
      </c>
      <c r="P160" s="24" t="s">
        <v>1615</v>
      </c>
      <c r="Q160" s="24" t="s">
        <v>1616</v>
      </c>
    </row>
    <row r="161" spans="1:17" x14ac:dyDescent="0.25">
      <c r="A161" s="24" t="s">
        <v>58</v>
      </c>
      <c r="C161" s="24" t="s">
        <v>1617</v>
      </c>
      <c r="D161" s="24" t="s">
        <v>1618</v>
      </c>
      <c r="E161" s="24" t="s">
        <v>1619</v>
      </c>
      <c r="F161" s="24" t="s">
        <v>1620</v>
      </c>
      <c r="G161" s="24" t="s">
        <v>1621</v>
      </c>
      <c r="I161" s="24" t="s">
        <v>1904</v>
      </c>
      <c r="K161" s="24" t="s">
        <v>1622</v>
      </c>
      <c r="L161" s="24" t="s">
        <v>1623</v>
      </c>
      <c r="M161" s="24" t="s">
        <v>1624</v>
      </c>
      <c r="O161" s="24" t="s">
        <v>1625</v>
      </c>
      <c r="P161" s="24" t="s">
        <v>1626</v>
      </c>
      <c r="Q161" s="24" t="s">
        <v>1627</v>
      </c>
    </row>
    <row r="162" spans="1:17" x14ac:dyDescent="0.25">
      <c r="A162" s="24" t="s">
        <v>58</v>
      </c>
      <c r="C162" s="24" t="s">
        <v>1628</v>
      </c>
      <c r="D162" s="24" t="s">
        <v>1629</v>
      </c>
      <c r="E162" s="24" t="s">
        <v>1630</v>
      </c>
      <c r="F162" s="24" t="s">
        <v>1631</v>
      </c>
      <c r="G162" s="24" t="s">
        <v>1632</v>
      </c>
      <c r="I162" s="24" t="s">
        <v>1905</v>
      </c>
      <c r="K162" s="24" t="s">
        <v>1633</v>
      </c>
      <c r="L162" s="24" t="s">
        <v>1634</v>
      </c>
      <c r="M162" s="24" t="s">
        <v>1635</v>
      </c>
      <c r="O162" s="24" t="s">
        <v>1636</v>
      </c>
      <c r="P162" s="24" t="s">
        <v>1637</v>
      </c>
      <c r="Q162" s="24" t="s">
        <v>1638</v>
      </c>
    </row>
    <row r="163" spans="1:17" x14ac:dyDescent="0.25">
      <c r="A163" s="24" t="s">
        <v>58</v>
      </c>
      <c r="C163" s="24" t="s">
        <v>1639</v>
      </c>
      <c r="D163" s="24" t="s">
        <v>1640</v>
      </c>
      <c r="E163" s="24" t="s">
        <v>1641</v>
      </c>
      <c r="F163" s="24" t="s">
        <v>1642</v>
      </c>
      <c r="G163" s="24" t="s">
        <v>1643</v>
      </c>
      <c r="I163" s="24" t="s">
        <v>1906</v>
      </c>
      <c r="K163" s="24" t="s">
        <v>1644</v>
      </c>
      <c r="L163" s="24" t="s">
        <v>1645</v>
      </c>
      <c r="M163" s="24" t="s">
        <v>1646</v>
      </c>
      <c r="O163" s="24" t="s">
        <v>1647</v>
      </c>
      <c r="P163" s="24" t="s">
        <v>1648</v>
      </c>
      <c r="Q163" s="24" t="s">
        <v>1649</v>
      </c>
    </row>
    <row r="164" spans="1:17" x14ac:dyDescent="0.25">
      <c r="A164" s="24" t="s">
        <v>58</v>
      </c>
      <c r="C164" s="24" t="s">
        <v>1650</v>
      </c>
      <c r="D164" s="24" t="s">
        <v>1651</v>
      </c>
      <c r="E164" s="24" t="s">
        <v>1652</v>
      </c>
      <c r="F164" s="24" t="s">
        <v>1653</v>
      </c>
      <c r="G164" s="24" t="s">
        <v>1654</v>
      </c>
      <c r="I164" s="24" t="s">
        <v>1907</v>
      </c>
      <c r="K164" s="24" t="s">
        <v>1655</v>
      </c>
      <c r="L164" s="24" t="s">
        <v>1656</v>
      </c>
      <c r="M164" s="24" t="s">
        <v>1657</v>
      </c>
      <c r="O164" s="24" t="s">
        <v>1658</v>
      </c>
      <c r="P164" s="24" t="s">
        <v>1659</v>
      </c>
      <c r="Q164" s="24" t="s">
        <v>1660</v>
      </c>
    </row>
    <row r="165" spans="1:17" x14ac:dyDescent="0.25">
      <c r="A165" s="24" t="s">
        <v>58</v>
      </c>
      <c r="C165" s="24" t="s">
        <v>1661</v>
      </c>
      <c r="D165" s="24" t="s">
        <v>1662</v>
      </c>
      <c r="E165" s="24" t="s">
        <v>1663</v>
      </c>
      <c r="F165" s="24" t="s">
        <v>1664</v>
      </c>
      <c r="G165" s="24" t="s">
        <v>1665</v>
      </c>
      <c r="I165" s="24" t="s">
        <v>1908</v>
      </c>
      <c r="K165" s="24" t="s">
        <v>1666</v>
      </c>
      <c r="L165" s="24" t="s">
        <v>1667</v>
      </c>
      <c r="M165" s="24" t="s">
        <v>1668</v>
      </c>
      <c r="O165" s="24" t="s">
        <v>1669</v>
      </c>
      <c r="P165" s="24" t="s">
        <v>1670</v>
      </c>
      <c r="Q165" s="24" t="s">
        <v>1671</v>
      </c>
    </row>
    <row r="166" spans="1:17" x14ac:dyDescent="0.25">
      <c r="A166" s="24" t="s">
        <v>58</v>
      </c>
      <c r="C166" s="24" t="s">
        <v>1672</v>
      </c>
      <c r="D166" s="24" t="s">
        <v>1673</v>
      </c>
      <c r="E166" s="24" t="s">
        <v>1674</v>
      </c>
      <c r="F166" s="24" t="s">
        <v>1675</v>
      </c>
      <c r="G166" s="24" t="s">
        <v>1676</v>
      </c>
      <c r="I166" s="24" t="s">
        <v>1909</v>
      </c>
      <c r="K166" s="24" t="s">
        <v>1677</v>
      </c>
      <c r="L166" s="24" t="s">
        <v>1678</v>
      </c>
      <c r="M166" s="24" t="s">
        <v>1679</v>
      </c>
      <c r="O166" s="24" t="s">
        <v>1680</v>
      </c>
      <c r="P166" s="24" t="s">
        <v>1681</v>
      </c>
      <c r="Q166" s="24" t="s">
        <v>1682</v>
      </c>
    </row>
    <row r="167" spans="1:17" x14ac:dyDescent="0.25">
      <c r="A167" s="24" t="s">
        <v>58</v>
      </c>
      <c r="C167" s="24" t="s">
        <v>1683</v>
      </c>
      <c r="D167" s="24" t="s">
        <v>1684</v>
      </c>
      <c r="E167" s="24" t="s">
        <v>1685</v>
      </c>
      <c r="F167" s="24" t="s">
        <v>1686</v>
      </c>
      <c r="G167" s="24" t="s">
        <v>1687</v>
      </c>
      <c r="I167" s="24" t="s">
        <v>1910</v>
      </c>
      <c r="K167" s="24" t="s">
        <v>1688</v>
      </c>
      <c r="L167" s="24" t="s">
        <v>1689</v>
      </c>
      <c r="M167" s="24" t="s">
        <v>1690</v>
      </c>
      <c r="O167" s="24" t="s">
        <v>1691</v>
      </c>
      <c r="P167" s="24" t="s">
        <v>1692</v>
      </c>
      <c r="Q167" s="24" t="s">
        <v>1693</v>
      </c>
    </row>
    <row r="168" spans="1:17" x14ac:dyDescent="0.25">
      <c r="A168" s="24" t="s">
        <v>58</v>
      </c>
      <c r="C168" s="24" t="s">
        <v>1694</v>
      </c>
      <c r="D168" s="24" t="s">
        <v>1695</v>
      </c>
      <c r="E168" s="24" t="s">
        <v>1696</v>
      </c>
      <c r="F168" s="24" t="s">
        <v>1697</v>
      </c>
      <c r="G168" s="24" t="s">
        <v>1698</v>
      </c>
      <c r="I168" s="24" t="s">
        <v>1911</v>
      </c>
      <c r="K168" s="24" t="s">
        <v>1699</v>
      </c>
      <c r="L168" s="24" t="s">
        <v>1700</v>
      </c>
      <c r="M168" s="24" t="s">
        <v>1701</v>
      </c>
      <c r="O168" s="24" t="s">
        <v>1702</v>
      </c>
      <c r="P168" s="24" t="s">
        <v>1703</v>
      </c>
      <c r="Q168" s="24" t="s">
        <v>1704</v>
      </c>
    </row>
    <row r="169" spans="1:17" x14ac:dyDescent="0.25">
      <c r="A169" s="24" t="s">
        <v>58</v>
      </c>
      <c r="C169" s="24" t="s">
        <v>1705</v>
      </c>
      <c r="D169" s="24" t="s">
        <v>1706</v>
      </c>
      <c r="E169" s="24" t="s">
        <v>1707</v>
      </c>
      <c r="F169" s="24" t="s">
        <v>1708</v>
      </c>
      <c r="G169" s="24" t="s">
        <v>1709</v>
      </c>
      <c r="I169" s="24" t="s">
        <v>1912</v>
      </c>
      <c r="K169" s="24" t="s">
        <v>1710</v>
      </c>
      <c r="L169" s="24" t="s">
        <v>1711</v>
      </c>
      <c r="M169" s="24" t="s">
        <v>1712</v>
      </c>
      <c r="O169" s="24" t="s">
        <v>1713</v>
      </c>
      <c r="P169" s="24" t="s">
        <v>1714</v>
      </c>
      <c r="Q169" s="24" t="s">
        <v>1715</v>
      </c>
    </row>
    <row r="170" spans="1:17" x14ac:dyDescent="0.25">
      <c r="A170" s="24" t="s">
        <v>58</v>
      </c>
      <c r="C170" s="24" t="s">
        <v>1716</v>
      </c>
      <c r="D170" s="24" t="s">
        <v>1717</v>
      </c>
      <c r="E170" s="24" t="s">
        <v>1718</v>
      </c>
      <c r="F170" s="24" t="s">
        <v>1719</v>
      </c>
      <c r="G170" s="24" t="s">
        <v>1720</v>
      </c>
      <c r="I170" s="24" t="s">
        <v>1913</v>
      </c>
      <c r="K170" s="24" t="s">
        <v>1721</v>
      </c>
      <c r="L170" s="24" t="s">
        <v>1722</v>
      </c>
      <c r="M170" s="24" t="s">
        <v>1723</v>
      </c>
      <c r="O170" s="24" t="s">
        <v>1724</v>
      </c>
      <c r="P170" s="24" t="s">
        <v>1725</v>
      </c>
      <c r="Q170" s="24" t="s">
        <v>1726</v>
      </c>
    </row>
    <row r="171" spans="1:17" x14ac:dyDescent="0.25">
      <c r="A171" s="24" t="s">
        <v>58</v>
      </c>
      <c r="C171" s="24" t="s">
        <v>1727</v>
      </c>
      <c r="D171" s="24" t="s">
        <v>1728</v>
      </c>
      <c r="E171" s="24" t="s">
        <v>1729</v>
      </c>
      <c r="F171" s="24" t="s">
        <v>1730</v>
      </c>
      <c r="G171" s="24" t="s">
        <v>1731</v>
      </c>
      <c r="I171" s="24" t="s">
        <v>1914</v>
      </c>
      <c r="K171" s="24" t="s">
        <v>1732</v>
      </c>
      <c r="L171" s="24" t="s">
        <v>1733</v>
      </c>
      <c r="M171" s="24" t="s">
        <v>1734</v>
      </c>
      <c r="O171" s="24" t="s">
        <v>1735</v>
      </c>
      <c r="P171" s="24" t="s">
        <v>1736</v>
      </c>
      <c r="Q171" s="24" t="s">
        <v>1737</v>
      </c>
    </row>
    <row r="172" spans="1:17" x14ac:dyDescent="0.25">
      <c r="A172" s="24" t="s">
        <v>58</v>
      </c>
      <c r="C172" s="24" t="s">
        <v>1738</v>
      </c>
      <c r="D172" s="24" t="s">
        <v>1739</v>
      </c>
      <c r="E172" s="24" t="s">
        <v>1740</v>
      </c>
      <c r="F172" s="24" t="s">
        <v>1741</v>
      </c>
      <c r="G172" s="24" t="s">
        <v>1742</v>
      </c>
      <c r="I172" s="24" t="s">
        <v>1915</v>
      </c>
      <c r="K172" s="24" t="s">
        <v>1743</v>
      </c>
      <c r="L172" s="24" t="s">
        <v>1744</v>
      </c>
      <c r="M172" s="24" t="s">
        <v>1745</v>
      </c>
      <c r="O172" s="24" t="s">
        <v>1746</v>
      </c>
      <c r="P172" s="24" t="s">
        <v>1747</v>
      </c>
      <c r="Q172" s="24" t="s">
        <v>1748</v>
      </c>
    </row>
    <row r="173" spans="1:17" x14ac:dyDescent="0.25">
      <c r="A173" s="24" t="s">
        <v>58</v>
      </c>
      <c r="C173" s="24" t="s">
        <v>1749</v>
      </c>
      <c r="D173" s="24" t="s">
        <v>1750</v>
      </c>
      <c r="E173" s="24" t="s">
        <v>1751</v>
      </c>
      <c r="F173" s="24" t="s">
        <v>1752</v>
      </c>
      <c r="G173" s="24" t="s">
        <v>1753</v>
      </c>
      <c r="I173" s="24" t="s">
        <v>1916</v>
      </c>
      <c r="K173" s="24" t="s">
        <v>1754</v>
      </c>
      <c r="L173" s="24" t="s">
        <v>1755</v>
      </c>
      <c r="M173" s="24" t="s">
        <v>1756</v>
      </c>
      <c r="O173" s="24" t="s">
        <v>1757</v>
      </c>
      <c r="P173" s="24" t="s">
        <v>1758</v>
      </c>
      <c r="Q173" s="24" t="s">
        <v>1759</v>
      </c>
    </row>
    <row r="175" spans="1:17" x14ac:dyDescent="0.25">
      <c r="H175" s="24" t="s">
        <v>54</v>
      </c>
      <c r="M175" s="24" t="s">
        <v>1760</v>
      </c>
      <c r="Q175" s="24" t="s">
        <v>1761</v>
      </c>
    </row>
    <row r="177" spans="8:17" x14ac:dyDescent="0.25">
      <c r="H177" s="24" t="s">
        <v>19</v>
      </c>
      <c r="M177" s="24" t="s">
        <v>1762</v>
      </c>
      <c r="Q177" s="24" t="s">
        <v>1763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Options</vt:lpstr>
      <vt:lpstr>Monthly Item Sales</vt:lpstr>
      <vt:lpstr>ColumnEndDate</vt:lpstr>
      <vt:lpstr>ColumnStartDate</vt:lpstr>
      <vt:lpstr>DateFilter</vt:lpstr>
      <vt:lpstr>EndDate</vt:lpstr>
      <vt:lpstr>ItemNo</vt:lpstr>
      <vt:lpstr>'Monthly Item Sales'!Print_Titles</vt:lpstr>
      <vt:lpstr>ServiceZone</vt:lpstr>
      <vt:lpstr>StartDate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Sales by Service Zone</dc:title>
  <dc:subject>Jet Reports</dc:subject>
  <dc:creator>Joe Little</dc:creator>
  <dc:description>Item sales by service zone for a user-defined date range.  Data includes unit quantity, unit price and total sales price.</dc:description>
  <cp:lastModifiedBy>Haseeb Tariq</cp:lastModifiedBy>
  <cp:lastPrinted>2010-09-28T23:44:24Z</cp:lastPrinted>
  <dcterms:created xsi:type="dcterms:W3CDTF">2010-09-23T18:49:55Z</dcterms:created>
  <dcterms:modified xsi:type="dcterms:W3CDTF">2023-09-04T10:34:02Z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