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1" documentId="11_50799BC4D3FBF2E2334831DE37D12441533B3A5A" xr6:coauthVersionLast="47" xr6:coauthVersionMax="47" xr10:uidLastSave="{FD8023B0-B530-4075-ABD7-4D675C0A4684}"/>
  <bookViews>
    <workbookView xWindow="-120" yWindow="-120" windowWidth="29040" windowHeight="17520" firstSheet="1" activeTab="1" xr2:uid="{00000000-000D-0000-FFFF-FFFF00000000}"/>
  </bookViews>
  <sheets>
    <sheet name="Options" sheetId="1" state="hidden" r:id="rId1"/>
    <sheet name="Report" sheetId="2" r:id="rId2"/>
    <sheet name="Sheet1" sheetId="502" state="veryHidden" r:id="rId3"/>
    <sheet name="Sheet2" sheetId="503" state="veryHidden" r:id="rId4"/>
    <sheet name="Sheet3" sheetId="504" state="very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2" l="1"/>
  <c r="C7" i="2" s="1"/>
  <c r="C5" i="2"/>
  <c r="C6" i="2"/>
  <c r="H17" i="2"/>
  <c r="O17" i="2"/>
  <c r="V17" i="2"/>
  <c r="H18" i="2"/>
  <c r="J18" i="2"/>
  <c r="H19" i="2" s="1"/>
  <c r="O18" i="2"/>
  <c r="Q18" i="2"/>
  <c r="O19" i="2" s="1"/>
  <c r="V18" i="2"/>
  <c r="X18" i="2"/>
  <c r="V19" i="2" s="1"/>
  <c r="C21" i="2"/>
  <c r="D21" i="2"/>
  <c r="I59" i="2" s="1"/>
  <c r="J59" i="2" s="1"/>
  <c r="K59" i="2" s="1"/>
  <c r="E21" i="2"/>
  <c r="M21" i="2" s="1"/>
  <c r="G21" i="2"/>
  <c r="J21" i="2"/>
  <c r="K21" i="2" s="1"/>
  <c r="N21" i="2"/>
  <c r="Q21" i="2"/>
  <c r="R21" i="2"/>
  <c r="T21" i="2"/>
  <c r="U21" i="2"/>
  <c r="X21" i="2"/>
  <c r="Y21" i="2" s="1"/>
  <c r="AA21" i="2"/>
  <c r="C22" i="2"/>
  <c r="H68" i="2" s="1"/>
  <c r="D22" i="2"/>
  <c r="E22" i="2"/>
  <c r="M22" i="2" s="1"/>
  <c r="G22" i="2"/>
  <c r="J22" i="2"/>
  <c r="AA22" i="2" s="1"/>
  <c r="K22" i="2"/>
  <c r="N22" i="2"/>
  <c r="Q22" i="2"/>
  <c r="R22" i="2" s="1"/>
  <c r="U22" i="2"/>
  <c r="X22" i="2"/>
  <c r="Y22" i="2" s="1"/>
  <c r="C23" i="2"/>
  <c r="C25" i="2" s="1"/>
  <c r="D23" i="2"/>
  <c r="I61" i="2" s="1"/>
  <c r="E23" i="2"/>
  <c r="M23" i="2" s="1"/>
  <c r="G23" i="2"/>
  <c r="J23" i="2"/>
  <c r="K23" i="2" s="1"/>
  <c r="N23" i="2"/>
  <c r="Q23" i="2"/>
  <c r="R23" i="2" s="1"/>
  <c r="U23" i="2"/>
  <c r="X23" i="2"/>
  <c r="Y23" i="2" s="1"/>
  <c r="H25" i="2"/>
  <c r="J25" i="2" s="1"/>
  <c r="K25" i="2" s="1"/>
  <c r="I25" i="2"/>
  <c r="O25" i="2"/>
  <c r="P25" i="2"/>
  <c r="V25" i="2"/>
  <c r="W25" i="2"/>
  <c r="H27" i="2"/>
  <c r="O27" i="2"/>
  <c r="V27" i="2"/>
  <c r="H28" i="2"/>
  <c r="J28" i="2"/>
  <c r="O28" i="2"/>
  <c r="Q28" i="2"/>
  <c r="O29" i="2" s="1"/>
  <c r="V28" i="2"/>
  <c r="X28" i="2"/>
  <c r="V29" i="2" s="1"/>
  <c r="H29" i="2"/>
  <c r="C31" i="2"/>
  <c r="D31" i="2"/>
  <c r="E31" i="2"/>
  <c r="M31" i="2" s="1"/>
  <c r="G31" i="2"/>
  <c r="J31" i="2"/>
  <c r="K31" i="2"/>
  <c r="N31" i="2"/>
  <c r="Q31" i="2"/>
  <c r="R31" i="2" s="1"/>
  <c r="U31" i="2"/>
  <c r="X31" i="2"/>
  <c r="Y31" i="2"/>
  <c r="C32" i="2"/>
  <c r="D32" i="2"/>
  <c r="E32" i="2"/>
  <c r="M32" i="2" s="1"/>
  <c r="G32" i="2"/>
  <c r="J32" i="2"/>
  <c r="K32" i="2" s="1"/>
  <c r="N32" i="2"/>
  <c r="Q32" i="2"/>
  <c r="R32" i="2" s="1"/>
  <c r="T32" i="2"/>
  <c r="U32" i="2"/>
  <c r="X32" i="2"/>
  <c r="Y32" i="2" s="1"/>
  <c r="C33" i="2"/>
  <c r="D33" i="2"/>
  <c r="E33" i="2"/>
  <c r="M33" i="2" s="1"/>
  <c r="G33" i="2"/>
  <c r="J33" i="2"/>
  <c r="K33" i="2" s="1"/>
  <c r="N33" i="2"/>
  <c r="Q33" i="2"/>
  <c r="R33" i="2"/>
  <c r="U33" i="2"/>
  <c r="X33" i="2"/>
  <c r="Y33" i="2" s="1"/>
  <c r="H35" i="2"/>
  <c r="I35" i="2"/>
  <c r="J35" i="2" s="1"/>
  <c r="K35" i="2" s="1"/>
  <c r="O35" i="2"/>
  <c r="P35" i="2"/>
  <c r="Q35" i="2" s="1"/>
  <c r="R35" i="2" s="1"/>
  <c r="V35" i="2"/>
  <c r="W35" i="2"/>
  <c r="H37" i="2"/>
  <c r="O37" i="2"/>
  <c r="V37" i="2"/>
  <c r="H38" i="2"/>
  <c r="J38" i="2"/>
  <c r="H39" i="2" s="1"/>
  <c r="O38" i="2"/>
  <c r="Q38" i="2"/>
  <c r="O39" i="2" s="1"/>
  <c r="V38" i="2"/>
  <c r="X38" i="2"/>
  <c r="V39" i="2"/>
  <c r="C41" i="2"/>
  <c r="C45" i="2" s="1"/>
  <c r="D41" i="2"/>
  <c r="E41" i="2"/>
  <c r="T41" i="2" s="1"/>
  <c r="G41" i="2"/>
  <c r="J41" i="2"/>
  <c r="K41" i="2" s="1"/>
  <c r="N41" i="2"/>
  <c r="Q41" i="2"/>
  <c r="R41" i="2" s="1"/>
  <c r="U41" i="2"/>
  <c r="X41" i="2"/>
  <c r="Y41" i="2" s="1"/>
  <c r="C42" i="2"/>
  <c r="D42" i="2"/>
  <c r="E42" i="2"/>
  <c r="M42" i="2" s="1"/>
  <c r="G42" i="2"/>
  <c r="J42" i="2"/>
  <c r="K42" i="2" s="1"/>
  <c r="N42" i="2"/>
  <c r="Q42" i="2"/>
  <c r="R42" i="2"/>
  <c r="T42" i="2"/>
  <c r="U42" i="2"/>
  <c r="X42" i="2"/>
  <c r="Y42" i="2" s="1"/>
  <c r="C43" i="2"/>
  <c r="D43" i="2"/>
  <c r="E43" i="2"/>
  <c r="M43" i="2" s="1"/>
  <c r="G43" i="2"/>
  <c r="J43" i="2"/>
  <c r="K43" i="2" s="1"/>
  <c r="N43" i="2"/>
  <c r="Q43" i="2"/>
  <c r="R43" i="2" s="1"/>
  <c r="U43" i="2"/>
  <c r="X43" i="2"/>
  <c r="Y43" i="2" s="1"/>
  <c r="H45" i="2"/>
  <c r="I45" i="2"/>
  <c r="J45" i="2"/>
  <c r="K45" i="2" s="1"/>
  <c r="O45" i="2"/>
  <c r="P45" i="2"/>
  <c r="Q45" i="2" s="1"/>
  <c r="R45" i="2" s="1"/>
  <c r="V45" i="2"/>
  <c r="W45" i="2"/>
  <c r="X45" i="2" s="1"/>
  <c r="Y45" i="2" s="1"/>
  <c r="H47" i="2"/>
  <c r="O47" i="2"/>
  <c r="V47" i="2"/>
  <c r="H48" i="2"/>
  <c r="J48" i="2"/>
  <c r="H49" i="2" s="1"/>
  <c r="O48" i="2"/>
  <c r="Q48" i="2"/>
  <c r="O49" i="2" s="1"/>
  <c r="V48" i="2"/>
  <c r="X48" i="2"/>
  <c r="W51" i="2" s="1"/>
  <c r="C51" i="2"/>
  <c r="E51" i="2"/>
  <c r="M51" i="2" s="1"/>
  <c r="G51" i="2"/>
  <c r="J51" i="2"/>
  <c r="K51" i="2" s="1"/>
  <c r="N51" i="2"/>
  <c r="P51" i="2"/>
  <c r="T51" i="2"/>
  <c r="U51" i="2"/>
  <c r="C52" i="2"/>
  <c r="E52" i="2"/>
  <c r="M52" i="2" s="1"/>
  <c r="G52" i="2"/>
  <c r="J52" i="2"/>
  <c r="K52" i="2" s="1"/>
  <c r="N52" i="2"/>
  <c r="U52" i="2"/>
  <c r="C53" i="2"/>
  <c r="E53" i="2"/>
  <c r="T53" i="2" s="1"/>
  <c r="G53" i="2"/>
  <c r="J53" i="2"/>
  <c r="K53" i="2"/>
  <c r="M53" i="2"/>
  <c r="N53" i="2"/>
  <c r="P53" i="2"/>
  <c r="Q53" i="2" s="1"/>
  <c r="R53" i="2" s="1"/>
  <c r="U53" i="2"/>
  <c r="H55" i="2"/>
  <c r="I55" i="2"/>
  <c r="J55" i="2" s="1"/>
  <c r="K55" i="2" s="1"/>
  <c r="O55" i="2"/>
  <c r="V55" i="2"/>
  <c r="E59" i="2"/>
  <c r="M59" i="2" s="1"/>
  <c r="G59" i="2"/>
  <c r="H59" i="2"/>
  <c r="N59" i="2"/>
  <c r="O59" i="2" s="1"/>
  <c r="E60" i="2"/>
  <c r="M60" i="2" s="1"/>
  <c r="G60" i="2"/>
  <c r="H60" i="2" s="1"/>
  <c r="N60" i="2"/>
  <c r="E61" i="2"/>
  <c r="M61" i="2" s="1"/>
  <c r="G61" i="2"/>
  <c r="N61" i="2"/>
  <c r="E67" i="2"/>
  <c r="M67" i="2" s="1"/>
  <c r="G67" i="2"/>
  <c r="I67" i="2" s="1"/>
  <c r="N67" i="2"/>
  <c r="E68" i="2"/>
  <c r="M68" i="2" s="1"/>
  <c r="G68" i="2"/>
  <c r="N68" i="2"/>
  <c r="E69" i="2"/>
  <c r="G69" i="2"/>
  <c r="M69" i="2"/>
  <c r="N69" i="2"/>
  <c r="O68" i="2" l="1"/>
  <c r="O60" i="2"/>
  <c r="O63" i="2" s="1"/>
  <c r="C35" i="2"/>
  <c r="AA31" i="2"/>
  <c r="I68" i="2"/>
  <c r="J68" i="2" s="1"/>
  <c r="K68" i="2" s="1"/>
  <c r="I60" i="2"/>
  <c r="J60" i="2" s="1"/>
  <c r="K60" i="2" s="1"/>
  <c r="T23" i="2"/>
  <c r="T31" i="2"/>
  <c r="O67" i="2"/>
  <c r="Q51" i="2"/>
  <c r="AA51" i="2" s="1"/>
  <c r="X35" i="2"/>
  <c r="Y35" i="2" s="1"/>
  <c r="P59" i="2"/>
  <c r="P63" i="2" s="1"/>
  <c r="Q63" i="2" s="1"/>
  <c r="R63" i="2" s="1"/>
  <c r="H63" i="2"/>
  <c r="P61" i="2"/>
  <c r="X25" i="2"/>
  <c r="Y25" i="2" s="1"/>
  <c r="O69" i="2"/>
  <c r="I69" i="2"/>
  <c r="J69" i="2" s="1"/>
  <c r="K69" i="2" s="1"/>
  <c r="H69" i="2"/>
  <c r="T52" i="2"/>
  <c r="Q25" i="2"/>
  <c r="R25" i="2" s="1"/>
  <c r="O61" i="2"/>
  <c r="H61" i="2"/>
  <c r="J61" i="2" s="1"/>
  <c r="K61" i="2" s="1"/>
  <c r="C55" i="2"/>
  <c r="P52" i="2"/>
  <c r="P55" i="2" s="1"/>
  <c r="Q55" i="2" s="1"/>
  <c r="R55" i="2" s="1"/>
  <c r="T33" i="2"/>
  <c r="T22" i="2"/>
  <c r="AA25" i="2"/>
  <c r="D51" i="2"/>
  <c r="P67" i="2" s="1"/>
  <c r="X51" i="2"/>
  <c r="Y51" i="2" s="1"/>
  <c r="T43" i="2"/>
  <c r="H67" i="2"/>
  <c r="J67" i="2" s="1"/>
  <c r="K67" i="2" s="1"/>
  <c r="W53" i="2"/>
  <c r="AA23" i="2"/>
  <c r="V49" i="2"/>
  <c r="AA41" i="2"/>
  <c r="M41" i="2"/>
  <c r="AA32" i="2"/>
  <c r="I63" i="2"/>
  <c r="J63" i="2" s="1"/>
  <c r="K63" i="2" s="1"/>
  <c r="P60" i="2"/>
  <c r="Q60" i="2" s="1"/>
  <c r="R60" i="2" s="1"/>
  <c r="W52" i="2"/>
  <c r="X52" i="2" s="1"/>
  <c r="Y52" i="2" s="1"/>
  <c r="AA42" i="2"/>
  <c r="AA33" i="2"/>
  <c r="AA43" i="2"/>
  <c r="Q59" i="2" l="1"/>
  <c r="R59" i="2" s="1"/>
  <c r="R51" i="2"/>
  <c r="Q52" i="2"/>
  <c r="Q67" i="2"/>
  <c r="R67" i="2" s="1"/>
  <c r="Q61" i="2"/>
  <c r="R61" i="2" s="1"/>
  <c r="AA45" i="2"/>
  <c r="D52" i="2"/>
  <c r="P68" i="2" s="1"/>
  <c r="Q68" i="2" s="1"/>
  <c r="R68" i="2" s="1"/>
  <c r="W55" i="2"/>
  <c r="X55" i="2" s="1"/>
  <c r="Y55" i="2" s="1"/>
  <c r="D53" i="2"/>
  <c r="P69" i="2" s="1"/>
  <c r="Q69" i="2" s="1"/>
  <c r="R69" i="2" s="1"/>
  <c r="X53" i="2"/>
  <c r="AA35" i="2"/>
  <c r="AA52" i="2"/>
  <c r="AB52" i="2" s="1"/>
  <c r="R52" i="2"/>
  <c r="AB42" i="2"/>
  <c r="AB43" i="2"/>
  <c r="Y53" i="2" l="1"/>
  <c r="AA53" i="2"/>
  <c r="AB53" i="2" s="1"/>
  <c r="AB32" i="2"/>
  <c r="AB33" i="2"/>
  <c r="AA55" i="2" l="1"/>
  <c r="AB23" i="2"/>
  <c r="AB22" i="2"/>
  <c r="AB51" i="2"/>
  <c r="AB41" i="2"/>
  <c r="AB31" i="2"/>
  <c r="AB21" i="2" l="1"/>
  <c r="D8" i="1"/>
  <c r="D6" i="1"/>
  <c r="O71" i="2" l="1"/>
  <c r="H71" i="2"/>
  <c r="AB25" i="2" l="1"/>
  <c r="AB55" i="2"/>
  <c r="AB45" i="2"/>
  <c r="P71" i="2"/>
  <c r="Q71" i="2" s="1"/>
  <c r="R71" i="2" s="1"/>
  <c r="I71" i="2"/>
  <c r="J71" i="2" s="1"/>
  <c r="K71" i="2" s="1"/>
  <c r="AB3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Jet Reports</author>
  </authors>
  <commentList>
    <comment ref="C8" authorId="0" shapeId="0" xr:uid="{00000000-0006-0000-0200-000001000000}">
      <text>
        <r>
          <rPr>
            <b/>
            <sz val="9"/>
            <color indexed="81"/>
            <rFont val="Tahoma"/>
            <family val="2"/>
          </rPr>
          <t>NOTE - The date in this cell was hardcoded to match a NAV 2013 database.  To allow this report to operate correctly on a real database please copy the contents of cell C9 into this cell.  Date format must also match NAV date formatting.</t>
        </r>
      </text>
    </comment>
  </commentList>
</comments>
</file>

<file path=xl/sharedStrings.xml><?xml version="1.0" encoding="utf-8"?>
<sst xmlns="http://schemas.openxmlformats.org/spreadsheetml/2006/main" count="1735" uniqueCount="640">
  <si>
    <t>Title</t>
  </si>
  <si>
    <t>Value</t>
  </si>
  <si>
    <t>Hide</t>
  </si>
  <si>
    <t>Date Filter</t>
  </si>
  <si>
    <t>Option</t>
  </si>
  <si>
    <t>Fit</t>
  </si>
  <si>
    <t>G/L Account No.</t>
  </si>
  <si>
    <t>Budget</t>
  </si>
  <si>
    <t>Actual</t>
  </si>
  <si>
    <t>Variance</t>
  </si>
  <si>
    <t>%</t>
  </si>
  <si>
    <t>Budget Name</t>
  </si>
  <si>
    <t>Today</t>
  </si>
  <si>
    <t xml:space="preserve"> </t>
  </si>
  <si>
    <t>Starting Month</t>
  </si>
  <si>
    <t>Starting Date</t>
  </si>
  <si>
    <t>Date Key</t>
  </si>
  <si>
    <t>Q1</t>
  </si>
  <si>
    <t>Q4</t>
  </si>
  <si>
    <t>Q3</t>
  </si>
  <si>
    <t>Q2</t>
  </si>
  <si>
    <t>Running Bal.</t>
  </si>
  <si>
    <t>Starting Year</t>
  </si>
  <si>
    <t>44100..44300</t>
  </si>
  <si>
    <t>Sales Forecast to Actual</t>
  </si>
  <si>
    <t>(Based on Actuals to Date and Budgeted Values for Future Dates)</t>
  </si>
  <si>
    <t>Confidential</t>
  </si>
  <si>
    <t>Run Date</t>
  </si>
  <si>
    <t>Min Width ----------</t>
  </si>
  <si>
    <t>Auto+Hide+HideSheet</t>
  </si>
  <si>
    <t>=NP("Eval","=Options!$D$5")</t>
  </si>
  <si>
    <t>=NP("Eval","=Options!$D$6")</t>
  </si>
  <si>
    <t>=NP("Eval","=Options!$D$7")</t>
  </si>
  <si>
    <t>=NP("Eval","=Options!$D$8")</t>
  </si>
  <si>
    <t>=DATE($C$4,$C$3,1)</t>
  </si>
  <si>
    <t>42663</t>
  </si>
  <si>
    <t>=NP("Eval","=Today()")</t>
  </si>
  <si>
    <t>=NL(,"2000000007 Date",,"1 Period Type","Month","4 Period No.",$C$3,"2 Period Start",NP("DateFilter",$C$7))</t>
  </si>
  <si>
    <t>=NF(H17,"2 Period Start")</t>
  </si>
  <si>
    <t>=NF(H17,"3 Period End")</t>
  </si>
  <si>
    <t>=NL(,"2000000007 Date",,"1 Period Type","Month","2 Period Start",NP("DateFilter",J17))</t>
  </si>
  <si>
    <t>=NF(O17,"2 Period Start")</t>
  </si>
  <si>
    <t>=NF(O17,"3 Period End")</t>
  </si>
  <si>
    <t>=NL(,"2000000007 Date",,"1 Period Type","Month","2 Period Start",NP("DateFilter",Q17))</t>
  </si>
  <si>
    <t>=NF(V17,"2 Period Start")</t>
  </si>
  <si>
    <t>=NF(V17,"3 Period End")</t>
  </si>
  <si>
    <t>=NL("DateFilter",I17,J17)</t>
  </si>
  <si>
    <t>=(I17&lt;$C$8)</t>
  </si>
  <si>
    <t>=NL("DateFilter",P17,Q17)</t>
  </si>
  <si>
    <t>=(P17&lt;$C$8)</t>
  </si>
  <si>
    <t>=NL("DateFilter",W17,X17)</t>
  </si>
  <si>
    <t>=(W17&lt;$C$8)</t>
  </si>
  <si>
    <t>=IF(J18,TEXT(I$17,"mmm"),TEXT(I$17,"mmm") &amp; " (Budget)")</t>
  </si>
  <si>
    <t>=IF(Q18,TEXT(P$17,"mmm"),TEXT(P$17,"mmm") &amp; " (Budget)")</t>
  </si>
  <si>
    <t>=IF(X18,TEXT(W$17,"mmm"),TEXT(W$17,"mmm") &amp; " (Budget)")</t>
  </si>
  <si>
    <t>=SUMIF(G$20:Y$20,"Budget",G21:Y21)</t>
  </si>
  <si>
    <t>=SUMIF(G$20:Y$20,"Actual",G21:Y21)</t>
  </si>
  <si>
    <t>=NL("Rows","15 G/L Account",,"1 No.",$C$5)</t>
  </si>
  <si>
    <t>=NF($E21,"2 Name")</t>
  </si>
  <si>
    <t>=-NL("Sum","96 G/L Budget Entry","7 Amount","2 Budget Name",$C$6,"3 G/L Account No.",NF($E21,"1 No."),"4 Date",H$18)</t>
  </si>
  <si>
    <t>=IF(J$18,-NF($E21,"32 Net Change","28 Date Filter",H$18),H21)</t>
  </si>
  <si>
    <t>=I21-H21</t>
  </si>
  <si>
    <t>=IF(J21=0,"",IFERROR(J21/H21,""))</t>
  </si>
  <si>
    <t>=E21</t>
  </si>
  <si>
    <t>=-NL("Sum","96 G/L Budget Entry","7 Amount","2 Budget Name",$C$6,"3 G/L Account No.",NF($E21,"1 No."),"4 Date",O$18)</t>
  </si>
  <si>
    <t>=IF(Q$18,-NF($E21,"32 Net Change","28 Date Filter",O$18),O21)</t>
  </si>
  <si>
    <t>=P21-O21</t>
  </si>
  <si>
    <t>=IF(Q21=0,"",IFERROR(Q21/O21,""))</t>
  </si>
  <si>
    <t>=-NL("Sum","96 G/L Budget Entry","7 Amount","2 Budget Name",$C$6,"3 G/L Account No.",NF($E21,"1 No."),"4 Date",V$18)</t>
  </si>
  <si>
    <t>=IF(X$18,-NF($E21,"32 Net Change","28 Date Filter",V$18),V21)</t>
  </si>
  <si>
    <t>=W21-V21</t>
  </si>
  <si>
    <t>=IF(X21=0,"",IFERROR(X21/V21,""))</t>
  </si>
  <si>
    <t>=SUMIF(H$20:Y$20,"Variance",H21:Y21)</t>
  </si>
  <si>
    <t>=IF(AA21=0,"",IFERROR(AA21/C21,""))</t>
  </si>
  <si>
    <t>=SUM(C21:C22)</t>
  </si>
  <si>
    <t>=SUBTOTAL(9,H21:H22)</t>
  </si>
  <si>
    <t>=SUBTOTAL(9,I21:I22)</t>
  </si>
  <si>
    <t>=I23-H23</t>
  </si>
  <si>
    <t>=IF(J23=0,"",IFERROR(J23/H23,""))</t>
  </si>
  <si>
    <t>=SUBTOTAL(9,O21:O22)</t>
  </si>
  <si>
    <t>=SUBTOTAL(9,P21:P22)</t>
  </si>
  <si>
    <t>=P23-O23</t>
  </si>
  <si>
    <t>=IF(Q23=0,"",IFERROR(Q23/O23,""))</t>
  </si>
  <si>
    <t>=SUBTOTAL(9,V21:V22)</t>
  </si>
  <si>
    <t>=SUBTOTAL(9,W21:W22)</t>
  </si>
  <si>
    <t>=W23-V23</t>
  </si>
  <si>
    <t>=IF(X23=0,"",IFERROR(X23/V23,""))</t>
  </si>
  <si>
    <t>=SUBTOTAL(9,AA21:AA22)</t>
  </si>
  <si>
    <t>=IF(AA23=0,"",IFERROR(AA23/C23,""))</t>
  </si>
  <si>
    <t>=NL(,"2000000007 Date",,"1 Period Type","Month","2 Period Start",NP("DateFilter",X17))</t>
  </si>
  <si>
    <t>=NF(H25,"2 Period Start")</t>
  </si>
  <si>
    <t>=NF(H25,"3 Period End")</t>
  </si>
  <si>
    <t>=NL(,"2000000007 Date",,"1 Period Type","Month","2 Period Start",NP("DateFilter",J25))</t>
  </si>
  <si>
    <t>=NF(O25,"2 Period Start")</t>
  </si>
  <si>
    <t>=NF(O25,"3 Period End")</t>
  </si>
  <si>
    <t>=NL(,"2000000007 Date",,"1 Period Type","Month","2 Period Start",NP("DateFilter",Q25))</t>
  </si>
  <si>
    <t>=NF(V25,"2 Period Start")</t>
  </si>
  <si>
    <t>=NF(V25,"3 Period End")</t>
  </si>
  <si>
    <t>=NL("DateFilter",I25,J25)</t>
  </si>
  <si>
    <t>=(I25&lt;$C$8)</t>
  </si>
  <si>
    <t>=NL("DateFilter",P25,Q25)</t>
  </si>
  <si>
    <t>=(P25&lt;$C$8)</t>
  </si>
  <si>
    <t>=NL("DateFilter",W25,X25)</t>
  </si>
  <si>
    <t>=(W25&lt;$C$8)</t>
  </si>
  <si>
    <t>=IF(J26,TEXT(I$25,"mmm"),TEXT(I$25,"mmm") &amp; " (Budget)")</t>
  </si>
  <si>
    <t>=IF(Q26,TEXT(P$25,"mmm"),TEXT(P$25,"mmm") &amp; " (Budget)")</t>
  </si>
  <si>
    <t>=IF(X26,TEXT(W$25,"mmm"),TEXT(W$25,"mmm") &amp; " (Budget)")</t>
  </si>
  <si>
    <t>=SUMIF(G$28:Y$28,"Budget",G29:Y29)</t>
  </si>
  <si>
    <t>=SUMIF(G$28:Y$28,"Actual",G29:Y29)</t>
  </si>
  <si>
    <t>=NF($E29,"2 Name")</t>
  </si>
  <si>
    <t>=-NL("Sum","96 G/L Budget Entry","7 Amount","2 Budget Name",$C$6,"3 G/L Account No.",NF($E29,"1 No."),"4 Date",H$26)</t>
  </si>
  <si>
    <t>=IF(J$26,-NF($E29,"32 Net Change","28 Date Filter",H$26),H29)</t>
  </si>
  <si>
    <t>=I29-H29</t>
  </si>
  <si>
    <t>=IF(J29=0,"",IFERROR(J29/H29,""))</t>
  </si>
  <si>
    <t>=E29</t>
  </si>
  <si>
    <t>=-NL("Sum","96 G/L Budget Entry","7 Amount","2 Budget Name",$C$6,"3 G/L Account No.",NF($E29,"1 No."),"4 Date",O$26)</t>
  </si>
  <si>
    <t>=IF(Q$26,-NF($E29,"32 Net Change","28 Date Filter",O$26),O29)</t>
  </si>
  <si>
    <t>=P29-O29</t>
  </si>
  <si>
    <t>=IF(Q29=0,"",IFERROR(Q29/O29,""))</t>
  </si>
  <si>
    <t>=-NL("Sum","96 G/L Budget Entry","7 Amount","2 Budget Name",$C$6,"3 G/L Account No.",NF($E29,"1 No."),"4 Date",V$26)</t>
  </si>
  <si>
    <t>=IF(X$26,-NF($E29,"32 Net Change","28 Date Filter",V$26),V29)</t>
  </si>
  <si>
    <t>=W29-V29</t>
  </si>
  <si>
    <t>=IF(X29=0,"",IFERROR(X29/V29,""))</t>
  </si>
  <si>
    <t>=SUMIF(H$28:Y$28,"Variance",H29:Y29)</t>
  </si>
  <si>
    <t>=IF(AA29=0,"",IFERROR(AA29/C29,""))</t>
  </si>
  <si>
    <t>=SUM(C29:C30)</t>
  </si>
  <si>
    <t>=SUBTOTAL(9,H29:H30)</t>
  </si>
  <si>
    <t>=SUBTOTAL(9,I29:I30)</t>
  </si>
  <si>
    <t>=I31-H31</t>
  </si>
  <si>
    <t>=IF(J31=0,"",IFERROR(J31/H31,""))</t>
  </si>
  <si>
    <t>=SUBTOTAL(9,O29:O30)</t>
  </si>
  <si>
    <t>=SUBTOTAL(9,P29:P30)</t>
  </si>
  <si>
    <t>=P31-O31</t>
  </si>
  <si>
    <t>=IF(Q31=0,"",IFERROR(Q31/O31,""))</t>
  </si>
  <si>
    <t>=SUBTOTAL(9,V29:V30)</t>
  </si>
  <si>
    <t>=SUBTOTAL(9,W29:W30)</t>
  </si>
  <si>
    <t>=W31-V31</t>
  </si>
  <si>
    <t>=IF(X31=0,"",IFERROR(X31/V31,""))</t>
  </si>
  <si>
    <t>=SUBTOTAL(9,AA29:AA30)</t>
  </si>
  <si>
    <t>=IF(AA31=0,"",IFERROR(AA31/C31,""))</t>
  </si>
  <si>
    <t>=NL(,"2000000007 Date",,"1 Period Type","Month","2 Period Start",NP("DateFilter",X25))</t>
  </si>
  <si>
    <t>=NF(H33,"2 Period Start")</t>
  </si>
  <si>
    <t>=NF(H33,"3 Period End")</t>
  </si>
  <si>
    <t>=NL(,"2000000007 Date",,"1 Period Type","Month","2 Period Start",NP("DateFilter",J33))</t>
  </si>
  <si>
    <t>=NF(O33,"2 Period Start")</t>
  </si>
  <si>
    <t>=NF(O33,"3 Period End")</t>
  </si>
  <si>
    <t>=NL(,"2000000007 Date",,"1 Period Type","Month","2 Period Start",NP("DateFilter",Q33))</t>
  </si>
  <si>
    <t>=NF(V33,"2 Period Start")</t>
  </si>
  <si>
    <t>=NF(V33,"3 Period End")</t>
  </si>
  <si>
    <t>=NL("DateFilter",I33,J33)</t>
  </si>
  <si>
    <t>=(I33&lt;$C$8)</t>
  </si>
  <si>
    <t>=NL("DateFilter",P33,Q33)</t>
  </si>
  <si>
    <t>=(P33&lt;$C$8)</t>
  </si>
  <si>
    <t>=NL("DateFilter",W33,X33)</t>
  </si>
  <si>
    <t>=(W33&lt;$C$8)</t>
  </si>
  <si>
    <t>=IF(J34,TEXT(I33,"mmm"),TEXT(I33,"mmm") &amp; " (Budget)")</t>
  </si>
  <si>
    <t>=IF(Q34,TEXT(P33,"mmm"),TEXT(P33,"mmm") &amp; " (Budget)")</t>
  </si>
  <si>
    <t>=IF(X34,TEXT(W33,"mmm"),TEXT(W33,"mmm") &amp; " (Budget)")</t>
  </si>
  <si>
    <t>=SUMIF(G$36:Y$36,"Budget",G37:Y37)</t>
  </si>
  <si>
    <t>=SUMIF(G$36:Y$36,"Actual",G37:Y37)</t>
  </si>
  <si>
    <t>=NF($E37,"2 Name")</t>
  </si>
  <si>
    <t>=-NL("Sum","96 G/L Budget Entry","7 Amount","2 Budget Name",$C$6,"3 G/L Account No.",NF($E37,"1 No."),"4 Date",H$34)</t>
  </si>
  <si>
    <t>=IF(J$34,-NF($E37,"32 Net Change","28 Date Filter",H$34),H37)</t>
  </si>
  <si>
    <t>=I37-H37</t>
  </si>
  <si>
    <t>=IF(J37=0,"",IFERROR(J37/H37,""))</t>
  </si>
  <si>
    <t>=E37</t>
  </si>
  <si>
    <t>=-NL("Sum","96 G/L Budget Entry","7 Amount","2 Budget Name",$C$6,"3 G/L Account No.",NF($E37,"1 No."),"4 Date",O$34)</t>
  </si>
  <si>
    <t>=IF(Q$34,-NF($E37,"32 Net Change","28 Date Filter",O$34),O37)</t>
  </si>
  <si>
    <t>=P37-O37</t>
  </si>
  <si>
    <t>=IF(Q37=0,"",IFERROR(Q37/O37,""))</t>
  </si>
  <si>
    <t>=-NL("Sum","96 G/L Budget Entry","7 Amount","2 Budget Name",$C$6,"3 G/L Account No.",NF($E37,"1 No."),"4 Date",V$34)</t>
  </si>
  <si>
    <t>=IF(X$34,-NF($E37,"32 Net Change","28 Date Filter",V$34),V37)</t>
  </si>
  <si>
    <t>=W37-V37</t>
  </si>
  <si>
    <t>=IF(X37=0,"",IFERROR(X37/V37,""))</t>
  </si>
  <si>
    <t>=SUMIF(H$36:Y$36,"Variance",H37:Y37)</t>
  </si>
  <si>
    <t>=IF(AA37=0,"",IFERROR(AA37/C37,""))</t>
  </si>
  <si>
    <t>=SUM(C37:C38)</t>
  </si>
  <si>
    <t>=SUBTOTAL(9,H37:H38)</t>
  </si>
  <si>
    <t>=SUBTOTAL(9,I37:I38)</t>
  </si>
  <si>
    <t>=I39-H39</t>
  </si>
  <si>
    <t>=IF(J39=0,"",IFERROR(J39/H39,""))</t>
  </si>
  <si>
    <t>=SUBTOTAL(9,O37:O38)</t>
  </si>
  <si>
    <t>=SUBTOTAL(9,P37:P38)</t>
  </si>
  <si>
    <t>=P39-O39</t>
  </si>
  <si>
    <t>=IF(Q39=0,"",IFERROR(Q39/O39,""))</t>
  </si>
  <si>
    <t>=SUBTOTAL(9,V37:V38)</t>
  </si>
  <si>
    <t>=SUBTOTAL(9,W37:W38)</t>
  </si>
  <si>
    <t>=W39-V39</t>
  </si>
  <si>
    <t>=IF(X39=0,"",IFERROR(X39/V39,""))</t>
  </si>
  <si>
    <t>=SUBTOTAL(9,AA37:AA38)</t>
  </si>
  <si>
    <t>=IF(AA39=0,"",IFERROR(AA39/C39,""))</t>
  </si>
  <si>
    <t>=NL(,"2000000007 Date",,"1 Period Type","Month","2 Period Start",NP("DateFilter",X33))</t>
  </si>
  <si>
    <t>=NF(H41,"2 Period Start")</t>
  </si>
  <si>
    <t>=NF(H41,"3 Period End")</t>
  </si>
  <si>
    <t>=NL(,"2000000007 Date",,"1 Period Type","Month","2 Period Start",NP("DateFilter",J41))</t>
  </si>
  <si>
    <t>=NF(O41,"2 Period Start")</t>
  </si>
  <si>
    <t>=NF(O41,"3 Period End")</t>
  </si>
  <si>
    <t>=NL(,"2000000007 Date",,"1 Period Type","Month","2 Period Start",NP("DateFilter",Q41))</t>
  </si>
  <si>
    <t>=NF(V41,"2 Period Start")</t>
  </si>
  <si>
    <t>=NF(V41,"3 Period End")</t>
  </si>
  <si>
    <t>=NL("DateFilter",I41,J41)</t>
  </si>
  <si>
    <t>=(I41&lt;$C$8)</t>
  </si>
  <si>
    <t>=NL("DateFilter",P41,Q41)</t>
  </si>
  <si>
    <t>=(P41&lt;$C$8)</t>
  </si>
  <si>
    <t>=NL("DateFilter",W41,X41)</t>
  </si>
  <si>
    <t>=(W41&lt;$C$8)</t>
  </si>
  <si>
    <t>=IF(J42,TEXT(I41,"mmm"),TEXT(I41,"mmm") &amp; " (Budget)")</t>
  </si>
  <si>
    <t>=IF(Q42,TEXT(P41,"mmm"),TEXT(P41,"mmm") &amp; " (Budget)")</t>
  </si>
  <si>
    <t>=IF(X42,TEXT(W41,"mmm"),TEXT(W41,"mmm") &amp; " (Budget)")</t>
  </si>
  <si>
    <t>=SUMIF(G$44:Y$44,"Budget",G45:Y45)</t>
  </si>
  <si>
    <t>=SUMIF(G$44:Y$44,"Actual",G45:Y45)</t>
  </si>
  <si>
    <t>=NF($E45,"2 Name")</t>
  </si>
  <si>
    <t>=-NL("Sum","96 G/L Budget Entry","7 Amount","2 Budget Name",$C$6,"3 G/L Account No.",NF($E45,"1 No."),"4 Date",H$42)</t>
  </si>
  <si>
    <t>=IF(J$42,-NF($E45,"32 Net Change","28 Date Filter",H$42),H45)</t>
  </si>
  <si>
    <t>=I45-H45</t>
  </si>
  <si>
    <t>=IF(J45=0,"",IFERROR(J45/H45,""))</t>
  </si>
  <si>
    <t>=E45</t>
  </si>
  <si>
    <t>=-NL("Sum","96 G/L Budget Entry","7 Amount","2 Budget Name",$C$6,"3 G/L Account No.",NF($E45,"1 No."),"4 Date",O$42)</t>
  </si>
  <si>
    <t>=IF(Q$42,-NF($E45,"32 Net Change","28 Date Filter",O$42),O45)</t>
  </si>
  <si>
    <t>=P45-O45</t>
  </si>
  <si>
    <t>=IF(Q45=0,"",IFERROR(Q45/O45,""))</t>
  </si>
  <si>
    <t>=-NL("Sum","96 G/L Budget Entry","7 Amount","2 Budget Name",$C$6,"3 G/L Account No.",NF($E45,"1 No."),"4 Date",V$42)</t>
  </si>
  <si>
    <t>=IF(X$42,-NF($E45,"32 Net Change","28 Date Filter",V$42),V45)</t>
  </si>
  <si>
    <t>=W45-V45</t>
  </si>
  <si>
    <t>=IF(X45=0,"",IFERROR(X45/V45,""))</t>
  </si>
  <si>
    <t>=SUMIF(H$44:Y$44,"Variance",H45:Y45)</t>
  </si>
  <si>
    <t>=IF(AA45=0,"",IFERROR(AA45/C45,""))</t>
  </si>
  <si>
    <t>=SUM(C45:C46)</t>
  </si>
  <si>
    <t>=SUBTOTAL(9,H45:H46)</t>
  </si>
  <si>
    <t>=SUBTOTAL(9,I45:I46)</t>
  </si>
  <si>
    <t>=I47-H47</t>
  </si>
  <si>
    <t>=IF(J47=0,"",IFERROR(J47/H47,""))</t>
  </si>
  <si>
    <t>=SUBTOTAL(9,O45:O46)</t>
  </si>
  <si>
    <t>=SUBTOTAL(9,P45:P46)</t>
  </si>
  <si>
    <t>=P47-O47</t>
  </si>
  <si>
    <t>=IF(Q47=0,"",IFERROR(Q47/O47,""))</t>
  </si>
  <si>
    <t>=SUBTOTAL(9,V45:V46)</t>
  </si>
  <si>
    <t>=SUBTOTAL(9,W45:W46)</t>
  </si>
  <si>
    <t>=W47-V47</t>
  </si>
  <si>
    <t>=IF(X47=0,"",IFERROR(X47/V47,""))</t>
  </si>
  <si>
    <t>=SUBTOTAL(9,AA45:AA46)</t>
  </si>
  <si>
    <t>=IF(AA47=0,"",IFERROR(AA47/C47,""))</t>
  </si>
  <si>
    <t>=NF($E51,"2 Name")</t>
  </si>
  <si>
    <t>=SUMIF($G21:$G23,G51,C21:C23)</t>
  </si>
  <si>
    <t>=SUMIF($G21:$G22,G51,D21:D22)</t>
  </si>
  <si>
    <t>=I51-H51</t>
  </si>
  <si>
    <t>=IFERROR(J51/H51,"")</t>
  </si>
  <si>
    <t>=E51</t>
  </si>
  <si>
    <t>=SUMIF($G21:$G31,N51,C21:C31)</t>
  </si>
  <si>
    <t>=SUMIF($G21:$G31,N51,D21:D31)</t>
  </si>
  <si>
    <t>=P51-O51</t>
  </si>
  <si>
    <t>=IFERROR(Q51/O51,"")</t>
  </si>
  <si>
    <t>=SUBTOTAL(9,H51:H52)</t>
  </si>
  <si>
    <t>=SUBTOTAL(9,I51:I52)</t>
  </si>
  <si>
    <t>=I53-H53</t>
  </si>
  <si>
    <t>=IFERROR(J53/H53,"")</t>
  </si>
  <si>
    <t>=SUBTOTAL(9,O51:O52)</t>
  </si>
  <si>
    <t>=SUBTOTAL(9,P51:P52)</t>
  </si>
  <si>
    <t>=P53-O53</t>
  </si>
  <si>
    <t>=IFERROR(Q53/O53,"")</t>
  </si>
  <si>
    <t>=NF($E57,"2 Name")</t>
  </si>
  <si>
    <t>=SUMIF($G21:$G39,G57,C21:C39)</t>
  </si>
  <si>
    <t>=SUMIF($G21:$G39,G57,D21:D39)</t>
  </si>
  <si>
    <t>=I57-H57</t>
  </si>
  <si>
    <t>=IFERROR(J57/H57,"")</t>
  </si>
  <si>
    <t>=E57</t>
  </si>
  <si>
    <t>=SUMIF($G21:$G47,N57,C21:C47)</t>
  </si>
  <si>
    <t>=SUMIF($G19:G47,N57:N58,D19:D47)</t>
  </si>
  <si>
    <t>=P57-O57</t>
  </si>
  <si>
    <t>=IFERROR(Q57/O57,"")</t>
  </si>
  <si>
    <t>=SUBTOTAL(9,H57:H58)</t>
  </si>
  <si>
    <t>=SUBTOTAL(9,I57:I58)</t>
  </si>
  <si>
    <t>=I59-H59</t>
  </si>
  <si>
    <t>=IFERROR(J59/H59,"")</t>
  </si>
  <si>
    <t>=SUBTOTAL(9,O57:O58)</t>
  </si>
  <si>
    <t>=SUBTOTAL(9,P57:P58)</t>
  </si>
  <si>
    <t>=P59-O59</t>
  </si>
  <si>
    <t>=IFERROR(Q59/O59,"")</t>
  </si>
  <si>
    <t>Auto+Hide+Values+Formulas=Sheet1,Sheet2+FormulasOnly</t>
  </si>
  <si>
    <t>Auto</t>
  </si>
  <si>
    <t>Auto+Hide+Values+Formulas=Sheet3,Sheet1,Sheet2</t>
  </si>
  <si>
    <t>=SUMIF(G$20:Y$20,"Budget",G22:Y22)</t>
  </si>
  <si>
    <t>=SUMIF(G$20:Y$20,"Actual",G22:Y22)</t>
  </si>
  <si>
    <t>="""NAV Direct"",""CRONUS JetCorp USA"",""15"",""1"",""44200"""</t>
  </si>
  <si>
    <t>=-NL("Sum","96 G/L Budget Entry","7 Amount","2 Budget Name",$C$6,"3 G/L Account No.",NF($E22,"1 No."),"4 Date",H$18)</t>
  </si>
  <si>
    <t>=IF(J$18,-NF($E22,"32 Net Change","28 Date Filter",H$18),H22)</t>
  </si>
  <si>
    <t>=I22-H22</t>
  </si>
  <si>
    <t>=IF(J22=0,"",IFERROR(J22/H22,""))</t>
  </si>
  <si>
    <t>=E22</t>
  </si>
  <si>
    <t>=-NL("Sum","96 G/L Budget Entry","7 Amount","2 Budget Name",$C$6,"3 G/L Account No.",NF($E22,"1 No."),"4 Date",O$18)</t>
  </si>
  <si>
    <t>=IF(Q$18,-NF($E22,"32 Net Change","28 Date Filter",O$18),O22)</t>
  </si>
  <si>
    <t>=P22-O22</t>
  </si>
  <si>
    <t>=IF(Q22=0,"",IFERROR(Q22/O22,""))</t>
  </si>
  <si>
    <t>=-NL("Sum","96 G/L Budget Entry","7 Amount","2 Budget Name",$C$6,"3 G/L Account No.",NF($E22,"1 No."),"4 Date",V$18)</t>
  </si>
  <si>
    <t>=IF(X$18,-NF($E22,"32 Net Change","28 Date Filter",V$18),V22)</t>
  </si>
  <si>
    <t>=W22-V22</t>
  </si>
  <si>
    <t>=IF(X22=0,"",IFERROR(X22/V22,""))</t>
  </si>
  <si>
    <t>=SUMIF(H$20:Y$20,"Variance",H22:Y22)</t>
  </si>
  <si>
    <t>=IF(AA22=0,"",IFERROR(AA22/C22,""))</t>
  </si>
  <si>
    <t>=SUMIF(G$20:Y$20,"Budget",G23:Y23)</t>
  </si>
  <si>
    <t>=SUMIF(G$20:Y$20,"Actual",G23:Y23)</t>
  </si>
  <si>
    <t>="""NAV Direct"",""CRONUS JetCorp USA"",""15"",""1"",""44300"""</t>
  </si>
  <si>
    <t>=-NL("Sum","96 G/L Budget Entry","7 Amount","2 Budget Name",$C$6,"3 G/L Account No.",NF($E23,"1 No."),"4 Date",H$18)</t>
  </si>
  <si>
    <t>=IF(J$18,-NF($E23,"32 Net Change","28 Date Filter",H$18),H23)</t>
  </si>
  <si>
    <t>=E23</t>
  </si>
  <si>
    <t>=-NL("Sum","96 G/L Budget Entry","7 Amount","2 Budget Name",$C$6,"3 G/L Account No.",NF($E23,"1 No."),"4 Date",O$18)</t>
  </si>
  <si>
    <t>=IF(Q$18,-NF($E23,"32 Net Change","28 Date Filter",O$18),O23)</t>
  </si>
  <si>
    <t>=-NL("Sum","96 G/L Budget Entry","7 Amount","2 Budget Name",$C$6,"3 G/L Account No.",NF($E23,"1 No."),"4 Date",V$18)</t>
  </si>
  <si>
    <t>=IF(X$18,-NF($E23,"32 Net Change","28 Date Filter",V$18),V23)</t>
  </si>
  <si>
    <t>=SUMIF(H$20:Y$20,"Variance",H23:Y23)</t>
  </si>
  <si>
    <t>=SUM(C21:C24)</t>
  </si>
  <si>
    <t>=SUBTOTAL(9,H21:H24)</t>
  </si>
  <si>
    <t>=SUBTOTAL(9,I21:I24)</t>
  </si>
  <si>
    <t>=I25-H25</t>
  </si>
  <si>
    <t>=IF(J25=0,"",IFERROR(J25/H25,""))</t>
  </si>
  <si>
    <t>=SUBTOTAL(9,O21:O24)</t>
  </si>
  <si>
    <t>=SUBTOTAL(9,P21:P24)</t>
  </si>
  <si>
    <t>=P25-O25</t>
  </si>
  <si>
    <t>=IF(Q25=0,"",IFERROR(Q25/O25,""))</t>
  </si>
  <si>
    <t>=SUBTOTAL(9,V21:V24)</t>
  </si>
  <si>
    <t>=SUBTOTAL(9,W21:W24)</t>
  </si>
  <si>
    <t>=W25-V25</t>
  </si>
  <si>
    <t>=IF(X25=0,"",IFERROR(X25/V25,""))</t>
  </si>
  <si>
    <t>=SUBTOTAL(9,AA21:AA24)</t>
  </si>
  <si>
    <t>=IF(AA25=0,"",IFERROR(AA25/C25,""))</t>
  </si>
  <si>
    <t>=NF(H27,"2 Period Start")</t>
  </si>
  <si>
    <t>=NF(H27,"3 Period End")</t>
  </si>
  <si>
    <t>=NL(,"2000000007 Date",,"1 Period Type","Month","2 Period Start",NP("DateFilter",J27))</t>
  </si>
  <si>
    <t>=NF(O27,"2 Period Start")</t>
  </si>
  <si>
    <t>=NF(O27,"3 Period End")</t>
  </si>
  <si>
    <t>=NL(,"2000000007 Date",,"1 Period Type","Month","2 Period Start",NP("DateFilter",Q27))</t>
  </si>
  <si>
    <t>=NF(V27,"2 Period Start")</t>
  </si>
  <si>
    <t>=NF(V27,"3 Period End")</t>
  </si>
  <si>
    <t>=NL("DateFilter",I27,J27)</t>
  </si>
  <si>
    <t>=(I27&lt;$C$8)</t>
  </si>
  <si>
    <t>=NL("DateFilter",P27,Q27)</t>
  </si>
  <si>
    <t>=(P27&lt;$C$8)</t>
  </si>
  <si>
    <t>=NL("DateFilter",W27,X27)</t>
  </si>
  <si>
    <t>=(W27&lt;$C$8)</t>
  </si>
  <si>
    <t>=IF(J28,TEXT(I$27,"mmm"),TEXT(I$27,"mmm") &amp; " (Budget)")</t>
  </si>
  <si>
    <t>=IF(Q28,TEXT(P$27,"mmm"),TEXT(P$27,"mmm") &amp; " (Budget)")</t>
  </si>
  <si>
    <t>=IF(X28,TEXT(W$27,"mmm"),TEXT(W$27,"mmm") &amp; " (Budget)")</t>
  </si>
  <si>
    <t>=SUMIF(G$30:Y$30,"Budget",G31:Y31)</t>
  </si>
  <si>
    <t>=SUMIF(G$30:Y$30,"Actual",G31:Y31)</t>
  </si>
  <si>
    <t>=-NL("Sum","96 G/L Budget Entry","7 Amount","2 Budget Name",$C$6,"3 G/L Account No.",NF($E31,"1 No."),"4 Date",H$28)</t>
  </si>
  <si>
    <t>=IF(J$28,-NF($E31,"32 Net Change","28 Date Filter",H$28),H31)</t>
  </si>
  <si>
    <t>=E31</t>
  </si>
  <si>
    <t>=-NL("Sum","96 G/L Budget Entry","7 Amount","2 Budget Name",$C$6,"3 G/L Account No.",NF($E31,"1 No."),"4 Date",O$28)</t>
  </si>
  <si>
    <t>=IF(Q$28,-NF($E31,"32 Net Change","28 Date Filter",O$28),O31)</t>
  </si>
  <si>
    <t>=-NL("Sum","96 G/L Budget Entry","7 Amount","2 Budget Name",$C$6,"3 G/L Account No.",NF($E31,"1 No."),"4 Date",V$28)</t>
  </si>
  <si>
    <t>=IF(X$28,-NF($E31,"32 Net Change","28 Date Filter",V$28),V31)</t>
  </si>
  <si>
    <t>=SUMIF(H$30:Y$30,"Variance",H31:Y31)</t>
  </si>
  <si>
    <t>=SUMIF(G$30:Y$30,"Budget",G32:Y32)</t>
  </si>
  <si>
    <t>=SUMIF(G$30:Y$30,"Actual",G32:Y32)</t>
  </si>
  <si>
    <t>=-NL("Sum","96 G/L Budget Entry","7 Amount","2 Budget Name",$C$6,"3 G/L Account No.",NF($E32,"1 No."),"4 Date",H$28)</t>
  </si>
  <si>
    <t>=IF(J$28,-NF($E32,"32 Net Change","28 Date Filter",H$28),H32)</t>
  </si>
  <si>
    <t>=I32-H32</t>
  </si>
  <si>
    <t>=IF(J32=0,"",IFERROR(J32/H32,""))</t>
  </si>
  <si>
    <t>=E32</t>
  </si>
  <si>
    <t>=-NL("Sum","96 G/L Budget Entry","7 Amount","2 Budget Name",$C$6,"3 G/L Account No.",NF($E32,"1 No."),"4 Date",O$28)</t>
  </si>
  <si>
    <t>=IF(Q$28,-NF($E32,"32 Net Change","28 Date Filter",O$28),O32)</t>
  </si>
  <si>
    <t>=P32-O32</t>
  </si>
  <si>
    <t>=IF(Q32=0,"",IFERROR(Q32/O32,""))</t>
  </si>
  <si>
    <t>=-NL("Sum","96 G/L Budget Entry","7 Amount","2 Budget Name",$C$6,"3 G/L Account No.",NF($E32,"1 No."),"4 Date",V$28)</t>
  </si>
  <si>
    <t>=IF(X$28,-NF($E32,"32 Net Change","28 Date Filter",V$28),V32)</t>
  </si>
  <si>
    <t>=W32-V32</t>
  </si>
  <si>
    <t>=IF(X32=0,"",IFERROR(X32/V32,""))</t>
  </si>
  <si>
    <t>=SUMIF(H$30:Y$30,"Variance",H32:Y32)</t>
  </si>
  <si>
    <t>=IF(AA32=0,"",IFERROR(AA32/C32,""))</t>
  </si>
  <si>
    <t>=SUMIF(G$30:Y$30,"Budget",G33:Y33)</t>
  </si>
  <si>
    <t>=SUMIF(G$30:Y$30,"Actual",G33:Y33)</t>
  </si>
  <si>
    <t>=-NL("Sum","96 G/L Budget Entry","7 Amount","2 Budget Name",$C$6,"3 G/L Account No.",NF($E33,"1 No."),"4 Date",H$28)</t>
  </si>
  <si>
    <t>=IF(J$28,-NF($E33,"32 Net Change","28 Date Filter",H$28),H33)</t>
  </si>
  <si>
    <t>=I33-H33</t>
  </si>
  <si>
    <t>=IF(J33=0,"",IFERROR(J33/H33,""))</t>
  </si>
  <si>
    <t>=E33</t>
  </si>
  <si>
    <t>=-NL("Sum","96 G/L Budget Entry","7 Amount","2 Budget Name",$C$6,"3 G/L Account No.",NF($E33,"1 No."),"4 Date",O$28)</t>
  </si>
  <si>
    <t>=IF(Q$28,-NF($E33,"32 Net Change","28 Date Filter",O$28),O33)</t>
  </si>
  <si>
    <t>=P33-O33</t>
  </si>
  <si>
    <t>=IF(Q33=0,"",IFERROR(Q33/O33,""))</t>
  </si>
  <si>
    <t>=-NL("Sum","96 G/L Budget Entry","7 Amount","2 Budget Name",$C$6,"3 G/L Account No.",NF($E33,"1 No."),"4 Date",V$28)</t>
  </si>
  <si>
    <t>=IF(X$28,-NF($E33,"32 Net Change","28 Date Filter",V$28),V33)</t>
  </si>
  <si>
    <t>=W33-V33</t>
  </si>
  <si>
    <t>=IF(X33=0,"",IFERROR(X33/V33,""))</t>
  </si>
  <si>
    <t>=SUMIF(H$30:Y$30,"Variance",H33:Y33)</t>
  </si>
  <si>
    <t>=IF(AA33=0,"",IFERROR(AA33/C33,""))</t>
  </si>
  <si>
    <t>=SUM(C31:C34)</t>
  </si>
  <si>
    <t>=SUBTOTAL(9,H31:H34)</t>
  </si>
  <si>
    <t>=SUBTOTAL(9,I31:I34)</t>
  </si>
  <si>
    <t>=I35-H35</t>
  </si>
  <si>
    <t>=IF(J35=0,"",IFERROR(J35/H35,""))</t>
  </si>
  <si>
    <t>=SUBTOTAL(9,O31:O34)</t>
  </si>
  <si>
    <t>=SUBTOTAL(9,P31:P34)</t>
  </si>
  <si>
    <t>=P35-O35</t>
  </si>
  <si>
    <t>=IF(Q35=0,"",IFERROR(Q35/O35,""))</t>
  </si>
  <si>
    <t>=SUBTOTAL(9,V31:V34)</t>
  </si>
  <si>
    <t>=SUBTOTAL(9,W31:W34)</t>
  </si>
  <si>
    <t>=W35-V35</t>
  </si>
  <si>
    <t>=IF(X35=0,"",IFERROR(X35/V35,""))</t>
  </si>
  <si>
    <t>=SUBTOTAL(9,AA31:AA34)</t>
  </si>
  <si>
    <t>=IF(AA35=0,"",IFERROR(AA35/C35,""))</t>
  </si>
  <si>
    <t>=NL(,"2000000007 Date",,"1 Period Type","Month","2 Period Start",NP("DateFilter",X27))</t>
  </si>
  <si>
    <t>=NF(H37,"2 Period Start")</t>
  </si>
  <si>
    <t>=NF(H37,"3 Period End")</t>
  </si>
  <si>
    <t>=NL(,"2000000007 Date",,"1 Period Type","Month","2 Period Start",NP("DateFilter",J37))</t>
  </si>
  <si>
    <t>=NF(O37,"2 Period Start")</t>
  </si>
  <si>
    <t>=NF(O37,"3 Period End")</t>
  </si>
  <si>
    <t>=NL(,"2000000007 Date",,"1 Period Type","Month","2 Period Start",NP("DateFilter",Q37))</t>
  </si>
  <si>
    <t>=NF(V37,"2 Period Start")</t>
  </si>
  <si>
    <t>=NF(V37,"3 Period End")</t>
  </si>
  <si>
    <t>=NL("DateFilter",I37,J37)</t>
  </si>
  <si>
    <t>=(I37&lt;$C$8)</t>
  </si>
  <si>
    <t>=NL("DateFilter",P37,Q37)</t>
  </si>
  <si>
    <t>=(P37&lt;$C$8)</t>
  </si>
  <si>
    <t>=NL("DateFilter",W37,X37)</t>
  </si>
  <si>
    <t>=(W37&lt;$C$8)</t>
  </si>
  <si>
    <t>=IF(J38,TEXT(I37,"mmm"),TEXT(I37,"mmm") &amp; " (Budget)")</t>
  </si>
  <si>
    <t>=IF(Q38,TEXT(P37,"mmm"),TEXT(P37,"mmm") &amp; " (Budget)")</t>
  </si>
  <si>
    <t>=IF(X38,TEXT(W37,"mmm"),TEXT(W37,"mmm") &amp; " (Budget)")</t>
  </si>
  <si>
    <t>=SUMIF(G$40:Y$40,"Budget",G41:Y41)</t>
  </si>
  <si>
    <t>=SUMIF(G$40:Y$40,"Actual",G41:Y41)</t>
  </si>
  <si>
    <t>=-NL("Sum","96 G/L Budget Entry","7 Amount","2 Budget Name",$C$6,"3 G/L Account No.",NF($E41,"1 No."),"4 Date",H$38)</t>
  </si>
  <si>
    <t>=IF(J$38,-NF($E41,"32 Net Change","28 Date Filter",H$38),H41)</t>
  </si>
  <si>
    <t>=I41-H41</t>
  </si>
  <si>
    <t>=IF(J41=0,"",IFERROR(J41/H41,""))</t>
  </si>
  <si>
    <t>=E41</t>
  </si>
  <si>
    <t>=-NL("Sum","96 G/L Budget Entry","7 Amount","2 Budget Name",$C$6,"3 G/L Account No.",NF($E41,"1 No."),"4 Date",O$38)</t>
  </si>
  <si>
    <t>=IF(Q$38,-NF($E41,"32 Net Change","28 Date Filter",O$38),O41)</t>
  </si>
  <si>
    <t>=P41-O41</t>
  </si>
  <si>
    <t>=IF(Q41=0,"",IFERROR(Q41/O41,""))</t>
  </si>
  <si>
    <t>=-NL("Sum","96 G/L Budget Entry","7 Amount","2 Budget Name",$C$6,"3 G/L Account No.",NF($E41,"1 No."),"4 Date",V$38)</t>
  </si>
  <si>
    <t>=IF(X$38,-NF($E41,"32 Net Change","28 Date Filter",V$38),V41)</t>
  </si>
  <si>
    <t>=W41-V41</t>
  </si>
  <si>
    <t>=IF(X41=0,"",IFERROR(X41/V41,""))</t>
  </si>
  <si>
    <t>=SUMIF(H$40:Y$40,"Variance",H41:Y41)</t>
  </si>
  <si>
    <t>=IF(AA41=0,"",IFERROR(AA41/C41,""))</t>
  </si>
  <si>
    <t>=SUMIF(G$40:Y$40,"Budget",G42:Y42)</t>
  </si>
  <si>
    <t>=SUMIF(G$40:Y$40,"Actual",G42:Y42)</t>
  </si>
  <si>
    <t>=-NL("Sum","96 G/L Budget Entry","7 Amount","2 Budget Name",$C$6,"3 G/L Account No.",NF($E42,"1 No."),"4 Date",H$38)</t>
  </si>
  <si>
    <t>=IF(J$38,-NF($E42,"32 Net Change","28 Date Filter",H$38),H42)</t>
  </si>
  <si>
    <t>=I42-H42</t>
  </si>
  <si>
    <t>=IF(J42=0,"",IFERROR(J42/H42,""))</t>
  </si>
  <si>
    <t>=E42</t>
  </si>
  <si>
    <t>=-NL("Sum","96 G/L Budget Entry","7 Amount","2 Budget Name",$C$6,"3 G/L Account No.",NF($E42,"1 No."),"4 Date",O$38)</t>
  </si>
  <si>
    <t>=IF(Q$38,-NF($E42,"32 Net Change","28 Date Filter",O$38),O42)</t>
  </si>
  <si>
    <t>=P42-O42</t>
  </si>
  <si>
    <t>=IF(Q42=0,"",IFERROR(Q42/O42,""))</t>
  </si>
  <si>
    <t>=-NL("Sum","96 G/L Budget Entry","7 Amount","2 Budget Name",$C$6,"3 G/L Account No.",NF($E42,"1 No."),"4 Date",V$38)</t>
  </si>
  <si>
    <t>=IF(X$38,-NF($E42,"32 Net Change","28 Date Filter",V$38),V42)</t>
  </si>
  <si>
    <t>=W42-V42</t>
  </si>
  <si>
    <t>=IF(X42=0,"",IFERROR(X42/V42,""))</t>
  </si>
  <si>
    <t>=SUMIF(H$40:Y$40,"Variance",H42:Y42)</t>
  </si>
  <si>
    <t>=IF(AA42=0,"",IFERROR(AA42/C42,""))</t>
  </si>
  <si>
    <t>=SUMIF(G$40:Y$40,"Budget",G43:Y43)</t>
  </si>
  <si>
    <t>=SUMIF(G$40:Y$40,"Actual",G43:Y43)</t>
  </si>
  <si>
    <t>=-NL("Sum","96 G/L Budget Entry","7 Amount","2 Budget Name",$C$6,"3 G/L Account No.",NF($E43,"1 No."),"4 Date",H$38)</t>
  </si>
  <si>
    <t>=IF(J$38,-NF($E43,"32 Net Change","28 Date Filter",H$38),H43)</t>
  </si>
  <si>
    <t>=I43-H43</t>
  </si>
  <si>
    <t>=IF(J43=0,"",IFERROR(J43/H43,""))</t>
  </si>
  <si>
    <t>=E43</t>
  </si>
  <si>
    <t>=-NL("Sum","96 G/L Budget Entry","7 Amount","2 Budget Name",$C$6,"3 G/L Account No.",NF($E43,"1 No."),"4 Date",O$38)</t>
  </si>
  <si>
    <t>=IF(Q$38,-NF($E43,"32 Net Change","28 Date Filter",O$38),O43)</t>
  </si>
  <si>
    <t>=P43-O43</t>
  </si>
  <si>
    <t>=IF(Q43=0,"",IFERROR(Q43/O43,""))</t>
  </si>
  <si>
    <t>=-NL("Sum","96 G/L Budget Entry","7 Amount","2 Budget Name",$C$6,"3 G/L Account No.",NF($E43,"1 No."),"4 Date",V$38)</t>
  </si>
  <si>
    <t>=IF(X$38,-NF($E43,"32 Net Change","28 Date Filter",V$38),V43)</t>
  </si>
  <si>
    <t>=W43-V43</t>
  </si>
  <si>
    <t>=IF(X43=0,"",IFERROR(X43/V43,""))</t>
  </si>
  <si>
    <t>=SUMIF(H$40:Y$40,"Variance",H43:Y43)</t>
  </si>
  <si>
    <t>=IF(AA43=0,"",IFERROR(AA43/C43,""))</t>
  </si>
  <si>
    <t>=SUM(C41:C44)</t>
  </si>
  <si>
    <t>=SUBTOTAL(9,H41:H44)</t>
  </si>
  <si>
    <t>=SUBTOTAL(9,I41:I44)</t>
  </si>
  <si>
    <t>=SUBTOTAL(9,O41:O44)</t>
  </si>
  <si>
    <t>=SUBTOTAL(9,P41:P44)</t>
  </si>
  <si>
    <t>=SUBTOTAL(9,V41:V44)</t>
  </si>
  <si>
    <t>=SUBTOTAL(9,W41:W44)</t>
  </si>
  <si>
    <t>=SUBTOTAL(9,AA41:AA44)</t>
  </si>
  <si>
    <t>=NL(,"2000000007 Date",,"1 Period Type","Month","2 Period Start",NP("DateFilter",X37))</t>
  </si>
  <si>
    <t>=NF(H47,"2 Period Start")</t>
  </si>
  <si>
    <t>=NF(H47,"3 Period End")</t>
  </si>
  <si>
    <t>=NL(,"2000000007 Date",,"1 Period Type","Month","2 Period Start",NP("DateFilter",J47))</t>
  </si>
  <si>
    <t>=NF(O47,"2 Period Start")</t>
  </si>
  <si>
    <t>=NF(O47,"3 Period End")</t>
  </si>
  <si>
    <t>=NL(,"2000000007 Date",,"1 Period Type","Month","2 Period Start",NP("DateFilter",Q47))</t>
  </si>
  <si>
    <t>=NF(V47,"2 Period Start")</t>
  </si>
  <si>
    <t>=NF(V47,"3 Period End")</t>
  </si>
  <si>
    <t>=NL("DateFilter",I47,J47)</t>
  </si>
  <si>
    <t>=(I47&lt;$C$8)</t>
  </si>
  <si>
    <t>=NL("DateFilter",P47,Q47)</t>
  </si>
  <si>
    <t>=(P47&lt;$C$8)</t>
  </si>
  <si>
    <t>=NL("DateFilter",W47,X47)</t>
  </si>
  <si>
    <t>=(W47&lt;$C$8)</t>
  </si>
  <si>
    <t>=IF(J48,TEXT(I47,"mmm"),TEXT(I47,"mmm") &amp; " (Budget)")</t>
  </si>
  <si>
    <t>=IF(Q48,TEXT(P47,"mmm"),TEXT(P47,"mmm") &amp; " (Budget)")</t>
  </si>
  <si>
    <t>=IF(X48,TEXT(W47,"mmm"),TEXT(W47,"mmm") &amp; " (Budget)")</t>
  </si>
  <si>
    <t>=SUMIF(G$50:Y$50,"Budget",G51:Y51)</t>
  </si>
  <si>
    <t>=SUMIF(G$50:Y$50,"Actual",G51:Y51)</t>
  </si>
  <si>
    <t>=-NL("Sum","96 G/L Budget Entry","7 Amount","2 Budget Name",$C$6,"3 G/L Account No.",NF($E51,"1 No."),"4 Date",H$48)</t>
  </si>
  <si>
    <t>=IF(J$48,-NF($E51,"32 Net Change","28 Date Filter",H$48),H51)</t>
  </si>
  <si>
    <t>=IF(J51=0,"",IFERROR(J51/H51,""))</t>
  </si>
  <si>
    <t>=-NL("Sum","96 G/L Budget Entry","7 Amount","2 Budget Name",$C$6,"3 G/L Account No.",NF($E51,"1 No."),"4 Date",O$48)</t>
  </si>
  <si>
    <t>=IF(Q$48,-NF($E51,"32 Net Change","28 Date Filter",O$48),O51)</t>
  </si>
  <si>
    <t>=IF(Q51=0,"",IFERROR(Q51/O51,""))</t>
  </si>
  <si>
    <t>=-NL("Sum","96 G/L Budget Entry","7 Amount","2 Budget Name",$C$6,"3 G/L Account No.",NF($E51,"1 No."),"4 Date",V$48)</t>
  </si>
  <si>
    <t>=IF(X$48,-NF($E51,"32 Net Change","28 Date Filter",V$48),V51)</t>
  </si>
  <si>
    <t>=W51-V51</t>
  </si>
  <si>
    <t>=IF(X51=0,"",IFERROR(X51/V51,""))</t>
  </si>
  <si>
    <t>=SUMIF(H$50:Y$50,"Variance",H51:Y51)</t>
  </si>
  <si>
    <t>=IF(AA51=0,"",IFERROR(AA51/C51,""))</t>
  </si>
  <si>
    <t>=SUMIF(G$50:Y$50,"Budget",G52:Y52)</t>
  </si>
  <si>
    <t>=SUMIF(G$50:Y$50,"Actual",G52:Y52)</t>
  </si>
  <si>
    <t>=-NL("Sum","96 G/L Budget Entry","7 Amount","2 Budget Name",$C$6,"3 G/L Account No.",NF($E52,"1 No."),"4 Date",H$48)</t>
  </si>
  <si>
    <t>=IF(J$48,-NF($E52,"32 Net Change","28 Date Filter",H$48),H52)</t>
  </si>
  <si>
    <t>=I52-H52</t>
  </si>
  <si>
    <t>=IF(J52=0,"",IFERROR(J52/H52,""))</t>
  </si>
  <si>
    <t>=E52</t>
  </si>
  <si>
    <t>=-NL("Sum","96 G/L Budget Entry","7 Amount","2 Budget Name",$C$6,"3 G/L Account No.",NF($E52,"1 No."),"4 Date",O$48)</t>
  </si>
  <si>
    <t>=IF(Q$48,-NF($E52,"32 Net Change","28 Date Filter",O$48),O52)</t>
  </si>
  <si>
    <t>=P52-O52</t>
  </si>
  <si>
    <t>=IF(Q52=0,"",IFERROR(Q52/O52,""))</t>
  </si>
  <si>
    <t>=-NL("Sum","96 G/L Budget Entry","7 Amount","2 Budget Name",$C$6,"3 G/L Account No.",NF($E52,"1 No."),"4 Date",V$48)</t>
  </si>
  <si>
    <t>=IF(X$48,-NF($E52,"32 Net Change","28 Date Filter",V$48),V52)</t>
  </si>
  <si>
    <t>=W52-V52</t>
  </si>
  <si>
    <t>=IF(X52=0,"",IFERROR(X52/V52,""))</t>
  </si>
  <si>
    <t>=SUMIF(H$50:Y$50,"Variance",H52:Y52)</t>
  </si>
  <si>
    <t>=IF(AA52=0,"",IFERROR(AA52/C52,""))</t>
  </si>
  <si>
    <t>=SUMIF(G$50:Y$50,"Budget",G53:Y53)</t>
  </si>
  <si>
    <t>=SUMIF(G$50:Y$50,"Actual",G53:Y53)</t>
  </si>
  <si>
    <t>=-NL("Sum","96 G/L Budget Entry","7 Amount","2 Budget Name",$C$6,"3 G/L Account No.",NF($E53,"1 No."),"4 Date",H$48)</t>
  </si>
  <si>
    <t>=IF(J$48,-NF($E53,"32 Net Change","28 Date Filter",H$48),H53)</t>
  </si>
  <si>
    <t>=IF(J53=0,"",IFERROR(J53/H53,""))</t>
  </si>
  <si>
    <t>=E53</t>
  </si>
  <si>
    <t>=-NL("Sum","96 G/L Budget Entry","7 Amount","2 Budget Name",$C$6,"3 G/L Account No.",NF($E53,"1 No."),"4 Date",O$48)</t>
  </si>
  <si>
    <t>=IF(Q$48,-NF($E53,"32 Net Change","28 Date Filter",O$48),O53)</t>
  </si>
  <si>
    <t>=IF(Q53=0,"",IFERROR(Q53/O53,""))</t>
  </si>
  <si>
    <t>=-NL("Sum","96 G/L Budget Entry","7 Amount","2 Budget Name",$C$6,"3 G/L Account No.",NF($E53,"1 No."),"4 Date",V$48)</t>
  </si>
  <si>
    <t>=IF(X$48,-NF($E53,"32 Net Change","28 Date Filter",V$48),V53)</t>
  </si>
  <si>
    <t>=W53-V53</t>
  </si>
  <si>
    <t>=IF(X53=0,"",IFERROR(X53/V53,""))</t>
  </si>
  <si>
    <t>=SUMIF(H$50:Y$50,"Variance",H53:Y53)</t>
  </si>
  <si>
    <t>=IF(AA53=0,"",IFERROR(AA53/C53,""))</t>
  </si>
  <si>
    <t>=SUM(C51:C54)</t>
  </si>
  <si>
    <t>=SUBTOTAL(9,H51:H54)</t>
  </si>
  <si>
    <t>=SUBTOTAL(9,I51:I54)</t>
  </si>
  <si>
    <t>=I55-H55</t>
  </si>
  <si>
    <t>=IF(J55=0,"",IFERROR(J55/H55,""))</t>
  </si>
  <si>
    <t>=SUBTOTAL(9,O51:O54)</t>
  </si>
  <si>
    <t>=SUBTOTAL(9,P51:P54)</t>
  </si>
  <si>
    <t>=P55-O55</t>
  </si>
  <si>
    <t>=IF(Q55=0,"",IFERROR(Q55/O55,""))</t>
  </si>
  <si>
    <t>=SUBTOTAL(9,V51:V54)</t>
  </si>
  <si>
    <t>=SUBTOTAL(9,W51:W54)</t>
  </si>
  <si>
    <t>=W55-V55</t>
  </si>
  <si>
    <t>=IF(X55=0,"",IFERROR(X55/V55,""))</t>
  </si>
  <si>
    <t>=SUBTOTAL(9,AA51:AA54)</t>
  </si>
  <si>
    <t>=IF(AA55=0,"",IFERROR(AA55/C55,""))</t>
  </si>
  <si>
    <t>=SUMIF($G21:$G25,G59,C21:C25)</t>
  </si>
  <si>
    <t>=SUMIF($G21:$G24,G59,D21:D24)</t>
  </si>
  <si>
    <t>=E59</t>
  </si>
  <si>
    <t>=SUMIF($G21:$G35,N59,C21:C35)</t>
  </si>
  <si>
    <t>=SUMIF($G21:$G35,N59,D21:D35)</t>
  </si>
  <si>
    <t>=SUMIF($G22:$G26,G60,C22:C26)</t>
  </si>
  <si>
    <t>=SUMIF($G22:$G25,G60,D22:D25)</t>
  </si>
  <si>
    <t>=I60-H60</t>
  </si>
  <si>
    <t>=IFERROR(J60/H60,"")</t>
  </si>
  <si>
    <t>=E60</t>
  </si>
  <si>
    <t>=SUMIF($G22:$G36,N60,C22:C36)</t>
  </si>
  <si>
    <t>=SUMIF($G22:$G36,N60,D22:D36)</t>
  </si>
  <si>
    <t>=P60-O60</t>
  </si>
  <si>
    <t>=IFERROR(Q60/O60,"")</t>
  </si>
  <si>
    <t>=SUMIF($G23:$G27,G61,C23:C27)</t>
  </si>
  <si>
    <t>=SUMIF($G23:$G26,G61,D23:D26)</t>
  </si>
  <si>
    <t>=I61-H61</t>
  </si>
  <si>
    <t>=IFERROR(J61/H61,"")</t>
  </si>
  <si>
    <t>=E61</t>
  </si>
  <si>
    <t>=SUMIF($G23:$G37,N61,C23:C37)</t>
  </si>
  <si>
    <t>=SUMIF($G23:$G37,N61,D23:D37)</t>
  </si>
  <si>
    <t>=P61-O61</t>
  </si>
  <si>
    <t>=IFERROR(Q61/O61,"")</t>
  </si>
  <si>
    <t>=SUBTOTAL(9,H59:H62)</t>
  </si>
  <si>
    <t>=SUBTOTAL(9,I59:I62)</t>
  </si>
  <si>
    <t>=I63-H63</t>
  </si>
  <si>
    <t>=IFERROR(J63/H63,"")</t>
  </si>
  <si>
    <t>=SUBTOTAL(9,O59:O62)</t>
  </si>
  <si>
    <t>=SUBTOTAL(9,P59:P62)</t>
  </si>
  <si>
    <t>=P63-O63</t>
  </si>
  <si>
    <t>=IFERROR(Q63/O63,"")</t>
  </si>
  <si>
    <t>=SUMIF($G21:$G45,G67,C21:C45)</t>
  </si>
  <si>
    <t>=SUMIF($G21:$G45,G67,D21:D45)</t>
  </si>
  <si>
    <t>=I67-H67</t>
  </si>
  <si>
    <t>=IFERROR(J67/H67,"")</t>
  </si>
  <si>
    <t>=E67</t>
  </si>
  <si>
    <t>=SUMIF($G21:$G55,N67,C21:C55)</t>
  </si>
  <si>
    <t>=SUMIF($G19:G55,N67:N70,D19:D55)</t>
  </si>
  <si>
    <t>=P67-O67</t>
  </si>
  <si>
    <t>=IFERROR(Q67/O67,"")</t>
  </si>
  <si>
    <t>=SUMIF($G22:$G46,G68,C22:C46)</t>
  </si>
  <si>
    <t>=SUMIF($G22:$G46,G68,D22:D46)</t>
  </si>
  <si>
    <t>=I68-H68</t>
  </si>
  <si>
    <t>=IFERROR(J68/H68,"")</t>
  </si>
  <si>
    <t>=E68</t>
  </si>
  <si>
    <t>=SUMIF($G22:$G56,N68,C22:C56)</t>
  </si>
  <si>
    <t>=SUMIF($G20:G56,N68:N71,D20:D56)</t>
  </si>
  <si>
    <t>=P68-O68</t>
  </si>
  <si>
    <t>=IFERROR(Q68/O68,"")</t>
  </si>
  <si>
    <t>=SUMIF($G23:$G47,G69,C23:C47)</t>
  </si>
  <si>
    <t>=SUMIF($G23:$G47,G69,D23:D47)</t>
  </si>
  <si>
    <t>=I69-H69</t>
  </si>
  <si>
    <t>=IFERROR(J69/H69,"")</t>
  </si>
  <si>
    <t>=E69</t>
  </si>
  <si>
    <t>=SUMIF($G23:$G57,N69,C23:C57)</t>
  </si>
  <si>
    <t>=SUMIF($G21:G57,N69:N72,D21:D57)</t>
  </si>
  <si>
    <t>=P69-O69</t>
  </si>
  <si>
    <t>=IFERROR(Q69/O69,"")</t>
  </si>
  <si>
    <t>=SUBTOTAL(9,H67:H70)</t>
  </si>
  <si>
    <t>=SUBTOTAL(9,I67:I70)</t>
  </si>
  <si>
    <t>=I71-H71</t>
  </si>
  <si>
    <t>=IFERROR(J71/H71,"")</t>
  </si>
  <si>
    <t>=SUBTOTAL(9,O67:O70)</t>
  </si>
  <si>
    <t>=SUBTOTAL(9,P67:P70)</t>
  </si>
  <si>
    <t>=P71-O71</t>
  </si>
  <si>
    <t>=IFERROR(Q71/O71,"")</t>
  </si>
  <si>
    <t>=NF($E22,"2 Name")</t>
  </si>
  <si>
    <t>=NF($E23,"2 Name")</t>
  </si>
  <si>
    <t>=NF($E31,"2 Name")</t>
  </si>
  <si>
    <t>=NF($E32,"2 Name")</t>
  </si>
  <si>
    <t>=NF($E33,"2 Name")</t>
  </si>
  <si>
    <t>=NF($E41,"2 Name")</t>
  </si>
  <si>
    <t>=NF($E42,"2 Name")</t>
  </si>
  <si>
    <t>=NF($E43,"2 Name")</t>
  </si>
  <si>
    <t>=NF($E52,"2 Name")</t>
  </si>
  <si>
    <t>=NF($E53,"2 Name")</t>
  </si>
  <si>
    <t>=NF($E59,"2 Name")</t>
  </si>
  <si>
    <t>=NF($E60,"2 Name")</t>
  </si>
  <si>
    <t>=NF($E61,"2 Name")</t>
  </si>
  <si>
    <t>=NF($E67,"2 Name")</t>
  </si>
  <si>
    <t>=NF($E68,"2 Name")</t>
  </si>
  <si>
    <t>=NF($E69,"2 Name")</t>
  </si>
  <si>
    <t>Auto+Hide+Values+Formulas=Sheet3,Sheet1,Sheet2+FormulasOnly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</si>
</sst>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_);_(* \(#,##0\);_(* &quot;-&quot;??_);_(@_)"/>
    <numFmt numFmtId="166" formatCode="mmm"/>
    <numFmt numFmtId="167" formatCode="[$-409]d\-mmm\-yy;@"/>
  </numFmts>
  <fonts count="22" x14ac:knownFonts="1">
    <font>
      <sz val="11"/>
      <color theme="1"/>
      <name val="Calibri"/>
      <family val="2"/>
      <scheme val="minor"/>
    </font>
    <font>
      <sz val="11"/>
      <color theme="0"/>
      <name val="Calibri"/>
      <family val="2"/>
      <scheme val="minor"/>
    </font>
    <font>
      <sz val="11"/>
      <color rgb="FFC0C0C0"/>
      <name val="Calibri"/>
      <family val="2"/>
      <scheme val="minor"/>
    </font>
    <font>
      <sz val="11"/>
      <color theme="0" tint="-0.24994659260841701"/>
      <name val="Calibri"/>
      <family val="2"/>
      <scheme val="minor"/>
    </font>
    <font>
      <sz val="11"/>
      <color theme="1"/>
      <name val="Calibri"/>
      <family val="2"/>
      <scheme val="minor"/>
    </font>
    <font>
      <b/>
      <sz val="18"/>
      <color theme="3"/>
      <name val="Cambria"/>
      <family val="2"/>
      <scheme val="major"/>
    </font>
    <font>
      <b/>
      <sz val="11"/>
      <color theme="3"/>
      <name val="Calibri"/>
      <family val="2"/>
      <scheme val="minor"/>
    </font>
    <font>
      <sz val="10"/>
      <name val="Arial"/>
      <family val="2"/>
    </font>
    <font>
      <u/>
      <sz val="10"/>
      <color indexed="12"/>
      <name val="Arial"/>
      <family val="2"/>
    </font>
    <font>
      <b/>
      <sz val="18"/>
      <color theme="3"/>
      <name val="Segoe UI Semibold"/>
      <family val="2"/>
    </font>
    <font>
      <b/>
      <sz val="11"/>
      <color theme="3"/>
      <name val="Segoe UI Semibold"/>
      <family val="2"/>
    </font>
    <font>
      <sz val="11"/>
      <color theme="1"/>
      <name val="Segoe UI Semibold"/>
      <family val="2"/>
    </font>
    <font>
      <sz val="11"/>
      <color theme="0" tint="-0.24994659260841701"/>
      <name val="Segoe UI Semibold"/>
      <family val="2"/>
    </font>
    <font>
      <sz val="11"/>
      <color theme="0"/>
      <name val="Segoe UI Semibold"/>
      <family val="2"/>
    </font>
    <font>
      <b/>
      <sz val="11"/>
      <color theme="0"/>
      <name val="Segoe UI Semibold"/>
      <family val="2"/>
    </font>
    <font>
      <sz val="11"/>
      <name val="Segoe UI Semibold"/>
      <family val="2"/>
    </font>
    <font>
      <sz val="11"/>
      <color rgb="FFC0C0C0"/>
      <name val="Segoe UI Semibold"/>
      <family val="2"/>
    </font>
    <font>
      <b/>
      <sz val="11"/>
      <color theme="1"/>
      <name val="Segoe UI Semibold"/>
      <family val="2"/>
    </font>
    <font>
      <b/>
      <sz val="10"/>
      <color theme="3"/>
      <name val="Segoe UI Semibold"/>
      <family val="2"/>
    </font>
    <font>
      <sz val="10"/>
      <color theme="0" tint="-0.24994659260841701"/>
      <name val="Segoe UI Semibold"/>
      <family val="2"/>
    </font>
    <font>
      <sz val="10"/>
      <color theme="1"/>
      <name val="Segoe UI Semibold"/>
      <family val="2"/>
    </font>
    <font>
      <b/>
      <sz val="9"/>
      <color indexed="81"/>
      <name val="Tahoma"/>
      <family val="2"/>
    </font>
  </fonts>
  <fills count="9">
    <fill>
      <patternFill patternType="none"/>
    </fill>
    <fill>
      <patternFill patternType="gray125"/>
    </fill>
    <fill>
      <patternFill patternType="solid">
        <fgColor theme="4" tint="0.39997558519241921"/>
        <bgColor indexed="65"/>
      </patternFill>
    </fill>
    <fill>
      <patternFill patternType="solid">
        <fgColor theme="6" tint="0.39997558519241921"/>
        <bgColor indexed="65"/>
      </patternFill>
    </fill>
    <fill>
      <patternFill patternType="solid">
        <fgColor theme="4" tint="-0.24994659260841701"/>
        <bgColor indexed="64"/>
      </patternFill>
    </fill>
    <fill>
      <patternFill patternType="solid">
        <fgColor theme="6" tint="-0.499984740745262"/>
        <bgColor indexed="64"/>
      </patternFill>
    </fill>
    <fill>
      <patternFill patternType="solid">
        <fgColor theme="9" tint="-0.24994659260841701"/>
        <bgColor indexed="64"/>
      </patternFill>
    </fill>
    <fill>
      <patternFill patternType="solid">
        <fgColor theme="9" tint="-0.499984740745262"/>
        <bgColor indexed="64"/>
      </patternFill>
    </fill>
    <fill>
      <patternFill patternType="solid">
        <fgColor rgb="FFFFFF00"/>
        <bgColor indexed="64"/>
      </patternFill>
    </fill>
  </fills>
  <borders count="5">
    <border>
      <left/>
      <right/>
      <top/>
      <bottom/>
      <diagonal/>
    </border>
    <border>
      <left/>
      <right/>
      <top style="double">
        <color theme="3"/>
      </top>
      <bottom/>
      <diagonal/>
    </border>
    <border>
      <left/>
      <right/>
      <top style="double">
        <color theme="6" tint="-0.499984740745262"/>
      </top>
      <bottom/>
      <diagonal/>
    </border>
    <border>
      <left/>
      <right/>
      <top style="double">
        <color theme="9" tint="-0.24994659260841701"/>
      </top>
      <bottom/>
      <diagonal/>
    </border>
    <border>
      <left/>
      <right/>
      <top style="double">
        <color theme="9" tint="-0.499984740745262"/>
      </top>
      <bottom/>
      <diagonal/>
    </border>
  </borders>
  <cellStyleXfs count="8">
    <xf numFmtId="0" fontId="0" fillId="0" borderId="0"/>
    <xf numFmtId="0" fontId="1" fillId="2" borderId="0" applyNumberFormat="0" applyBorder="0" applyAlignment="0" applyProtection="0"/>
    <xf numFmtId="0" fontId="1" fillId="3" borderId="0" applyNumberFormat="0" applyBorder="0" applyAlignment="0" applyProtection="0"/>
    <xf numFmtId="164" fontId="4"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xf numFmtId="0" fontId="8" fillId="0" borderId="0" applyNumberFormat="0" applyFill="0" applyBorder="0" applyAlignment="0" applyProtection="0">
      <alignment vertical="top"/>
      <protection locked="0"/>
    </xf>
  </cellStyleXfs>
  <cellXfs count="76">
    <xf numFmtId="0" fontId="0" fillId="0" borderId="0" xfId="0"/>
    <xf numFmtId="0" fontId="2" fillId="0" borderId="0" xfId="0" applyFont="1"/>
    <xf numFmtId="0" fontId="3" fillId="0" borderId="0" xfId="0" applyFont="1"/>
    <xf numFmtId="14" fontId="3" fillId="0" borderId="0" xfId="0" applyNumberFormat="1" applyFont="1"/>
    <xf numFmtId="1" fontId="3" fillId="0" borderId="0" xfId="0" applyNumberFormat="1" applyFont="1"/>
    <xf numFmtId="165" fontId="3" fillId="0" borderId="0" xfId="3" applyNumberFormat="1" applyFont="1"/>
    <xf numFmtId="165" fontId="3" fillId="0" borderId="0" xfId="0" applyNumberFormat="1" applyFont="1"/>
    <xf numFmtId="0" fontId="11" fillId="0" borderId="0" xfId="0" applyFont="1"/>
    <xf numFmtId="1" fontId="12" fillId="0" borderId="0" xfId="0" applyNumberFormat="1" applyFont="1"/>
    <xf numFmtId="0" fontId="12" fillId="0" borderId="0" xfId="0" applyFont="1"/>
    <xf numFmtId="14" fontId="12" fillId="0" borderId="0" xfId="0" applyNumberFormat="1" applyFont="1"/>
    <xf numFmtId="0" fontId="13" fillId="4" borderId="0" xfId="1" applyFont="1" applyFill="1" applyBorder="1"/>
    <xf numFmtId="0" fontId="14" fillId="4" borderId="0" xfId="1" applyFont="1" applyFill="1" applyBorder="1"/>
    <xf numFmtId="0" fontId="14" fillId="4" borderId="0" xfId="1" applyFont="1" applyFill="1" applyBorder="1" applyAlignment="1">
      <alignment horizontal="center"/>
    </xf>
    <xf numFmtId="0" fontId="13" fillId="4" borderId="0" xfId="1" applyFont="1" applyFill="1" applyBorder="1" applyAlignment="1">
      <alignment horizontal="center"/>
    </xf>
    <xf numFmtId="0" fontId="15" fillId="0" borderId="0" xfId="1" applyFont="1" applyFill="1" applyBorder="1"/>
    <xf numFmtId="165" fontId="15" fillId="0" borderId="0" xfId="1" applyNumberFormat="1" applyFont="1" applyFill="1" applyBorder="1"/>
    <xf numFmtId="10" fontId="11" fillId="0" borderId="0" xfId="1" applyNumberFormat="1" applyFont="1" applyFill="1" applyBorder="1"/>
    <xf numFmtId="0" fontId="16" fillId="0" borderId="0" xfId="0" applyFont="1"/>
    <xf numFmtId="0" fontId="11" fillId="0" borderId="0" xfId="1" applyFont="1" applyFill="1" applyBorder="1"/>
    <xf numFmtId="165" fontId="11" fillId="0" borderId="0" xfId="1" applyNumberFormat="1" applyFont="1" applyFill="1" applyBorder="1"/>
    <xf numFmtId="10" fontId="15" fillId="0" borderId="0" xfId="1" applyNumberFormat="1" applyFont="1" applyFill="1" applyBorder="1"/>
    <xf numFmtId="165" fontId="15" fillId="0" borderId="1" xfId="1" applyNumberFormat="1" applyFont="1" applyFill="1" applyBorder="1"/>
    <xf numFmtId="165" fontId="11" fillId="0" borderId="1" xfId="1" applyNumberFormat="1" applyFont="1" applyFill="1" applyBorder="1"/>
    <xf numFmtId="0" fontId="13" fillId="5" borderId="0" xfId="2" applyFont="1" applyFill="1" applyBorder="1"/>
    <xf numFmtId="0" fontId="13" fillId="0" borderId="0" xfId="2" applyFont="1" applyFill="1"/>
    <xf numFmtId="0" fontId="14" fillId="5" borderId="0" xfId="2" applyFont="1" applyFill="1" applyBorder="1" applyAlignment="1">
      <alignment horizontal="center"/>
    </xf>
    <xf numFmtId="0" fontId="14" fillId="5" borderId="0" xfId="1" applyFont="1" applyFill="1" applyBorder="1" applyAlignment="1">
      <alignment horizontal="center"/>
    </xf>
    <xf numFmtId="0" fontId="15" fillId="0" borderId="0" xfId="2" applyFont="1" applyFill="1" applyBorder="1"/>
    <xf numFmtId="165" fontId="15" fillId="0" borderId="0" xfId="2" applyNumberFormat="1" applyFont="1" applyFill="1" applyBorder="1"/>
    <xf numFmtId="165" fontId="15" fillId="0" borderId="2" xfId="2" applyNumberFormat="1" applyFont="1" applyFill="1" applyBorder="1"/>
    <xf numFmtId="165" fontId="15" fillId="0" borderId="2" xfId="1" applyNumberFormat="1" applyFont="1" applyFill="1" applyBorder="1"/>
    <xf numFmtId="0" fontId="13" fillId="6" borderId="0" xfId="2" applyFont="1" applyFill="1" applyBorder="1"/>
    <xf numFmtId="0" fontId="14" fillId="6" borderId="0" xfId="2" applyFont="1" applyFill="1" applyBorder="1"/>
    <xf numFmtId="0" fontId="14" fillId="6" borderId="0" xfId="2" applyFont="1" applyFill="1" applyBorder="1" applyAlignment="1">
      <alignment horizontal="center"/>
    </xf>
    <xf numFmtId="0" fontId="14" fillId="0" borderId="0" xfId="2" applyFont="1" applyFill="1"/>
    <xf numFmtId="0" fontId="17" fillId="0" borderId="0" xfId="0" applyFont="1"/>
    <xf numFmtId="0" fontId="14" fillId="6" borderId="0" xfId="1" applyFont="1" applyFill="1" applyBorder="1" applyAlignment="1">
      <alignment horizontal="center"/>
    </xf>
    <xf numFmtId="0" fontId="15" fillId="0" borderId="0" xfId="2" applyFont="1" applyFill="1"/>
    <xf numFmtId="165" fontId="15" fillId="0" borderId="3" xfId="2" applyNumberFormat="1" applyFont="1" applyFill="1" applyBorder="1"/>
    <xf numFmtId="165" fontId="15" fillId="0" borderId="3" xfId="1" applyNumberFormat="1" applyFont="1" applyFill="1" applyBorder="1"/>
    <xf numFmtId="0" fontId="13" fillId="7" borderId="0" xfId="2" applyFont="1" applyFill="1" applyBorder="1"/>
    <xf numFmtId="0" fontId="13" fillId="7" borderId="0" xfId="2" applyFont="1" applyFill="1" applyBorder="1" applyAlignment="1">
      <alignment horizontal="center"/>
    </xf>
    <xf numFmtId="0" fontId="13" fillId="7" borderId="0" xfId="1" applyFont="1" applyFill="1" applyBorder="1" applyAlignment="1">
      <alignment horizontal="center"/>
    </xf>
    <xf numFmtId="165" fontId="15" fillId="0" borderId="4" xfId="2" applyNumberFormat="1" applyFont="1" applyFill="1" applyBorder="1"/>
    <xf numFmtId="165" fontId="15" fillId="0" borderId="4" xfId="1" applyNumberFormat="1" applyFont="1" applyFill="1" applyBorder="1"/>
    <xf numFmtId="0" fontId="14" fillId="5" borderId="0" xfId="1" applyFont="1" applyFill="1" applyBorder="1"/>
    <xf numFmtId="0" fontId="13" fillId="5" borderId="0" xfId="1" applyFont="1" applyFill="1" applyBorder="1"/>
    <xf numFmtId="0" fontId="13" fillId="5" borderId="0" xfId="1" applyFont="1" applyFill="1" applyBorder="1" applyAlignment="1">
      <alignment horizontal="center"/>
    </xf>
    <xf numFmtId="0" fontId="14" fillId="6" borderId="0" xfId="1" applyFont="1" applyFill="1" applyBorder="1"/>
    <xf numFmtId="0" fontId="14" fillId="7" borderId="0" xfId="1" applyFont="1" applyFill="1" applyBorder="1"/>
    <xf numFmtId="0" fontId="13" fillId="6" borderId="0" xfId="1" applyFont="1" applyFill="1" applyBorder="1"/>
    <xf numFmtId="0" fontId="13" fillId="6" borderId="0" xfId="1" applyFont="1" applyFill="1" applyBorder="1" applyAlignment="1">
      <alignment horizontal="center"/>
    </xf>
    <xf numFmtId="0" fontId="13" fillId="7" borderId="0" xfId="1" applyFont="1" applyFill="1" applyBorder="1"/>
    <xf numFmtId="0" fontId="18" fillId="0" borderId="0" xfId="5" applyFont="1"/>
    <xf numFmtId="167" fontId="18" fillId="0" borderId="0" xfId="5" applyNumberFormat="1" applyFont="1"/>
    <xf numFmtId="1" fontId="19" fillId="0" borderId="0" xfId="0" applyNumberFormat="1" applyFont="1"/>
    <xf numFmtId="0" fontId="20" fillId="0" borderId="0" xfId="0" applyFont="1"/>
    <xf numFmtId="14" fontId="3" fillId="8" borderId="0" xfId="0" applyNumberFormat="1" applyFont="1" applyFill="1"/>
    <xf numFmtId="1" fontId="18" fillId="0" borderId="0" xfId="5" applyNumberFormat="1" applyFont="1" applyAlignment="1"/>
    <xf numFmtId="0" fontId="9" fillId="0" borderId="0" xfId="4" applyFont="1" applyAlignment="1"/>
    <xf numFmtId="0" fontId="10" fillId="0" borderId="0" xfId="5" applyFont="1" applyAlignment="1"/>
    <xf numFmtId="0" fontId="0" fillId="0" borderId="0" xfId="0" quotePrefix="1"/>
    <xf numFmtId="166" fontId="14" fillId="6" borderId="0" xfId="1" applyNumberFormat="1" applyFont="1" applyFill="1" applyBorder="1" applyAlignment="1">
      <alignment horizontal="center"/>
    </xf>
    <xf numFmtId="166" fontId="14" fillId="7" borderId="0" xfId="1" applyNumberFormat="1" applyFont="1" applyFill="1" applyBorder="1" applyAlignment="1">
      <alignment horizontal="center"/>
    </xf>
    <xf numFmtId="10" fontId="14" fillId="4" borderId="0" xfId="1" applyNumberFormat="1" applyFont="1" applyFill="1" applyBorder="1" applyAlignment="1">
      <alignment horizontal="center"/>
    </xf>
    <xf numFmtId="10" fontId="14" fillId="5" borderId="0" xfId="1" applyNumberFormat="1" applyFont="1" applyFill="1" applyBorder="1" applyAlignment="1">
      <alignment horizontal="center"/>
    </xf>
    <xf numFmtId="10" fontId="14" fillId="6" borderId="0" xfId="1" applyNumberFormat="1" applyFont="1" applyFill="1" applyBorder="1" applyAlignment="1">
      <alignment horizontal="center"/>
    </xf>
    <xf numFmtId="166" fontId="14" fillId="5" borderId="0" xfId="2" applyNumberFormat="1" applyFont="1" applyFill="1" applyBorder="1" applyAlignment="1">
      <alignment horizontal="center"/>
    </xf>
    <xf numFmtId="166" fontId="14" fillId="4" borderId="0" xfId="1" applyNumberFormat="1" applyFont="1" applyFill="1" applyBorder="1" applyAlignment="1">
      <alignment horizontal="center"/>
    </xf>
    <xf numFmtId="166" fontId="14" fillId="6" borderId="0" xfId="2" applyNumberFormat="1" applyFont="1" applyFill="1" applyBorder="1" applyAlignment="1">
      <alignment horizontal="center"/>
    </xf>
    <xf numFmtId="0" fontId="9" fillId="0" borderId="0" xfId="4" applyFont="1" applyAlignment="1">
      <alignment horizontal="left"/>
    </xf>
    <xf numFmtId="0" fontId="10" fillId="0" borderId="0" xfId="5" applyFont="1" applyAlignment="1">
      <alignment horizontal="left"/>
    </xf>
    <xf numFmtId="10" fontId="14" fillId="7" borderId="0" xfId="1" applyNumberFormat="1" applyFont="1" applyFill="1" applyBorder="1" applyAlignment="1">
      <alignment horizontal="center"/>
    </xf>
    <xf numFmtId="166" fontId="14" fillId="5" borderId="0" xfId="1" applyNumberFormat="1" applyFont="1" applyFill="1" applyBorder="1" applyAlignment="1">
      <alignment horizontal="center"/>
    </xf>
    <xf numFmtId="166" fontId="14" fillId="7" borderId="0" xfId="2" applyNumberFormat="1" applyFont="1" applyFill="1" applyBorder="1" applyAlignment="1">
      <alignment horizontal="center"/>
    </xf>
  </cellXfs>
  <cellStyles count="8">
    <cellStyle name="60% - Accent1" xfId="1" builtinId="32"/>
    <cellStyle name="60% - Accent3" xfId="2" builtinId="40"/>
    <cellStyle name="Comma" xfId="3" builtinId="3"/>
    <cellStyle name="Heading 4" xfId="5" builtinId="19"/>
    <cellStyle name="Hyperlink 3" xfId="7" xr:uid="{00000000-0005-0000-0000-000005000000}"/>
    <cellStyle name="Normal" xfId="0" builtinId="0"/>
    <cellStyle name="Normal 2 4" xfId="6" xr:uid="{00000000-0005-0000-0000-000007000000}"/>
    <cellStyle name="Title" xfId="4" builtin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0</xdr:colOff>
      <xdr:row>18</xdr:row>
      <xdr:rowOff>9525</xdr:rowOff>
    </xdr:from>
    <xdr:to>
      <xdr:col>11</xdr:col>
      <xdr:colOff>0</xdr:colOff>
      <xdr:row>20</xdr:row>
      <xdr:rowOff>0</xdr:rowOff>
    </xdr:to>
    <xdr:sp macro="" textlink="">
      <xdr:nvSpPr>
        <xdr:cNvPr id="207" name="Rectangle 206">
          <a:extLst>
            <a:ext uri="{FF2B5EF4-FFF2-40B4-BE49-F238E27FC236}">
              <a16:creationId xmlns:a16="http://schemas.microsoft.com/office/drawing/2014/main" id="{00000000-0008-0000-0200-0000CF000000}"/>
            </a:ext>
          </a:extLst>
        </xdr:cNvPr>
        <xdr:cNvSpPr/>
      </xdr:nvSpPr>
      <xdr:spPr>
        <a:xfrm>
          <a:off x="3686175" y="1724025"/>
          <a:ext cx="3638550" cy="381000"/>
        </a:xfrm>
        <a:prstGeom prst="rect">
          <a:avLst/>
        </a:prstGeom>
        <a:solidFill>
          <a:schemeClr val="accent1">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13</xdr:col>
      <xdr:colOff>0</xdr:colOff>
      <xdr:row>18</xdr:row>
      <xdr:rowOff>0</xdr:rowOff>
    </xdr:from>
    <xdr:to>
      <xdr:col>18</xdr:col>
      <xdr:colOff>0</xdr:colOff>
      <xdr:row>20</xdr:row>
      <xdr:rowOff>0</xdr:rowOff>
    </xdr:to>
    <xdr:sp macro="" textlink="">
      <xdr:nvSpPr>
        <xdr:cNvPr id="219" name="Rectangle 218">
          <a:extLst>
            <a:ext uri="{FF2B5EF4-FFF2-40B4-BE49-F238E27FC236}">
              <a16:creationId xmlns:a16="http://schemas.microsoft.com/office/drawing/2014/main" id="{00000000-0008-0000-0200-0000DB000000}"/>
            </a:ext>
          </a:extLst>
        </xdr:cNvPr>
        <xdr:cNvSpPr/>
      </xdr:nvSpPr>
      <xdr:spPr>
        <a:xfrm>
          <a:off x="7620000" y="1714500"/>
          <a:ext cx="3524250" cy="390525"/>
        </a:xfrm>
        <a:prstGeom prst="rect">
          <a:avLst/>
        </a:prstGeom>
        <a:solidFill>
          <a:schemeClr val="accent1">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US" sz="1100"/>
            <a:t>                 </a:t>
          </a:r>
        </a:p>
      </xdr:txBody>
    </xdr:sp>
    <xdr:clientData/>
  </xdr:twoCellAnchor>
  <xdr:twoCellAnchor>
    <xdr:from>
      <xdr:col>26</xdr:col>
      <xdr:colOff>0</xdr:colOff>
      <xdr:row>18</xdr:row>
      <xdr:rowOff>0</xdr:rowOff>
    </xdr:from>
    <xdr:to>
      <xdr:col>27</xdr:col>
      <xdr:colOff>542925</xdr:colOff>
      <xdr:row>20</xdr:row>
      <xdr:rowOff>0</xdr:rowOff>
    </xdr:to>
    <xdr:sp macro="" textlink="">
      <xdr:nvSpPr>
        <xdr:cNvPr id="220" name="Rectangle 219">
          <a:extLst>
            <a:ext uri="{FF2B5EF4-FFF2-40B4-BE49-F238E27FC236}">
              <a16:creationId xmlns:a16="http://schemas.microsoft.com/office/drawing/2014/main" id="{00000000-0008-0000-0200-0000DC000000}"/>
            </a:ext>
          </a:extLst>
        </xdr:cNvPr>
        <xdr:cNvSpPr/>
      </xdr:nvSpPr>
      <xdr:spPr>
        <a:xfrm>
          <a:off x="14839950" y="1714500"/>
          <a:ext cx="1123950" cy="390525"/>
        </a:xfrm>
        <a:prstGeom prst="rect">
          <a:avLst/>
        </a:prstGeom>
        <a:solidFill>
          <a:schemeClr val="accent1">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US" sz="1100"/>
            <a:t>                                                                                                    </a:t>
          </a:r>
        </a:p>
      </xdr:txBody>
    </xdr:sp>
    <xdr:clientData/>
  </xdr:twoCellAnchor>
  <xdr:twoCellAnchor>
    <xdr:from>
      <xdr:col>6</xdr:col>
      <xdr:colOff>1</xdr:colOff>
      <xdr:row>28</xdr:row>
      <xdr:rowOff>1</xdr:rowOff>
    </xdr:from>
    <xdr:to>
      <xdr:col>11</xdr:col>
      <xdr:colOff>1</xdr:colOff>
      <xdr:row>30</xdr:row>
      <xdr:rowOff>0</xdr:rowOff>
    </xdr:to>
    <xdr:sp macro="" textlink="">
      <xdr:nvSpPr>
        <xdr:cNvPr id="222" name="Rectangle 221">
          <a:extLst>
            <a:ext uri="{FF2B5EF4-FFF2-40B4-BE49-F238E27FC236}">
              <a16:creationId xmlns:a16="http://schemas.microsoft.com/office/drawing/2014/main" id="{00000000-0008-0000-0200-0000DE000000}"/>
            </a:ext>
          </a:extLst>
        </xdr:cNvPr>
        <xdr:cNvSpPr/>
      </xdr:nvSpPr>
      <xdr:spPr>
        <a:xfrm>
          <a:off x="3686176" y="3448051"/>
          <a:ext cx="3638550" cy="380999"/>
        </a:xfrm>
        <a:prstGeom prst="rect">
          <a:avLst/>
        </a:prstGeom>
        <a:solidFill>
          <a:schemeClr val="accent3">
            <a:lumMod val="60000"/>
            <a:lumOff val="40000"/>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US" sz="1100"/>
            <a:t>                     </a:t>
          </a:r>
        </a:p>
      </xdr:txBody>
    </xdr:sp>
    <xdr:clientData/>
  </xdr:twoCellAnchor>
  <xdr:twoCellAnchor>
    <xdr:from>
      <xdr:col>13</xdr:col>
      <xdr:colOff>0</xdr:colOff>
      <xdr:row>28</xdr:row>
      <xdr:rowOff>0</xdr:rowOff>
    </xdr:from>
    <xdr:to>
      <xdr:col>18</xdr:col>
      <xdr:colOff>0</xdr:colOff>
      <xdr:row>30</xdr:row>
      <xdr:rowOff>0</xdr:rowOff>
    </xdr:to>
    <xdr:sp macro="" textlink="">
      <xdr:nvSpPr>
        <xdr:cNvPr id="223" name="Rectangle 222">
          <a:extLst>
            <a:ext uri="{FF2B5EF4-FFF2-40B4-BE49-F238E27FC236}">
              <a16:creationId xmlns:a16="http://schemas.microsoft.com/office/drawing/2014/main" id="{00000000-0008-0000-0200-0000DF000000}"/>
            </a:ext>
          </a:extLst>
        </xdr:cNvPr>
        <xdr:cNvSpPr/>
      </xdr:nvSpPr>
      <xdr:spPr>
        <a:xfrm>
          <a:off x="7620000" y="3448050"/>
          <a:ext cx="3524250" cy="381000"/>
        </a:xfrm>
        <a:prstGeom prst="rect">
          <a:avLst/>
        </a:prstGeom>
        <a:solidFill>
          <a:schemeClr val="accent3">
            <a:lumMod val="60000"/>
            <a:lumOff val="40000"/>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20</xdr:col>
      <xdr:colOff>19050</xdr:colOff>
      <xdr:row>28</xdr:row>
      <xdr:rowOff>0</xdr:rowOff>
    </xdr:from>
    <xdr:to>
      <xdr:col>25</xdr:col>
      <xdr:colOff>19049</xdr:colOff>
      <xdr:row>30</xdr:row>
      <xdr:rowOff>0</xdr:rowOff>
    </xdr:to>
    <xdr:sp macro="" textlink="">
      <xdr:nvSpPr>
        <xdr:cNvPr id="224" name="Rectangle 223">
          <a:extLst>
            <a:ext uri="{FF2B5EF4-FFF2-40B4-BE49-F238E27FC236}">
              <a16:creationId xmlns:a16="http://schemas.microsoft.com/office/drawing/2014/main" id="{00000000-0008-0000-0200-0000E0000000}"/>
            </a:ext>
          </a:extLst>
        </xdr:cNvPr>
        <xdr:cNvSpPr/>
      </xdr:nvSpPr>
      <xdr:spPr>
        <a:xfrm>
          <a:off x="11430000" y="3448050"/>
          <a:ext cx="3371849" cy="381000"/>
        </a:xfrm>
        <a:prstGeom prst="rect">
          <a:avLst/>
        </a:prstGeom>
        <a:solidFill>
          <a:schemeClr val="accent3">
            <a:lumMod val="60000"/>
            <a:lumOff val="40000"/>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6</xdr:col>
      <xdr:colOff>15615</xdr:colOff>
      <xdr:row>38</xdr:row>
      <xdr:rowOff>0</xdr:rowOff>
    </xdr:from>
    <xdr:to>
      <xdr:col>11</xdr:col>
      <xdr:colOff>0</xdr:colOff>
      <xdr:row>40</xdr:row>
      <xdr:rowOff>0</xdr:rowOff>
    </xdr:to>
    <xdr:sp macro="" textlink="">
      <xdr:nvSpPr>
        <xdr:cNvPr id="8" name="Rectangle 7">
          <a:extLst>
            <a:ext uri="{FF2B5EF4-FFF2-40B4-BE49-F238E27FC236}">
              <a16:creationId xmlns:a16="http://schemas.microsoft.com/office/drawing/2014/main" id="{00000000-0008-0000-0200-000008000000}"/>
            </a:ext>
          </a:extLst>
        </xdr:cNvPr>
        <xdr:cNvSpPr/>
      </xdr:nvSpPr>
      <xdr:spPr>
        <a:xfrm>
          <a:off x="3888074" y="6901721"/>
          <a:ext cx="5184098" cy="405984"/>
        </a:xfrm>
        <a:prstGeom prst="rect">
          <a:avLst/>
        </a:prstGeom>
        <a:solidFill>
          <a:schemeClr val="accent3">
            <a:lumMod val="60000"/>
            <a:lumOff val="40000"/>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13</xdr:col>
      <xdr:colOff>0</xdr:colOff>
      <xdr:row>38</xdr:row>
      <xdr:rowOff>0</xdr:rowOff>
    </xdr:from>
    <xdr:to>
      <xdr:col>18</xdr:col>
      <xdr:colOff>0</xdr:colOff>
      <xdr:row>40</xdr:row>
      <xdr:rowOff>0</xdr:rowOff>
    </xdr:to>
    <xdr:sp macro="" textlink="">
      <xdr:nvSpPr>
        <xdr:cNvPr id="9" name="Rectangle 8">
          <a:extLst>
            <a:ext uri="{FF2B5EF4-FFF2-40B4-BE49-F238E27FC236}">
              <a16:creationId xmlns:a16="http://schemas.microsoft.com/office/drawing/2014/main" id="{00000000-0008-0000-0200-000009000000}"/>
            </a:ext>
          </a:extLst>
        </xdr:cNvPr>
        <xdr:cNvSpPr/>
      </xdr:nvSpPr>
      <xdr:spPr>
        <a:xfrm>
          <a:off x="7620000" y="5181600"/>
          <a:ext cx="3524250" cy="381000"/>
        </a:xfrm>
        <a:prstGeom prst="rect">
          <a:avLst/>
        </a:prstGeom>
        <a:solidFill>
          <a:schemeClr val="accent3">
            <a:lumMod val="60000"/>
            <a:lumOff val="40000"/>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20</xdr:col>
      <xdr:colOff>1</xdr:colOff>
      <xdr:row>38</xdr:row>
      <xdr:rowOff>1</xdr:rowOff>
    </xdr:from>
    <xdr:to>
      <xdr:col>25</xdr:col>
      <xdr:colOff>1</xdr:colOff>
      <xdr:row>40</xdr:row>
      <xdr:rowOff>1</xdr:rowOff>
    </xdr:to>
    <xdr:sp macro="" textlink="">
      <xdr:nvSpPr>
        <xdr:cNvPr id="10" name="Rectangle 9">
          <a:extLst>
            <a:ext uri="{FF2B5EF4-FFF2-40B4-BE49-F238E27FC236}">
              <a16:creationId xmlns:a16="http://schemas.microsoft.com/office/drawing/2014/main" id="{00000000-0008-0000-0200-00000A000000}"/>
            </a:ext>
          </a:extLst>
        </xdr:cNvPr>
        <xdr:cNvSpPr/>
      </xdr:nvSpPr>
      <xdr:spPr>
        <a:xfrm>
          <a:off x="11410951" y="5181601"/>
          <a:ext cx="3371850" cy="381000"/>
        </a:xfrm>
        <a:prstGeom prst="rect">
          <a:avLst/>
        </a:prstGeom>
        <a:solidFill>
          <a:schemeClr val="accent3">
            <a:lumMod val="60000"/>
            <a:lumOff val="40000"/>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6</xdr:col>
      <xdr:colOff>0</xdr:colOff>
      <xdr:row>48</xdr:row>
      <xdr:rowOff>0</xdr:rowOff>
    </xdr:from>
    <xdr:to>
      <xdr:col>10</xdr:col>
      <xdr:colOff>676274</xdr:colOff>
      <xdr:row>50</xdr:row>
      <xdr:rowOff>0</xdr:rowOff>
    </xdr:to>
    <xdr:sp macro="" textlink="">
      <xdr:nvSpPr>
        <xdr:cNvPr id="12" name="Rectangle 11">
          <a:extLst>
            <a:ext uri="{FF2B5EF4-FFF2-40B4-BE49-F238E27FC236}">
              <a16:creationId xmlns:a16="http://schemas.microsoft.com/office/drawing/2014/main" id="{00000000-0008-0000-0200-00000C000000}"/>
            </a:ext>
          </a:extLst>
        </xdr:cNvPr>
        <xdr:cNvSpPr/>
      </xdr:nvSpPr>
      <xdr:spPr>
        <a:xfrm flipV="1">
          <a:off x="3686175" y="6915150"/>
          <a:ext cx="3638549" cy="381000"/>
        </a:xfrm>
        <a:prstGeom prst="rect">
          <a:avLst/>
        </a:prstGeom>
        <a:solidFill>
          <a:schemeClr val="accent3">
            <a:lumMod val="60000"/>
            <a:lumOff val="40000"/>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13</xdr:col>
      <xdr:colOff>15615</xdr:colOff>
      <xdr:row>48</xdr:row>
      <xdr:rowOff>0</xdr:rowOff>
    </xdr:from>
    <xdr:to>
      <xdr:col>18</xdr:col>
      <xdr:colOff>0</xdr:colOff>
      <xdr:row>50</xdr:row>
      <xdr:rowOff>0</xdr:rowOff>
    </xdr:to>
    <xdr:sp macro="" textlink="">
      <xdr:nvSpPr>
        <xdr:cNvPr id="13" name="Rectangle 12">
          <a:extLst>
            <a:ext uri="{FF2B5EF4-FFF2-40B4-BE49-F238E27FC236}">
              <a16:creationId xmlns:a16="http://schemas.microsoft.com/office/drawing/2014/main" id="{00000000-0008-0000-0200-00000D000000}"/>
            </a:ext>
          </a:extLst>
        </xdr:cNvPr>
        <xdr:cNvSpPr/>
      </xdr:nvSpPr>
      <xdr:spPr>
        <a:xfrm>
          <a:off x="9384467" y="8556885"/>
          <a:ext cx="5605697" cy="405984"/>
        </a:xfrm>
        <a:prstGeom prst="rect">
          <a:avLst/>
        </a:prstGeom>
        <a:solidFill>
          <a:schemeClr val="accent3">
            <a:lumMod val="60000"/>
            <a:lumOff val="40000"/>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20</xdr:col>
      <xdr:colOff>15615</xdr:colOff>
      <xdr:row>48</xdr:row>
      <xdr:rowOff>0</xdr:rowOff>
    </xdr:from>
    <xdr:to>
      <xdr:col>25</xdr:col>
      <xdr:colOff>-1</xdr:colOff>
      <xdr:row>50</xdr:row>
      <xdr:rowOff>0</xdr:rowOff>
    </xdr:to>
    <xdr:sp macro="" textlink="">
      <xdr:nvSpPr>
        <xdr:cNvPr id="14" name="Rectangle 13">
          <a:extLst>
            <a:ext uri="{FF2B5EF4-FFF2-40B4-BE49-F238E27FC236}">
              <a16:creationId xmlns:a16="http://schemas.microsoft.com/office/drawing/2014/main" id="{00000000-0008-0000-0200-00000E000000}"/>
            </a:ext>
          </a:extLst>
        </xdr:cNvPr>
        <xdr:cNvSpPr/>
      </xdr:nvSpPr>
      <xdr:spPr>
        <a:xfrm>
          <a:off x="15271230" y="8556885"/>
          <a:ext cx="5387089" cy="405984"/>
        </a:xfrm>
        <a:prstGeom prst="rect">
          <a:avLst/>
        </a:prstGeom>
        <a:solidFill>
          <a:schemeClr val="accent3">
            <a:lumMod val="60000"/>
            <a:lumOff val="40000"/>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20</xdr:col>
      <xdr:colOff>0</xdr:colOff>
      <xdr:row>18</xdr:row>
      <xdr:rowOff>0</xdr:rowOff>
    </xdr:from>
    <xdr:to>
      <xdr:col>25</xdr:col>
      <xdr:colOff>0</xdr:colOff>
      <xdr:row>20</xdr:row>
      <xdr:rowOff>0</xdr:rowOff>
    </xdr:to>
    <xdr:sp macro="" textlink="">
      <xdr:nvSpPr>
        <xdr:cNvPr id="34" name="Rectangle 33">
          <a:extLst>
            <a:ext uri="{FF2B5EF4-FFF2-40B4-BE49-F238E27FC236}">
              <a16:creationId xmlns:a16="http://schemas.microsoft.com/office/drawing/2014/main" id="{00000000-0008-0000-0200-000022000000}"/>
            </a:ext>
          </a:extLst>
        </xdr:cNvPr>
        <xdr:cNvSpPr/>
      </xdr:nvSpPr>
      <xdr:spPr>
        <a:xfrm>
          <a:off x="11410950" y="1714500"/>
          <a:ext cx="3371850" cy="390525"/>
        </a:xfrm>
        <a:prstGeom prst="rect">
          <a:avLst/>
        </a:prstGeom>
        <a:solidFill>
          <a:schemeClr val="accent1">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US" sz="1100"/>
            <a:t>                                                                                                    </a:t>
          </a:r>
        </a:p>
      </xdr:txBody>
    </xdr:sp>
    <xdr:clientData/>
  </xdr:twoCellAnchor>
  <xdr:twoCellAnchor>
    <xdr:from>
      <xdr:col>26</xdr:col>
      <xdr:colOff>0</xdr:colOff>
      <xdr:row>28</xdr:row>
      <xdr:rowOff>1</xdr:rowOff>
    </xdr:from>
    <xdr:to>
      <xdr:col>28</xdr:col>
      <xdr:colOff>0</xdr:colOff>
      <xdr:row>30</xdr:row>
      <xdr:rowOff>1</xdr:rowOff>
    </xdr:to>
    <xdr:sp macro="" textlink="">
      <xdr:nvSpPr>
        <xdr:cNvPr id="35" name="Rectangle 34">
          <a:extLst>
            <a:ext uri="{FF2B5EF4-FFF2-40B4-BE49-F238E27FC236}">
              <a16:creationId xmlns:a16="http://schemas.microsoft.com/office/drawing/2014/main" id="{00000000-0008-0000-0200-000023000000}"/>
            </a:ext>
          </a:extLst>
        </xdr:cNvPr>
        <xdr:cNvSpPr/>
      </xdr:nvSpPr>
      <xdr:spPr>
        <a:xfrm>
          <a:off x="14839950" y="3448051"/>
          <a:ext cx="1143000" cy="381000"/>
        </a:xfrm>
        <a:prstGeom prst="rect">
          <a:avLst/>
        </a:prstGeom>
        <a:solidFill>
          <a:schemeClr val="accent3">
            <a:lumMod val="60000"/>
            <a:lumOff val="40000"/>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26</xdr:col>
      <xdr:colOff>0</xdr:colOff>
      <xdr:row>38</xdr:row>
      <xdr:rowOff>0</xdr:rowOff>
    </xdr:from>
    <xdr:to>
      <xdr:col>28</xdr:col>
      <xdr:colOff>0</xdr:colOff>
      <xdr:row>40</xdr:row>
      <xdr:rowOff>0</xdr:rowOff>
    </xdr:to>
    <xdr:sp macro="" textlink="">
      <xdr:nvSpPr>
        <xdr:cNvPr id="36" name="Rectangle 35">
          <a:extLst>
            <a:ext uri="{FF2B5EF4-FFF2-40B4-BE49-F238E27FC236}">
              <a16:creationId xmlns:a16="http://schemas.microsoft.com/office/drawing/2014/main" id="{00000000-0008-0000-0200-000024000000}"/>
            </a:ext>
          </a:extLst>
        </xdr:cNvPr>
        <xdr:cNvSpPr/>
      </xdr:nvSpPr>
      <xdr:spPr>
        <a:xfrm>
          <a:off x="10706100" y="3657600"/>
          <a:ext cx="1143000" cy="381000"/>
        </a:xfrm>
        <a:prstGeom prst="rect">
          <a:avLst/>
        </a:prstGeom>
        <a:solidFill>
          <a:schemeClr val="accent3">
            <a:lumMod val="60000"/>
            <a:lumOff val="40000"/>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26</xdr:col>
      <xdr:colOff>0</xdr:colOff>
      <xdr:row>48</xdr:row>
      <xdr:rowOff>0</xdr:rowOff>
    </xdr:from>
    <xdr:to>
      <xdr:col>28</xdr:col>
      <xdr:colOff>0</xdr:colOff>
      <xdr:row>50</xdr:row>
      <xdr:rowOff>0</xdr:rowOff>
    </xdr:to>
    <xdr:sp macro="" textlink="">
      <xdr:nvSpPr>
        <xdr:cNvPr id="37" name="Rectangle 36">
          <a:extLst>
            <a:ext uri="{FF2B5EF4-FFF2-40B4-BE49-F238E27FC236}">
              <a16:creationId xmlns:a16="http://schemas.microsoft.com/office/drawing/2014/main" id="{00000000-0008-0000-0200-000025000000}"/>
            </a:ext>
          </a:extLst>
        </xdr:cNvPr>
        <xdr:cNvSpPr/>
      </xdr:nvSpPr>
      <xdr:spPr>
        <a:xfrm>
          <a:off x="10706100" y="5391150"/>
          <a:ext cx="1143000" cy="381000"/>
        </a:xfrm>
        <a:prstGeom prst="rect">
          <a:avLst/>
        </a:prstGeom>
        <a:solidFill>
          <a:schemeClr val="accent3">
            <a:lumMod val="60000"/>
            <a:lumOff val="40000"/>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6</xdr:col>
      <xdr:colOff>0</xdr:colOff>
      <xdr:row>55</xdr:row>
      <xdr:rowOff>171450</xdr:rowOff>
    </xdr:from>
    <xdr:to>
      <xdr:col>11</xdr:col>
      <xdr:colOff>0</xdr:colOff>
      <xdr:row>58</xdr:row>
      <xdr:rowOff>0</xdr:rowOff>
    </xdr:to>
    <xdr:sp macro="" textlink="">
      <xdr:nvSpPr>
        <xdr:cNvPr id="42" name="Rectangle 41">
          <a:extLst>
            <a:ext uri="{FF2B5EF4-FFF2-40B4-BE49-F238E27FC236}">
              <a16:creationId xmlns:a16="http://schemas.microsoft.com/office/drawing/2014/main" id="{00000000-0008-0000-0200-00002A000000}"/>
            </a:ext>
          </a:extLst>
        </xdr:cNvPr>
        <xdr:cNvSpPr/>
      </xdr:nvSpPr>
      <xdr:spPr>
        <a:xfrm>
          <a:off x="3686175" y="8248650"/>
          <a:ext cx="3638550" cy="400050"/>
        </a:xfrm>
        <a:prstGeom prst="rect">
          <a:avLst/>
        </a:prstGeom>
        <a:solidFill>
          <a:schemeClr val="accent1">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13</xdr:col>
      <xdr:colOff>0</xdr:colOff>
      <xdr:row>56</xdr:row>
      <xdr:rowOff>0</xdr:rowOff>
    </xdr:from>
    <xdr:to>
      <xdr:col>18</xdr:col>
      <xdr:colOff>0</xdr:colOff>
      <xdr:row>58</xdr:row>
      <xdr:rowOff>0</xdr:rowOff>
    </xdr:to>
    <xdr:sp macro="" textlink="">
      <xdr:nvSpPr>
        <xdr:cNvPr id="70" name="Rectangle 69">
          <a:extLst>
            <a:ext uri="{FF2B5EF4-FFF2-40B4-BE49-F238E27FC236}">
              <a16:creationId xmlns:a16="http://schemas.microsoft.com/office/drawing/2014/main" id="{00000000-0008-0000-0200-000046000000}"/>
            </a:ext>
          </a:extLst>
        </xdr:cNvPr>
        <xdr:cNvSpPr/>
      </xdr:nvSpPr>
      <xdr:spPr>
        <a:xfrm>
          <a:off x="7620000" y="8267700"/>
          <a:ext cx="3524250" cy="381000"/>
        </a:xfrm>
        <a:prstGeom prst="rect">
          <a:avLst/>
        </a:prstGeom>
        <a:solidFill>
          <a:schemeClr val="accent3">
            <a:lumMod val="60000"/>
            <a:lumOff val="40000"/>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6</xdr:col>
      <xdr:colOff>15615</xdr:colOff>
      <xdr:row>64</xdr:row>
      <xdr:rowOff>1</xdr:rowOff>
    </xdr:from>
    <xdr:to>
      <xdr:col>11</xdr:col>
      <xdr:colOff>0</xdr:colOff>
      <xdr:row>66</xdr:row>
      <xdr:rowOff>1</xdr:rowOff>
    </xdr:to>
    <xdr:sp macro="" textlink="">
      <xdr:nvSpPr>
        <xdr:cNvPr id="71" name="Rectangle 70">
          <a:extLst>
            <a:ext uri="{FF2B5EF4-FFF2-40B4-BE49-F238E27FC236}">
              <a16:creationId xmlns:a16="http://schemas.microsoft.com/office/drawing/2014/main" id="{00000000-0008-0000-0200-000047000000}"/>
            </a:ext>
          </a:extLst>
        </xdr:cNvPr>
        <xdr:cNvSpPr/>
      </xdr:nvSpPr>
      <xdr:spPr>
        <a:xfrm>
          <a:off x="3888074" y="11055247"/>
          <a:ext cx="5184098" cy="405984"/>
        </a:xfrm>
        <a:prstGeom prst="rect">
          <a:avLst/>
        </a:prstGeom>
        <a:solidFill>
          <a:schemeClr val="accent3">
            <a:lumMod val="60000"/>
            <a:lumOff val="40000"/>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13</xdr:col>
      <xdr:colOff>1</xdr:colOff>
      <xdr:row>64</xdr:row>
      <xdr:rowOff>1</xdr:rowOff>
    </xdr:from>
    <xdr:to>
      <xdr:col>18</xdr:col>
      <xdr:colOff>1</xdr:colOff>
      <xdr:row>66</xdr:row>
      <xdr:rowOff>1</xdr:rowOff>
    </xdr:to>
    <xdr:sp macro="" textlink="">
      <xdr:nvSpPr>
        <xdr:cNvPr id="72" name="Rectangle 71">
          <a:extLst>
            <a:ext uri="{FF2B5EF4-FFF2-40B4-BE49-F238E27FC236}">
              <a16:creationId xmlns:a16="http://schemas.microsoft.com/office/drawing/2014/main" id="{00000000-0008-0000-0200-000048000000}"/>
            </a:ext>
          </a:extLst>
        </xdr:cNvPr>
        <xdr:cNvSpPr/>
      </xdr:nvSpPr>
      <xdr:spPr>
        <a:xfrm>
          <a:off x="7620001" y="9410701"/>
          <a:ext cx="3524250" cy="381000"/>
        </a:xfrm>
        <a:prstGeom prst="rect">
          <a:avLst/>
        </a:prstGeom>
        <a:solidFill>
          <a:schemeClr val="accent3">
            <a:lumMod val="60000"/>
            <a:lumOff val="40000"/>
            <a:alpha val="14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8"/>
  <sheetViews>
    <sheetView topLeftCell="B2" workbookViewId="0"/>
  </sheetViews>
  <sheetFormatPr defaultRowHeight="15" x14ac:dyDescent="0.25"/>
  <cols>
    <col min="1" max="1" width="9.140625" hidden="1" customWidth="1"/>
    <col min="2" max="2" width="14.7109375" bestFit="1" customWidth="1"/>
    <col min="3" max="3" width="15.28515625" bestFit="1" customWidth="1"/>
  </cols>
  <sheetData>
    <row r="1" spans="1:4" hidden="1" x14ac:dyDescent="0.25">
      <c r="A1" t="s">
        <v>29</v>
      </c>
      <c r="C1" t="s">
        <v>0</v>
      </c>
      <c r="D1" t="s">
        <v>1</v>
      </c>
    </row>
    <row r="5" spans="1:4" x14ac:dyDescent="0.25">
      <c r="C5" t="s">
        <v>14</v>
      </c>
      <c r="D5">
        <v>1</v>
      </c>
    </row>
    <row r="6" spans="1:4" x14ac:dyDescent="0.25">
      <c r="A6" t="s">
        <v>4</v>
      </c>
      <c r="C6" t="s">
        <v>22</v>
      </c>
      <c r="D6" t="str">
        <f>"2016"</f>
        <v>2016</v>
      </c>
    </row>
    <row r="7" spans="1:4" x14ac:dyDescent="0.25">
      <c r="A7" t="s">
        <v>4</v>
      </c>
      <c r="C7" t="s">
        <v>6</v>
      </c>
      <c r="D7" t="s">
        <v>23</v>
      </c>
    </row>
    <row r="8" spans="1:4" x14ac:dyDescent="0.25">
      <c r="A8" t="s">
        <v>4</v>
      </c>
      <c r="C8" t="s">
        <v>11</v>
      </c>
      <c r="D8" t="str">
        <f>"2016"</f>
        <v>2016</v>
      </c>
    </row>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71"/>
  <sheetViews>
    <sheetView showGridLines="0" tabSelected="1" topLeftCell="F9" zoomScale="85" zoomScaleNormal="85" workbookViewId="0"/>
  </sheetViews>
  <sheetFormatPr defaultRowHeight="15" x14ac:dyDescent="0.25"/>
  <cols>
    <col min="1" max="1" width="9.140625" hidden="1" customWidth="1"/>
    <col min="2" max="2" width="15.28515625" hidden="1" customWidth="1"/>
    <col min="3" max="3" width="12.5703125" hidden="1" customWidth="1"/>
    <col min="4" max="5" width="9.140625" hidden="1" customWidth="1"/>
    <col min="6" max="6" width="2.85546875" customWidth="1"/>
    <col min="7" max="7" width="30.140625" bestFit="1" customWidth="1"/>
    <col min="8" max="8" width="13" customWidth="1"/>
    <col min="9" max="9" width="12.7109375" bestFit="1" customWidth="1"/>
    <col min="10" max="10" width="12.28515625" bestFit="1" customWidth="1"/>
    <col min="11" max="11" width="11.28515625" bestFit="1" customWidth="1"/>
    <col min="12" max="12" width="0.85546875" customWidth="1"/>
    <col min="13" max="13" width="3.140625" hidden="1" customWidth="1"/>
    <col min="14" max="14" width="30.140625" bestFit="1" customWidth="1"/>
    <col min="15" max="15" width="19" customWidth="1"/>
    <col min="16" max="16" width="12.85546875" bestFit="1" customWidth="1"/>
    <col min="17" max="17" width="12.28515625" bestFit="1" customWidth="1"/>
    <col min="18" max="18" width="11.140625" bestFit="1" customWidth="1"/>
    <col min="19" max="19" width="0.85546875" customWidth="1"/>
    <col min="20" max="20" width="3.140625" hidden="1" customWidth="1"/>
    <col min="21" max="21" width="30.140625" bestFit="1" customWidth="1"/>
    <col min="22" max="22" width="11.42578125" customWidth="1"/>
    <col min="23" max="23" width="12.140625" bestFit="1" customWidth="1"/>
    <col min="24" max="24" width="12.28515625" bestFit="1" customWidth="1"/>
    <col min="25" max="25" width="15.140625" bestFit="1" customWidth="1"/>
    <col min="26" max="26" width="0.85546875" customWidth="1"/>
    <col min="27" max="27" width="12.28515625" bestFit="1" customWidth="1"/>
    <col min="28" max="28" width="11.28515625" bestFit="1" customWidth="1"/>
  </cols>
  <sheetData>
    <row r="1" spans="1:28" hidden="1" x14ac:dyDescent="0.25">
      <c r="A1" s="2" t="s">
        <v>280</v>
      </c>
      <c r="B1" s="2" t="s">
        <v>2</v>
      </c>
      <c r="C1" s="2" t="s">
        <v>2</v>
      </c>
      <c r="D1" s="2" t="s">
        <v>2</v>
      </c>
      <c r="E1" s="2" t="s">
        <v>2</v>
      </c>
      <c r="F1" s="2"/>
      <c r="G1" s="2" t="s">
        <v>5</v>
      </c>
      <c r="H1" s="2" t="s">
        <v>13</v>
      </c>
      <c r="I1" s="2" t="s">
        <v>5</v>
      </c>
      <c r="J1" s="2" t="s">
        <v>5</v>
      </c>
      <c r="K1" s="2" t="s">
        <v>5</v>
      </c>
      <c r="M1" s="2" t="s">
        <v>2</v>
      </c>
      <c r="N1" s="2" t="s">
        <v>5</v>
      </c>
      <c r="O1" s="2" t="s">
        <v>13</v>
      </c>
      <c r="P1" s="2" t="s">
        <v>5</v>
      </c>
      <c r="Q1" s="2" t="s">
        <v>5</v>
      </c>
      <c r="R1" s="2" t="s">
        <v>5</v>
      </c>
      <c r="T1" s="2" t="s">
        <v>2</v>
      </c>
      <c r="U1" s="2" t="s">
        <v>5</v>
      </c>
      <c r="V1" s="2" t="s">
        <v>13</v>
      </c>
      <c r="W1" s="2" t="s">
        <v>5</v>
      </c>
      <c r="X1" s="2" t="s">
        <v>5</v>
      </c>
      <c r="Y1" s="2" t="s">
        <v>5</v>
      </c>
      <c r="AA1" s="2" t="s">
        <v>5</v>
      </c>
      <c r="AB1" s="2" t="s">
        <v>5</v>
      </c>
    </row>
    <row r="2" spans="1:28" hidden="1" x14ac:dyDescent="0.25">
      <c r="A2" s="2" t="s">
        <v>2</v>
      </c>
      <c r="B2" s="2"/>
      <c r="C2" s="2"/>
      <c r="D2" s="2"/>
      <c r="E2" s="2"/>
      <c r="F2" s="2"/>
      <c r="G2" s="2" t="s">
        <v>28</v>
      </c>
      <c r="H2" s="2"/>
      <c r="I2" s="2"/>
      <c r="J2" s="2"/>
      <c r="K2" s="2"/>
      <c r="M2" s="2"/>
      <c r="N2" s="2" t="s">
        <v>28</v>
      </c>
      <c r="O2" s="2"/>
      <c r="P2" s="2"/>
      <c r="Q2" s="2"/>
      <c r="R2" s="2"/>
      <c r="T2" s="2"/>
      <c r="U2" s="2" t="s">
        <v>28</v>
      </c>
      <c r="V2" s="2"/>
      <c r="W2" s="2"/>
      <c r="X2" s="2"/>
      <c r="Y2" s="2"/>
      <c r="AA2" s="2"/>
      <c r="AB2" s="2"/>
    </row>
    <row r="3" spans="1:28" hidden="1" x14ac:dyDescent="0.25">
      <c r="A3" s="2" t="s">
        <v>2</v>
      </c>
      <c r="B3" s="2" t="s">
        <v>14</v>
      </c>
      <c r="C3" s="2">
        <v>1</v>
      </c>
      <c r="D3" s="2"/>
      <c r="E3" s="2"/>
      <c r="F3" s="2"/>
      <c r="M3" s="2"/>
      <c r="N3" s="2"/>
      <c r="T3" s="2"/>
      <c r="U3" s="2"/>
    </row>
    <row r="4" spans="1:28" hidden="1" x14ac:dyDescent="0.25">
      <c r="A4" s="2" t="s">
        <v>2</v>
      </c>
      <c r="B4" s="2" t="s">
        <v>22</v>
      </c>
      <c r="C4" s="2" t="str">
        <f>"2016"</f>
        <v>2016</v>
      </c>
      <c r="D4" s="2"/>
      <c r="E4" s="2"/>
      <c r="F4" s="2"/>
      <c r="M4" s="2"/>
      <c r="N4" s="2"/>
      <c r="T4" s="2"/>
      <c r="U4" s="2"/>
    </row>
    <row r="5" spans="1:28" hidden="1" x14ac:dyDescent="0.25">
      <c r="A5" s="2" t="s">
        <v>2</v>
      </c>
      <c r="B5" s="2" t="s">
        <v>6</v>
      </c>
      <c r="C5" s="2" t="str">
        <f>"44100..44300"</f>
        <v>44100..44300</v>
      </c>
      <c r="D5" s="2"/>
      <c r="E5" s="2"/>
      <c r="F5" s="2"/>
      <c r="M5" s="2"/>
      <c r="T5" s="2"/>
    </row>
    <row r="6" spans="1:28" hidden="1" x14ac:dyDescent="0.25">
      <c r="A6" s="2" t="s">
        <v>2</v>
      </c>
      <c r="B6" s="2" t="s">
        <v>11</v>
      </c>
      <c r="C6" s="2" t="str">
        <f>"2016"</f>
        <v>2016</v>
      </c>
      <c r="D6" s="2"/>
      <c r="E6" s="2"/>
      <c r="F6" s="2"/>
      <c r="M6" s="2"/>
      <c r="T6" s="2"/>
    </row>
    <row r="7" spans="1:28" hidden="1" x14ac:dyDescent="0.25">
      <c r="A7" s="2" t="s">
        <v>2</v>
      </c>
      <c r="B7" s="2" t="s">
        <v>15</v>
      </c>
      <c r="C7" s="3">
        <f>DATE($C$4,$C$3,1)</f>
        <v>42370</v>
      </c>
      <c r="D7" s="2"/>
      <c r="E7" s="2"/>
      <c r="F7" s="2"/>
      <c r="M7" s="2"/>
      <c r="T7" s="2"/>
    </row>
    <row r="8" spans="1:28" hidden="1" x14ac:dyDescent="0.25">
      <c r="A8" s="2" t="s">
        <v>2</v>
      </c>
      <c r="B8" s="2" t="s">
        <v>12</v>
      </c>
      <c r="C8" s="58">
        <v>42663</v>
      </c>
      <c r="D8" s="2"/>
      <c r="E8" s="2"/>
      <c r="F8" s="2"/>
      <c r="J8" s="4"/>
      <c r="K8" s="4"/>
      <c r="M8" s="2"/>
      <c r="Q8" s="4"/>
      <c r="R8" s="4"/>
      <c r="T8" s="2"/>
      <c r="X8" s="4"/>
      <c r="Y8" s="4"/>
    </row>
    <row r="9" spans="1:28" x14ac:dyDescent="0.25">
      <c r="A9" s="2"/>
      <c r="B9" s="2"/>
      <c r="C9" s="3">
        <v>43388</v>
      </c>
      <c r="D9" s="2"/>
      <c r="E9" s="2"/>
      <c r="F9" s="2"/>
      <c r="J9" s="4"/>
      <c r="K9" s="4"/>
      <c r="M9" s="2"/>
      <c r="Q9" s="4"/>
      <c r="R9" s="4"/>
      <c r="T9" s="2"/>
      <c r="X9" s="4"/>
      <c r="Y9" s="4"/>
    </row>
    <row r="10" spans="1:28" x14ac:dyDescent="0.25">
      <c r="A10" s="2"/>
      <c r="B10" s="2"/>
      <c r="C10" s="3"/>
      <c r="D10" s="2"/>
      <c r="E10" s="2"/>
      <c r="F10" s="2"/>
      <c r="J10" s="4"/>
      <c r="K10" s="4"/>
      <c r="M10" s="2"/>
      <c r="Q10" s="4"/>
      <c r="R10" s="4"/>
      <c r="T10" s="2"/>
      <c r="X10" s="4"/>
      <c r="Y10" s="4"/>
    </row>
    <row r="11" spans="1:28" ht="26.25" x14ac:dyDescent="0.45">
      <c r="A11" s="2"/>
      <c r="B11" s="2"/>
      <c r="C11" s="3"/>
      <c r="D11" s="2"/>
      <c r="E11" s="2"/>
      <c r="F11" s="2"/>
      <c r="G11" s="71" t="s">
        <v>24</v>
      </c>
      <c r="H11" s="71"/>
      <c r="I11" s="71"/>
      <c r="J11" s="71"/>
      <c r="K11" s="71"/>
      <c r="L11" s="71"/>
      <c r="M11" s="71"/>
      <c r="N11" s="71"/>
      <c r="O11" s="71"/>
      <c r="P11" s="71"/>
      <c r="Q11" s="71"/>
      <c r="R11" s="71"/>
      <c r="S11" s="71"/>
      <c r="T11" s="71"/>
      <c r="U11" s="71"/>
      <c r="V11" s="71"/>
      <c r="W11" s="71"/>
      <c r="X11" s="60"/>
      <c r="Y11" s="59" t="s">
        <v>26</v>
      </c>
      <c r="Z11" s="54"/>
      <c r="AA11" s="54"/>
    </row>
    <row r="12" spans="1:28" ht="16.5" x14ac:dyDescent="0.3">
      <c r="A12" s="2"/>
      <c r="B12" s="2"/>
      <c r="C12" s="3"/>
      <c r="D12" s="2"/>
      <c r="E12" s="2"/>
      <c r="F12" s="2"/>
      <c r="G12" s="72" t="s">
        <v>25</v>
      </c>
      <c r="H12" s="72"/>
      <c r="I12" s="72"/>
      <c r="J12" s="72"/>
      <c r="K12" s="72"/>
      <c r="L12" s="72"/>
      <c r="M12" s="72"/>
      <c r="N12" s="72"/>
      <c r="O12" s="72"/>
      <c r="P12" s="72"/>
      <c r="Q12" s="72"/>
      <c r="R12" s="72"/>
      <c r="S12" s="72"/>
      <c r="T12" s="72"/>
      <c r="U12" s="72"/>
      <c r="V12" s="72"/>
      <c r="W12" s="72"/>
      <c r="X12" s="61"/>
      <c r="Y12" s="54" t="s">
        <v>27</v>
      </c>
      <c r="Z12" s="54"/>
      <c r="AA12" s="55">
        <v>43388</v>
      </c>
    </row>
    <row r="13" spans="1:28" x14ac:dyDescent="0.25">
      <c r="A13" s="2"/>
      <c r="B13" s="2"/>
      <c r="C13" s="3"/>
      <c r="D13" s="2"/>
      <c r="E13" s="2"/>
      <c r="F13" s="2"/>
      <c r="J13" s="4"/>
      <c r="K13" s="4"/>
      <c r="M13" s="2"/>
      <c r="Q13" s="4"/>
      <c r="R13" s="4"/>
      <c r="T13" s="2"/>
      <c r="X13" s="4"/>
      <c r="Y13" s="56"/>
      <c r="Z13" s="57"/>
      <c r="AA13" s="57"/>
    </row>
    <row r="14" spans="1:28" x14ac:dyDescent="0.25">
      <c r="A14" s="2"/>
      <c r="B14" s="2"/>
      <c r="C14" s="3"/>
      <c r="D14" s="2"/>
      <c r="E14" s="2"/>
      <c r="F14" s="2"/>
      <c r="J14" s="4"/>
      <c r="K14" s="4"/>
      <c r="M14" s="2"/>
      <c r="Q14" s="4"/>
      <c r="R14" s="4"/>
      <c r="T14" s="2"/>
      <c r="X14" s="4"/>
      <c r="Y14" s="4"/>
    </row>
    <row r="15" spans="1:28" ht="16.5" x14ac:dyDescent="0.3">
      <c r="A15" s="2"/>
      <c r="B15" s="2"/>
      <c r="C15" s="3"/>
      <c r="D15" s="2"/>
      <c r="E15" s="2"/>
      <c r="F15" s="2"/>
      <c r="G15" s="7"/>
      <c r="H15" s="7"/>
      <c r="I15" s="7"/>
      <c r="J15" s="8"/>
      <c r="K15" s="8"/>
      <c r="L15" s="7"/>
      <c r="M15" s="9"/>
      <c r="N15" s="7"/>
      <c r="O15" s="7"/>
      <c r="P15" s="7"/>
      <c r="Q15" s="8"/>
      <c r="R15" s="8"/>
      <c r="S15" s="7"/>
      <c r="T15" s="9"/>
      <c r="U15" s="7"/>
      <c r="V15" s="7"/>
      <c r="W15" s="7"/>
      <c r="X15" s="8"/>
      <c r="Y15" s="8"/>
      <c r="Z15" s="7"/>
      <c r="AA15" s="7"/>
      <c r="AB15" s="7"/>
    </row>
    <row r="16" spans="1:28" ht="16.5" x14ac:dyDescent="0.3">
      <c r="A16" s="2"/>
      <c r="B16" s="2"/>
      <c r="C16" s="3"/>
      <c r="D16" s="2"/>
      <c r="E16" s="2"/>
      <c r="F16" s="2"/>
      <c r="G16" s="7"/>
      <c r="H16" s="7"/>
      <c r="I16" s="7"/>
      <c r="J16" s="8"/>
      <c r="K16" s="8"/>
      <c r="L16" s="7"/>
      <c r="M16" s="9"/>
      <c r="N16" s="7"/>
      <c r="O16" s="7"/>
      <c r="P16" s="7"/>
      <c r="Q16" s="8"/>
      <c r="R16" s="8"/>
      <c r="S16" s="7"/>
      <c r="T16" s="9"/>
      <c r="U16" s="7"/>
      <c r="V16" s="7"/>
      <c r="W16" s="7"/>
      <c r="X16" s="8"/>
      <c r="Y16" s="8"/>
      <c r="Z16" s="7"/>
      <c r="AA16" s="7"/>
      <c r="AB16" s="7"/>
    </row>
    <row r="17" spans="1:28" ht="16.5" hidden="1" x14ac:dyDescent="0.3">
      <c r="A17" s="2" t="s">
        <v>2</v>
      </c>
      <c r="D17" s="2"/>
      <c r="E17" s="2"/>
      <c r="F17" s="2"/>
      <c r="G17" s="9" t="s">
        <v>16</v>
      </c>
      <c r="H17" s="9" t="str">
        <f>"""NAV Direct"",""CRONUS JetCorp USA"",""2000000007"",""1"",""Month"",""2"",""1/1/2016"""</f>
        <v>"NAV Direct","CRONUS JetCorp USA","2000000007","1","Month","2","1/1/2016"</v>
      </c>
      <c r="I17" s="10">
        <v>42370</v>
      </c>
      <c r="J17" s="10">
        <v>42400</v>
      </c>
      <c r="K17" s="8"/>
      <c r="L17" s="7"/>
      <c r="M17" s="9"/>
      <c r="N17" s="9" t="s">
        <v>16</v>
      </c>
      <c r="O17" s="9" t="str">
        <f>"""NAV Direct"",""CRONUS JetCorp USA"",""2000000007"",""1"",""Month"",""2"",""2/1/2016"""</f>
        <v>"NAV Direct","CRONUS JetCorp USA","2000000007","1","Month","2","2/1/2016"</v>
      </c>
      <c r="P17" s="10">
        <v>42401</v>
      </c>
      <c r="Q17" s="10">
        <v>42429</v>
      </c>
      <c r="R17" s="8"/>
      <c r="S17" s="7"/>
      <c r="T17" s="9"/>
      <c r="U17" s="9" t="s">
        <v>16</v>
      </c>
      <c r="V17" s="9" t="str">
        <f>"""NAV Direct"",""CRONUS JetCorp USA"",""2000000007"",""1"",""Month"",""2"",""3/1/2016"""</f>
        <v>"NAV Direct","CRONUS JetCorp USA","2000000007","1","Month","2","3/1/2016"</v>
      </c>
      <c r="W17" s="10">
        <v>42430</v>
      </c>
      <c r="X17" s="10">
        <v>42460</v>
      </c>
      <c r="Y17" s="8"/>
      <c r="Z17" s="7"/>
      <c r="AA17" s="7"/>
      <c r="AB17" s="7"/>
    </row>
    <row r="18" spans="1:28" ht="16.5" hidden="1" x14ac:dyDescent="0.3">
      <c r="A18" s="2" t="s">
        <v>2</v>
      </c>
      <c r="G18" s="9" t="s">
        <v>3</v>
      </c>
      <c r="H18" s="9" t="str">
        <f>"1/1/2016..1/31/2016"</f>
        <v>1/1/2016..1/31/2016</v>
      </c>
      <c r="I18" s="10"/>
      <c r="J18" s="10" t="b">
        <f>(I17&lt;$C$8)</f>
        <v>1</v>
      </c>
      <c r="K18" s="8"/>
      <c r="L18" s="7"/>
      <c r="M18" s="7"/>
      <c r="N18" s="9" t="s">
        <v>3</v>
      </c>
      <c r="O18" s="9" t="str">
        <f>"2/1/2016..2/29/2016"</f>
        <v>2/1/2016..2/29/2016</v>
      </c>
      <c r="P18" s="10"/>
      <c r="Q18" s="10" t="b">
        <f>(P17&lt;$C$8)</f>
        <v>1</v>
      </c>
      <c r="R18" s="8"/>
      <c r="S18" s="7"/>
      <c r="T18" s="7"/>
      <c r="U18" s="9" t="s">
        <v>3</v>
      </c>
      <c r="V18" s="9" t="str">
        <f>"3/1/2016..3/31/2016"</f>
        <v>3/1/2016..3/31/2016</v>
      </c>
      <c r="W18" s="10"/>
      <c r="X18" s="10" t="b">
        <f>(W17&lt;$C$8)</f>
        <v>1</v>
      </c>
      <c r="Y18" s="8"/>
      <c r="Z18" s="7"/>
      <c r="AA18" s="7"/>
      <c r="AB18" s="7"/>
    </row>
    <row r="19" spans="1:28" ht="16.5" x14ac:dyDescent="0.3">
      <c r="A19" s="2" t="s">
        <v>13</v>
      </c>
      <c r="B19" s="2"/>
      <c r="C19" s="2"/>
      <c r="G19" s="11"/>
      <c r="H19" s="69" t="str">
        <f>IF(J18,TEXT(I$17,"mmm"),TEXT(I$17,"mmm") &amp; " (Budget)")</f>
        <v>Jan</v>
      </c>
      <c r="I19" s="69"/>
      <c r="J19" s="69"/>
      <c r="K19" s="69"/>
      <c r="L19" s="7"/>
      <c r="M19" s="7"/>
      <c r="N19" s="11"/>
      <c r="O19" s="69" t="str">
        <f>IF(Q18,TEXT(P$17,"mmm"),TEXT(P$17,"mmm") &amp; " (Budget)")</f>
        <v>Feb</v>
      </c>
      <c r="P19" s="69"/>
      <c r="Q19" s="69"/>
      <c r="R19" s="69"/>
      <c r="S19" s="7"/>
      <c r="T19" s="7"/>
      <c r="U19" s="11"/>
      <c r="V19" s="69" t="str">
        <f>IF(X18,TEXT(W$17,"mmm"),TEXT(W$17,"mmm") &amp; " (Budget)")</f>
        <v>Mar</v>
      </c>
      <c r="W19" s="69"/>
      <c r="X19" s="69"/>
      <c r="Y19" s="69"/>
      <c r="Z19" s="7"/>
      <c r="AA19" s="65" t="s">
        <v>17</v>
      </c>
      <c r="AB19" s="65"/>
    </row>
    <row r="20" spans="1:28" ht="16.5" x14ac:dyDescent="0.3">
      <c r="A20" s="2"/>
      <c r="B20" s="2"/>
      <c r="C20" s="2"/>
      <c r="G20" s="12"/>
      <c r="H20" s="13" t="s">
        <v>7</v>
      </c>
      <c r="I20" s="13" t="s">
        <v>8</v>
      </c>
      <c r="J20" s="13" t="s">
        <v>9</v>
      </c>
      <c r="K20" s="13" t="s">
        <v>10</v>
      </c>
      <c r="L20" s="7"/>
      <c r="M20" s="7"/>
      <c r="N20" s="11"/>
      <c r="O20" s="14" t="s">
        <v>7</v>
      </c>
      <c r="P20" s="14" t="s">
        <v>8</v>
      </c>
      <c r="Q20" s="14" t="s">
        <v>9</v>
      </c>
      <c r="R20" s="14" t="s">
        <v>10</v>
      </c>
      <c r="S20" s="7"/>
      <c r="T20" s="7"/>
      <c r="U20" s="11"/>
      <c r="V20" s="14" t="s">
        <v>7</v>
      </c>
      <c r="W20" s="14" t="s">
        <v>8</v>
      </c>
      <c r="X20" s="14" t="s">
        <v>9</v>
      </c>
      <c r="Y20" s="14" t="s">
        <v>10</v>
      </c>
      <c r="Z20" s="7"/>
      <c r="AA20" s="14" t="s">
        <v>9</v>
      </c>
      <c r="AB20" s="14" t="s">
        <v>10</v>
      </c>
    </row>
    <row r="21" spans="1:28" ht="16.5" x14ac:dyDescent="0.3">
      <c r="A21" s="2"/>
      <c r="B21" s="2"/>
      <c r="C21" s="5">
        <f>SUMIF(G$20:Y$20,"Budget",G21:Y21)</f>
        <v>3116270.9400000004</v>
      </c>
      <c r="D21" s="5">
        <f>SUMIF(G$20:Y$20,"Actual",G21:Y21)</f>
        <v>2792054.14</v>
      </c>
      <c r="E21" s="1" t="str">
        <f>"""NAV Direct"",""CRONUS JetCorp USA"",""15"",""1"",""44100"""</f>
        <v>"NAV Direct","CRONUS JetCorp USA","15","1","44100"</v>
      </c>
      <c r="F21" s="1"/>
      <c r="G21" s="15" t="str">
        <f>"Sales, Retail - North America"</f>
        <v>Sales, Retail - North America</v>
      </c>
      <c r="H21" s="16">
        <v>1006975.9900000001</v>
      </c>
      <c r="I21" s="16">
        <v>897772.84000000008</v>
      </c>
      <c r="J21" s="16">
        <f>I21-H21</f>
        <v>-109203.15000000002</v>
      </c>
      <c r="K21" s="17">
        <f>IF(J21=0,"",IFERROR(J21/H21,""))</f>
        <v>-0.10844662741164267</v>
      </c>
      <c r="L21" s="7"/>
      <c r="M21" s="18" t="str">
        <f>E21</f>
        <v>"NAV Direct","CRONUS JetCorp USA","15","1","44100"</v>
      </c>
      <c r="N21" s="19" t="str">
        <f>"Sales, Retail - North America"</f>
        <v>Sales, Retail - North America</v>
      </c>
      <c r="O21" s="20">
        <v>974078.03999999992</v>
      </c>
      <c r="P21" s="20">
        <v>911258.96</v>
      </c>
      <c r="Q21" s="20">
        <f>P21-O21</f>
        <v>-62819.079999999958</v>
      </c>
      <c r="R21" s="17">
        <f>IF(Q21=0,"",IFERROR(Q21/O21,""))</f>
        <v>-6.4490808149211501E-2</v>
      </c>
      <c r="S21" s="7"/>
      <c r="T21" s="18" t="str">
        <f>E21</f>
        <v>"NAV Direct","CRONUS JetCorp USA","15","1","44100"</v>
      </c>
      <c r="U21" s="15" t="str">
        <f>"Sales, Retail - North America"</f>
        <v>Sales, Retail - North America</v>
      </c>
      <c r="V21" s="16">
        <v>1135216.9100000001</v>
      </c>
      <c r="W21" s="16">
        <v>983022.34000000008</v>
      </c>
      <c r="X21" s="16">
        <f>W21-V21</f>
        <v>-152194.57000000007</v>
      </c>
      <c r="Y21" s="17">
        <f>IF(X21=0,"",IFERROR(X21/V21,""))</f>
        <v>-0.13406651069001435</v>
      </c>
      <c r="Z21" s="7"/>
      <c r="AA21" s="16">
        <f>SUMIF(H$20:Y$20,"Variance",H21:Y21)</f>
        <v>-324216.80000000005</v>
      </c>
      <c r="AB21" s="21">
        <f>IF(AA21=0,"",IFERROR(AA21/C21,""))</f>
        <v>-0.10403999082313427</v>
      </c>
    </row>
    <row r="22" spans="1:28" ht="16.5" x14ac:dyDescent="0.3">
      <c r="A22" s="2" t="s">
        <v>279</v>
      </c>
      <c r="B22" s="2"/>
      <c r="C22" s="5">
        <f>SUMIF(G$20:Y$20,"Budget",G22:Y22)</f>
        <v>1561795.79</v>
      </c>
      <c r="D22" s="5">
        <f>SUMIF(G$20:Y$20,"Actual",G22:Y22)</f>
        <v>1348080.3599999999</v>
      </c>
      <c r="E22" s="1" t="str">
        <f>"""NAV Direct"",""CRONUS JetCorp USA"",""15"",""1"",""44200"""</f>
        <v>"NAV Direct","CRONUS JetCorp USA","15","1","44200"</v>
      </c>
      <c r="F22" s="1"/>
      <c r="G22" s="15" t="str">
        <f>"Sales, Retail - EU"</f>
        <v>Sales, Retail - EU</v>
      </c>
      <c r="H22" s="16">
        <v>524891.67999999993</v>
      </c>
      <c r="I22" s="16">
        <v>467428.35000000003</v>
      </c>
      <c r="J22" s="16">
        <f>I22-H22</f>
        <v>-57463.3299999999</v>
      </c>
      <c r="K22" s="17">
        <f>IF(J22=0,"",IFERROR(J22/H22,""))</f>
        <v>-0.10947654952351295</v>
      </c>
      <c r="L22" s="7"/>
      <c r="M22" s="18" t="str">
        <f>E22</f>
        <v>"NAV Direct","CRONUS JetCorp USA","15","1","44200"</v>
      </c>
      <c r="N22" s="19" t="str">
        <f>"Sales, Retail - EU"</f>
        <v>Sales, Retail - EU</v>
      </c>
      <c r="O22" s="20">
        <v>556236.56000000006</v>
      </c>
      <c r="P22" s="20">
        <v>460988.63</v>
      </c>
      <c r="Q22" s="20">
        <f>P22-O22</f>
        <v>-95247.930000000051</v>
      </c>
      <c r="R22" s="17">
        <f>IF(Q22=0,"",IFERROR(Q22/O22,""))</f>
        <v>-0.17123637108643136</v>
      </c>
      <c r="S22" s="7"/>
      <c r="T22" s="18" t="str">
        <f>E22</f>
        <v>"NAV Direct","CRONUS JetCorp USA","15","1","44200"</v>
      </c>
      <c r="U22" s="15" t="str">
        <f>"Sales, Retail - EU"</f>
        <v>Sales, Retail - EU</v>
      </c>
      <c r="V22" s="16">
        <v>480667.55</v>
      </c>
      <c r="W22" s="16">
        <v>419663.38</v>
      </c>
      <c r="X22" s="16">
        <f>W22-V22</f>
        <v>-61004.169999999984</v>
      </c>
      <c r="Y22" s="17">
        <f>IF(X22=0,"",IFERROR(X22/V22,""))</f>
        <v>-0.12691551572391352</v>
      </c>
      <c r="Z22" s="7"/>
      <c r="AA22" s="16">
        <f>SUMIF(H$20:Y$20,"Variance",H22:Y22)</f>
        <v>-213715.42999999993</v>
      </c>
      <c r="AB22" s="21">
        <f t="shared" ref="AB22:AB23" si="0">IF(AA22=0,"",IFERROR(AA22/C22,""))</f>
        <v>-0.1368395480179902</v>
      </c>
    </row>
    <row r="23" spans="1:28" ht="17.25" thickBot="1" x14ac:dyDescent="0.35">
      <c r="A23" s="2" t="s">
        <v>279</v>
      </c>
      <c r="B23" s="2"/>
      <c r="C23" s="5">
        <f>SUMIF(G$20:Y$20,"Budget",G23:Y23)</f>
        <v>0</v>
      </c>
      <c r="D23" s="5">
        <f>SUMIF(G$20:Y$20,"Actual",G23:Y23)</f>
        <v>0</v>
      </c>
      <c r="E23" s="1" t="str">
        <f>"""NAV Direct"",""CRONUS JetCorp USA"",""15"",""1"",""44300"""</f>
        <v>"NAV Direct","CRONUS JetCorp USA","15","1","44300"</v>
      </c>
      <c r="F23" s="1"/>
      <c r="G23" s="15" t="str">
        <f>"Sales, Retail - Other"</f>
        <v>Sales, Retail - Other</v>
      </c>
      <c r="H23" s="16">
        <v>0</v>
      </c>
      <c r="I23" s="16">
        <v>0</v>
      </c>
      <c r="J23" s="16">
        <f>I23-H23</f>
        <v>0</v>
      </c>
      <c r="K23" s="17" t="str">
        <f>IF(J23=0,"",IFERROR(J23/H23,""))</f>
        <v/>
      </c>
      <c r="L23" s="7"/>
      <c r="M23" s="18" t="str">
        <f>E23</f>
        <v>"NAV Direct","CRONUS JetCorp USA","15","1","44300"</v>
      </c>
      <c r="N23" s="19" t="str">
        <f>"Sales, Retail - Other"</f>
        <v>Sales, Retail - Other</v>
      </c>
      <c r="O23" s="20">
        <v>0</v>
      </c>
      <c r="P23" s="20">
        <v>0</v>
      </c>
      <c r="Q23" s="20">
        <f>P23-O23</f>
        <v>0</v>
      </c>
      <c r="R23" s="17" t="str">
        <f>IF(Q23=0,"",IFERROR(Q23/O23,""))</f>
        <v/>
      </c>
      <c r="S23" s="7"/>
      <c r="T23" s="18" t="str">
        <f>E23</f>
        <v>"NAV Direct","CRONUS JetCorp USA","15","1","44300"</v>
      </c>
      <c r="U23" s="15" t="str">
        <f>"Sales, Retail - Other"</f>
        <v>Sales, Retail - Other</v>
      </c>
      <c r="V23" s="16">
        <v>0</v>
      </c>
      <c r="W23" s="16">
        <v>0</v>
      </c>
      <c r="X23" s="16">
        <f>W23-V23</f>
        <v>0</v>
      </c>
      <c r="Y23" s="17" t="str">
        <f>IF(X23=0,"",IFERROR(X23/V23,""))</f>
        <v/>
      </c>
      <c r="Z23" s="7"/>
      <c r="AA23" s="16">
        <f>SUMIF(H$20:Y$20,"Variance",H23:Y23)</f>
        <v>0</v>
      </c>
      <c r="AB23" s="21" t="str">
        <f t="shared" si="0"/>
        <v/>
      </c>
    </row>
    <row r="24" spans="1:28" ht="17.25" hidden="1" thickBot="1" x14ac:dyDescent="0.35">
      <c r="A24" s="2" t="s">
        <v>2</v>
      </c>
      <c r="B24" s="2"/>
      <c r="C24" s="2"/>
      <c r="D24" s="2"/>
      <c r="E24" s="1"/>
      <c r="F24" s="1"/>
      <c r="G24" s="15"/>
      <c r="H24" s="15"/>
      <c r="I24" s="16"/>
      <c r="J24" s="15"/>
      <c r="K24" s="15"/>
      <c r="L24" s="7"/>
      <c r="M24" s="18"/>
      <c r="N24" s="19"/>
      <c r="O24" s="19"/>
      <c r="P24" s="20"/>
      <c r="Q24" s="19"/>
      <c r="R24" s="19"/>
      <c r="S24" s="7"/>
      <c r="T24" s="18"/>
      <c r="U24" s="15"/>
      <c r="V24" s="15"/>
      <c r="W24" s="16"/>
      <c r="X24" s="15"/>
      <c r="Y24" s="15"/>
      <c r="Z24" s="7"/>
      <c r="AA24" s="15"/>
      <c r="AB24" s="21"/>
    </row>
    <row r="25" spans="1:28" ht="17.25" thickTop="1" x14ac:dyDescent="0.3">
      <c r="A25" s="2"/>
      <c r="B25" s="2"/>
      <c r="C25" s="6">
        <f>SUM(C21:C24)</f>
        <v>4678066.7300000004</v>
      </c>
      <c r="D25" s="2"/>
      <c r="E25" s="1"/>
      <c r="F25" s="1"/>
      <c r="G25" s="15"/>
      <c r="H25" s="22">
        <f>SUBTOTAL(9,H21:H24)</f>
        <v>1531867.67</v>
      </c>
      <c r="I25" s="22">
        <f>SUBTOTAL(9,I21:I24)</f>
        <v>1365201.1900000002</v>
      </c>
      <c r="J25" s="22">
        <f>I25-H25</f>
        <v>-166666.47999999975</v>
      </c>
      <c r="K25" s="17">
        <f>IF(J25=0,"",IFERROR(J25/H25,""))</f>
        <v>-0.10879952835612737</v>
      </c>
      <c r="L25" s="7"/>
      <c r="M25" s="18"/>
      <c r="N25" s="19"/>
      <c r="O25" s="23">
        <f>SUBTOTAL(9,O21:O24)</f>
        <v>1530314.6</v>
      </c>
      <c r="P25" s="23">
        <f>SUBTOTAL(9,P21:P24)</f>
        <v>1372247.5899999999</v>
      </c>
      <c r="Q25" s="23">
        <f>P25-O25</f>
        <v>-158067.01000000024</v>
      </c>
      <c r="R25" s="17">
        <f>IF(Q25=0,"",IFERROR(Q25/O25,""))</f>
        <v>-0.10329053254801349</v>
      </c>
      <c r="S25" s="7"/>
      <c r="T25" s="18"/>
      <c r="U25" s="15"/>
      <c r="V25" s="22">
        <f>SUBTOTAL(9,V21:V24)</f>
        <v>1615884.4600000002</v>
      </c>
      <c r="W25" s="22">
        <f>SUBTOTAL(9,W21:W24)</f>
        <v>1402685.7200000002</v>
      </c>
      <c r="X25" s="22">
        <f>W25-V25</f>
        <v>-213198.74</v>
      </c>
      <c r="Y25" s="17">
        <f>IF(X25=0,"",IFERROR(X25/V25,""))</f>
        <v>-0.13193934670304333</v>
      </c>
      <c r="Z25" s="7"/>
      <c r="AA25" s="22">
        <f>SUBTOTAL(9,AA21:AA24)</f>
        <v>-537932.23</v>
      </c>
      <c r="AB25" s="21">
        <f>IF(AA25=0,"",IFERROR(AA25/C25,""))</f>
        <v>-0.11499028574139214</v>
      </c>
    </row>
    <row r="26" spans="1:28" ht="16.5" x14ac:dyDescent="0.3">
      <c r="A26" s="2"/>
      <c r="B26" s="2"/>
      <c r="C26" s="2"/>
      <c r="D26" s="2"/>
      <c r="E26" s="2"/>
      <c r="F26" s="2"/>
      <c r="G26" s="7"/>
      <c r="H26" s="7"/>
      <c r="I26" s="7"/>
      <c r="J26" s="7"/>
      <c r="K26" s="7"/>
      <c r="L26" s="7"/>
      <c r="M26" s="7"/>
      <c r="N26" s="7"/>
      <c r="O26" s="7"/>
      <c r="P26" s="7"/>
      <c r="Q26" s="7"/>
      <c r="R26" s="7"/>
      <c r="S26" s="7"/>
      <c r="T26" s="7"/>
      <c r="U26" s="7"/>
      <c r="V26" s="7"/>
      <c r="W26" s="7"/>
      <c r="X26" s="7"/>
      <c r="Y26" s="7"/>
      <c r="Z26" s="7"/>
      <c r="AA26" s="7"/>
      <c r="AB26" s="7"/>
    </row>
    <row r="27" spans="1:28" ht="16.5" hidden="1" x14ac:dyDescent="0.3">
      <c r="A27" s="2" t="s">
        <v>2</v>
      </c>
      <c r="E27" s="2"/>
      <c r="F27" s="2"/>
      <c r="G27" s="9" t="s">
        <v>16</v>
      </c>
      <c r="H27" s="9" t="str">
        <f>"""NAV Direct"",""CRONUS JetCorp USA"",""2000000007"",""1"",""Month"",""2"",""4/1/2016"""</f>
        <v>"NAV Direct","CRONUS JetCorp USA","2000000007","1","Month","2","4/1/2016"</v>
      </c>
      <c r="I27" s="10">
        <v>42461</v>
      </c>
      <c r="J27" s="10">
        <v>42490</v>
      </c>
      <c r="K27" s="8"/>
      <c r="L27" s="7"/>
      <c r="M27" s="9"/>
      <c r="N27" s="9" t="s">
        <v>16</v>
      </c>
      <c r="O27" s="9" t="str">
        <f>"""NAV Direct"",""CRONUS JetCorp USA"",""2000000007"",""1"",""Month"",""2"",""5/1/2016"""</f>
        <v>"NAV Direct","CRONUS JetCorp USA","2000000007","1","Month","2","5/1/2016"</v>
      </c>
      <c r="P27" s="10">
        <v>42491</v>
      </c>
      <c r="Q27" s="10">
        <v>42521</v>
      </c>
      <c r="R27" s="8"/>
      <c r="S27" s="7"/>
      <c r="T27" s="9"/>
      <c r="U27" s="9" t="s">
        <v>16</v>
      </c>
      <c r="V27" s="9" t="str">
        <f>"""NAV Direct"",""CRONUS JetCorp USA"",""2000000007"",""1"",""Month"",""2"",""6/1/2016"""</f>
        <v>"NAV Direct","CRONUS JetCorp USA","2000000007","1","Month","2","6/1/2016"</v>
      </c>
      <c r="W27" s="10">
        <v>42522</v>
      </c>
      <c r="X27" s="10">
        <v>42551</v>
      </c>
      <c r="Y27" s="8"/>
      <c r="Z27" s="7"/>
      <c r="AA27" s="7"/>
      <c r="AB27" s="7"/>
    </row>
    <row r="28" spans="1:28" ht="16.5" hidden="1" x14ac:dyDescent="0.3">
      <c r="A28" s="2" t="s">
        <v>2</v>
      </c>
      <c r="G28" s="9" t="s">
        <v>3</v>
      </c>
      <c r="H28" s="9" t="str">
        <f>"4/1/2016..4/30/2016"</f>
        <v>4/1/2016..4/30/2016</v>
      </c>
      <c r="I28" s="10"/>
      <c r="J28" s="10" t="b">
        <f>(I27&lt;$C$8)</f>
        <v>1</v>
      </c>
      <c r="K28" s="8"/>
      <c r="L28" s="7"/>
      <c r="M28" s="7"/>
      <c r="N28" s="9" t="s">
        <v>3</v>
      </c>
      <c r="O28" s="9" t="str">
        <f>"5/1/2016..5/31/2016"</f>
        <v>5/1/2016..5/31/2016</v>
      </c>
      <c r="P28" s="10"/>
      <c r="Q28" s="10" t="b">
        <f>(P27&lt;$C$8)</f>
        <v>1</v>
      </c>
      <c r="R28" s="8"/>
      <c r="S28" s="7"/>
      <c r="T28" s="7"/>
      <c r="U28" s="9" t="s">
        <v>3</v>
      </c>
      <c r="V28" s="9" t="str">
        <f>"6/1/2016..6/30/2016"</f>
        <v>6/1/2016..6/30/2016</v>
      </c>
      <c r="W28" s="10"/>
      <c r="X28" s="10" t="b">
        <f>(W27&lt;$C$8)</f>
        <v>1</v>
      </c>
      <c r="Y28" s="8"/>
      <c r="Z28" s="7"/>
      <c r="AA28" s="7"/>
      <c r="AB28" s="7"/>
    </row>
    <row r="29" spans="1:28" ht="16.5" x14ac:dyDescent="0.3">
      <c r="G29" s="24"/>
      <c r="H29" s="68" t="str">
        <f>IF(J28,TEXT(I$27,"mmm"),TEXT(I$27,"mmm") &amp; " (Budget)")</f>
        <v>Apr</v>
      </c>
      <c r="I29" s="68"/>
      <c r="J29" s="68"/>
      <c r="K29" s="68"/>
      <c r="L29" s="25"/>
      <c r="M29" s="25"/>
      <c r="N29" s="24"/>
      <c r="O29" s="68" t="str">
        <f>IF(Q28,TEXT(P$27,"mmm"),TEXT(P$27,"mmm") &amp; " (Budget)")</f>
        <v>May</v>
      </c>
      <c r="P29" s="68"/>
      <c r="Q29" s="68"/>
      <c r="R29" s="68"/>
      <c r="S29" s="25"/>
      <c r="T29" s="25"/>
      <c r="U29" s="24"/>
      <c r="V29" s="68" t="str">
        <f>IF(X28,TEXT(W$27,"mmm"),TEXT(W$27,"mmm") &amp; " (Budget)")</f>
        <v>Jun</v>
      </c>
      <c r="W29" s="68"/>
      <c r="X29" s="68"/>
      <c r="Y29" s="68"/>
      <c r="Z29" s="7"/>
      <c r="AA29" s="66" t="s">
        <v>20</v>
      </c>
      <c r="AB29" s="66"/>
    </row>
    <row r="30" spans="1:28" ht="16.5" x14ac:dyDescent="0.3">
      <c r="G30" s="24"/>
      <c r="H30" s="26" t="s">
        <v>7</v>
      </c>
      <c r="I30" s="26" t="s">
        <v>8</v>
      </c>
      <c r="J30" s="26" t="s">
        <v>9</v>
      </c>
      <c r="K30" s="26" t="s">
        <v>10</v>
      </c>
      <c r="L30" s="25"/>
      <c r="M30" s="25"/>
      <c r="N30" s="24"/>
      <c r="O30" s="26" t="s">
        <v>7</v>
      </c>
      <c r="P30" s="26" t="s">
        <v>8</v>
      </c>
      <c r="Q30" s="26" t="s">
        <v>9</v>
      </c>
      <c r="R30" s="26" t="s">
        <v>10</v>
      </c>
      <c r="S30" s="25"/>
      <c r="T30" s="25"/>
      <c r="U30" s="24"/>
      <c r="V30" s="26" t="s">
        <v>7</v>
      </c>
      <c r="W30" s="26" t="s">
        <v>8</v>
      </c>
      <c r="X30" s="26" t="s">
        <v>9</v>
      </c>
      <c r="Y30" s="26" t="s">
        <v>10</v>
      </c>
      <c r="Z30" s="7"/>
      <c r="AA30" s="27" t="s">
        <v>9</v>
      </c>
      <c r="AB30" s="27" t="s">
        <v>10</v>
      </c>
    </row>
    <row r="31" spans="1:28" ht="16.5" x14ac:dyDescent="0.3">
      <c r="C31" s="5">
        <f>SUMIF(G$30:Y$30,"Budget",G31:Y31)</f>
        <v>3369279.19</v>
      </c>
      <c r="D31" s="5">
        <f>SUMIF(G$30:Y$30,"Actual",G31:Y31)</f>
        <v>3046922.97</v>
      </c>
      <c r="E31" s="1" t="str">
        <f>"""NAV Direct"",""CRONUS JetCorp USA"",""15"",""1"",""44100"""</f>
        <v>"NAV Direct","CRONUS JetCorp USA","15","1","44100"</v>
      </c>
      <c r="F31" s="1"/>
      <c r="G31" s="28" t="str">
        <f>"Sales, Retail - North America"</f>
        <v>Sales, Retail - North America</v>
      </c>
      <c r="H31" s="29">
        <v>1004651.3300000001</v>
      </c>
      <c r="I31" s="29">
        <v>944176.88</v>
      </c>
      <c r="J31" s="29">
        <f>I31-H31</f>
        <v>-60474.45000000007</v>
      </c>
      <c r="K31" s="17">
        <f>IF(J31=0,"",IFERROR(J31/H31,""))</f>
        <v>-6.0194465675967465E-2</v>
      </c>
      <c r="L31" s="25"/>
      <c r="M31" s="25" t="str">
        <f>E31</f>
        <v>"NAV Direct","CRONUS JetCorp USA","15","1","44100"</v>
      </c>
      <c r="N31" s="28" t="str">
        <f>"Sales, Retail - North America"</f>
        <v>Sales, Retail - North America</v>
      </c>
      <c r="O31" s="29">
        <v>1094901.44</v>
      </c>
      <c r="P31" s="29">
        <v>997404.28</v>
      </c>
      <c r="Q31" s="29">
        <f>P31-O31</f>
        <v>-97497.159999999916</v>
      </c>
      <c r="R31" s="17">
        <f>IF(Q31=0,"",IFERROR(Q31/O31,""))</f>
        <v>-8.9046517282870608E-2</v>
      </c>
      <c r="S31" s="25"/>
      <c r="T31" s="25" t="str">
        <f>E31</f>
        <v>"NAV Direct","CRONUS JetCorp USA","15","1","44100"</v>
      </c>
      <c r="U31" s="28" t="str">
        <f>"Sales, Retail - North America"</f>
        <v>Sales, Retail - North America</v>
      </c>
      <c r="V31" s="29">
        <v>1269726.42</v>
      </c>
      <c r="W31" s="29">
        <v>1105341.81</v>
      </c>
      <c r="X31" s="29">
        <f>W31-V31</f>
        <v>-164384.60999999987</v>
      </c>
      <c r="Y31" s="17">
        <f>IF(X31=0,"",IFERROR(X31/V31,""))</f>
        <v>-0.12946458970271713</v>
      </c>
      <c r="Z31" s="7"/>
      <c r="AA31" s="16">
        <f>SUMIF(H$30:Y$30,"Variance",H31:Y31)</f>
        <v>-322356.21999999986</v>
      </c>
      <c r="AB31" s="21">
        <f>IF(AA31=0,"",IFERROR(AA31/C31,""))</f>
        <v>-9.5675128661569853E-2</v>
      </c>
    </row>
    <row r="32" spans="1:28" ht="16.5" x14ac:dyDescent="0.3">
      <c r="A32" t="s">
        <v>279</v>
      </c>
      <c r="C32" s="5">
        <f>SUMIF(G$30:Y$30,"Budget",G32:Y32)</f>
        <v>1588992.31</v>
      </c>
      <c r="D32" s="5">
        <f>SUMIF(G$30:Y$30,"Actual",G32:Y32)</f>
        <v>1426459.55</v>
      </c>
      <c r="E32" s="1" t="str">
        <f>"""NAV Direct"",""CRONUS JetCorp USA"",""15"",""1"",""44200"""</f>
        <v>"NAV Direct","CRONUS JetCorp USA","15","1","44200"</v>
      </c>
      <c r="F32" s="1"/>
      <c r="G32" s="28" t="str">
        <f>"Sales, Retail - EU"</f>
        <v>Sales, Retail - EU</v>
      </c>
      <c r="H32" s="29">
        <v>540846.28</v>
      </c>
      <c r="I32" s="29">
        <v>497218.69000000006</v>
      </c>
      <c r="J32" s="29">
        <f>I32-H32</f>
        <v>-43627.589999999967</v>
      </c>
      <c r="K32" s="17">
        <f>IF(J32=0,"",IFERROR(J32/H32,""))</f>
        <v>-8.0665415688908809E-2</v>
      </c>
      <c r="L32" s="25"/>
      <c r="M32" s="25" t="str">
        <f>E32</f>
        <v>"NAV Direct","CRONUS JetCorp USA","15","1","44200"</v>
      </c>
      <c r="N32" s="28" t="str">
        <f>"Sales, Retail - EU"</f>
        <v>Sales, Retail - EU</v>
      </c>
      <c r="O32" s="29">
        <v>530741.38</v>
      </c>
      <c r="P32" s="29">
        <v>471072.64999999997</v>
      </c>
      <c r="Q32" s="29">
        <f>P32-O32</f>
        <v>-59668.73000000004</v>
      </c>
      <c r="R32" s="17">
        <f>IF(Q32=0,"",IFERROR(Q32/O32,""))</f>
        <v>-0.11242524560643838</v>
      </c>
      <c r="S32" s="25"/>
      <c r="T32" s="25" t="str">
        <f>E32</f>
        <v>"NAV Direct","CRONUS JetCorp USA","15","1","44200"</v>
      </c>
      <c r="U32" s="28" t="str">
        <f>"Sales, Retail - EU"</f>
        <v>Sales, Retail - EU</v>
      </c>
      <c r="V32" s="29">
        <v>517404.65</v>
      </c>
      <c r="W32" s="29">
        <v>458168.20999999996</v>
      </c>
      <c r="X32" s="29">
        <f>W32-V32</f>
        <v>-59236.440000000061</v>
      </c>
      <c r="Y32" s="17">
        <f>IF(X32=0,"",IFERROR(X32/V32,""))</f>
        <v>-0.11448764521153812</v>
      </c>
      <c r="Z32" s="7"/>
      <c r="AA32" s="16">
        <f>SUMIF(H$30:Y$30,"Variance",H32:Y32)</f>
        <v>-162532.76000000007</v>
      </c>
      <c r="AB32" s="21">
        <f t="shared" ref="AB32:AB33" si="1">IF(AA32=0,"",IFERROR(AA32/C32,""))</f>
        <v>-0.10228668759259135</v>
      </c>
    </row>
    <row r="33" spans="1:28" ht="17.25" thickBot="1" x14ac:dyDescent="0.35">
      <c r="A33" t="s">
        <v>279</v>
      </c>
      <c r="C33" s="5">
        <f>SUMIF(G$30:Y$30,"Budget",G33:Y33)</f>
        <v>0</v>
      </c>
      <c r="D33" s="5">
        <f>SUMIF(G$30:Y$30,"Actual",G33:Y33)</f>
        <v>0</v>
      </c>
      <c r="E33" s="1" t="str">
        <f>"""NAV Direct"",""CRONUS JetCorp USA"",""15"",""1"",""44300"""</f>
        <v>"NAV Direct","CRONUS JetCorp USA","15","1","44300"</v>
      </c>
      <c r="F33" s="1"/>
      <c r="G33" s="28" t="str">
        <f>"Sales, Retail - Other"</f>
        <v>Sales, Retail - Other</v>
      </c>
      <c r="H33" s="29">
        <v>0</v>
      </c>
      <c r="I33" s="29">
        <v>0</v>
      </c>
      <c r="J33" s="29">
        <f>I33-H33</f>
        <v>0</v>
      </c>
      <c r="K33" s="17" t="str">
        <f>IF(J33=0,"",IFERROR(J33/H33,""))</f>
        <v/>
      </c>
      <c r="L33" s="25"/>
      <c r="M33" s="25" t="str">
        <f>E33</f>
        <v>"NAV Direct","CRONUS JetCorp USA","15","1","44300"</v>
      </c>
      <c r="N33" s="28" t="str">
        <f>"Sales, Retail - Other"</f>
        <v>Sales, Retail - Other</v>
      </c>
      <c r="O33" s="29">
        <v>0</v>
      </c>
      <c r="P33" s="29">
        <v>0</v>
      </c>
      <c r="Q33" s="29">
        <f>P33-O33</f>
        <v>0</v>
      </c>
      <c r="R33" s="17" t="str">
        <f>IF(Q33=0,"",IFERROR(Q33/O33,""))</f>
        <v/>
      </c>
      <c r="S33" s="25"/>
      <c r="T33" s="25" t="str">
        <f>E33</f>
        <v>"NAV Direct","CRONUS JetCorp USA","15","1","44300"</v>
      </c>
      <c r="U33" s="28" t="str">
        <f>"Sales, Retail - Other"</f>
        <v>Sales, Retail - Other</v>
      </c>
      <c r="V33" s="29">
        <v>0</v>
      </c>
      <c r="W33" s="29">
        <v>0</v>
      </c>
      <c r="X33" s="29">
        <f>W33-V33</f>
        <v>0</v>
      </c>
      <c r="Y33" s="17" t="str">
        <f>IF(X33=0,"",IFERROR(X33/V33,""))</f>
        <v/>
      </c>
      <c r="Z33" s="7"/>
      <c r="AA33" s="16">
        <f>SUMIF(H$30:Y$30,"Variance",H33:Y33)</f>
        <v>0</v>
      </c>
      <c r="AB33" s="21" t="str">
        <f t="shared" si="1"/>
        <v/>
      </c>
    </row>
    <row r="34" spans="1:28" ht="17.25" hidden="1" thickBot="1" x14ac:dyDescent="0.35">
      <c r="A34" s="2" t="s">
        <v>2</v>
      </c>
      <c r="E34" s="1"/>
      <c r="F34" s="1"/>
      <c r="G34" s="28"/>
      <c r="H34" s="28"/>
      <c r="I34" s="29"/>
      <c r="J34" s="28"/>
      <c r="K34" s="28"/>
      <c r="L34" s="25"/>
      <c r="M34" s="25"/>
      <c r="N34" s="28"/>
      <c r="O34" s="28"/>
      <c r="P34" s="29"/>
      <c r="Q34" s="28"/>
      <c r="R34" s="28"/>
      <c r="S34" s="25"/>
      <c r="T34" s="25"/>
      <c r="U34" s="28"/>
      <c r="V34" s="28"/>
      <c r="W34" s="29"/>
      <c r="X34" s="28"/>
      <c r="Y34" s="28"/>
      <c r="Z34" s="7"/>
      <c r="AA34" s="15"/>
      <c r="AB34" s="21"/>
    </row>
    <row r="35" spans="1:28" ht="17.25" thickTop="1" x14ac:dyDescent="0.3">
      <c r="C35" s="6">
        <f>SUM(C31:C34)</f>
        <v>4958271.5</v>
      </c>
      <c r="E35" s="1"/>
      <c r="F35" s="1"/>
      <c r="G35" s="28"/>
      <c r="H35" s="30">
        <f>SUBTOTAL(9,H31:H34)</f>
        <v>1545497.61</v>
      </c>
      <c r="I35" s="30">
        <f>SUBTOTAL(9,I31:I34)</f>
        <v>1441395.57</v>
      </c>
      <c r="J35" s="30">
        <f>I35-H35</f>
        <v>-104102.04000000004</v>
      </c>
      <c r="K35" s="17">
        <f>IF(J35=0,"",IFERROR(J35/H35,""))</f>
        <v>-6.7358266571502512E-2</v>
      </c>
      <c r="L35" s="25"/>
      <c r="M35" s="25"/>
      <c r="N35" s="28"/>
      <c r="O35" s="30">
        <f>SUBTOTAL(9,O31:O34)</f>
        <v>1625642.8199999998</v>
      </c>
      <c r="P35" s="30">
        <f>SUBTOTAL(9,P31:P34)</f>
        <v>1468476.93</v>
      </c>
      <c r="Q35" s="30">
        <f>P35-O35</f>
        <v>-157165.8899999999</v>
      </c>
      <c r="R35" s="17">
        <f>IF(Q35=0,"",IFERROR(Q35/O35,""))</f>
        <v>-9.6679226252172609E-2</v>
      </c>
      <c r="S35" s="25"/>
      <c r="T35" s="25"/>
      <c r="U35" s="28"/>
      <c r="V35" s="30">
        <f>SUBTOTAL(9,V31:V34)</f>
        <v>1787131.0699999998</v>
      </c>
      <c r="W35" s="30">
        <f>SUBTOTAL(9,W31:W34)</f>
        <v>1563510.02</v>
      </c>
      <c r="X35" s="30">
        <f>W35-V35</f>
        <v>-223621.04999999981</v>
      </c>
      <c r="Y35" s="17">
        <f>IF(X35=0,"",IFERROR(X35/V35,""))</f>
        <v>-0.12512851113936474</v>
      </c>
      <c r="Z35" s="7"/>
      <c r="AA35" s="31">
        <f>SUBTOTAL(9,AA31:AA34)</f>
        <v>-484888.97999999992</v>
      </c>
      <c r="AB35" s="21">
        <f>IF(AA35=0,"",IFERROR(AA35/C35,""))</f>
        <v>-9.7793955010329697E-2</v>
      </c>
    </row>
    <row r="36" spans="1:28" ht="16.5" x14ac:dyDescent="0.3">
      <c r="C36" s="6"/>
      <c r="E36" s="1"/>
      <c r="F36" s="1"/>
      <c r="G36" s="28"/>
      <c r="H36" s="29"/>
      <c r="I36" s="29"/>
      <c r="J36" s="29"/>
      <c r="K36" s="17"/>
      <c r="L36" s="25"/>
      <c r="M36" s="25"/>
      <c r="N36" s="28"/>
      <c r="O36" s="29"/>
      <c r="P36" s="29"/>
      <c r="Q36" s="29"/>
      <c r="R36" s="17"/>
      <c r="S36" s="25"/>
      <c r="T36" s="25"/>
      <c r="U36" s="28"/>
      <c r="V36" s="29"/>
      <c r="W36" s="29"/>
      <c r="X36" s="29"/>
      <c r="Y36" s="17"/>
      <c r="Z36" s="7"/>
      <c r="AA36" s="16"/>
      <c r="AB36" s="21"/>
    </row>
    <row r="37" spans="1:28" ht="16.5" hidden="1" x14ac:dyDescent="0.3">
      <c r="A37" s="2" t="s">
        <v>2</v>
      </c>
      <c r="E37" s="2"/>
      <c r="F37" s="2"/>
      <c r="G37" s="9" t="s">
        <v>16</v>
      </c>
      <c r="H37" s="9" t="str">
        <f>"""NAV Direct"",""CRONUS JetCorp USA"",""2000000007"",""1"",""Month"",""2"",""7/1/2016"""</f>
        <v>"NAV Direct","CRONUS JetCorp USA","2000000007","1","Month","2","7/1/2016"</v>
      </c>
      <c r="I37" s="10">
        <v>42552</v>
      </c>
      <c r="J37" s="10">
        <v>42582</v>
      </c>
      <c r="K37" s="8"/>
      <c r="L37" s="7"/>
      <c r="M37" s="9"/>
      <c r="N37" s="9" t="s">
        <v>16</v>
      </c>
      <c r="O37" s="9" t="str">
        <f>"""NAV Direct"",""CRONUS JetCorp USA"",""2000000007"",""1"",""Month"",""2"",""8/1/2016"""</f>
        <v>"NAV Direct","CRONUS JetCorp USA","2000000007","1","Month","2","8/1/2016"</v>
      </c>
      <c r="P37" s="10">
        <v>42583</v>
      </c>
      <c r="Q37" s="10">
        <v>42613</v>
      </c>
      <c r="R37" s="8"/>
      <c r="S37" s="7"/>
      <c r="T37" s="9"/>
      <c r="U37" s="9" t="s">
        <v>16</v>
      </c>
      <c r="V37" s="9" t="str">
        <f>"""NAV Direct"",""CRONUS JetCorp USA"",""2000000007"",""1"",""Month"",""2"",""9/1/2016"""</f>
        <v>"NAV Direct","CRONUS JetCorp USA","2000000007","1","Month","2","9/1/2016"</v>
      </c>
      <c r="W37" s="10">
        <v>42614</v>
      </c>
      <c r="X37" s="10">
        <v>42643</v>
      </c>
      <c r="Y37" s="8"/>
      <c r="Z37" s="7"/>
      <c r="AA37" s="7"/>
      <c r="AB37" s="7"/>
    </row>
    <row r="38" spans="1:28" ht="16.5" hidden="1" x14ac:dyDescent="0.3">
      <c r="A38" s="2" t="s">
        <v>2</v>
      </c>
      <c r="G38" s="9" t="s">
        <v>3</v>
      </c>
      <c r="H38" s="9" t="str">
        <f>"7/1/2016..7/31/2016"</f>
        <v>7/1/2016..7/31/2016</v>
      </c>
      <c r="I38" s="10"/>
      <c r="J38" s="10" t="b">
        <f>(I37&lt;$C$8)</f>
        <v>1</v>
      </c>
      <c r="K38" s="8"/>
      <c r="L38" s="7"/>
      <c r="M38" s="7"/>
      <c r="N38" s="9" t="s">
        <v>3</v>
      </c>
      <c r="O38" s="9" t="str">
        <f>"8/1/2016..8/31/2016"</f>
        <v>8/1/2016..8/31/2016</v>
      </c>
      <c r="P38" s="10"/>
      <c r="Q38" s="10" t="b">
        <f>(P37&lt;$C$8)</f>
        <v>1</v>
      </c>
      <c r="R38" s="8"/>
      <c r="S38" s="7"/>
      <c r="T38" s="7"/>
      <c r="U38" s="9" t="s">
        <v>3</v>
      </c>
      <c r="V38" s="9" t="str">
        <f>"9/1/2016..9/30/2016"</f>
        <v>9/1/2016..9/30/2016</v>
      </c>
      <c r="W38" s="10"/>
      <c r="X38" s="10" t="b">
        <f>(W37&lt;$C$8)</f>
        <v>1</v>
      </c>
      <c r="Y38" s="8"/>
      <c r="Z38" s="7"/>
      <c r="AA38" s="7"/>
      <c r="AB38" s="7"/>
    </row>
    <row r="39" spans="1:28" ht="16.5" x14ac:dyDescent="0.3">
      <c r="G39" s="32"/>
      <c r="H39" s="70" t="str">
        <f>IF(J38,TEXT(I37,"mmm"),TEXT(I37,"mmm") &amp; " (Budget)")</f>
        <v>Jul</v>
      </c>
      <c r="I39" s="70"/>
      <c r="J39" s="70"/>
      <c r="K39" s="70"/>
      <c r="L39" s="25"/>
      <c r="M39" s="25"/>
      <c r="N39" s="32"/>
      <c r="O39" s="70" t="str">
        <f>IF(Q38,TEXT(P37,"mmm"),TEXT(P37,"mmm") &amp; " (Budget)")</f>
        <v>Aug</v>
      </c>
      <c r="P39" s="70"/>
      <c r="Q39" s="70"/>
      <c r="R39" s="70"/>
      <c r="S39" s="25"/>
      <c r="T39" s="25"/>
      <c r="U39" s="32"/>
      <c r="V39" s="70" t="str">
        <f>IF(X38,TEXT(W37,"mmm"),TEXT(W37,"mmm") &amp; " (Budget)")</f>
        <v>Sep</v>
      </c>
      <c r="W39" s="70"/>
      <c r="X39" s="70"/>
      <c r="Y39" s="70"/>
      <c r="Z39" s="7"/>
      <c r="AA39" s="67" t="s">
        <v>19</v>
      </c>
      <c r="AB39" s="67"/>
    </row>
    <row r="40" spans="1:28" ht="16.5" x14ac:dyDescent="0.3">
      <c r="G40" s="33"/>
      <c r="H40" s="34" t="s">
        <v>7</v>
      </c>
      <c r="I40" s="34" t="s">
        <v>8</v>
      </c>
      <c r="J40" s="34" t="s">
        <v>9</v>
      </c>
      <c r="K40" s="34" t="s">
        <v>10</v>
      </c>
      <c r="L40" s="35"/>
      <c r="M40" s="35"/>
      <c r="N40" s="33"/>
      <c r="O40" s="34" t="s">
        <v>7</v>
      </c>
      <c r="P40" s="34" t="s">
        <v>8</v>
      </c>
      <c r="Q40" s="34" t="s">
        <v>9</v>
      </c>
      <c r="R40" s="34" t="s">
        <v>10</v>
      </c>
      <c r="S40" s="35"/>
      <c r="T40" s="35"/>
      <c r="U40" s="33"/>
      <c r="V40" s="34" t="s">
        <v>7</v>
      </c>
      <c r="W40" s="34" t="s">
        <v>8</v>
      </c>
      <c r="X40" s="34" t="s">
        <v>9</v>
      </c>
      <c r="Y40" s="34" t="s">
        <v>10</v>
      </c>
      <c r="Z40" s="36"/>
      <c r="AA40" s="37" t="s">
        <v>9</v>
      </c>
      <c r="AB40" s="37" t="s">
        <v>10</v>
      </c>
    </row>
    <row r="41" spans="1:28" ht="16.5" x14ac:dyDescent="0.3">
      <c r="C41" s="5">
        <f>SUMIF(G$40:Y$40,"Budget",G41:Y41)</f>
        <v>3548248.4000000004</v>
      </c>
      <c r="D41" s="5">
        <f>SUMIF(G$40:Y$40,"Actual",G41:Y41)</f>
        <v>3051602.67</v>
      </c>
      <c r="E41" s="1" t="str">
        <f>"""NAV Direct"",""CRONUS JetCorp USA"",""15"",""1"",""44100"""</f>
        <v>"NAV Direct","CRONUS JetCorp USA","15","1","44100"</v>
      </c>
      <c r="F41" s="1"/>
      <c r="G41" s="28" t="str">
        <f>"Sales, Retail - North America"</f>
        <v>Sales, Retail - North America</v>
      </c>
      <c r="H41" s="29">
        <v>1158499.1200000001</v>
      </c>
      <c r="I41" s="29">
        <v>1016449.32</v>
      </c>
      <c r="J41" s="29">
        <f>I41-H41</f>
        <v>-142049.80000000016</v>
      </c>
      <c r="K41" s="17">
        <f>IF(J41=0,"",IFERROR(J41/H41,""))</f>
        <v>-0.1226153715162081</v>
      </c>
      <c r="L41" s="25"/>
      <c r="M41" s="38" t="str">
        <f>E41</f>
        <v>"NAV Direct","CRONUS JetCorp USA","15","1","44100"</v>
      </c>
      <c r="N41" s="28" t="str">
        <f>"Sales, Retail - North America"</f>
        <v>Sales, Retail - North America</v>
      </c>
      <c r="O41" s="29">
        <v>1194384.5</v>
      </c>
      <c r="P41" s="29">
        <v>997315.08</v>
      </c>
      <c r="Q41" s="29">
        <f>P41-O41</f>
        <v>-197069.42000000004</v>
      </c>
      <c r="R41" s="17">
        <f>IF(Q41=0,"",IFERROR(Q41/O41,""))</f>
        <v>-0.16499663215656268</v>
      </c>
      <c r="S41" s="25"/>
      <c r="T41" s="38" t="str">
        <f>E41</f>
        <v>"NAV Direct","CRONUS JetCorp USA","15","1","44100"</v>
      </c>
      <c r="U41" s="28" t="str">
        <f>"Sales, Retail - North America"</f>
        <v>Sales, Retail - North America</v>
      </c>
      <c r="V41" s="29">
        <v>1195364.78</v>
      </c>
      <c r="W41" s="29">
        <v>1037838.2699999999</v>
      </c>
      <c r="X41" s="29">
        <f>W41-V41</f>
        <v>-157526.51000000013</v>
      </c>
      <c r="Y41" s="17">
        <f>IF(X41=0,"",IFERROR(X41/V41,""))</f>
        <v>-0.13178112040409967</v>
      </c>
      <c r="Z41" s="7"/>
      <c r="AA41" s="16">
        <f>SUMIF(H$40:Y$40,"Variance",H41:Y41)</f>
        <v>-496645.73000000033</v>
      </c>
      <c r="AB41" s="21">
        <f>IF(AA41=0,"",IFERROR(AA41/C41,""))</f>
        <v>-0.13996926765330192</v>
      </c>
    </row>
    <row r="42" spans="1:28" ht="16.5" x14ac:dyDescent="0.3">
      <c r="A42" t="s">
        <v>279</v>
      </c>
      <c r="C42" s="5">
        <f>SUMIF(G$40:Y$40,"Budget",G42:Y42)</f>
        <v>1673161.3900000001</v>
      </c>
      <c r="D42" s="5">
        <f>SUMIF(G$40:Y$40,"Actual",G42:Y42)</f>
        <v>1478318.73</v>
      </c>
      <c r="E42" s="1" t="str">
        <f>"""NAV Direct"",""CRONUS JetCorp USA"",""15"",""1"",""44200"""</f>
        <v>"NAV Direct","CRONUS JetCorp USA","15","1","44200"</v>
      </c>
      <c r="F42" s="1"/>
      <c r="G42" s="28" t="str">
        <f>"Sales, Retail - EU"</f>
        <v>Sales, Retail - EU</v>
      </c>
      <c r="H42" s="29">
        <v>575490.69000000006</v>
      </c>
      <c r="I42" s="29">
        <v>503462.07999999996</v>
      </c>
      <c r="J42" s="29">
        <f>I42-H42</f>
        <v>-72028.610000000102</v>
      </c>
      <c r="K42" s="17">
        <f>IF(J42=0,"",IFERROR(J42/H42,""))</f>
        <v>-0.12516033925761699</v>
      </c>
      <c r="L42" s="25"/>
      <c r="M42" s="38" t="str">
        <f>E42</f>
        <v>"NAV Direct","CRONUS JetCorp USA","15","1","44200"</v>
      </c>
      <c r="N42" s="28" t="str">
        <f>"Sales, Retail - EU"</f>
        <v>Sales, Retail - EU</v>
      </c>
      <c r="O42" s="29">
        <v>551255.03999999992</v>
      </c>
      <c r="P42" s="29">
        <v>475473.87999999995</v>
      </c>
      <c r="Q42" s="29">
        <f>P42-O42</f>
        <v>-75781.159999999974</v>
      </c>
      <c r="R42" s="17">
        <f>IF(Q42=0,"",IFERROR(Q42/O42,""))</f>
        <v>-0.13747023519277027</v>
      </c>
      <c r="S42" s="25"/>
      <c r="T42" s="38" t="str">
        <f>E42</f>
        <v>"NAV Direct","CRONUS JetCorp USA","15","1","44200"</v>
      </c>
      <c r="U42" s="28" t="str">
        <f>"Sales, Retail - EU"</f>
        <v>Sales, Retail - EU</v>
      </c>
      <c r="V42" s="29">
        <v>546415.66</v>
      </c>
      <c r="W42" s="29">
        <v>499382.77</v>
      </c>
      <c r="X42" s="29">
        <f>W42-V42</f>
        <v>-47032.890000000014</v>
      </c>
      <c r="Y42" s="17">
        <f>IF(X42=0,"",IFERROR(X42/V42,""))</f>
        <v>-8.6075296597465767E-2</v>
      </c>
      <c r="Z42" s="7"/>
      <c r="AA42" s="16">
        <f>SUMIF(H$40:Y$40,"Variance",H42:Y42)</f>
        <v>-194842.66000000009</v>
      </c>
      <c r="AB42" s="21">
        <f t="shared" ref="AB42:AB43" si="2">IF(AA42=0,"",IFERROR(AA42/C42,""))</f>
        <v>-0.11645180265604867</v>
      </c>
    </row>
    <row r="43" spans="1:28" ht="17.25" thickBot="1" x14ac:dyDescent="0.35">
      <c r="A43" t="s">
        <v>279</v>
      </c>
      <c r="C43" s="5">
        <f>SUMIF(G$40:Y$40,"Budget",G43:Y43)</f>
        <v>0</v>
      </c>
      <c r="D43" s="5">
        <f>SUMIF(G$40:Y$40,"Actual",G43:Y43)</f>
        <v>0</v>
      </c>
      <c r="E43" s="1" t="str">
        <f>"""NAV Direct"",""CRONUS JetCorp USA"",""15"",""1"",""44300"""</f>
        <v>"NAV Direct","CRONUS JetCorp USA","15","1","44300"</v>
      </c>
      <c r="F43" s="1"/>
      <c r="G43" s="28" t="str">
        <f>"Sales, Retail - Other"</f>
        <v>Sales, Retail - Other</v>
      </c>
      <c r="H43" s="29">
        <v>0</v>
      </c>
      <c r="I43" s="29">
        <v>0</v>
      </c>
      <c r="J43" s="29">
        <f>I43-H43</f>
        <v>0</v>
      </c>
      <c r="K43" s="17" t="str">
        <f>IF(J43=0,"",IFERROR(J43/H43,""))</f>
        <v/>
      </c>
      <c r="L43" s="25"/>
      <c r="M43" s="38" t="str">
        <f>E43</f>
        <v>"NAV Direct","CRONUS JetCorp USA","15","1","44300"</v>
      </c>
      <c r="N43" s="28" t="str">
        <f>"Sales, Retail - Other"</f>
        <v>Sales, Retail - Other</v>
      </c>
      <c r="O43" s="29">
        <v>0</v>
      </c>
      <c r="P43" s="29">
        <v>0</v>
      </c>
      <c r="Q43" s="29">
        <f>P43-O43</f>
        <v>0</v>
      </c>
      <c r="R43" s="17" t="str">
        <f>IF(Q43=0,"",IFERROR(Q43/O43,""))</f>
        <v/>
      </c>
      <c r="S43" s="25"/>
      <c r="T43" s="38" t="str">
        <f>E43</f>
        <v>"NAV Direct","CRONUS JetCorp USA","15","1","44300"</v>
      </c>
      <c r="U43" s="28" t="str">
        <f>"Sales, Retail - Other"</f>
        <v>Sales, Retail - Other</v>
      </c>
      <c r="V43" s="29">
        <v>0</v>
      </c>
      <c r="W43" s="29">
        <v>0</v>
      </c>
      <c r="X43" s="29">
        <f>W43-V43</f>
        <v>0</v>
      </c>
      <c r="Y43" s="17" t="str">
        <f>IF(X43=0,"",IFERROR(X43/V43,""))</f>
        <v/>
      </c>
      <c r="Z43" s="7"/>
      <c r="AA43" s="16">
        <f>SUMIF(H$40:Y$40,"Variance",H43:Y43)</f>
        <v>0</v>
      </c>
      <c r="AB43" s="21" t="str">
        <f t="shared" si="2"/>
        <v/>
      </c>
    </row>
    <row r="44" spans="1:28" ht="17.25" hidden="1" thickBot="1" x14ac:dyDescent="0.35">
      <c r="A44" s="2" t="s">
        <v>2</v>
      </c>
      <c r="E44" s="1"/>
      <c r="F44" s="1"/>
      <c r="G44" s="28"/>
      <c r="H44" s="28"/>
      <c r="I44" s="29"/>
      <c r="J44" s="28"/>
      <c r="K44" s="28"/>
      <c r="L44" s="25"/>
      <c r="M44" s="38"/>
      <c r="N44" s="28"/>
      <c r="O44" s="28"/>
      <c r="P44" s="29"/>
      <c r="Q44" s="28"/>
      <c r="R44" s="28"/>
      <c r="S44" s="25"/>
      <c r="T44" s="38"/>
      <c r="U44" s="28"/>
      <c r="V44" s="28"/>
      <c r="W44" s="29"/>
      <c r="X44" s="28"/>
      <c r="Y44" s="28"/>
      <c r="Z44" s="7"/>
      <c r="AA44" s="15"/>
      <c r="AB44" s="15"/>
    </row>
    <row r="45" spans="1:28" ht="17.25" thickTop="1" x14ac:dyDescent="0.3">
      <c r="C45" s="6">
        <f>SUM(C41:C44)</f>
        <v>5221409.790000001</v>
      </c>
      <c r="E45" s="1"/>
      <c r="F45" s="1"/>
      <c r="G45" s="28"/>
      <c r="H45" s="39">
        <f>SUBTOTAL(9,H41:H44)</f>
        <v>1733989.81</v>
      </c>
      <c r="I45" s="39">
        <f>SUBTOTAL(9,I41:I44)</f>
        <v>1519911.4</v>
      </c>
      <c r="J45" s="39">
        <f>I45-H45</f>
        <v>-214078.41000000015</v>
      </c>
      <c r="K45" s="17">
        <f>IF(J45=0,"",IFERROR(J45/H45,""))</f>
        <v>-0.12346001618083335</v>
      </c>
      <c r="L45" s="25"/>
      <c r="M45" s="38"/>
      <c r="N45" s="28"/>
      <c r="O45" s="39">
        <f>SUBTOTAL(9,O41:O44)</f>
        <v>1745639.54</v>
      </c>
      <c r="P45" s="39">
        <f>SUBTOTAL(9,P41:P44)</f>
        <v>1472788.96</v>
      </c>
      <c r="Q45" s="39">
        <f>P45-O45</f>
        <v>-272850.58000000007</v>
      </c>
      <c r="R45" s="17">
        <f>IF(Q45=0,"",IFERROR(Q45/O45,""))</f>
        <v>-0.15630407867594479</v>
      </c>
      <c r="S45" s="25"/>
      <c r="T45" s="38"/>
      <c r="U45" s="28"/>
      <c r="V45" s="39">
        <f>SUBTOTAL(9,V41:V44)</f>
        <v>1741780.44</v>
      </c>
      <c r="W45" s="39">
        <f>SUBTOTAL(9,W41:W44)</f>
        <v>1537221.04</v>
      </c>
      <c r="X45" s="39">
        <f>W45-V45</f>
        <v>-204559.39999999991</v>
      </c>
      <c r="Y45" s="17">
        <f>IF(X45=0,"",IFERROR(X45/V45,""))</f>
        <v>-0.11744270133151795</v>
      </c>
      <c r="Z45" s="7"/>
      <c r="AA45" s="40">
        <f>SUBTOTAL(9,AA41:AA44)</f>
        <v>-691488.39000000036</v>
      </c>
      <c r="AB45" s="21">
        <f>IF(AA45=0,"",IFERROR(AA45/C45,""))</f>
        <v>-0.13243327335164021</v>
      </c>
    </row>
    <row r="46" spans="1:28" ht="16.5" x14ac:dyDescent="0.3">
      <c r="G46" s="7"/>
      <c r="H46" s="7"/>
      <c r="I46" s="7"/>
      <c r="J46" s="7"/>
      <c r="K46" s="7"/>
      <c r="L46" s="7"/>
      <c r="M46" s="7"/>
      <c r="N46" s="7"/>
      <c r="O46" s="7"/>
      <c r="P46" s="7"/>
      <c r="Q46" s="7"/>
      <c r="R46" s="7"/>
      <c r="S46" s="7"/>
      <c r="T46" s="7"/>
      <c r="U46" s="7"/>
      <c r="V46" s="7"/>
      <c r="W46" s="7"/>
      <c r="X46" s="7"/>
      <c r="Y46" s="7"/>
      <c r="Z46" s="7"/>
      <c r="AA46" s="7"/>
      <c r="AB46" s="7"/>
    </row>
    <row r="47" spans="1:28" ht="16.5" hidden="1" x14ac:dyDescent="0.3">
      <c r="A47" s="2" t="s">
        <v>2</v>
      </c>
      <c r="E47" s="2"/>
      <c r="F47" s="2"/>
      <c r="G47" s="9" t="s">
        <v>16</v>
      </c>
      <c r="H47" s="9" t="str">
        <f>"""NAV Direct"",""CRONUS JetCorp USA"",""2000000007"",""1"",""Month"",""2"",""10/1/2016"""</f>
        <v>"NAV Direct","CRONUS JetCorp USA","2000000007","1","Month","2","10/1/2016"</v>
      </c>
      <c r="I47" s="10">
        <v>42644</v>
      </c>
      <c r="J47" s="10">
        <v>42674</v>
      </c>
      <c r="K47" s="8"/>
      <c r="L47" s="7"/>
      <c r="M47" s="9"/>
      <c r="N47" s="9" t="s">
        <v>16</v>
      </c>
      <c r="O47" s="9" t="str">
        <f>"""NAV Direct"",""CRONUS JetCorp USA"",""2000000007"",""1"",""Month"",""2"",""11/1/2016"""</f>
        <v>"NAV Direct","CRONUS JetCorp USA","2000000007","1","Month","2","11/1/2016"</v>
      </c>
      <c r="P47" s="10">
        <v>42675</v>
      </c>
      <c r="Q47" s="10">
        <v>42704</v>
      </c>
      <c r="R47" s="8"/>
      <c r="S47" s="7"/>
      <c r="T47" s="9"/>
      <c r="U47" s="9" t="s">
        <v>16</v>
      </c>
      <c r="V47" s="9" t="str">
        <f>"""NAV Direct"",""CRONUS JetCorp USA"",""2000000007"",""1"",""Month"",""2"",""12/1/2016"""</f>
        <v>"NAV Direct","CRONUS JetCorp USA","2000000007","1","Month","2","12/1/2016"</v>
      </c>
      <c r="W47" s="10">
        <v>42705</v>
      </c>
      <c r="X47" s="10">
        <v>42735</v>
      </c>
      <c r="Y47" s="8"/>
      <c r="Z47" s="7"/>
      <c r="AA47" s="7"/>
      <c r="AB47" s="7"/>
    </row>
    <row r="48" spans="1:28" ht="16.5" hidden="1" x14ac:dyDescent="0.3">
      <c r="A48" s="2" t="s">
        <v>2</v>
      </c>
      <c r="G48" s="9" t="s">
        <v>3</v>
      </c>
      <c r="H48" s="9" t="str">
        <f>"10/1/2016..10/31/2016"</f>
        <v>10/1/2016..10/31/2016</v>
      </c>
      <c r="I48" s="10"/>
      <c r="J48" s="10" t="b">
        <f>(I47&lt;$C$8)</f>
        <v>1</v>
      </c>
      <c r="K48" s="8"/>
      <c r="L48" s="7"/>
      <c r="M48" s="7"/>
      <c r="N48" s="9" t="s">
        <v>3</v>
      </c>
      <c r="O48" s="9" t="str">
        <f>"11/1/2016..11/30/2016"</f>
        <v>11/1/2016..11/30/2016</v>
      </c>
      <c r="P48" s="10"/>
      <c r="Q48" s="10" t="b">
        <f>(P47&lt;$C$8)</f>
        <v>0</v>
      </c>
      <c r="R48" s="8"/>
      <c r="S48" s="7"/>
      <c r="T48" s="7"/>
      <c r="U48" s="9" t="s">
        <v>3</v>
      </c>
      <c r="V48" s="9" t="str">
        <f>"12/1/2016..12/31/2016"</f>
        <v>12/1/2016..12/31/2016</v>
      </c>
      <c r="W48" s="10"/>
      <c r="X48" s="10" t="b">
        <f>(W47&lt;$C$8)</f>
        <v>0</v>
      </c>
      <c r="Y48" s="8"/>
      <c r="Z48" s="7"/>
      <c r="AA48" s="7"/>
      <c r="AB48" s="7"/>
    </row>
    <row r="49" spans="1:28" ht="16.5" x14ac:dyDescent="0.3">
      <c r="G49" s="41"/>
      <c r="H49" s="75" t="str">
        <f>IF(J48,TEXT(I47,"mmm"),TEXT(I47,"mmm") &amp; " (Budget)")</f>
        <v>Oct</v>
      </c>
      <c r="I49" s="75"/>
      <c r="J49" s="75"/>
      <c r="K49" s="75"/>
      <c r="L49" s="25"/>
      <c r="M49" s="25"/>
      <c r="N49" s="41"/>
      <c r="O49" s="75" t="str">
        <f>IF(Q48,TEXT(P47,"mmm"),TEXT(P47,"mmm") &amp; " (Budget)")</f>
        <v>Nov (Budget)</v>
      </c>
      <c r="P49" s="75"/>
      <c r="Q49" s="75"/>
      <c r="R49" s="75"/>
      <c r="S49" s="25"/>
      <c r="T49" s="25"/>
      <c r="U49" s="41"/>
      <c r="V49" s="75" t="str">
        <f>IF(X48,TEXT(W47,"mmm"),TEXT(W47,"mmm") &amp; " (Budget)")</f>
        <v>Dec (Budget)</v>
      </c>
      <c r="W49" s="75"/>
      <c r="X49" s="75"/>
      <c r="Y49" s="75"/>
      <c r="Z49" s="7"/>
      <c r="AA49" s="73" t="s">
        <v>18</v>
      </c>
      <c r="AB49" s="73"/>
    </row>
    <row r="50" spans="1:28" ht="16.5" x14ac:dyDescent="0.3">
      <c r="G50" s="41"/>
      <c r="H50" s="42" t="s">
        <v>7</v>
      </c>
      <c r="I50" s="42" t="s">
        <v>8</v>
      </c>
      <c r="J50" s="42" t="s">
        <v>9</v>
      </c>
      <c r="K50" s="42" t="s">
        <v>10</v>
      </c>
      <c r="L50" s="25"/>
      <c r="M50" s="25"/>
      <c r="N50" s="41"/>
      <c r="O50" s="42" t="s">
        <v>7</v>
      </c>
      <c r="P50" s="42" t="s">
        <v>8</v>
      </c>
      <c r="Q50" s="42" t="s">
        <v>9</v>
      </c>
      <c r="R50" s="42" t="s">
        <v>10</v>
      </c>
      <c r="S50" s="25"/>
      <c r="T50" s="25"/>
      <c r="U50" s="41"/>
      <c r="V50" s="42" t="s">
        <v>7</v>
      </c>
      <c r="W50" s="42" t="s">
        <v>8</v>
      </c>
      <c r="X50" s="42" t="s">
        <v>9</v>
      </c>
      <c r="Y50" s="42" t="s">
        <v>10</v>
      </c>
      <c r="Z50" s="7"/>
      <c r="AA50" s="43" t="s">
        <v>9</v>
      </c>
      <c r="AB50" s="43" t="s">
        <v>10</v>
      </c>
    </row>
    <row r="51" spans="1:28" ht="16.5" x14ac:dyDescent="0.3">
      <c r="C51" s="5">
        <f>SUMIF(G$50:Y$50,"Budget",G51:Y51)</f>
        <v>3995632.95</v>
      </c>
      <c r="D51" s="5">
        <f>SUMIF(G$50:Y$50,"Actual",G51:Y51)</f>
        <v>3848662.2</v>
      </c>
      <c r="E51" s="1" t="str">
        <f>"""NAV Direct"",""CRONUS JetCorp USA"",""15"",""1"",""44100"""</f>
        <v>"NAV Direct","CRONUS JetCorp USA","15","1","44100"</v>
      </c>
      <c r="F51" s="1"/>
      <c r="G51" s="28" t="str">
        <f>"Sales, Retail - North America"</f>
        <v>Sales, Retail - North America</v>
      </c>
      <c r="H51" s="29">
        <v>1237514.74</v>
      </c>
      <c r="I51" s="29">
        <v>1090543.99</v>
      </c>
      <c r="J51" s="29">
        <f>I51-H51</f>
        <v>-146970.75</v>
      </c>
      <c r="K51" s="17">
        <f>IF(J51=0,"",IFERROR(J51/H51,""))</f>
        <v>-0.11876282782700431</v>
      </c>
      <c r="L51" s="25"/>
      <c r="M51" s="25" t="str">
        <f>E51</f>
        <v>"NAV Direct","CRONUS JetCorp USA","15","1","44100"</v>
      </c>
      <c r="N51" s="28" t="str">
        <f>"Sales, Retail - North America"</f>
        <v>Sales, Retail - North America</v>
      </c>
      <c r="O51" s="29">
        <v>1307906.46</v>
      </c>
      <c r="P51" s="29">
        <f>IF(Q$48,-_xll.NF($E51,"32 Net Change","28 Date Filter",O$48),O51)</f>
        <v>1307906.46</v>
      </c>
      <c r="Q51" s="29">
        <f>P51-O51</f>
        <v>0</v>
      </c>
      <c r="R51" s="17" t="str">
        <f>IF(Q51=0,"",IFERROR(Q51/O51,""))</f>
        <v/>
      </c>
      <c r="S51" s="25"/>
      <c r="T51" s="25" t="str">
        <f>E51</f>
        <v>"NAV Direct","CRONUS JetCorp USA","15","1","44100"</v>
      </c>
      <c r="U51" s="28" t="str">
        <f>"Sales, Retail - North America"</f>
        <v>Sales, Retail - North America</v>
      </c>
      <c r="V51" s="29">
        <v>1450211.75</v>
      </c>
      <c r="W51" s="29">
        <f>IF(X$48,-_xll.NF($E51,"32 Net Change","28 Date Filter",V$48),V51)</f>
        <v>1450211.75</v>
      </c>
      <c r="X51" s="29">
        <f>W51-V51</f>
        <v>0</v>
      </c>
      <c r="Y51" s="17" t="str">
        <f>IF(X51=0,"",IFERROR(X51/V51,""))</f>
        <v/>
      </c>
      <c r="Z51" s="7"/>
      <c r="AA51" s="16">
        <f>SUMIF(H$50:Y$50,"Variance",H51:Y51)</f>
        <v>-146970.75</v>
      </c>
      <c r="AB51" s="21">
        <f>IF(AA51=0,"",IFERROR(AA51/C51,""))</f>
        <v>-3.6782845631503761E-2</v>
      </c>
    </row>
    <row r="52" spans="1:28" ht="16.5" x14ac:dyDescent="0.3">
      <c r="A52" t="s">
        <v>279</v>
      </c>
      <c r="C52" s="5">
        <f>SUMIF(G$50:Y$50,"Budget",G52:Y52)</f>
        <v>1789362.0099999998</v>
      </c>
      <c r="D52" s="5">
        <f>SUMIF(G$50:Y$50,"Actual",G52:Y52)</f>
        <v>1716935.9700000002</v>
      </c>
      <c r="E52" s="1" t="str">
        <f>"""NAV Direct"",""CRONUS JetCorp USA"",""15"",""1"",""44200"""</f>
        <v>"NAV Direct","CRONUS JetCorp USA","15","1","44200"</v>
      </c>
      <c r="F52" s="1"/>
      <c r="G52" s="28" t="str">
        <f>"Sales, Retail - EU"</f>
        <v>Sales, Retail - EU</v>
      </c>
      <c r="H52" s="29">
        <v>578914.24</v>
      </c>
      <c r="I52" s="29">
        <v>506488.2</v>
      </c>
      <c r="J52" s="29">
        <f>I52-H52</f>
        <v>-72426.039999999979</v>
      </c>
      <c r="K52" s="17">
        <f>IF(J52=0,"",IFERROR(J52/H52,""))</f>
        <v>-0.12510668246820114</v>
      </c>
      <c r="L52" s="25"/>
      <c r="M52" s="25" t="str">
        <f>E52</f>
        <v>"NAV Direct","CRONUS JetCorp USA","15","1","44200"</v>
      </c>
      <c r="N52" s="28" t="str">
        <f>"Sales, Retail - EU"</f>
        <v>Sales, Retail - EU</v>
      </c>
      <c r="O52" s="29">
        <v>607225.66</v>
      </c>
      <c r="P52" s="29">
        <f>IF(Q$48,-_xll.NF($E52,"32 Net Change","28 Date Filter",O$48),O52)</f>
        <v>607225.66</v>
      </c>
      <c r="Q52" s="29">
        <f>P52-O52</f>
        <v>0</v>
      </c>
      <c r="R52" s="17" t="str">
        <f>IF(Q52=0,"",IFERROR(Q52/O52,""))</f>
        <v/>
      </c>
      <c r="S52" s="25"/>
      <c r="T52" s="25" t="str">
        <f>E52</f>
        <v>"NAV Direct","CRONUS JetCorp USA","15","1","44200"</v>
      </c>
      <c r="U52" s="28" t="str">
        <f>"Sales, Retail - EU"</f>
        <v>Sales, Retail - EU</v>
      </c>
      <c r="V52" s="29">
        <v>603222.11</v>
      </c>
      <c r="W52" s="29">
        <f>IF(X$48,-_xll.NF($E52,"32 Net Change","28 Date Filter",V$48),V52)</f>
        <v>603222.11</v>
      </c>
      <c r="X52" s="29">
        <f>W52-V52</f>
        <v>0</v>
      </c>
      <c r="Y52" s="17" t="str">
        <f>IF(X52=0,"",IFERROR(X52/V52,""))</f>
        <v/>
      </c>
      <c r="Z52" s="7"/>
      <c r="AA52" s="16">
        <f>SUMIF(H$50:Y$50,"Variance",H52:Y52)</f>
        <v>-72426.039999999979</v>
      </c>
      <c r="AB52" s="21">
        <f t="shared" ref="AB52:AB53" si="3">IF(AA52=0,"",IFERROR(AA52/C52,""))</f>
        <v>-4.0475901240353253E-2</v>
      </c>
    </row>
    <row r="53" spans="1:28" ht="17.25" thickBot="1" x14ac:dyDescent="0.35">
      <c r="A53" t="s">
        <v>279</v>
      </c>
      <c r="C53" s="5">
        <f>SUMIF(G$50:Y$50,"Budget",G53:Y53)</f>
        <v>0</v>
      </c>
      <c r="D53" s="5">
        <f>SUMIF(G$50:Y$50,"Actual",G53:Y53)</f>
        <v>0</v>
      </c>
      <c r="E53" s="1" t="str">
        <f>"""NAV Direct"",""CRONUS JetCorp USA"",""15"",""1"",""44300"""</f>
        <v>"NAV Direct","CRONUS JetCorp USA","15","1","44300"</v>
      </c>
      <c r="F53" s="1"/>
      <c r="G53" s="28" t="str">
        <f>"Sales, Retail - Other"</f>
        <v>Sales, Retail - Other</v>
      </c>
      <c r="H53" s="29">
        <v>0</v>
      </c>
      <c r="I53" s="29">
        <v>0</v>
      </c>
      <c r="J53" s="29">
        <f>I53-H53</f>
        <v>0</v>
      </c>
      <c r="K53" s="17" t="str">
        <f>IF(J53=0,"",IFERROR(J53/H53,""))</f>
        <v/>
      </c>
      <c r="L53" s="25"/>
      <c r="M53" s="25" t="str">
        <f>E53</f>
        <v>"NAV Direct","CRONUS JetCorp USA","15","1","44300"</v>
      </c>
      <c r="N53" s="28" t="str">
        <f>"Sales, Retail - Other"</f>
        <v>Sales, Retail - Other</v>
      </c>
      <c r="O53" s="29">
        <v>0</v>
      </c>
      <c r="P53" s="29">
        <f>IF(Q$48,-_xll.NF($E53,"32 Net Change","28 Date Filter",O$48),O53)</f>
        <v>0</v>
      </c>
      <c r="Q53" s="29">
        <f>P53-O53</f>
        <v>0</v>
      </c>
      <c r="R53" s="17" t="str">
        <f>IF(Q53=0,"",IFERROR(Q53/O53,""))</f>
        <v/>
      </c>
      <c r="S53" s="25"/>
      <c r="T53" s="25" t="str">
        <f>E53</f>
        <v>"NAV Direct","CRONUS JetCorp USA","15","1","44300"</v>
      </c>
      <c r="U53" s="28" t="str">
        <f>"Sales, Retail - Other"</f>
        <v>Sales, Retail - Other</v>
      </c>
      <c r="V53" s="29">
        <v>0</v>
      </c>
      <c r="W53" s="29">
        <f>IF(X$48,-_xll.NF($E53,"32 Net Change","28 Date Filter",V$48),V53)</f>
        <v>0</v>
      </c>
      <c r="X53" s="29">
        <f>W53-V53</f>
        <v>0</v>
      </c>
      <c r="Y53" s="17" t="str">
        <f>IF(X53=0,"",IFERROR(X53/V53,""))</f>
        <v/>
      </c>
      <c r="Z53" s="7"/>
      <c r="AA53" s="16">
        <f>SUMIF(H$50:Y$50,"Variance",H53:Y53)</f>
        <v>0</v>
      </c>
      <c r="AB53" s="21" t="str">
        <f t="shared" si="3"/>
        <v/>
      </c>
    </row>
    <row r="54" spans="1:28" ht="17.25" hidden="1" thickBot="1" x14ac:dyDescent="0.35">
      <c r="A54" s="2" t="s">
        <v>2</v>
      </c>
      <c r="E54" s="1"/>
      <c r="F54" s="1"/>
      <c r="G54" s="28"/>
      <c r="H54" s="28"/>
      <c r="I54" s="29"/>
      <c r="J54" s="28"/>
      <c r="K54" s="28"/>
      <c r="L54" s="25"/>
      <c r="M54" s="25"/>
      <c r="N54" s="28"/>
      <c r="O54" s="28"/>
      <c r="P54" s="29"/>
      <c r="Q54" s="28"/>
      <c r="R54" s="28"/>
      <c r="S54" s="25"/>
      <c r="T54" s="25"/>
      <c r="U54" s="28"/>
      <c r="V54" s="28"/>
      <c r="W54" s="29"/>
      <c r="X54" s="28"/>
      <c r="Y54" s="28"/>
      <c r="Z54" s="7"/>
      <c r="AA54" s="15"/>
      <c r="AB54" s="15"/>
    </row>
    <row r="55" spans="1:28" ht="17.25" thickTop="1" x14ac:dyDescent="0.3">
      <c r="C55" s="6">
        <f>SUM(C51:C54)</f>
        <v>5784994.96</v>
      </c>
      <c r="E55" s="1"/>
      <c r="F55" s="1"/>
      <c r="G55" s="28"/>
      <c r="H55" s="44">
        <f>SUBTOTAL(9,H51:H54)</f>
        <v>1816428.98</v>
      </c>
      <c r="I55" s="44">
        <f>SUBTOTAL(9,I51:I54)</f>
        <v>1597032.19</v>
      </c>
      <c r="J55" s="44">
        <f>I55-H55</f>
        <v>-219396.79000000004</v>
      </c>
      <c r="K55" s="17">
        <f>IF(J55=0,"",IFERROR(J55/H55,""))</f>
        <v>-0.12078467829774442</v>
      </c>
      <c r="L55" s="25"/>
      <c r="M55" s="25"/>
      <c r="N55" s="28"/>
      <c r="O55" s="44">
        <f>SUBTOTAL(9,O51:O54)</f>
        <v>1915132.12</v>
      </c>
      <c r="P55" s="44">
        <f>SUBTOTAL(9,P51:P54)</f>
        <v>1915132.12</v>
      </c>
      <c r="Q55" s="44">
        <f>P55-O55</f>
        <v>0</v>
      </c>
      <c r="R55" s="17" t="str">
        <f>IF(Q55=0,"",IFERROR(Q55/O55,""))</f>
        <v/>
      </c>
      <c r="S55" s="25"/>
      <c r="T55" s="25"/>
      <c r="U55" s="28"/>
      <c r="V55" s="44">
        <f>SUBTOTAL(9,V51:V54)</f>
        <v>2053433.8599999999</v>
      </c>
      <c r="W55" s="44">
        <f>SUBTOTAL(9,W51:W54)</f>
        <v>2053433.8599999999</v>
      </c>
      <c r="X55" s="44">
        <f>W55-V55</f>
        <v>0</v>
      </c>
      <c r="Y55" s="17" t="str">
        <f>IF(X55=0,"",IFERROR(X55/V55,""))</f>
        <v/>
      </c>
      <c r="Z55" s="7"/>
      <c r="AA55" s="45">
        <f>SUBTOTAL(9,AA51:AA54)</f>
        <v>-219396.78999999998</v>
      </c>
      <c r="AB55" s="21">
        <f>IF(AA55=0,"",IFERROR(AA55/C55,""))</f>
        <v>-3.792514799356022E-2</v>
      </c>
    </row>
    <row r="56" spans="1:28" ht="16.5" x14ac:dyDescent="0.3">
      <c r="A56" s="2"/>
      <c r="G56" s="9"/>
      <c r="H56" s="9"/>
      <c r="I56" s="10"/>
      <c r="J56" s="10"/>
      <c r="K56" s="8"/>
      <c r="L56" s="7"/>
      <c r="M56" s="7"/>
      <c r="N56" s="9"/>
      <c r="O56" s="9"/>
      <c r="P56" s="10"/>
      <c r="Q56" s="10"/>
      <c r="R56" s="8"/>
      <c r="S56" s="7"/>
      <c r="T56" s="7"/>
      <c r="U56" s="9"/>
      <c r="V56" s="9"/>
      <c r="W56" s="10"/>
      <c r="X56" s="10"/>
      <c r="Y56" s="8"/>
      <c r="Z56" s="7"/>
      <c r="AA56" s="7"/>
      <c r="AB56" s="7"/>
    </row>
    <row r="57" spans="1:28" ht="16.5" x14ac:dyDescent="0.3">
      <c r="A57" s="2" t="s">
        <v>13</v>
      </c>
      <c r="B57" s="2"/>
      <c r="C57" s="2"/>
      <c r="G57" s="12" t="s">
        <v>21</v>
      </c>
      <c r="H57" s="69" t="s">
        <v>17</v>
      </c>
      <c r="I57" s="69"/>
      <c r="J57" s="69"/>
      <c r="K57" s="69"/>
      <c r="L57" s="7"/>
      <c r="M57" s="7"/>
      <c r="N57" s="46" t="s">
        <v>21</v>
      </c>
      <c r="O57" s="74" t="s">
        <v>20</v>
      </c>
      <c r="P57" s="74"/>
      <c r="Q57" s="74"/>
      <c r="R57" s="74"/>
      <c r="S57" s="7"/>
      <c r="T57" s="7"/>
      <c r="U57" s="7"/>
      <c r="V57" s="7"/>
      <c r="W57" s="7"/>
      <c r="X57" s="7"/>
      <c r="Y57" s="7"/>
      <c r="Z57" s="7"/>
      <c r="AA57" s="7"/>
      <c r="AB57" s="7"/>
    </row>
    <row r="58" spans="1:28" ht="16.5" x14ac:dyDescent="0.3">
      <c r="A58" s="2"/>
      <c r="B58" s="2"/>
      <c r="C58" s="2"/>
      <c r="G58" s="11"/>
      <c r="H58" s="14" t="s">
        <v>7</v>
      </c>
      <c r="I58" s="14" t="s">
        <v>8</v>
      </c>
      <c r="J58" s="14" t="s">
        <v>9</v>
      </c>
      <c r="K58" s="14" t="s">
        <v>10</v>
      </c>
      <c r="L58" s="7"/>
      <c r="M58" s="7"/>
      <c r="N58" s="47"/>
      <c r="O58" s="48" t="s">
        <v>7</v>
      </c>
      <c r="P58" s="48" t="s">
        <v>8</v>
      </c>
      <c r="Q58" s="48" t="s">
        <v>9</v>
      </c>
      <c r="R58" s="48" t="s">
        <v>10</v>
      </c>
      <c r="S58" s="7"/>
      <c r="T58" s="7"/>
      <c r="U58" s="7"/>
      <c r="V58" s="7"/>
      <c r="W58" s="7"/>
      <c r="X58" s="7"/>
      <c r="Y58" s="7"/>
      <c r="Z58" s="7"/>
      <c r="AA58" s="7"/>
      <c r="AB58" s="7"/>
    </row>
    <row r="59" spans="1:28" ht="16.5" x14ac:dyDescent="0.3">
      <c r="A59" s="2"/>
      <c r="B59" s="2"/>
      <c r="C59" s="2"/>
      <c r="D59" s="2"/>
      <c r="E59" s="1" t="str">
        <f>"""NAV Direct"",""CRONUS JetCorp USA"",""15"",""1"",""44100"""</f>
        <v>"NAV Direct","CRONUS JetCorp USA","15","1","44100"</v>
      </c>
      <c r="F59" s="1"/>
      <c r="G59" s="15" t="str">
        <f>"Sales, Retail - North America"</f>
        <v>Sales, Retail - North America</v>
      </c>
      <c r="H59" s="16">
        <f>SUMIF($G21:$G25,G59,C21:C25)</f>
        <v>3116270.9400000004</v>
      </c>
      <c r="I59" s="16">
        <f>SUMIF($G21:$G24,G59,D21:D24)</f>
        <v>2792054.14</v>
      </c>
      <c r="J59" s="16">
        <f>I59-H59</f>
        <v>-324216.80000000028</v>
      </c>
      <c r="K59" s="21">
        <f>IFERROR(J59/H59,"")</f>
        <v>-0.10403999082313434</v>
      </c>
      <c r="L59" s="7"/>
      <c r="M59" s="18" t="str">
        <f>E59</f>
        <v>"NAV Direct","CRONUS JetCorp USA","15","1","44100"</v>
      </c>
      <c r="N59" s="15" t="str">
        <f>"Sales, Retail - North America"</f>
        <v>Sales, Retail - North America</v>
      </c>
      <c r="O59" s="16">
        <f>SUMIF($G21:$G35,N59,C21:C35)</f>
        <v>6485550.1300000008</v>
      </c>
      <c r="P59" s="16">
        <f>SUMIF($G21:$G35,N59,D21:D35)</f>
        <v>5838977.1100000003</v>
      </c>
      <c r="Q59" s="16">
        <f>P59-O59</f>
        <v>-646573.02000000048</v>
      </c>
      <c r="R59" s="21">
        <f>IFERROR(Q59/O59,"")</f>
        <v>-9.9694398630760475E-2</v>
      </c>
      <c r="S59" s="7"/>
      <c r="T59" s="18"/>
      <c r="U59" s="7"/>
      <c r="V59" s="7"/>
      <c r="W59" s="7"/>
      <c r="X59" s="7"/>
      <c r="Y59" s="7"/>
      <c r="Z59" s="7"/>
      <c r="AA59" s="7"/>
      <c r="AB59" s="7"/>
    </row>
    <row r="60" spans="1:28" ht="16.5" x14ac:dyDescent="0.3">
      <c r="A60" s="2" t="s">
        <v>279</v>
      </c>
      <c r="B60" s="2"/>
      <c r="C60" s="2"/>
      <c r="D60" s="2"/>
      <c r="E60" s="1" t="str">
        <f>"""NAV Direct"",""CRONUS JetCorp USA"",""15"",""1"",""44200"""</f>
        <v>"NAV Direct","CRONUS JetCorp USA","15","1","44200"</v>
      </c>
      <c r="F60" s="1"/>
      <c r="G60" s="15" t="str">
        <f>"Sales, Retail - EU"</f>
        <v>Sales, Retail - EU</v>
      </c>
      <c r="H60" s="16">
        <f>SUMIF($G22:$G26,G60,C22:C26)</f>
        <v>1561795.79</v>
      </c>
      <c r="I60" s="16">
        <f>SUMIF($G22:$G25,G60,D22:D25)</f>
        <v>1348080.3599999999</v>
      </c>
      <c r="J60" s="16">
        <f>I60-H60</f>
        <v>-213715.43000000017</v>
      </c>
      <c r="K60" s="21">
        <f>IFERROR(J60/H60,"")</f>
        <v>-0.13683954801799034</v>
      </c>
      <c r="L60" s="7"/>
      <c r="M60" s="18" t="str">
        <f>E60</f>
        <v>"NAV Direct","CRONUS JetCorp USA","15","1","44200"</v>
      </c>
      <c r="N60" s="15" t="str">
        <f>"Sales, Retail - EU"</f>
        <v>Sales, Retail - EU</v>
      </c>
      <c r="O60" s="16">
        <f>SUMIF($G22:$G36,N60,C22:C36)</f>
        <v>3150788.1</v>
      </c>
      <c r="P60" s="16">
        <f>SUMIF($G22:$G36,N60,D22:D36)</f>
        <v>2774539.91</v>
      </c>
      <c r="Q60" s="16">
        <f>P60-O60</f>
        <v>-376248.18999999994</v>
      </c>
      <c r="R60" s="21">
        <f>IFERROR(Q60/O60,"")</f>
        <v>-0.11941399359734789</v>
      </c>
      <c r="S60" s="7"/>
      <c r="T60" s="18"/>
      <c r="U60" s="7"/>
      <c r="V60" s="7"/>
      <c r="W60" s="7"/>
      <c r="X60" s="7"/>
      <c r="Y60" s="7"/>
      <c r="Z60" s="7"/>
      <c r="AA60" s="7"/>
      <c r="AB60" s="7"/>
    </row>
    <row r="61" spans="1:28" ht="17.25" thickBot="1" x14ac:dyDescent="0.35">
      <c r="A61" s="2" t="s">
        <v>279</v>
      </c>
      <c r="B61" s="2"/>
      <c r="C61" s="2"/>
      <c r="D61" s="2"/>
      <c r="E61" s="1" t="str">
        <f>"""NAV Direct"",""CRONUS JetCorp USA"",""15"",""1"",""44300"""</f>
        <v>"NAV Direct","CRONUS JetCorp USA","15","1","44300"</v>
      </c>
      <c r="F61" s="1"/>
      <c r="G61" s="15" t="str">
        <f>"Sales, Retail - Other"</f>
        <v>Sales, Retail - Other</v>
      </c>
      <c r="H61" s="16">
        <f>SUMIF($G23:$G27,G61,C23:C27)</f>
        <v>0</v>
      </c>
      <c r="I61" s="16">
        <f>SUMIF($G23:$G26,G61,D23:D26)</f>
        <v>0</v>
      </c>
      <c r="J61" s="16">
        <f>I61-H61</f>
        <v>0</v>
      </c>
      <c r="K61" s="21" t="str">
        <f>IFERROR(J61/H61,"")</f>
        <v/>
      </c>
      <c r="L61" s="7"/>
      <c r="M61" s="18" t="str">
        <f>E61</f>
        <v>"NAV Direct","CRONUS JetCorp USA","15","1","44300"</v>
      </c>
      <c r="N61" s="15" t="str">
        <f>"Sales, Retail - Other"</f>
        <v>Sales, Retail - Other</v>
      </c>
      <c r="O61" s="16">
        <f>SUMIF($G23:$G37,N61,C23:C37)</f>
        <v>0</v>
      </c>
      <c r="P61" s="16">
        <f>SUMIF($G23:$G37,N61,D23:D37)</f>
        <v>0</v>
      </c>
      <c r="Q61" s="16">
        <f>P61-O61</f>
        <v>0</v>
      </c>
      <c r="R61" s="21" t="str">
        <f>IFERROR(Q61/O61,"")</f>
        <v/>
      </c>
      <c r="S61" s="7"/>
      <c r="T61" s="18"/>
      <c r="U61" s="7"/>
      <c r="V61" s="7"/>
      <c r="W61" s="7"/>
      <c r="X61" s="7"/>
      <c r="Y61" s="7"/>
      <c r="Z61" s="7"/>
      <c r="AA61" s="7"/>
      <c r="AB61" s="7"/>
    </row>
    <row r="62" spans="1:28" ht="17.25" hidden="1" thickBot="1" x14ac:dyDescent="0.35">
      <c r="A62" s="2" t="s">
        <v>2</v>
      </c>
      <c r="B62" s="2"/>
      <c r="C62" s="2"/>
      <c r="D62" s="2"/>
      <c r="E62" s="1"/>
      <c r="F62" s="1"/>
      <c r="G62" s="15"/>
      <c r="H62" s="15"/>
      <c r="I62" s="16"/>
      <c r="J62" s="15"/>
      <c r="K62" s="15"/>
      <c r="L62" s="7"/>
      <c r="M62" s="18"/>
      <c r="N62" s="15"/>
      <c r="O62" s="15"/>
      <c r="P62" s="16"/>
      <c r="Q62" s="15"/>
      <c r="R62" s="15"/>
      <c r="S62" s="7"/>
      <c r="T62" s="18"/>
      <c r="U62" s="7"/>
      <c r="V62" s="7"/>
      <c r="W62" s="7"/>
      <c r="X62" s="7"/>
      <c r="Y62" s="7"/>
      <c r="Z62" s="7"/>
      <c r="AA62" s="7"/>
      <c r="AB62" s="7"/>
    </row>
    <row r="63" spans="1:28" ht="17.25" thickTop="1" x14ac:dyDescent="0.3">
      <c r="A63" s="2"/>
      <c r="B63" s="2"/>
      <c r="C63" s="2"/>
      <c r="D63" s="2"/>
      <c r="E63" s="1"/>
      <c r="F63" s="1"/>
      <c r="G63" s="15"/>
      <c r="H63" s="22">
        <f>SUBTOTAL(9,H59:H62)</f>
        <v>4678066.7300000004</v>
      </c>
      <c r="I63" s="22">
        <f>SUBTOTAL(9,I59:I62)</f>
        <v>4140134.5</v>
      </c>
      <c r="J63" s="22">
        <f>I63-H63</f>
        <v>-537932.23000000045</v>
      </c>
      <c r="K63" s="21">
        <f>IFERROR(J63/H63,"")</f>
        <v>-0.11499028574139224</v>
      </c>
      <c r="L63" s="7"/>
      <c r="M63" s="18"/>
      <c r="N63" s="15"/>
      <c r="O63" s="31">
        <f>SUBTOTAL(9,O59:O62)</f>
        <v>9636338.2300000004</v>
      </c>
      <c r="P63" s="31">
        <f>SUBTOTAL(9,P59:P62)</f>
        <v>8613517.0199999996</v>
      </c>
      <c r="Q63" s="31">
        <f>P63-O63</f>
        <v>-1022821.2100000009</v>
      </c>
      <c r="R63" s="21">
        <f>IFERROR(Q63/O63,"")</f>
        <v>-0.10614210352390266</v>
      </c>
      <c r="S63" s="7"/>
      <c r="T63" s="18"/>
      <c r="U63" s="7"/>
      <c r="V63" s="7"/>
      <c r="W63" s="7"/>
      <c r="X63" s="7"/>
      <c r="Y63" s="7"/>
      <c r="Z63" s="7"/>
      <c r="AA63" s="7"/>
      <c r="AB63" s="7"/>
    </row>
    <row r="64" spans="1:28" ht="16.5" x14ac:dyDescent="0.3">
      <c r="G64" s="7"/>
      <c r="H64" s="7"/>
      <c r="I64" s="7"/>
      <c r="J64" s="7"/>
      <c r="K64" s="7"/>
      <c r="L64" s="7"/>
      <c r="M64" s="7"/>
      <c r="N64" s="7"/>
      <c r="O64" s="7"/>
      <c r="P64" s="7"/>
      <c r="Q64" s="7"/>
      <c r="R64" s="7"/>
      <c r="S64" s="7"/>
      <c r="T64" s="7"/>
      <c r="U64" s="7"/>
      <c r="V64" s="7"/>
      <c r="W64" s="7"/>
      <c r="X64" s="7"/>
      <c r="Y64" s="7"/>
      <c r="Z64" s="7"/>
      <c r="AA64" s="7"/>
      <c r="AB64" s="7"/>
    </row>
    <row r="65" spans="1:28" ht="16.5" x14ac:dyDescent="0.3">
      <c r="G65" s="49" t="s">
        <v>21</v>
      </c>
      <c r="H65" s="63" t="s">
        <v>19</v>
      </c>
      <c r="I65" s="63"/>
      <c r="J65" s="63"/>
      <c r="K65" s="63"/>
      <c r="L65" s="7"/>
      <c r="M65" s="7"/>
      <c r="N65" s="50" t="s">
        <v>21</v>
      </c>
      <c r="O65" s="64" t="s">
        <v>18</v>
      </c>
      <c r="P65" s="64"/>
      <c r="Q65" s="64"/>
      <c r="R65" s="64"/>
      <c r="S65" s="7"/>
      <c r="T65" s="7"/>
      <c r="U65" s="7"/>
      <c r="V65" s="7"/>
      <c r="W65" s="7"/>
      <c r="X65" s="7"/>
      <c r="Y65" s="7"/>
      <c r="Z65" s="7"/>
      <c r="AA65" s="7"/>
      <c r="AB65" s="7"/>
    </row>
    <row r="66" spans="1:28" ht="16.5" x14ac:dyDescent="0.3">
      <c r="G66" s="51"/>
      <c r="H66" s="52" t="s">
        <v>7</v>
      </c>
      <c r="I66" s="52" t="s">
        <v>8</v>
      </c>
      <c r="J66" s="52" t="s">
        <v>9</v>
      </c>
      <c r="K66" s="52" t="s">
        <v>10</v>
      </c>
      <c r="L66" s="7"/>
      <c r="M66" s="7"/>
      <c r="N66" s="53"/>
      <c r="O66" s="43" t="s">
        <v>7</v>
      </c>
      <c r="P66" s="43" t="s">
        <v>8</v>
      </c>
      <c r="Q66" s="43" t="s">
        <v>9</v>
      </c>
      <c r="R66" s="43" t="s">
        <v>10</v>
      </c>
      <c r="S66" s="7"/>
      <c r="T66" s="7"/>
      <c r="U66" s="7"/>
      <c r="V66" s="7"/>
      <c r="W66" s="7"/>
      <c r="X66" s="7"/>
      <c r="Y66" s="7"/>
      <c r="Z66" s="7"/>
      <c r="AA66" s="7"/>
      <c r="AB66" s="7"/>
    </row>
    <row r="67" spans="1:28" ht="16.5" x14ac:dyDescent="0.3">
      <c r="E67" s="1" t="str">
        <f>"""NAV Direct"",""CRONUS JetCorp USA"",""15"",""1"",""44100"""</f>
        <v>"NAV Direct","CRONUS JetCorp USA","15","1","44100"</v>
      </c>
      <c r="F67" s="1"/>
      <c r="G67" s="15" t="str">
        <f>"Sales, Retail - North America"</f>
        <v>Sales, Retail - North America</v>
      </c>
      <c r="H67" s="16">
        <f>SUMIF($G21:$G45,G67,C21:C45)</f>
        <v>10033798.530000001</v>
      </c>
      <c r="I67" s="16">
        <f>SUMIF($G21:$G45,G67,D21:D45)</f>
        <v>8890579.7800000012</v>
      </c>
      <c r="J67" s="16">
        <f>I67-H67</f>
        <v>-1143218.75</v>
      </c>
      <c r="K67" s="21">
        <f>IFERROR(J67/H67,"")</f>
        <v>-0.11393678541400809</v>
      </c>
      <c r="L67" s="7"/>
      <c r="M67" s="18" t="str">
        <f>E67</f>
        <v>"NAV Direct","CRONUS JetCorp USA","15","1","44100"</v>
      </c>
      <c r="N67" s="15" t="str">
        <f>"Sales, Retail - North America"</f>
        <v>Sales, Retail - North America</v>
      </c>
      <c r="O67" s="16">
        <f>SUMIF($G21:$G55,N67,C21:C55)</f>
        <v>14029431.48</v>
      </c>
      <c r="P67" s="16">
        <f>SUMIF($G19:G55,N67:N70,D19:D55)</f>
        <v>12739241.98</v>
      </c>
      <c r="Q67" s="16">
        <f>P67-O67</f>
        <v>-1290189.5</v>
      </c>
      <c r="R67" s="21">
        <f>IFERROR(Q67/O67,"")</f>
        <v>-9.1963063637985704E-2</v>
      </c>
      <c r="S67" s="7"/>
      <c r="T67" s="7"/>
      <c r="U67" s="7"/>
      <c r="V67" s="7"/>
      <c r="W67" s="7"/>
      <c r="X67" s="7"/>
      <c r="Y67" s="7"/>
      <c r="Z67" s="7"/>
      <c r="AA67" s="7"/>
      <c r="AB67" s="7"/>
    </row>
    <row r="68" spans="1:28" ht="16.5" x14ac:dyDescent="0.3">
      <c r="A68" t="s">
        <v>279</v>
      </c>
      <c r="E68" s="1" t="str">
        <f>"""NAV Direct"",""CRONUS JetCorp USA"",""15"",""1"",""44200"""</f>
        <v>"NAV Direct","CRONUS JetCorp USA","15","1","44200"</v>
      </c>
      <c r="F68" s="1"/>
      <c r="G68" s="15" t="str">
        <f>"Sales, Retail - EU"</f>
        <v>Sales, Retail - EU</v>
      </c>
      <c r="H68" s="16">
        <f>SUMIF($G22:$G46,G68,C22:C46)</f>
        <v>4823949.49</v>
      </c>
      <c r="I68" s="16">
        <f>SUMIF($G22:$G46,G68,D22:D46)</f>
        <v>4252858.6400000006</v>
      </c>
      <c r="J68" s="16">
        <f>I68-H68</f>
        <v>-571090.84999999963</v>
      </c>
      <c r="K68" s="21">
        <f>IFERROR(J68/H68,"")</f>
        <v>-0.11838657332210159</v>
      </c>
      <c r="L68" s="7"/>
      <c r="M68" s="18" t="str">
        <f>E68</f>
        <v>"NAV Direct","CRONUS JetCorp USA","15","1","44200"</v>
      </c>
      <c r="N68" s="15" t="str">
        <f>"Sales, Retail - EU"</f>
        <v>Sales, Retail - EU</v>
      </c>
      <c r="O68" s="16">
        <f>SUMIF($G22:$G56,N68,C22:C56)</f>
        <v>6613311.5</v>
      </c>
      <c r="P68" s="16">
        <f>SUMIF($G20:G56,N68:N71,D20:D56)</f>
        <v>5969794.6100000013</v>
      </c>
      <c r="Q68" s="16">
        <f>P68-O68</f>
        <v>-643516.88999999873</v>
      </c>
      <c r="R68" s="21">
        <f>IFERROR(Q68/O68,"")</f>
        <v>-9.7306302598932276E-2</v>
      </c>
      <c r="S68" s="7"/>
      <c r="T68" s="7"/>
      <c r="U68" s="7"/>
      <c r="V68" s="7"/>
      <c r="W68" s="7"/>
      <c r="X68" s="7"/>
      <c r="Y68" s="7"/>
      <c r="Z68" s="7"/>
      <c r="AA68" s="7"/>
      <c r="AB68" s="7"/>
    </row>
    <row r="69" spans="1:28" ht="17.25" thickBot="1" x14ac:dyDescent="0.35">
      <c r="A69" t="s">
        <v>279</v>
      </c>
      <c r="E69" s="1" t="str">
        <f>"""NAV Direct"",""CRONUS JetCorp USA"",""15"",""1"",""44300"""</f>
        <v>"NAV Direct","CRONUS JetCorp USA","15","1","44300"</v>
      </c>
      <c r="F69" s="1"/>
      <c r="G69" s="15" t="str">
        <f>"Sales, Retail - Other"</f>
        <v>Sales, Retail - Other</v>
      </c>
      <c r="H69" s="16">
        <f>SUMIF($G23:$G47,G69,C23:C47)</f>
        <v>0</v>
      </c>
      <c r="I69" s="16">
        <f>SUMIF($G23:$G47,G69,D23:D47)</f>
        <v>0</v>
      </c>
      <c r="J69" s="16">
        <f>I69-H69</f>
        <v>0</v>
      </c>
      <c r="K69" s="21" t="str">
        <f>IFERROR(J69/H69,"")</f>
        <v/>
      </c>
      <c r="L69" s="7"/>
      <c r="M69" s="18" t="str">
        <f>E69</f>
        <v>"NAV Direct","CRONUS JetCorp USA","15","1","44300"</v>
      </c>
      <c r="N69" s="15" t="str">
        <f>"Sales, Retail - Other"</f>
        <v>Sales, Retail - Other</v>
      </c>
      <c r="O69" s="16">
        <f>SUMIF($G23:$G57,N69,C23:C57)</f>
        <v>0</v>
      </c>
      <c r="P69" s="16">
        <f>SUMIF($G21:G57,N69:N72,D21:D57)</f>
        <v>0</v>
      </c>
      <c r="Q69" s="16">
        <f>P69-O69</f>
        <v>0</v>
      </c>
      <c r="R69" s="21" t="str">
        <f>IFERROR(Q69/O69,"")</f>
        <v/>
      </c>
      <c r="S69" s="7"/>
      <c r="T69" s="7"/>
      <c r="U69" s="7"/>
      <c r="V69" s="7"/>
      <c r="W69" s="7"/>
      <c r="X69" s="7"/>
      <c r="Y69" s="7"/>
      <c r="Z69" s="7"/>
      <c r="AA69" s="7"/>
      <c r="AB69" s="7"/>
    </row>
    <row r="70" spans="1:28" ht="17.25" hidden="1" thickBot="1" x14ac:dyDescent="0.35">
      <c r="A70" s="2" t="s">
        <v>2</v>
      </c>
      <c r="G70" s="15"/>
      <c r="H70" s="15"/>
      <c r="I70" s="16"/>
      <c r="J70" s="15"/>
      <c r="K70" s="15"/>
      <c r="L70" s="7"/>
      <c r="M70" s="18"/>
      <c r="N70" s="15"/>
      <c r="O70" s="15"/>
      <c r="P70" s="16"/>
      <c r="Q70" s="15"/>
      <c r="R70" s="15"/>
      <c r="S70" s="7"/>
      <c r="T70" s="7"/>
      <c r="U70" s="7"/>
      <c r="V70" s="7"/>
      <c r="W70" s="7"/>
      <c r="X70" s="7"/>
      <c r="Y70" s="7"/>
      <c r="Z70" s="7"/>
      <c r="AA70" s="7"/>
      <c r="AB70" s="7"/>
    </row>
    <row r="71" spans="1:28" ht="17.25" thickTop="1" x14ac:dyDescent="0.3">
      <c r="G71" s="15"/>
      <c r="H71" s="40">
        <f>SUBTOTAL(9,H67:H70)</f>
        <v>14857748.020000001</v>
      </c>
      <c r="I71" s="40">
        <f>SUBTOTAL(9,I67:I70)</f>
        <v>13143438.420000002</v>
      </c>
      <c r="J71" s="40">
        <f>I71-H71</f>
        <v>-1714309.5999999996</v>
      </c>
      <c r="K71" s="21">
        <f>IFERROR(J71/H71,"")</f>
        <v>-0.11538152334340096</v>
      </c>
      <c r="L71" s="7"/>
      <c r="M71" s="18"/>
      <c r="N71" s="15"/>
      <c r="O71" s="45">
        <f>SUBTOTAL(9,O67:O70)</f>
        <v>20642742.98</v>
      </c>
      <c r="P71" s="45">
        <f>SUBTOTAL(9,P67:P70)</f>
        <v>18709036.590000004</v>
      </c>
      <c r="Q71" s="45">
        <f>P71-O71</f>
        <v>-1933706.3899999969</v>
      </c>
      <c r="R71" s="21">
        <f>IFERROR(Q71/O71,"")</f>
        <v>-9.3674876050798786E-2</v>
      </c>
      <c r="S71" s="7"/>
      <c r="T71" s="7"/>
      <c r="U71" s="7"/>
      <c r="V71" s="7"/>
      <c r="W71" s="7"/>
      <c r="X71" s="7"/>
      <c r="Y71" s="7"/>
      <c r="Z71" s="7"/>
      <c r="AA71" s="7"/>
      <c r="AB71" s="7"/>
    </row>
  </sheetData>
  <mergeCells count="22">
    <mergeCell ref="G11:W11"/>
    <mergeCell ref="G12:W12"/>
    <mergeCell ref="AA49:AB49"/>
    <mergeCell ref="H57:K57"/>
    <mergeCell ref="O57:R57"/>
    <mergeCell ref="H49:K49"/>
    <mergeCell ref="O49:R49"/>
    <mergeCell ref="V49:Y49"/>
    <mergeCell ref="H65:K65"/>
    <mergeCell ref="O65:R65"/>
    <mergeCell ref="AA19:AB19"/>
    <mergeCell ref="AA29:AB29"/>
    <mergeCell ref="AA39:AB39"/>
    <mergeCell ref="H29:K29"/>
    <mergeCell ref="O29:R29"/>
    <mergeCell ref="V29:Y29"/>
    <mergeCell ref="O19:R19"/>
    <mergeCell ref="V19:Y19"/>
    <mergeCell ref="H19:K19"/>
    <mergeCell ref="H39:K39"/>
    <mergeCell ref="O39:R39"/>
    <mergeCell ref="V39:Y39"/>
  </mergeCells>
  <conditionalFormatting sqref="K21">
    <cfRule type="iconSet" priority="6690">
      <iconSet>
        <cfvo type="percent" val="0"/>
        <cfvo type="num" val="-0.01"/>
        <cfvo type="num" val="0" gte="0"/>
      </iconSet>
    </cfRule>
  </conditionalFormatting>
  <conditionalFormatting sqref="K22:K23">
    <cfRule type="iconSet" priority="17">
      <iconSet>
        <cfvo type="percent" val="0"/>
        <cfvo type="num" val="-0.01"/>
        <cfvo type="num" val="0" gte="0"/>
      </iconSet>
    </cfRule>
  </conditionalFormatting>
  <conditionalFormatting sqref="K25">
    <cfRule type="iconSet" priority="1154">
      <iconSet>
        <cfvo type="percent" val="0"/>
        <cfvo type="num" val="-0.01"/>
        <cfvo type="num" val="0" gte="0"/>
      </iconSet>
    </cfRule>
  </conditionalFormatting>
  <conditionalFormatting sqref="K31">
    <cfRule type="iconSet" priority="6694">
      <iconSet>
        <cfvo type="percent" val="0"/>
        <cfvo type="num" val="-0.01"/>
        <cfvo type="num" val="0" gte="0"/>
      </iconSet>
    </cfRule>
  </conditionalFormatting>
  <conditionalFormatting sqref="K32:K33">
    <cfRule type="iconSet" priority="13">
      <iconSet>
        <cfvo type="percent" val="0"/>
        <cfvo type="num" val="-0.01"/>
        <cfvo type="num" val="0" gte="0"/>
      </iconSet>
    </cfRule>
  </conditionalFormatting>
  <conditionalFormatting sqref="K35:K36">
    <cfRule type="iconSet" priority="1145">
      <iconSet>
        <cfvo type="percent" val="0"/>
        <cfvo type="num" val="-0.01"/>
        <cfvo type="num" val="0" gte="0"/>
      </iconSet>
    </cfRule>
  </conditionalFormatting>
  <conditionalFormatting sqref="K41">
    <cfRule type="iconSet" priority="6698">
      <iconSet>
        <cfvo type="percent" val="0"/>
        <cfvo type="num" val="-0.01"/>
        <cfvo type="num" val="0" gte="0"/>
      </iconSet>
    </cfRule>
  </conditionalFormatting>
  <conditionalFormatting sqref="K42:K43">
    <cfRule type="iconSet" priority="9">
      <iconSet>
        <cfvo type="percent" val="0"/>
        <cfvo type="num" val="-0.01"/>
        <cfvo type="num" val="0" gte="0"/>
      </iconSet>
    </cfRule>
  </conditionalFormatting>
  <conditionalFormatting sqref="K45">
    <cfRule type="iconSet" priority="1139">
      <iconSet>
        <cfvo type="percent" val="0"/>
        <cfvo type="num" val="-0.01"/>
        <cfvo type="num" val="0" gte="0"/>
      </iconSet>
    </cfRule>
  </conditionalFormatting>
  <conditionalFormatting sqref="K51">
    <cfRule type="iconSet" priority="6702">
      <iconSet>
        <cfvo type="percent" val="0"/>
        <cfvo type="num" val="-0.01"/>
        <cfvo type="num" val="0" gte="0"/>
      </iconSet>
    </cfRule>
  </conditionalFormatting>
  <conditionalFormatting sqref="K52:K53">
    <cfRule type="iconSet" priority="5">
      <iconSet>
        <cfvo type="percent" val="0"/>
        <cfvo type="num" val="-0.01"/>
        <cfvo type="num" val="0" gte="0"/>
      </iconSet>
    </cfRule>
  </conditionalFormatting>
  <conditionalFormatting sqref="K55">
    <cfRule type="iconSet" priority="1133">
      <iconSet>
        <cfvo type="percent" val="0"/>
        <cfvo type="num" val="-0.01"/>
        <cfvo type="num" val="0" gte="0"/>
      </iconSet>
    </cfRule>
  </conditionalFormatting>
  <conditionalFormatting sqref="K59">
    <cfRule type="iconSet" priority="6706">
      <iconSet>
        <cfvo type="percent" val="0"/>
        <cfvo type="num" val="-0.01"/>
        <cfvo type="num" val="0" gte="0"/>
      </iconSet>
    </cfRule>
  </conditionalFormatting>
  <conditionalFormatting sqref="K60:K61">
    <cfRule type="iconSet" priority="3">
      <iconSet>
        <cfvo type="percent" val="0"/>
        <cfvo type="num" val="-0.01"/>
        <cfvo type="num" val="0" gte="0"/>
      </iconSet>
    </cfRule>
  </conditionalFormatting>
  <conditionalFormatting sqref="K63">
    <cfRule type="iconSet" priority="1100">
      <iconSet>
        <cfvo type="percent" val="0"/>
        <cfvo type="num" val="-0.01"/>
        <cfvo type="num" val="0" gte="0"/>
      </iconSet>
    </cfRule>
  </conditionalFormatting>
  <conditionalFormatting sqref="K67">
    <cfRule type="iconSet" priority="6708">
      <iconSet>
        <cfvo type="percent" val="0"/>
        <cfvo type="num" val="-0.01"/>
        <cfvo type="num" val="0" gte="0"/>
      </iconSet>
    </cfRule>
  </conditionalFormatting>
  <conditionalFormatting sqref="K68:K69">
    <cfRule type="iconSet" priority="1">
      <iconSet>
        <cfvo type="percent" val="0"/>
        <cfvo type="num" val="-0.01"/>
        <cfvo type="num" val="0" gte="0"/>
      </iconSet>
    </cfRule>
  </conditionalFormatting>
  <conditionalFormatting sqref="K71">
    <cfRule type="iconSet" priority="1082">
      <iconSet>
        <cfvo type="percent" val="0"/>
        <cfvo type="num" val="-0.01"/>
        <cfvo type="num" val="0" gte="0"/>
      </iconSet>
    </cfRule>
  </conditionalFormatting>
  <conditionalFormatting sqref="R21">
    <cfRule type="iconSet" priority="6693">
      <iconSet>
        <cfvo type="percent" val="0"/>
        <cfvo type="num" val="-0.01"/>
        <cfvo type="num" val="0" gte="0"/>
      </iconSet>
    </cfRule>
  </conditionalFormatting>
  <conditionalFormatting sqref="R22:R23">
    <cfRule type="iconSet" priority="20">
      <iconSet>
        <cfvo type="percent" val="0"/>
        <cfvo type="num" val="-0.01"/>
        <cfvo type="num" val="0" gte="0"/>
      </iconSet>
    </cfRule>
  </conditionalFormatting>
  <conditionalFormatting sqref="R25">
    <cfRule type="iconSet" priority="1151">
      <iconSet>
        <cfvo type="percent" val="0"/>
        <cfvo type="num" val="-0.01"/>
        <cfvo type="num" val="0" gte="0"/>
      </iconSet>
    </cfRule>
  </conditionalFormatting>
  <conditionalFormatting sqref="R31">
    <cfRule type="iconSet" priority="6695">
      <iconSet>
        <cfvo type="percent" val="0"/>
        <cfvo type="num" val="-0.01"/>
        <cfvo type="num" val="0" gte="0"/>
      </iconSet>
    </cfRule>
  </conditionalFormatting>
  <conditionalFormatting sqref="R32:R33">
    <cfRule type="iconSet" priority="14">
      <iconSet>
        <cfvo type="percent" val="0"/>
        <cfvo type="num" val="-0.01"/>
        <cfvo type="num" val="0" gte="0"/>
      </iconSet>
    </cfRule>
  </conditionalFormatting>
  <conditionalFormatting sqref="R35:R36">
    <cfRule type="iconSet" priority="1143">
      <iconSet>
        <cfvo type="percent" val="0"/>
        <cfvo type="num" val="-0.01"/>
        <cfvo type="num" val="0" gte="0"/>
      </iconSet>
    </cfRule>
  </conditionalFormatting>
  <conditionalFormatting sqref="R41">
    <cfRule type="iconSet" priority="6699">
      <iconSet>
        <cfvo type="percent" val="0"/>
        <cfvo type="num" val="-0.01"/>
        <cfvo type="num" val="0" gte="0"/>
      </iconSet>
    </cfRule>
  </conditionalFormatting>
  <conditionalFormatting sqref="R42:R43">
    <cfRule type="iconSet" priority="10">
      <iconSet>
        <cfvo type="percent" val="0"/>
        <cfvo type="num" val="-0.01"/>
        <cfvo type="num" val="0" gte="0"/>
      </iconSet>
    </cfRule>
  </conditionalFormatting>
  <conditionalFormatting sqref="R45">
    <cfRule type="iconSet" priority="1137">
      <iconSet>
        <cfvo type="percent" val="0"/>
        <cfvo type="num" val="-0.01"/>
        <cfvo type="num" val="0" gte="0"/>
      </iconSet>
    </cfRule>
  </conditionalFormatting>
  <conditionalFormatting sqref="R51">
    <cfRule type="iconSet" priority="6703">
      <iconSet>
        <cfvo type="percent" val="0"/>
        <cfvo type="num" val="-0.01"/>
        <cfvo type="num" val="0" gte="0"/>
      </iconSet>
    </cfRule>
  </conditionalFormatting>
  <conditionalFormatting sqref="R52:R53">
    <cfRule type="iconSet" priority="6">
      <iconSet>
        <cfvo type="percent" val="0"/>
        <cfvo type="num" val="-0.01"/>
        <cfvo type="num" val="0" gte="0"/>
      </iconSet>
    </cfRule>
  </conditionalFormatting>
  <conditionalFormatting sqref="R55">
    <cfRule type="iconSet" priority="1131">
      <iconSet>
        <cfvo type="percent" val="0"/>
        <cfvo type="num" val="-0.01"/>
        <cfvo type="num" val="0" gte="0"/>
      </iconSet>
    </cfRule>
  </conditionalFormatting>
  <conditionalFormatting sqref="R59">
    <cfRule type="iconSet" priority="6707">
      <iconSet>
        <cfvo type="percent" val="0"/>
        <cfvo type="num" val="-0.01"/>
        <cfvo type="num" val="0" gte="0"/>
      </iconSet>
    </cfRule>
  </conditionalFormatting>
  <conditionalFormatting sqref="R60:R61">
    <cfRule type="iconSet" priority="4">
      <iconSet>
        <cfvo type="percent" val="0"/>
        <cfvo type="num" val="-0.01"/>
        <cfvo type="num" val="0" gte="0"/>
      </iconSet>
    </cfRule>
  </conditionalFormatting>
  <conditionalFormatting sqref="R63">
    <cfRule type="iconSet" priority="1099">
      <iconSet>
        <cfvo type="percent" val="0"/>
        <cfvo type="num" val="-0.01"/>
        <cfvo type="num" val="0" gte="0"/>
      </iconSet>
    </cfRule>
  </conditionalFormatting>
  <conditionalFormatting sqref="R67">
    <cfRule type="iconSet" priority="6709">
      <iconSet>
        <cfvo type="percent" val="0"/>
        <cfvo type="num" val="-0.01"/>
        <cfvo type="num" val="0" gte="0"/>
      </iconSet>
    </cfRule>
  </conditionalFormatting>
  <conditionalFormatting sqref="R68:R69">
    <cfRule type="iconSet" priority="2">
      <iconSet>
        <cfvo type="percent" val="0"/>
        <cfvo type="num" val="-0.01"/>
        <cfvo type="num" val="0" gte="0"/>
      </iconSet>
    </cfRule>
  </conditionalFormatting>
  <conditionalFormatting sqref="R71">
    <cfRule type="iconSet" priority="1081">
      <iconSet>
        <cfvo type="percent" val="0"/>
        <cfvo type="num" val="-0.01"/>
        <cfvo type="num" val="0" gte="0"/>
      </iconSet>
    </cfRule>
  </conditionalFormatting>
  <conditionalFormatting sqref="Y21">
    <cfRule type="iconSet" priority="6691">
      <iconSet>
        <cfvo type="percent" val="0"/>
        <cfvo type="num" val="-0.01"/>
        <cfvo type="num" val="0" gte="0"/>
      </iconSet>
    </cfRule>
  </conditionalFormatting>
  <conditionalFormatting sqref="Y22:Y23">
    <cfRule type="iconSet" priority="18">
      <iconSet>
        <cfvo type="percent" val="0"/>
        <cfvo type="num" val="-0.01"/>
        <cfvo type="num" val="0" gte="0"/>
      </iconSet>
    </cfRule>
  </conditionalFormatting>
  <conditionalFormatting sqref="Y25">
    <cfRule type="iconSet" priority="1149">
      <iconSet>
        <cfvo type="percent" val="0"/>
        <cfvo type="num" val="-0.01"/>
        <cfvo type="num" val="0" gte="0"/>
      </iconSet>
    </cfRule>
  </conditionalFormatting>
  <conditionalFormatting sqref="Y31">
    <cfRule type="iconSet" priority="6696">
      <iconSet>
        <cfvo type="percent" val="0"/>
        <cfvo type="num" val="-0.01"/>
        <cfvo type="num" val="0" gte="0"/>
      </iconSet>
    </cfRule>
  </conditionalFormatting>
  <conditionalFormatting sqref="Y32:Y33">
    <cfRule type="iconSet" priority="15">
      <iconSet>
        <cfvo type="percent" val="0"/>
        <cfvo type="num" val="-0.01"/>
        <cfvo type="num" val="0" gte="0"/>
      </iconSet>
    </cfRule>
  </conditionalFormatting>
  <conditionalFormatting sqref="Y35:Y36">
    <cfRule type="iconSet" priority="1141">
      <iconSet>
        <cfvo type="percent" val="0"/>
        <cfvo type="num" val="-0.01"/>
        <cfvo type="num" val="0" gte="0"/>
      </iconSet>
    </cfRule>
  </conditionalFormatting>
  <conditionalFormatting sqref="Y41">
    <cfRule type="iconSet" priority="6700">
      <iconSet>
        <cfvo type="percent" val="0"/>
        <cfvo type="num" val="-0.01"/>
        <cfvo type="num" val="0" gte="0"/>
      </iconSet>
    </cfRule>
  </conditionalFormatting>
  <conditionalFormatting sqref="Y42:Y43">
    <cfRule type="iconSet" priority="11">
      <iconSet>
        <cfvo type="percent" val="0"/>
        <cfvo type="num" val="-0.01"/>
        <cfvo type="num" val="0" gte="0"/>
      </iconSet>
    </cfRule>
  </conditionalFormatting>
  <conditionalFormatting sqref="Y45">
    <cfRule type="iconSet" priority="1135">
      <iconSet>
        <cfvo type="percent" val="0"/>
        <cfvo type="num" val="-0.01"/>
        <cfvo type="num" val="0" gte="0"/>
      </iconSet>
    </cfRule>
  </conditionalFormatting>
  <conditionalFormatting sqref="Y51">
    <cfRule type="iconSet" priority="6704">
      <iconSet>
        <cfvo type="percent" val="0"/>
        <cfvo type="num" val="-0.01"/>
        <cfvo type="num" val="0" gte="0"/>
      </iconSet>
    </cfRule>
  </conditionalFormatting>
  <conditionalFormatting sqref="Y52:Y53">
    <cfRule type="iconSet" priority="7">
      <iconSet>
        <cfvo type="percent" val="0"/>
        <cfvo type="num" val="-0.01"/>
        <cfvo type="num" val="0" gte="0"/>
      </iconSet>
    </cfRule>
  </conditionalFormatting>
  <conditionalFormatting sqref="Y55">
    <cfRule type="iconSet" priority="1129">
      <iconSet>
        <cfvo type="percent" val="0"/>
        <cfvo type="num" val="-0.01"/>
        <cfvo type="num" val="0" gte="0"/>
      </iconSet>
    </cfRule>
  </conditionalFormatting>
  <conditionalFormatting sqref="AA19">
    <cfRule type="iconSet" priority="1122">
      <iconSet>
        <cfvo type="percent" val="0"/>
        <cfvo type="num" val="-0.01"/>
        <cfvo type="num" val="0" gte="0"/>
      </iconSet>
    </cfRule>
  </conditionalFormatting>
  <conditionalFormatting sqref="AA29">
    <cfRule type="iconSet" priority="1117">
      <iconSet>
        <cfvo type="percent" val="0"/>
        <cfvo type="num" val="-0.01"/>
        <cfvo type="num" val="0" gte="0"/>
      </iconSet>
    </cfRule>
  </conditionalFormatting>
  <conditionalFormatting sqref="AA39">
    <cfRule type="iconSet" priority="1114">
      <iconSet>
        <cfvo type="percent" val="0"/>
        <cfvo type="num" val="-0.01"/>
        <cfvo type="num" val="0" gte="0"/>
      </iconSet>
    </cfRule>
  </conditionalFormatting>
  <conditionalFormatting sqref="AA49">
    <cfRule type="iconSet" priority="1111">
      <iconSet>
        <cfvo type="percent" val="0"/>
        <cfvo type="num" val="-0.01"/>
        <cfvo type="num" val="0" gte="0"/>
      </iconSet>
    </cfRule>
  </conditionalFormatting>
  <conditionalFormatting sqref="AB21">
    <cfRule type="iconSet" priority="6692">
      <iconSet>
        <cfvo type="percent" val="0"/>
        <cfvo type="num" val="-0.01"/>
        <cfvo type="num" val="0" gte="0"/>
      </iconSet>
    </cfRule>
  </conditionalFormatting>
  <conditionalFormatting sqref="AB22:AB23">
    <cfRule type="iconSet" priority="19">
      <iconSet>
        <cfvo type="percent" val="0"/>
        <cfvo type="num" val="-0.01"/>
        <cfvo type="num" val="0" gte="0"/>
      </iconSet>
    </cfRule>
  </conditionalFormatting>
  <conditionalFormatting sqref="AB24">
    <cfRule type="iconSet" priority="984">
      <iconSet>
        <cfvo type="percent" val="0"/>
        <cfvo type="num" val="-0.01"/>
        <cfvo type="num" val="0" gte="0"/>
      </iconSet>
    </cfRule>
  </conditionalFormatting>
  <conditionalFormatting sqref="AB25">
    <cfRule type="iconSet" priority="1124">
      <iconSet>
        <cfvo type="percent" val="0"/>
        <cfvo type="num" val="-0.01"/>
        <cfvo type="num" val="0" gte="0"/>
      </iconSet>
    </cfRule>
  </conditionalFormatting>
  <conditionalFormatting sqref="AB31">
    <cfRule type="iconSet" priority="6697">
      <iconSet>
        <cfvo type="percent" val="0"/>
        <cfvo type="num" val="-0.01"/>
        <cfvo type="num" val="0" gte="0"/>
      </iconSet>
    </cfRule>
  </conditionalFormatting>
  <conditionalFormatting sqref="AB32:AB33">
    <cfRule type="iconSet" priority="16">
      <iconSet>
        <cfvo type="percent" val="0"/>
        <cfvo type="num" val="-0.01"/>
        <cfvo type="num" val="0" gte="0"/>
      </iconSet>
    </cfRule>
  </conditionalFormatting>
  <conditionalFormatting sqref="AB34">
    <cfRule type="iconSet" priority="958">
      <iconSet>
        <cfvo type="percent" val="0"/>
        <cfvo type="num" val="-0.01"/>
        <cfvo type="num" val="0" gte="0"/>
      </iconSet>
    </cfRule>
  </conditionalFormatting>
  <conditionalFormatting sqref="AB35:AB36">
    <cfRule type="iconSet" priority="1118">
      <iconSet>
        <cfvo type="percent" val="0"/>
        <cfvo type="num" val="-0.01"/>
        <cfvo type="num" val="0" gte="0"/>
      </iconSet>
    </cfRule>
  </conditionalFormatting>
  <conditionalFormatting sqref="AB41">
    <cfRule type="iconSet" priority="6701">
      <iconSet>
        <cfvo type="percent" val="0"/>
        <cfvo type="num" val="-0.01"/>
        <cfvo type="num" val="0" gte="0"/>
      </iconSet>
    </cfRule>
  </conditionalFormatting>
  <conditionalFormatting sqref="AB42:AB43">
    <cfRule type="iconSet" priority="12">
      <iconSet>
        <cfvo type="percent" val="0"/>
        <cfvo type="num" val="-0.01"/>
        <cfvo type="num" val="0" gte="0"/>
      </iconSet>
    </cfRule>
  </conditionalFormatting>
  <conditionalFormatting sqref="AB45">
    <cfRule type="iconSet" priority="1115">
      <iconSet>
        <cfvo type="percent" val="0"/>
        <cfvo type="num" val="-0.01"/>
        <cfvo type="num" val="0" gte="0"/>
      </iconSet>
    </cfRule>
  </conditionalFormatting>
  <conditionalFormatting sqref="AB51">
    <cfRule type="iconSet" priority="6705">
      <iconSet>
        <cfvo type="percent" val="0"/>
        <cfvo type="num" val="-0.01"/>
        <cfvo type="num" val="0" gte="0"/>
      </iconSet>
    </cfRule>
  </conditionalFormatting>
  <conditionalFormatting sqref="AB52:AB53">
    <cfRule type="iconSet" priority="8">
      <iconSet>
        <cfvo type="percent" val="0"/>
        <cfvo type="num" val="-0.01"/>
        <cfvo type="num" val="0" gte="0"/>
      </iconSet>
    </cfRule>
  </conditionalFormatting>
  <conditionalFormatting sqref="AB55">
    <cfRule type="iconSet" priority="1112">
      <iconSet>
        <cfvo type="percent" val="0"/>
        <cfvo type="num" val="-0.01"/>
        <cfvo type="num" val="0" gte="0"/>
      </iconSet>
    </cfRule>
  </conditionalFormatting>
  <pageMargins left="0.41" right="0.16" top="0.28999999999999998" bottom="0.3" header="0.3" footer="0.3"/>
  <pageSetup scale="62" orientation="landscape" horizontalDpi="300" verticalDpi="3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59"/>
  <sheetViews>
    <sheetView workbookViewId="0"/>
  </sheetViews>
  <sheetFormatPr defaultRowHeight="15" x14ac:dyDescent="0.25"/>
  <sheetData>
    <row r="1" spans="1:28" x14ac:dyDescent="0.25">
      <c r="A1" s="62" t="s">
        <v>278</v>
      </c>
      <c r="B1" s="62" t="s">
        <v>2</v>
      </c>
      <c r="C1" s="62" t="s">
        <v>2</v>
      </c>
      <c r="D1" s="62" t="s">
        <v>2</v>
      </c>
      <c r="E1" s="62" t="s">
        <v>2</v>
      </c>
      <c r="G1" s="62" t="s">
        <v>5</v>
      </c>
      <c r="H1" s="62" t="s">
        <v>13</v>
      </c>
      <c r="I1" s="62" t="s">
        <v>5</v>
      </c>
      <c r="J1" s="62" t="s">
        <v>5</v>
      </c>
      <c r="K1" s="62" t="s">
        <v>5</v>
      </c>
      <c r="M1" s="62" t="s">
        <v>2</v>
      </c>
      <c r="N1" s="62" t="s">
        <v>5</v>
      </c>
      <c r="O1" s="62" t="s">
        <v>13</v>
      </c>
      <c r="P1" s="62" t="s">
        <v>5</v>
      </c>
      <c r="Q1" s="62" t="s">
        <v>5</v>
      </c>
      <c r="R1" s="62" t="s">
        <v>5</v>
      </c>
      <c r="T1" s="62" t="s">
        <v>2</v>
      </c>
      <c r="U1" s="62" t="s">
        <v>5</v>
      </c>
      <c r="V1" s="62" t="s">
        <v>13</v>
      </c>
      <c r="W1" s="62" t="s">
        <v>5</v>
      </c>
      <c r="X1" s="62" t="s">
        <v>5</v>
      </c>
      <c r="Y1" s="62" t="s">
        <v>5</v>
      </c>
      <c r="AA1" s="62" t="s">
        <v>5</v>
      </c>
      <c r="AB1" s="62" t="s">
        <v>5</v>
      </c>
    </row>
    <row r="2" spans="1:28" x14ac:dyDescent="0.25">
      <c r="A2" s="62" t="s">
        <v>2</v>
      </c>
      <c r="G2" s="62" t="s">
        <v>28</v>
      </c>
      <c r="N2" s="62" t="s">
        <v>28</v>
      </c>
      <c r="U2" s="62" t="s">
        <v>28</v>
      </c>
    </row>
    <row r="3" spans="1:28" x14ac:dyDescent="0.25">
      <c r="A3" s="62" t="s">
        <v>2</v>
      </c>
      <c r="B3" s="62" t="s">
        <v>14</v>
      </c>
      <c r="C3" s="62" t="s">
        <v>30</v>
      </c>
    </row>
    <row r="4" spans="1:28" x14ac:dyDescent="0.25">
      <c r="A4" s="62" t="s">
        <v>2</v>
      </c>
      <c r="B4" s="62" t="s">
        <v>22</v>
      </c>
      <c r="C4" s="62" t="s">
        <v>31</v>
      </c>
    </row>
    <row r="5" spans="1:28" x14ac:dyDescent="0.25">
      <c r="A5" s="62" t="s">
        <v>2</v>
      </c>
      <c r="B5" s="62" t="s">
        <v>6</v>
      </c>
      <c r="C5" s="62" t="s">
        <v>32</v>
      </c>
    </row>
    <row r="6" spans="1:28" x14ac:dyDescent="0.25">
      <c r="A6" s="62" t="s">
        <v>2</v>
      </c>
      <c r="B6" s="62" t="s">
        <v>11</v>
      </c>
      <c r="C6" s="62" t="s">
        <v>33</v>
      </c>
    </row>
    <row r="7" spans="1:28" x14ac:dyDescent="0.25">
      <c r="A7" s="62" t="s">
        <v>2</v>
      </c>
      <c r="B7" s="62" t="s">
        <v>15</v>
      </c>
      <c r="C7" s="62" t="s">
        <v>34</v>
      </c>
    </row>
    <row r="8" spans="1:28" x14ac:dyDescent="0.25">
      <c r="A8" s="62" t="s">
        <v>2</v>
      </c>
      <c r="B8" s="62" t="s">
        <v>12</v>
      </c>
      <c r="C8" s="62" t="s">
        <v>35</v>
      </c>
    </row>
    <row r="9" spans="1:28" x14ac:dyDescent="0.25">
      <c r="C9" s="62" t="s">
        <v>36</v>
      </c>
    </row>
    <row r="11" spans="1:28" x14ac:dyDescent="0.25">
      <c r="G11" s="62" t="s">
        <v>24</v>
      </c>
      <c r="Y11" s="62" t="s">
        <v>26</v>
      </c>
    </row>
    <row r="12" spans="1:28" x14ac:dyDescent="0.25">
      <c r="G12" s="62" t="s">
        <v>25</v>
      </c>
      <c r="Y12" s="62" t="s">
        <v>27</v>
      </c>
      <c r="AA12" s="62" t="s">
        <v>36</v>
      </c>
    </row>
    <row r="17" spans="1:28" x14ac:dyDescent="0.25">
      <c r="A17" s="62" t="s">
        <v>2</v>
      </c>
      <c r="G17" s="62" t="s">
        <v>16</v>
      </c>
      <c r="H17" s="62" t="s">
        <v>37</v>
      </c>
      <c r="I17" s="62" t="s">
        <v>38</v>
      </c>
      <c r="J17" s="62" t="s">
        <v>39</v>
      </c>
      <c r="N17" s="62" t="s">
        <v>16</v>
      </c>
      <c r="O17" s="62" t="s">
        <v>40</v>
      </c>
      <c r="P17" s="62" t="s">
        <v>41</v>
      </c>
      <c r="Q17" s="62" t="s">
        <v>42</v>
      </c>
      <c r="U17" s="62" t="s">
        <v>16</v>
      </c>
      <c r="V17" s="62" t="s">
        <v>43</v>
      </c>
      <c r="W17" s="62" t="s">
        <v>44</v>
      </c>
      <c r="X17" s="62" t="s">
        <v>45</v>
      </c>
    </row>
    <row r="18" spans="1:28" x14ac:dyDescent="0.25">
      <c r="A18" s="62" t="s">
        <v>2</v>
      </c>
      <c r="G18" s="62" t="s">
        <v>3</v>
      </c>
      <c r="H18" s="62" t="s">
        <v>46</v>
      </c>
      <c r="J18" s="62" t="s">
        <v>47</v>
      </c>
      <c r="N18" s="62" t="s">
        <v>3</v>
      </c>
      <c r="O18" s="62" t="s">
        <v>48</v>
      </c>
      <c r="Q18" s="62" t="s">
        <v>49</v>
      </c>
      <c r="U18" s="62" t="s">
        <v>3</v>
      </c>
      <c r="V18" s="62" t="s">
        <v>50</v>
      </c>
      <c r="X18" s="62" t="s">
        <v>51</v>
      </c>
    </row>
    <row r="19" spans="1:28" x14ac:dyDescent="0.25">
      <c r="A19" s="62" t="s">
        <v>13</v>
      </c>
      <c r="H19" s="62" t="s">
        <v>52</v>
      </c>
      <c r="O19" s="62" t="s">
        <v>53</v>
      </c>
      <c r="V19" s="62" t="s">
        <v>54</v>
      </c>
      <c r="AA19" s="62" t="s">
        <v>17</v>
      </c>
    </row>
    <row r="20" spans="1:28" x14ac:dyDescent="0.25">
      <c r="H20" s="62" t="s">
        <v>7</v>
      </c>
      <c r="I20" s="62" t="s">
        <v>8</v>
      </c>
      <c r="J20" s="62" t="s">
        <v>9</v>
      </c>
      <c r="K20" s="62" t="s">
        <v>10</v>
      </c>
      <c r="O20" s="62" t="s">
        <v>7</v>
      </c>
      <c r="P20" s="62" t="s">
        <v>8</v>
      </c>
      <c r="Q20" s="62" t="s">
        <v>9</v>
      </c>
      <c r="R20" s="62" t="s">
        <v>10</v>
      </c>
      <c r="V20" s="62" t="s">
        <v>7</v>
      </c>
      <c r="W20" s="62" t="s">
        <v>8</v>
      </c>
      <c r="X20" s="62" t="s">
        <v>9</v>
      </c>
      <c r="Y20" s="62" t="s">
        <v>10</v>
      </c>
      <c r="AA20" s="62" t="s">
        <v>9</v>
      </c>
      <c r="AB20" s="62" t="s">
        <v>10</v>
      </c>
    </row>
    <row r="21" spans="1:28" x14ac:dyDescent="0.25">
      <c r="C21" s="62" t="s">
        <v>55</v>
      </c>
      <c r="D21" s="62" t="s">
        <v>56</v>
      </c>
      <c r="E21" s="62" t="s">
        <v>57</v>
      </c>
      <c r="G21" s="62" t="s">
        <v>58</v>
      </c>
      <c r="H21" s="62" t="s">
        <v>59</v>
      </c>
      <c r="I21" s="62" t="s">
        <v>60</v>
      </c>
      <c r="J21" s="62" t="s">
        <v>61</v>
      </c>
      <c r="K21" s="62" t="s">
        <v>62</v>
      </c>
      <c r="M21" s="62" t="s">
        <v>63</v>
      </c>
      <c r="N21" s="62" t="s">
        <v>58</v>
      </c>
      <c r="O21" s="62" t="s">
        <v>64</v>
      </c>
      <c r="P21" s="62" t="s">
        <v>65</v>
      </c>
      <c r="Q21" s="62" t="s">
        <v>66</v>
      </c>
      <c r="R21" s="62" t="s">
        <v>67</v>
      </c>
      <c r="T21" s="62" t="s">
        <v>63</v>
      </c>
      <c r="U21" s="62" t="s">
        <v>58</v>
      </c>
      <c r="V21" s="62" t="s">
        <v>68</v>
      </c>
      <c r="W21" s="62" t="s">
        <v>69</v>
      </c>
      <c r="X21" s="62" t="s">
        <v>70</v>
      </c>
      <c r="Y21" s="62" t="s">
        <v>71</v>
      </c>
      <c r="AA21" s="62" t="s">
        <v>72</v>
      </c>
      <c r="AB21" s="62" t="s">
        <v>73</v>
      </c>
    </row>
    <row r="22" spans="1:28" x14ac:dyDescent="0.25">
      <c r="A22" s="62" t="s">
        <v>2</v>
      </c>
    </row>
    <row r="23" spans="1:28" x14ac:dyDescent="0.25">
      <c r="C23" s="62" t="s">
        <v>74</v>
      </c>
      <c r="H23" s="62" t="s">
        <v>75</v>
      </c>
      <c r="I23" s="62" t="s">
        <v>76</v>
      </c>
      <c r="J23" s="62" t="s">
        <v>77</v>
      </c>
      <c r="K23" s="62" t="s">
        <v>78</v>
      </c>
      <c r="O23" s="62" t="s">
        <v>79</v>
      </c>
      <c r="P23" s="62" t="s">
        <v>80</v>
      </c>
      <c r="Q23" s="62" t="s">
        <v>81</v>
      </c>
      <c r="R23" s="62" t="s">
        <v>82</v>
      </c>
      <c r="V23" s="62" t="s">
        <v>83</v>
      </c>
      <c r="W23" s="62" t="s">
        <v>84</v>
      </c>
      <c r="X23" s="62" t="s">
        <v>85</v>
      </c>
      <c r="Y23" s="62" t="s">
        <v>86</v>
      </c>
      <c r="AA23" s="62" t="s">
        <v>87</v>
      </c>
      <c r="AB23" s="62" t="s">
        <v>88</v>
      </c>
    </row>
    <row r="25" spans="1:28" x14ac:dyDescent="0.25">
      <c r="A25" s="62" t="s">
        <v>2</v>
      </c>
      <c r="G25" s="62" t="s">
        <v>16</v>
      </c>
      <c r="H25" s="62" t="s">
        <v>89</v>
      </c>
      <c r="I25" s="62" t="s">
        <v>90</v>
      </c>
      <c r="J25" s="62" t="s">
        <v>91</v>
      </c>
      <c r="N25" s="62" t="s">
        <v>16</v>
      </c>
      <c r="O25" s="62" t="s">
        <v>92</v>
      </c>
      <c r="P25" s="62" t="s">
        <v>93</v>
      </c>
      <c r="Q25" s="62" t="s">
        <v>94</v>
      </c>
      <c r="U25" s="62" t="s">
        <v>16</v>
      </c>
      <c r="V25" s="62" t="s">
        <v>95</v>
      </c>
      <c r="W25" s="62" t="s">
        <v>96</v>
      </c>
      <c r="X25" s="62" t="s">
        <v>97</v>
      </c>
    </row>
    <row r="26" spans="1:28" x14ac:dyDescent="0.25">
      <c r="A26" s="62" t="s">
        <v>2</v>
      </c>
      <c r="G26" s="62" t="s">
        <v>3</v>
      </c>
      <c r="H26" s="62" t="s">
        <v>98</v>
      </c>
      <c r="J26" s="62" t="s">
        <v>99</v>
      </c>
      <c r="N26" s="62" t="s">
        <v>3</v>
      </c>
      <c r="O26" s="62" t="s">
        <v>100</v>
      </c>
      <c r="Q26" s="62" t="s">
        <v>101</v>
      </c>
      <c r="U26" s="62" t="s">
        <v>3</v>
      </c>
      <c r="V26" s="62" t="s">
        <v>102</v>
      </c>
      <c r="X26" s="62" t="s">
        <v>103</v>
      </c>
    </row>
    <row r="27" spans="1:28" x14ac:dyDescent="0.25">
      <c r="H27" s="62" t="s">
        <v>104</v>
      </c>
      <c r="O27" s="62" t="s">
        <v>105</v>
      </c>
      <c r="V27" s="62" t="s">
        <v>106</v>
      </c>
      <c r="AA27" s="62" t="s">
        <v>20</v>
      </c>
    </row>
    <row r="28" spans="1:28" x14ac:dyDescent="0.25">
      <c r="H28" s="62" t="s">
        <v>7</v>
      </c>
      <c r="I28" s="62" t="s">
        <v>8</v>
      </c>
      <c r="J28" s="62" t="s">
        <v>9</v>
      </c>
      <c r="K28" s="62" t="s">
        <v>10</v>
      </c>
      <c r="O28" s="62" t="s">
        <v>7</v>
      </c>
      <c r="P28" s="62" t="s">
        <v>8</v>
      </c>
      <c r="Q28" s="62" t="s">
        <v>9</v>
      </c>
      <c r="R28" s="62" t="s">
        <v>10</v>
      </c>
      <c r="V28" s="62" t="s">
        <v>7</v>
      </c>
      <c r="W28" s="62" t="s">
        <v>8</v>
      </c>
      <c r="X28" s="62" t="s">
        <v>9</v>
      </c>
      <c r="Y28" s="62" t="s">
        <v>10</v>
      </c>
      <c r="AA28" s="62" t="s">
        <v>9</v>
      </c>
      <c r="AB28" s="62" t="s">
        <v>10</v>
      </c>
    </row>
    <row r="29" spans="1:28" x14ac:dyDescent="0.25">
      <c r="C29" s="62" t="s">
        <v>107</v>
      </c>
      <c r="D29" s="62" t="s">
        <v>108</v>
      </c>
      <c r="E29" s="62" t="s">
        <v>57</v>
      </c>
      <c r="G29" s="62" t="s">
        <v>109</v>
      </c>
      <c r="H29" s="62" t="s">
        <v>110</v>
      </c>
      <c r="I29" s="62" t="s">
        <v>111</v>
      </c>
      <c r="J29" s="62" t="s">
        <v>112</v>
      </c>
      <c r="K29" s="62" t="s">
        <v>113</v>
      </c>
      <c r="M29" s="62" t="s">
        <v>114</v>
      </c>
      <c r="N29" s="62" t="s">
        <v>109</v>
      </c>
      <c r="O29" s="62" t="s">
        <v>115</v>
      </c>
      <c r="P29" s="62" t="s">
        <v>116</v>
      </c>
      <c r="Q29" s="62" t="s">
        <v>117</v>
      </c>
      <c r="R29" s="62" t="s">
        <v>118</v>
      </c>
      <c r="T29" s="62" t="s">
        <v>114</v>
      </c>
      <c r="U29" s="62" t="s">
        <v>109</v>
      </c>
      <c r="V29" s="62" t="s">
        <v>119</v>
      </c>
      <c r="W29" s="62" t="s">
        <v>120</v>
      </c>
      <c r="X29" s="62" t="s">
        <v>121</v>
      </c>
      <c r="Y29" s="62" t="s">
        <v>122</v>
      </c>
      <c r="AA29" s="62" t="s">
        <v>123</v>
      </c>
      <c r="AB29" s="62" t="s">
        <v>124</v>
      </c>
    </row>
    <row r="30" spans="1:28" x14ac:dyDescent="0.25">
      <c r="A30" s="62" t="s">
        <v>2</v>
      </c>
    </row>
    <row r="31" spans="1:28" x14ac:dyDescent="0.25">
      <c r="C31" s="62" t="s">
        <v>125</v>
      </c>
      <c r="H31" s="62" t="s">
        <v>126</v>
      </c>
      <c r="I31" s="62" t="s">
        <v>127</v>
      </c>
      <c r="J31" s="62" t="s">
        <v>128</v>
      </c>
      <c r="K31" s="62" t="s">
        <v>129</v>
      </c>
      <c r="O31" s="62" t="s">
        <v>130</v>
      </c>
      <c r="P31" s="62" t="s">
        <v>131</v>
      </c>
      <c r="Q31" s="62" t="s">
        <v>132</v>
      </c>
      <c r="R31" s="62" t="s">
        <v>133</v>
      </c>
      <c r="V31" s="62" t="s">
        <v>134</v>
      </c>
      <c r="W31" s="62" t="s">
        <v>135</v>
      </c>
      <c r="X31" s="62" t="s">
        <v>136</v>
      </c>
      <c r="Y31" s="62" t="s">
        <v>137</v>
      </c>
      <c r="AA31" s="62" t="s">
        <v>138</v>
      </c>
      <c r="AB31" s="62" t="s">
        <v>139</v>
      </c>
    </row>
    <row r="33" spans="1:28" x14ac:dyDescent="0.25">
      <c r="A33" s="62" t="s">
        <v>2</v>
      </c>
      <c r="G33" s="62" t="s">
        <v>16</v>
      </c>
      <c r="H33" s="62" t="s">
        <v>140</v>
      </c>
      <c r="I33" s="62" t="s">
        <v>141</v>
      </c>
      <c r="J33" s="62" t="s">
        <v>142</v>
      </c>
      <c r="N33" s="62" t="s">
        <v>16</v>
      </c>
      <c r="O33" s="62" t="s">
        <v>143</v>
      </c>
      <c r="P33" s="62" t="s">
        <v>144</v>
      </c>
      <c r="Q33" s="62" t="s">
        <v>145</v>
      </c>
      <c r="U33" s="62" t="s">
        <v>16</v>
      </c>
      <c r="V33" s="62" t="s">
        <v>146</v>
      </c>
      <c r="W33" s="62" t="s">
        <v>147</v>
      </c>
      <c r="X33" s="62" t="s">
        <v>148</v>
      </c>
    </row>
    <row r="34" spans="1:28" x14ac:dyDescent="0.25">
      <c r="A34" s="62" t="s">
        <v>2</v>
      </c>
      <c r="G34" s="62" t="s">
        <v>3</v>
      </c>
      <c r="H34" s="62" t="s">
        <v>149</v>
      </c>
      <c r="J34" s="62" t="s">
        <v>150</v>
      </c>
      <c r="N34" s="62" t="s">
        <v>3</v>
      </c>
      <c r="O34" s="62" t="s">
        <v>151</v>
      </c>
      <c r="Q34" s="62" t="s">
        <v>152</v>
      </c>
      <c r="U34" s="62" t="s">
        <v>3</v>
      </c>
      <c r="V34" s="62" t="s">
        <v>153</v>
      </c>
      <c r="X34" s="62" t="s">
        <v>154</v>
      </c>
    </row>
    <row r="35" spans="1:28" x14ac:dyDescent="0.25">
      <c r="H35" s="62" t="s">
        <v>155</v>
      </c>
      <c r="O35" s="62" t="s">
        <v>156</v>
      </c>
      <c r="V35" s="62" t="s">
        <v>157</v>
      </c>
      <c r="AA35" s="62" t="s">
        <v>19</v>
      </c>
    </row>
    <row r="36" spans="1:28" x14ac:dyDescent="0.25">
      <c r="H36" s="62" t="s">
        <v>7</v>
      </c>
      <c r="I36" s="62" t="s">
        <v>8</v>
      </c>
      <c r="J36" s="62" t="s">
        <v>9</v>
      </c>
      <c r="K36" s="62" t="s">
        <v>10</v>
      </c>
      <c r="O36" s="62" t="s">
        <v>7</v>
      </c>
      <c r="P36" s="62" t="s">
        <v>8</v>
      </c>
      <c r="Q36" s="62" t="s">
        <v>9</v>
      </c>
      <c r="R36" s="62" t="s">
        <v>10</v>
      </c>
      <c r="V36" s="62" t="s">
        <v>7</v>
      </c>
      <c r="W36" s="62" t="s">
        <v>8</v>
      </c>
      <c r="X36" s="62" t="s">
        <v>9</v>
      </c>
      <c r="Y36" s="62" t="s">
        <v>10</v>
      </c>
      <c r="AA36" s="62" t="s">
        <v>9</v>
      </c>
      <c r="AB36" s="62" t="s">
        <v>10</v>
      </c>
    </row>
    <row r="37" spans="1:28" x14ac:dyDescent="0.25">
      <c r="C37" s="62" t="s">
        <v>158</v>
      </c>
      <c r="D37" s="62" t="s">
        <v>159</v>
      </c>
      <c r="E37" s="62" t="s">
        <v>57</v>
      </c>
      <c r="G37" s="62" t="s">
        <v>160</v>
      </c>
      <c r="H37" s="62" t="s">
        <v>161</v>
      </c>
      <c r="I37" s="62" t="s">
        <v>162</v>
      </c>
      <c r="J37" s="62" t="s">
        <v>163</v>
      </c>
      <c r="K37" s="62" t="s">
        <v>164</v>
      </c>
      <c r="M37" s="62" t="s">
        <v>165</v>
      </c>
      <c r="N37" s="62" t="s">
        <v>160</v>
      </c>
      <c r="O37" s="62" t="s">
        <v>166</v>
      </c>
      <c r="P37" s="62" t="s">
        <v>167</v>
      </c>
      <c r="Q37" s="62" t="s">
        <v>168</v>
      </c>
      <c r="R37" s="62" t="s">
        <v>169</v>
      </c>
      <c r="T37" s="62" t="s">
        <v>165</v>
      </c>
      <c r="U37" s="62" t="s">
        <v>160</v>
      </c>
      <c r="V37" s="62" t="s">
        <v>170</v>
      </c>
      <c r="W37" s="62" t="s">
        <v>171</v>
      </c>
      <c r="X37" s="62" t="s">
        <v>172</v>
      </c>
      <c r="Y37" s="62" t="s">
        <v>173</v>
      </c>
      <c r="AA37" s="62" t="s">
        <v>174</v>
      </c>
      <c r="AB37" s="62" t="s">
        <v>175</v>
      </c>
    </row>
    <row r="38" spans="1:28" x14ac:dyDescent="0.25">
      <c r="A38" s="62" t="s">
        <v>2</v>
      </c>
    </row>
    <row r="39" spans="1:28" x14ac:dyDescent="0.25">
      <c r="C39" s="62" t="s">
        <v>176</v>
      </c>
      <c r="H39" s="62" t="s">
        <v>177</v>
      </c>
      <c r="I39" s="62" t="s">
        <v>178</v>
      </c>
      <c r="J39" s="62" t="s">
        <v>179</v>
      </c>
      <c r="K39" s="62" t="s">
        <v>180</v>
      </c>
      <c r="O39" s="62" t="s">
        <v>181</v>
      </c>
      <c r="P39" s="62" t="s">
        <v>182</v>
      </c>
      <c r="Q39" s="62" t="s">
        <v>183</v>
      </c>
      <c r="R39" s="62" t="s">
        <v>184</v>
      </c>
      <c r="V39" s="62" t="s">
        <v>185</v>
      </c>
      <c r="W39" s="62" t="s">
        <v>186</v>
      </c>
      <c r="X39" s="62" t="s">
        <v>187</v>
      </c>
      <c r="Y39" s="62" t="s">
        <v>188</v>
      </c>
      <c r="AA39" s="62" t="s">
        <v>189</v>
      </c>
      <c r="AB39" s="62" t="s">
        <v>190</v>
      </c>
    </row>
    <row r="41" spans="1:28" x14ac:dyDescent="0.25">
      <c r="A41" s="62" t="s">
        <v>2</v>
      </c>
      <c r="G41" s="62" t="s">
        <v>16</v>
      </c>
      <c r="H41" s="62" t="s">
        <v>191</v>
      </c>
      <c r="I41" s="62" t="s">
        <v>192</v>
      </c>
      <c r="J41" s="62" t="s">
        <v>193</v>
      </c>
      <c r="N41" s="62" t="s">
        <v>16</v>
      </c>
      <c r="O41" s="62" t="s">
        <v>194</v>
      </c>
      <c r="P41" s="62" t="s">
        <v>195</v>
      </c>
      <c r="Q41" s="62" t="s">
        <v>196</v>
      </c>
      <c r="U41" s="62" t="s">
        <v>16</v>
      </c>
      <c r="V41" s="62" t="s">
        <v>197</v>
      </c>
      <c r="W41" s="62" t="s">
        <v>198</v>
      </c>
      <c r="X41" s="62" t="s">
        <v>199</v>
      </c>
    </row>
    <row r="42" spans="1:28" x14ac:dyDescent="0.25">
      <c r="A42" s="62" t="s">
        <v>2</v>
      </c>
      <c r="G42" s="62" t="s">
        <v>3</v>
      </c>
      <c r="H42" s="62" t="s">
        <v>200</v>
      </c>
      <c r="J42" s="62" t="s">
        <v>201</v>
      </c>
      <c r="N42" s="62" t="s">
        <v>3</v>
      </c>
      <c r="O42" s="62" t="s">
        <v>202</v>
      </c>
      <c r="Q42" s="62" t="s">
        <v>203</v>
      </c>
      <c r="U42" s="62" t="s">
        <v>3</v>
      </c>
      <c r="V42" s="62" t="s">
        <v>204</v>
      </c>
      <c r="X42" s="62" t="s">
        <v>205</v>
      </c>
    </row>
    <row r="43" spans="1:28" x14ac:dyDescent="0.25">
      <c r="H43" s="62" t="s">
        <v>206</v>
      </c>
      <c r="O43" s="62" t="s">
        <v>207</v>
      </c>
      <c r="V43" s="62" t="s">
        <v>208</v>
      </c>
      <c r="AA43" s="62" t="s">
        <v>18</v>
      </c>
    </row>
    <row r="44" spans="1:28" x14ac:dyDescent="0.25">
      <c r="H44" s="62" t="s">
        <v>7</v>
      </c>
      <c r="I44" s="62" t="s">
        <v>8</v>
      </c>
      <c r="J44" s="62" t="s">
        <v>9</v>
      </c>
      <c r="K44" s="62" t="s">
        <v>10</v>
      </c>
      <c r="O44" s="62" t="s">
        <v>7</v>
      </c>
      <c r="P44" s="62" t="s">
        <v>8</v>
      </c>
      <c r="Q44" s="62" t="s">
        <v>9</v>
      </c>
      <c r="R44" s="62" t="s">
        <v>10</v>
      </c>
      <c r="V44" s="62" t="s">
        <v>7</v>
      </c>
      <c r="W44" s="62" t="s">
        <v>8</v>
      </c>
      <c r="X44" s="62" t="s">
        <v>9</v>
      </c>
      <c r="Y44" s="62" t="s">
        <v>10</v>
      </c>
      <c r="AA44" s="62" t="s">
        <v>9</v>
      </c>
      <c r="AB44" s="62" t="s">
        <v>10</v>
      </c>
    </row>
    <row r="45" spans="1:28" x14ac:dyDescent="0.25">
      <c r="C45" s="62" t="s">
        <v>209</v>
      </c>
      <c r="D45" s="62" t="s">
        <v>210</v>
      </c>
      <c r="E45" s="62" t="s">
        <v>57</v>
      </c>
      <c r="G45" s="62" t="s">
        <v>211</v>
      </c>
      <c r="H45" s="62" t="s">
        <v>212</v>
      </c>
      <c r="I45" s="62" t="s">
        <v>213</v>
      </c>
      <c r="J45" s="62" t="s">
        <v>214</v>
      </c>
      <c r="K45" s="62" t="s">
        <v>215</v>
      </c>
      <c r="M45" s="62" t="s">
        <v>216</v>
      </c>
      <c r="N45" s="62" t="s">
        <v>211</v>
      </c>
      <c r="O45" s="62" t="s">
        <v>217</v>
      </c>
      <c r="P45" s="62" t="s">
        <v>218</v>
      </c>
      <c r="Q45" s="62" t="s">
        <v>219</v>
      </c>
      <c r="R45" s="62" t="s">
        <v>220</v>
      </c>
      <c r="T45" s="62" t="s">
        <v>216</v>
      </c>
      <c r="U45" s="62" t="s">
        <v>211</v>
      </c>
      <c r="V45" s="62" t="s">
        <v>221</v>
      </c>
      <c r="W45" s="62" t="s">
        <v>222</v>
      </c>
      <c r="X45" s="62" t="s">
        <v>223</v>
      </c>
      <c r="Y45" s="62" t="s">
        <v>224</v>
      </c>
      <c r="AA45" s="62" t="s">
        <v>225</v>
      </c>
      <c r="AB45" s="62" t="s">
        <v>226</v>
      </c>
    </row>
    <row r="46" spans="1:28" x14ac:dyDescent="0.25">
      <c r="A46" s="62" t="s">
        <v>2</v>
      </c>
    </row>
    <row r="47" spans="1:28" x14ac:dyDescent="0.25">
      <c r="C47" s="62" t="s">
        <v>227</v>
      </c>
      <c r="H47" s="62" t="s">
        <v>228</v>
      </c>
      <c r="I47" s="62" t="s">
        <v>229</v>
      </c>
      <c r="J47" s="62" t="s">
        <v>230</v>
      </c>
      <c r="K47" s="62" t="s">
        <v>231</v>
      </c>
      <c r="O47" s="62" t="s">
        <v>232</v>
      </c>
      <c r="P47" s="62" t="s">
        <v>233</v>
      </c>
      <c r="Q47" s="62" t="s">
        <v>234</v>
      </c>
      <c r="R47" s="62" t="s">
        <v>235</v>
      </c>
      <c r="V47" s="62" t="s">
        <v>236</v>
      </c>
      <c r="W47" s="62" t="s">
        <v>237</v>
      </c>
      <c r="X47" s="62" t="s">
        <v>238</v>
      </c>
      <c r="Y47" s="62" t="s">
        <v>239</v>
      </c>
      <c r="AA47" s="62" t="s">
        <v>240</v>
      </c>
      <c r="AB47" s="62" t="s">
        <v>241</v>
      </c>
    </row>
    <row r="49" spans="1:18" x14ac:dyDescent="0.25">
      <c r="A49" s="62" t="s">
        <v>13</v>
      </c>
      <c r="G49" s="62" t="s">
        <v>21</v>
      </c>
      <c r="H49" s="62" t="s">
        <v>17</v>
      </c>
      <c r="N49" s="62" t="s">
        <v>21</v>
      </c>
      <c r="O49" s="62" t="s">
        <v>20</v>
      </c>
    </row>
    <row r="50" spans="1:18" x14ac:dyDescent="0.25">
      <c r="H50" s="62" t="s">
        <v>7</v>
      </c>
      <c r="I50" s="62" t="s">
        <v>8</v>
      </c>
      <c r="J50" s="62" t="s">
        <v>9</v>
      </c>
      <c r="K50" s="62" t="s">
        <v>10</v>
      </c>
      <c r="O50" s="62" t="s">
        <v>7</v>
      </c>
      <c r="P50" s="62" t="s">
        <v>8</v>
      </c>
      <c r="Q50" s="62" t="s">
        <v>9</v>
      </c>
      <c r="R50" s="62" t="s">
        <v>10</v>
      </c>
    </row>
    <row r="51" spans="1:18" x14ac:dyDescent="0.25">
      <c r="E51" s="62" t="s">
        <v>57</v>
      </c>
      <c r="G51" s="62" t="s">
        <v>242</v>
      </c>
      <c r="H51" s="62" t="s">
        <v>243</v>
      </c>
      <c r="I51" s="62" t="s">
        <v>244</v>
      </c>
      <c r="J51" s="62" t="s">
        <v>245</v>
      </c>
      <c r="K51" s="62" t="s">
        <v>246</v>
      </c>
      <c r="M51" s="62" t="s">
        <v>247</v>
      </c>
      <c r="N51" s="62" t="s">
        <v>242</v>
      </c>
      <c r="O51" s="62" t="s">
        <v>248</v>
      </c>
      <c r="P51" s="62" t="s">
        <v>249</v>
      </c>
      <c r="Q51" s="62" t="s">
        <v>250</v>
      </c>
      <c r="R51" s="62" t="s">
        <v>251</v>
      </c>
    </row>
    <row r="52" spans="1:18" x14ac:dyDescent="0.25">
      <c r="A52" s="62" t="s">
        <v>2</v>
      </c>
    </row>
    <row r="53" spans="1:18" x14ac:dyDescent="0.25">
      <c r="H53" s="62" t="s">
        <v>252</v>
      </c>
      <c r="I53" s="62" t="s">
        <v>253</v>
      </c>
      <c r="J53" s="62" t="s">
        <v>254</v>
      </c>
      <c r="K53" s="62" t="s">
        <v>255</v>
      </c>
      <c r="O53" s="62" t="s">
        <v>256</v>
      </c>
      <c r="P53" s="62" t="s">
        <v>257</v>
      </c>
      <c r="Q53" s="62" t="s">
        <v>258</v>
      </c>
      <c r="R53" s="62" t="s">
        <v>259</v>
      </c>
    </row>
    <row r="55" spans="1:18" x14ac:dyDescent="0.25">
      <c r="G55" s="62" t="s">
        <v>21</v>
      </c>
      <c r="H55" s="62" t="s">
        <v>19</v>
      </c>
      <c r="N55" s="62" t="s">
        <v>21</v>
      </c>
      <c r="O55" s="62" t="s">
        <v>18</v>
      </c>
    </row>
    <row r="56" spans="1:18" x14ac:dyDescent="0.25">
      <c r="H56" s="62" t="s">
        <v>7</v>
      </c>
      <c r="I56" s="62" t="s">
        <v>8</v>
      </c>
      <c r="J56" s="62" t="s">
        <v>9</v>
      </c>
      <c r="K56" s="62" t="s">
        <v>10</v>
      </c>
      <c r="O56" s="62" t="s">
        <v>7</v>
      </c>
      <c r="P56" s="62" t="s">
        <v>8</v>
      </c>
      <c r="Q56" s="62" t="s">
        <v>9</v>
      </c>
      <c r="R56" s="62" t="s">
        <v>10</v>
      </c>
    </row>
    <row r="57" spans="1:18" x14ac:dyDescent="0.25">
      <c r="E57" s="62" t="s">
        <v>57</v>
      </c>
      <c r="G57" s="62" t="s">
        <v>260</v>
      </c>
      <c r="H57" s="62" t="s">
        <v>261</v>
      </c>
      <c r="I57" s="62" t="s">
        <v>262</v>
      </c>
      <c r="J57" s="62" t="s">
        <v>263</v>
      </c>
      <c r="K57" s="62" t="s">
        <v>264</v>
      </c>
      <c r="M57" s="62" t="s">
        <v>265</v>
      </c>
      <c r="N57" s="62" t="s">
        <v>260</v>
      </c>
      <c r="O57" s="62" t="s">
        <v>266</v>
      </c>
      <c r="P57" s="62" t="s">
        <v>267</v>
      </c>
      <c r="Q57" s="62" t="s">
        <v>268</v>
      </c>
      <c r="R57" s="62" t="s">
        <v>269</v>
      </c>
    </row>
    <row r="58" spans="1:18" x14ac:dyDescent="0.25">
      <c r="A58" s="62" t="s">
        <v>2</v>
      </c>
    </row>
    <row r="59" spans="1:18" x14ac:dyDescent="0.25">
      <c r="H59" s="62" t="s">
        <v>270</v>
      </c>
      <c r="I59" s="62" t="s">
        <v>271</v>
      </c>
      <c r="J59" s="62" t="s">
        <v>272</v>
      </c>
      <c r="K59" s="62" t="s">
        <v>273</v>
      </c>
      <c r="O59" s="62" t="s">
        <v>274</v>
      </c>
      <c r="P59" s="62" t="s">
        <v>275</v>
      </c>
      <c r="Q59" s="62" t="s">
        <v>276</v>
      </c>
      <c r="R59" s="62" t="s">
        <v>277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B59"/>
  <sheetViews>
    <sheetView workbookViewId="0"/>
  </sheetViews>
  <sheetFormatPr defaultRowHeight="15" x14ac:dyDescent="0.25"/>
  <sheetData>
    <row r="1" spans="1:28" x14ac:dyDescent="0.25">
      <c r="A1" s="62" t="s">
        <v>278</v>
      </c>
      <c r="B1" s="62" t="s">
        <v>2</v>
      </c>
      <c r="C1" s="62" t="s">
        <v>2</v>
      </c>
      <c r="D1" s="62" t="s">
        <v>2</v>
      </c>
      <c r="E1" s="62" t="s">
        <v>2</v>
      </c>
      <c r="G1" s="62" t="s">
        <v>5</v>
      </c>
      <c r="H1" s="62" t="s">
        <v>13</v>
      </c>
      <c r="I1" s="62" t="s">
        <v>5</v>
      </c>
      <c r="J1" s="62" t="s">
        <v>5</v>
      </c>
      <c r="K1" s="62" t="s">
        <v>5</v>
      </c>
      <c r="M1" s="62" t="s">
        <v>2</v>
      </c>
      <c r="N1" s="62" t="s">
        <v>5</v>
      </c>
      <c r="O1" s="62" t="s">
        <v>13</v>
      </c>
      <c r="P1" s="62" t="s">
        <v>5</v>
      </c>
      <c r="Q1" s="62" t="s">
        <v>5</v>
      </c>
      <c r="R1" s="62" t="s">
        <v>5</v>
      </c>
      <c r="T1" s="62" t="s">
        <v>2</v>
      </c>
      <c r="U1" s="62" t="s">
        <v>5</v>
      </c>
      <c r="V1" s="62" t="s">
        <v>13</v>
      </c>
      <c r="W1" s="62" t="s">
        <v>5</v>
      </c>
      <c r="X1" s="62" t="s">
        <v>5</v>
      </c>
      <c r="Y1" s="62" t="s">
        <v>5</v>
      </c>
      <c r="AA1" s="62" t="s">
        <v>5</v>
      </c>
      <c r="AB1" s="62" t="s">
        <v>5</v>
      </c>
    </row>
    <row r="2" spans="1:28" x14ac:dyDescent="0.25">
      <c r="A2" s="62" t="s">
        <v>2</v>
      </c>
      <c r="G2" s="62" t="s">
        <v>28</v>
      </c>
      <c r="N2" s="62" t="s">
        <v>28</v>
      </c>
      <c r="U2" s="62" t="s">
        <v>28</v>
      </c>
    </row>
    <row r="3" spans="1:28" x14ac:dyDescent="0.25">
      <c r="A3" s="62" t="s">
        <v>2</v>
      </c>
      <c r="B3" s="62" t="s">
        <v>14</v>
      </c>
      <c r="C3" s="62" t="s">
        <v>30</v>
      </c>
    </row>
    <row r="4" spans="1:28" x14ac:dyDescent="0.25">
      <c r="A4" s="62" t="s">
        <v>2</v>
      </c>
      <c r="B4" s="62" t="s">
        <v>22</v>
      </c>
      <c r="C4" s="62" t="s">
        <v>31</v>
      </c>
    </row>
    <row r="5" spans="1:28" x14ac:dyDescent="0.25">
      <c r="A5" s="62" t="s">
        <v>2</v>
      </c>
      <c r="B5" s="62" t="s">
        <v>6</v>
      </c>
      <c r="C5" s="62" t="s">
        <v>32</v>
      </c>
    </row>
    <row r="6" spans="1:28" x14ac:dyDescent="0.25">
      <c r="A6" s="62" t="s">
        <v>2</v>
      </c>
      <c r="B6" s="62" t="s">
        <v>11</v>
      </c>
      <c r="C6" s="62" t="s">
        <v>33</v>
      </c>
    </row>
    <row r="7" spans="1:28" x14ac:dyDescent="0.25">
      <c r="A7" s="62" t="s">
        <v>2</v>
      </c>
      <c r="B7" s="62" t="s">
        <v>15</v>
      </c>
      <c r="C7" s="62" t="s">
        <v>34</v>
      </c>
    </row>
    <row r="8" spans="1:28" x14ac:dyDescent="0.25">
      <c r="A8" s="62" t="s">
        <v>2</v>
      </c>
      <c r="B8" s="62" t="s">
        <v>12</v>
      </c>
      <c r="C8" s="62" t="s">
        <v>35</v>
      </c>
    </row>
    <row r="9" spans="1:28" x14ac:dyDescent="0.25">
      <c r="C9" s="62" t="s">
        <v>36</v>
      </c>
    </row>
    <row r="11" spans="1:28" x14ac:dyDescent="0.25">
      <c r="G11" s="62" t="s">
        <v>24</v>
      </c>
      <c r="Y11" s="62" t="s">
        <v>26</v>
      </c>
    </row>
    <row r="12" spans="1:28" x14ac:dyDescent="0.25">
      <c r="G12" s="62" t="s">
        <v>25</v>
      </c>
      <c r="Y12" s="62" t="s">
        <v>27</v>
      </c>
      <c r="AA12" s="62" t="s">
        <v>36</v>
      </c>
    </row>
    <row r="17" spans="1:28" x14ac:dyDescent="0.25">
      <c r="A17" s="62" t="s">
        <v>2</v>
      </c>
      <c r="G17" s="62" t="s">
        <v>16</v>
      </c>
      <c r="H17" s="62" t="s">
        <v>37</v>
      </c>
      <c r="I17" s="62" t="s">
        <v>38</v>
      </c>
      <c r="J17" s="62" t="s">
        <v>39</v>
      </c>
      <c r="N17" s="62" t="s">
        <v>16</v>
      </c>
      <c r="O17" s="62" t="s">
        <v>40</v>
      </c>
      <c r="P17" s="62" t="s">
        <v>41</v>
      </c>
      <c r="Q17" s="62" t="s">
        <v>42</v>
      </c>
      <c r="U17" s="62" t="s">
        <v>16</v>
      </c>
      <c r="V17" s="62" t="s">
        <v>43</v>
      </c>
      <c r="W17" s="62" t="s">
        <v>44</v>
      </c>
      <c r="X17" s="62" t="s">
        <v>45</v>
      </c>
    </row>
    <row r="18" spans="1:28" x14ac:dyDescent="0.25">
      <c r="A18" s="62" t="s">
        <v>2</v>
      </c>
      <c r="G18" s="62" t="s">
        <v>3</v>
      </c>
      <c r="H18" s="62" t="s">
        <v>46</v>
      </c>
      <c r="J18" s="62" t="s">
        <v>47</v>
      </c>
      <c r="N18" s="62" t="s">
        <v>3</v>
      </c>
      <c r="O18" s="62" t="s">
        <v>48</v>
      </c>
      <c r="Q18" s="62" t="s">
        <v>49</v>
      </c>
      <c r="U18" s="62" t="s">
        <v>3</v>
      </c>
      <c r="V18" s="62" t="s">
        <v>50</v>
      </c>
      <c r="X18" s="62" t="s">
        <v>51</v>
      </c>
    </row>
    <row r="19" spans="1:28" x14ac:dyDescent="0.25">
      <c r="A19" s="62" t="s">
        <v>13</v>
      </c>
      <c r="H19" s="62" t="s">
        <v>52</v>
      </c>
      <c r="O19" s="62" t="s">
        <v>53</v>
      </c>
      <c r="V19" s="62" t="s">
        <v>54</v>
      </c>
      <c r="AA19" s="62" t="s">
        <v>17</v>
      </c>
    </row>
    <row r="20" spans="1:28" x14ac:dyDescent="0.25">
      <c r="H20" s="62" t="s">
        <v>7</v>
      </c>
      <c r="I20" s="62" t="s">
        <v>8</v>
      </c>
      <c r="J20" s="62" t="s">
        <v>9</v>
      </c>
      <c r="K20" s="62" t="s">
        <v>10</v>
      </c>
      <c r="O20" s="62" t="s">
        <v>7</v>
      </c>
      <c r="P20" s="62" t="s">
        <v>8</v>
      </c>
      <c r="Q20" s="62" t="s">
        <v>9</v>
      </c>
      <c r="R20" s="62" t="s">
        <v>10</v>
      </c>
      <c r="V20" s="62" t="s">
        <v>7</v>
      </c>
      <c r="W20" s="62" t="s">
        <v>8</v>
      </c>
      <c r="X20" s="62" t="s">
        <v>9</v>
      </c>
      <c r="Y20" s="62" t="s">
        <v>10</v>
      </c>
      <c r="AA20" s="62" t="s">
        <v>9</v>
      </c>
      <c r="AB20" s="62" t="s">
        <v>10</v>
      </c>
    </row>
    <row r="21" spans="1:28" x14ac:dyDescent="0.25">
      <c r="C21" s="62" t="s">
        <v>55</v>
      </c>
      <c r="D21" s="62" t="s">
        <v>56</v>
      </c>
      <c r="E21" s="62" t="s">
        <v>57</v>
      </c>
      <c r="G21" s="62" t="s">
        <v>58</v>
      </c>
      <c r="H21" s="62" t="s">
        <v>59</v>
      </c>
      <c r="I21" s="62" t="s">
        <v>60</v>
      </c>
      <c r="J21" s="62" t="s">
        <v>61</v>
      </c>
      <c r="K21" s="62" t="s">
        <v>62</v>
      </c>
      <c r="M21" s="62" t="s">
        <v>63</v>
      </c>
      <c r="N21" s="62" t="s">
        <v>58</v>
      </c>
      <c r="O21" s="62" t="s">
        <v>64</v>
      </c>
      <c r="P21" s="62" t="s">
        <v>65</v>
      </c>
      <c r="Q21" s="62" t="s">
        <v>66</v>
      </c>
      <c r="R21" s="62" t="s">
        <v>67</v>
      </c>
      <c r="T21" s="62" t="s">
        <v>63</v>
      </c>
      <c r="U21" s="62" t="s">
        <v>58</v>
      </c>
      <c r="V21" s="62" t="s">
        <v>68</v>
      </c>
      <c r="W21" s="62" t="s">
        <v>69</v>
      </c>
      <c r="X21" s="62" t="s">
        <v>70</v>
      </c>
      <c r="Y21" s="62" t="s">
        <v>71</v>
      </c>
      <c r="AA21" s="62" t="s">
        <v>72</v>
      </c>
      <c r="AB21" s="62" t="s">
        <v>73</v>
      </c>
    </row>
    <row r="22" spans="1:28" x14ac:dyDescent="0.25">
      <c r="A22" s="62" t="s">
        <v>2</v>
      </c>
    </row>
    <row r="23" spans="1:28" x14ac:dyDescent="0.25">
      <c r="C23" s="62" t="s">
        <v>74</v>
      </c>
      <c r="H23" s="62" t="s">
        <v>75</v>
      </c>
      <c r="I23" s="62" t="s">
        <v>76</v>
      </c>
      <c r="J23" s="62" t="s">
        <v>77</v>
      </c>
      <c r="K23" s="62" t="s">
        <v>78</v>
      </c>
      <c r="O23" s="62" t="s">
        <v>79</v>
      </c>
      <c r="P23" s="62" t="s">
        <v>80</v>
      </c>
      <c r="Q23" s="62" t="s">
        <v>81</v>
      </c>
      <c r="R23" s="62" t="s">
        <v>82</v>
      </c>
      <c r="V23" s="62" t="s">
        <v>83</v>
      </c>
      <c r="W23" s="62" t="s">
        <v>84</v>
      </c>
      <c r="X23" s="62" t="s">
        <v>85</v>
      </c>
      <c r="Y23" s="62" t="s">
        <v>86</v>
      </c>
      <c r="AA23" s="62" t="s">
        <v>87</v>
      </c>
      <c r="AB23" s="62" t="s">
        <v>88</v>
      </c>
    </row>
    <row r="25" spans="1:28" x14ac:dyDescent="0.25">
      <c r="A25" s="62" t="s">
        <v>2</v>
      </c>
      <c r="G25" s="62" t="s">
        <v>16</v>
      </c>
      <c r="H25" s="62" t="s">
        <v>89</v>
      </c>
      <c r="I25" s="62" t="s">
        <v>90</v>
      </c>
      <c r="J25" s="62" t="s">
        <v>91</v>
      </c>
      <c r="N25" s="62" t="s">
        <v>16</v>
      </c>
      <c r="O25" s="62" t="s">
        <v>92</v>
      </c>
      <c r="P25" s="62" t="s">
        <v>93</v>
      </c>
      <c r="Q25" s="62" t="s">
        <v>94</v>
      </c>
      <c r="U25" s="62" t="s">
        <v>16</v>
      </c>
      <c r="V25" s="62" t="s">
        <v>95</v>
      </c>
      <c r="W25" s="62" t="s">
        <v>96</v>
      </c>
      <c r="X25" s="62" t="s">
        <v>97</v>
      </c>
    </row>
    <row r="26" spans="1:28" x14ac:dyDescent="0.25">
      <c r="A26" s="62" t="s">
        <v>2</v>
      </c>
      <c r="G26" s="62" t="s">
        <v>3</v>
      </c>
      <c r="H26" s="62" t="s">
        <v>98</v>
      </c>
      <c r="J26" s="62" t="s">
        <v>99</v>
      </c>
      <c r="N26" s="62" t="s">
        <v>3</v>
      </c>
      <c r="O26" s="62" t="s">
        <v>100</v>
      </c>
      <c r="Q26" s="62" t="s">
        <v>101</v>
      </c>
      <c r="U26" s="62" t="s">
        <v>3</v>
      </c>
      <c r="V26" s="62" t="s">
        <v>102</v>
      </c>
      <c r="X26" s="62" t="s">
        <v>103</v>
      </c>
    </row>
    <row r="27" spans="1:28" x14ac:dyDescent="0.25">
      <c r="H27" s="62" t="s">
        <v>104</v>
      </c>
      <c r="O27" s="62" t="s">
        <v>105</v>
      </c>
      <c r="V27" s="62" t="s">
        <v>106</v>
      </c>
      <c r="AA27" s="62" t="s">
        <v>20</v>
      </c>
    </row>
    <row r="28" spans="1:28" x14ac:dyDescent="0.25">
      <c r="H28" s="62" t="s">
        <v>7</v>
      </c>
      <c r="I28" s="62" t="s">
        <v>8</v>
      </c>
      <c r="J28" s="62" t="s">
        <v>9</v>
      </c>
      <c r="K28" s="62" t="s">
        <v>10</v>
      </c>
      <c r="O28" s="62" t="s">
        <v>7</v>
      </c>
      <c r="P28" s="62" t="s">
        <v>8</v>
      </c>
      <c r="Q28" s="62" t="s">
        <v>9</v>
      </c>
      <c r="R28" s="62" t="s">
        <v>10</v>
      </c>
      <c r="V28" s="62" t="s">
        <v>7</v>
      </c>
      <c r="W28" s="62" t="s">
        <v>8</v>
      </c>
      <c r="X28" s="62" t="s">
        <v>9</v>
      </c>
      <c r="Y28" s="62" t="s">
        <v>10</v>
      </c>
      <c r="AA28" s="62" t="s">
        <v>9</v>
      </c>
      <c r="AB28" s="62" t="s">
        <v>10</v>
      </c>
    </row>
    <row r="29" spans="1:28" x14ac:dyDescent="0.25">
      <c r="C29" s="62" t="s">
        <v>107</v>
      </c>
      <c r="D29" s="62" t="s">
        <v>108</v>
      </c>
      <c r="E29" s="62" t="s">
        <v>57</v>
      </c>
      <c r="G29" s="62" t="s">
        <v>109</v>
      </c>
      <c r="H29" s="62" t="s">
        <v>110</v>
      </c>
      <c r="I29" s="62" t="s">
        <v>111</v>
      </c>
      <c r="J29" s="62" t="s">
        <v>112</v>
      </c>
      <c r="K29" s="62" t="s">
        <v>113</v>
      </c>
      <c r="M29" s="62" t="s">
        <v>114</v>
      </c>
      <c r="N29" s="62" t="s">
        <v>109</v>
      </c>
      <c r="O29" s="62" t="s">
        <v>115</v>
      </c>
      <c r="P29" s="62" t="s">
        <v>116</v>
      </c>
      <c r="Q29" s="62" t="s">
        <v>117</v>
      </c>
      <c r="R29" s="62" t="s">
        <v>118</v>
      </c>
      <c r="T29" s="62" t="s">
        <v>114</v>
      </c>
      <c r="U29" s="62" t="s">
        <v>109</v>
      </c>
      <c r="V29" s="62" t="s">
        <v>119</v>
      </c>
      <c r="W29" s="62" t="s">
        <v>120</v>
      </c>
      <c r="X29" s="62" t="s">
        <v>121</v>
      </c>
      <c r="Y29" s="62" t="s">
        <v>122</v>
      </c>
      <c r="AA29" s="62" t="s">
        <v>123</v>
      </c>
      <c r="AB29" s="62" t="s">
        <v>124</v>
      </c>
    </row>
    <row r="30" spans="1:28" x14ac:dyDescent="0.25">
      <c r="A30" s="62" t="s">
        <v>2</v>
      </c>
    </row>
    <row r="31" spans="1:28" x14ac:dyDescent="0.25">
      <c r="C31" s="62" t="s">
        <v>125</v>
      </c>
      <c r="H31" s="62" t="s">
        <v>126</v>
      </c>
      <c r="I31" s="62" t="s">
        <v>127</v>
      </c>
      <c r="J31" s="62" t="s">
        <v>128</v>
      </c>
      <c r="K31" s="62" t="s">
        <v>129</v>
      </c>
      <c r="O31" s="62" t="s">
        <v>130</v>
      </c>
      <c r="P31" s="62" t="s">
        <v>131</v>
      </c>
      <c r="Q31" s="62" t="s">
        <v>132</v>
      </c>
      <c r="R31" s="62" t="s">
        <v>133</v>
      </c>
      <c r="V31" s="62" t="s">
        <v>134</v>
      </c>
      <c r="W31" s="62" t="s">
        <v>135</v>
      </c>
      <c r="X31" s="62" t="s">
        <v>136</v>
      </c>
      <c r="Y31" s="62" t="s">
        <v>137</v>
      </c>
      <c r="AA31" s="62" t="s">
        <v>138</v>
      </c>
      <c r="AB31" s="62" t="s">
        <v>139</v>
      </c>
    </row>
    <row r="33" spans="1:28" x14ac:dyDescent="0.25">
      <c r="A33" s="62" t="s">
        <v>2</v>
      </c>
      <c r="G33" s="62" t="s">
        <v>16</v>
      </c>
      <c r="H33" s="62" t="s">
        <v>140</v>
      </c>
      <c r="I33" s="62" t="s">
        <v>141</v>
      </c>
      <c r="J33" s="62" t="s">
        <v>142</v>
      </c>
      <c r="N33" s="62" t="s">
        <v>16</v>
      </c>
      <c r="O33" s="62" t="s">
        <v>143</v>
      </c>
      <c r="P33" s="62" t="s">
        <v>144</v>
      </c>
      <c r="Q33" s="62" t="s">
        <v>145</v>
      </c>
      <c r="U33" s="62" t="s">
        <v>16</v>
      </c>
      <c r="V33" s="62" t="s">
        <v>146</v>
      </c>
      <c r="W33" s="62" t="s">
        <v>147</v>
      </c>
      <c r="X33" s="62" t="s">
        <v>148</v>
      </c>
    </row>
    <row r="34" spans="1:28" x14ac:dyDescent="0.25">
      <c r="A34" s="62" t="s">
        <v>2</v>
      </c>
      <c r="G34" s="62" t="s">
        <v>3</v>
      </c>
      <c r="H34" s="62" t="s">
        <v>149</v>
      </c>
      <c r="J34" s="62" t="s">
        <v>150</v>
      </c>
      <c r="N34" s="62" t="s">
        <v>3</v>
      </c>
      <c r="O34" s="62" t="s">
        <v>151</v>
      </c>
      <c r="Q34" s="62" t="s">
        <v>152</v>
      </c>
      <c r="U34" s="62" t="s">
        <v>3</v>
      </c>
      <c r="V34" s="62" t="s">
        <v>153</v>
      </c>
      <c r="X34" s="62" t="s">
        <v>154</v>
      </c>
    </row>
    <row r="35" spans="1:28" x14ac:dyDescent="0.25">
      <c r="H35" s="62" t="s">
        <v>155</v>
      </c>
      <c r="O35" s="62" t="s">
        <v>156</v>
      </c>
      <c r="V35" s="62" t="s">
        <v>157</v>
      </c>
      <c r="AA35" s="62" t="s">
        <v>19</v>
      </c>
    </row>
    <row r="36" spans="1:28" x14ac:dyDescent="0.25">
      <c r="H36" s="62" t="s">
        <v>7</v>
      </c>
      <c r="I36" s="62" t="s">
        <v>8</v>
      </c>
      <c r="J36" s="62" t="s">
        <v>9</v>
      </c>
      <c r="K36" s="62" t="s">
        <v>10</v>
      </c>
      <c r="O36" s="62" t="s">
        <v>7</v>
      </c>
      <c r="P36" s="62" t="s">
        <v>8</v>
      </c>
      <c r="Q36" s="62" t="s">
        <v>9</v>
      </c>
      <c r="R36" s="62" t="s">
        <v>10</v>
      </c>
      <c r="V36" s="62" t="s">
        <v>7</v>
      </c>
      <c r="W36" s="62" t="s">
        <v>8</v>
      </c>
      <c r="X36" s="62" t="s">
        <v>9</v>
      </c>
      <c r="Y36" s="62" t="s">
        <v>10</v>
      </c>
      <c r="AA36" s="62" t="s">
        <v>9</v>
      </c>
      <c r="AB36" s="62" t="s">
        <v>10</v>
      </c>
    </row>
    <row r="37" spans="1:28" x14ac:dyDescent="0.25">
      <c r="C37" s="62" t="s">
        <v>158</v>
      </c>
      <c r="D37" s="62" t="s">
        <v>159</v>
      </c>
      <c r="E37" s="62" t="s">
        <v>57</v>
      </c>
      <c r="G37" s="62" t="s">
        <v>160</v>
      </c>
      <c r="H37" s="62" t="s">
        <v>161</v>
      </c>
      <c r="I37" s="62" t="s">
        <v>162</v>
      </c>
      <c r="J37" s="62" t="s">
        <v>163</v>
      </c>
      <c r="K37" s="62" t="s">
        <v>164</v>
      </c>
      <c r="M37" s="62" t="s">
        <v>165</v>
      </c>
      <c r="N37" s="62" t="s">
        <v>160</v>
      </c>
      <c r="O37" s="62" t="s">
        <v>166</v>
      </c>
      <c r="P37" s="62" t="s">
        <v>167</v>
      </c>
      <c r="Q37" s="62" t="s">
        <v>168</v>
      </c>
      <c r="R37" s="62" t="s">
        <v>169</v>
      </c>
      <c r="T37" s="62" t="s">
        <v>165</v>
      </c>
      <c r="U37" s="62" t="s">
        <v>160</v>
      </c>
      <c r="V37" s="62" t="s">
        <v>170</v>
      </c>
      <c r="W37" s="62" t="s">
        <v>171</v>
      </c>
      <c r="X37" s="62" t="s">
        <v>172</v>
      </c>
      <c r="Y37" s="62" t="s">
        <v>173</v>
      </c>
      <c r="AA37" s="62" t="s">
        <v>174</v>
      </c>
      <c r="AB37" s="62" t="s">
        <v>175</v>
      </c>
    </row>
    <row r="38" spans="1:28" x14ac:dyDescent="0.25">
      <c r="A38" s="62" t="s">
        <v>2</v>
      </c>
    </row>
    <row r="39" spans="1:28" x14ac:dyDescent="0.25">
      <c r="C39" s="62" t="s">
        <v>176</v>
      </c>
      <c r="H39" s="62" t="s">
        <v>177</v>
      </c>
      <c r="I39" s="62" t="s">
        <v>178</v>
      </c>
      <c r="J39" s="62" t="s">
        <v>179</v>
      </c>
      <c r="K39" s="62" t="s">
        <v>180</v>
      </c>
      <c r="O39" s="62" t="s">
        <v>181</v>
      </c>
      <c r="P39" s="62" t="s">
        <v>182</v>
      </c>
      <c r="Q39" s="62" t="s">
        <v>183</v>
      </c>
      <c r="R39" s="62" t="s">
        <v>184</v>
      </c>
      <c r="V39" s="62" t="s">
        <v>185</v>
      </c>
      <c r="W39" s="62" t="s">
        <v>186</v>
      </c>
      <c r="X39" s="62" t="s">
        <v>187</v>
      </c>
      <c r="Y39" s="62" t="s">
        <v>188</v>
      </c>
      <c r="AA39" s="62" t="s">
        <v>189</v>
      </c>
      <c r="AB39" s="62" t="s">
        <v>190</v>
      </c>
    </row>
    <row r="41" spans="1:28" x14ac:dyDescent="0.25">
      <c r="A41" s="62" t="s">
        <v>2</v>
      </c>
      <c r="G41" s="62" t="s">
        <v>16</v>
      </c>
      <c r="H41" s="62" t="s">
        <v>191</v>
      </c>
      <c r="I41" s="62" t="s">
        <v>192</v>
      </c>
      <c r="J41" s="62" t="s">
        <v>193</v>
      </c>
      <c r="N41" s="62" t="s">
        <v>16</v>
      </c>
      <c r="O41" s="62" t="s">
        <v>194</v>
      </c>
      <c r="P41" s="62" t="s">
        <v>195</v>
      </c>
      <c r="Q41" s="62" t="s">
        <v>196</v>
      </c>
      <c r="U41" s="62" t="s">
        <v>16</v>
      </c>
      <c r="V41" s="62" t="s">
        <v>197</v>
      </c>
      <c r="W41" s="62" t="s">
        <v>198</v>
      </c>
      <c r="X41" s="62" t="s">
        <v>199</v>
      </c>
    </row>
    <row r="42" spans="1:28" x14ac:dyDescent="0.25">
      <c r="A42" s="62" t="s">
        <v>2</v>
      </c>
      <c r="G42" s="62" t="s">
        <v>3</v>
      </c>
      <c r="H42" s="62" t="s">
        <v>200</v>
      </c>
      <c r="J42" s="62" t="s">
        <v>201</v>
      </c>
      <c r="N42" s="62" t="s">
        <v>3</v>
      </c>
      <c r="O42" s="62" t="s">
        <v>202</v>
      </c>
      <c r="Q42" s="62" t="s">
        <v>203</v>
      </c>
      <c r="U42" s="62" t="s">
        <v>3</v>
      </c>
      <c r="V42" s="62" t="s">
        <v>204</v>
      </c>
      <c r="X42" s="62" t="s">
        <v>205</v>
      </c>
    </row>
    <row r="43" spans="1:28" x14ac:dyDescent="0.25">
      <c r="H43" s="62" t="s">
        <v>206</v>
      </c>
      <c r="O43" s="62" t="s">
        <v>207</v>
      </c>
      <c r="V43" s="62" t="s">
        <v>208</v>
      </c>
      <c r="AA43" s="62" t="s">
        <v>18</v>
      </c>
    </row>
    <row r="44" spans="1:28" x14ac:dyDescent="0.25">
      <c r="H44" s="62" t="s">
        <v>7</v>
      </c>
      <c r="I44" s="62" t="s">
        <v>8</v>
      </c>
      <c r="J44" s="62" t="s">
        <v>9</v>
      </c>
      <c r="K44" s="62" t="s">
        <v>10</v>
      </c>
      <c r="O44" s="62" t="s">
        <v>7</v>
      </c>
      <c r="P44" s="62" t="s">
        <v>8</v>
      </c>
      <c r="Q44" s="62" t="s">
        <v>9</v>
      </c>
      <c r="R44" s="62" t="s">
        <v>10</v>
      </c>
      <c r="V44" s="62" t="s">
        <v>7</v>
      </c>
      <c r="W44" s="62" t="s">
        <v>8</v>
      </c>
      <c r="X44" s="62" t="s">
        <v>9</v>
      </c>
      <c r="Y44" s="62" t="s">
        <v>10</v>
      </c>
      <c r="AA44" s="62" t="s">
        <v>9</v>
      </c>
      <c r="AB44" s="62" t="s">
        <v>10</v>
      </c>
    </row>
    <row r="45" spans="1:28" x14ac:dyDescent="0.25">
      <c r="C45" s="62" t="s">
        <v>209</v>
      </c>
      <c r="D45" s="62" t="s">
        <v>210</v>
      </c>
      <c r="E45" s="62" t="s">
        <v>57</v>
      </c>
      <c r="G45" s="62" t="s">
        <v>211</v>
      </c>
      <c r="H45" s="62" t="s">
        <v>212</v>
      </c>
      <c r="I45" s="62" t="s">
        <v>213</v>
      </c>
      <c r="J45" s="62" t="s">
        <v>214</v>
      </c>
      <c r="K45" s="62" t="s">
        <v>215</v>
      </c>
      <c r="M45" s="62" t="s">
        <v>216</v>
      </c>
      <c r="N45" s="62" t="s">
        <v>211</v>
      </c>
      <c r="O45" s="62" t="s">
        <v>217</v>
      </c>
      <c r="P45" s="62" t="s">
        <v>218</v>
      </c>
      <c r="Q45" s="62" t="s">
        <v>219</v>
      </c>
      <c r="R45" s="62" t="s">
        <v>220</v>
      </c>
      <c r="T45" s="62" t="s">
        <v>216</v>
      </c>
      <c r="U45" s="62" t="s">
        <v>211</v>
      </c>
      <c r="V45" s="62" t="s">
        <v>221</v>
      </c>
      <c r="W45" s="62" t="s">
        <v>222</v>
      </c>
      <c r="X45" s="62" t="s">
        <v>223</v>
      </c>
      <c r="Y45" s="62" t="s">
        <v>224</v>
      </c>
      <c r="AA45" s="62" t="s">
        <v>225</v>
      </c>
      <c r="AB45" s="62" t="s">
        <v>226</v>
      </c>
    </row>
    <row r="46" spans="1:28" x14ac:dyDescent="0.25">
      <c r="A46" s="62" t="s">
        <v>2</v>
      </c>
    </row>
    <row r="47" spans="1:28" x14ac:dyDescent="0.25">
      <c r="C47" s="62" t="s">
        <v>227</v>
      </c>
      <c r="H47" s="62" t="s">
        <v>228</v>
      </c>
      <c r="I47" s="62" t="s">
        <v>229</v>
      </c>
      <c r="J47" s="62" t="s">
        <v>230</v>
      </c>
      <c r="K47" s="62" t="s">
        <v>231</v>
      </c>
      <c r="O47" s="62" t="s">
        <v>232</v>
      </c>
      <c r="P47" s="62" t="s">
        <v>233</v>
      </c>
      <c r="Q47" s="62" t="s">
        <v>234</v>
      </c>
      <c r="R47" s="62" t="s">
        <v>235</v>
      </c>
      <c r="V47" s="62" t="s">
        <v>236</v>
      </c>
      <c r="W47" s="62" t="s">
        <v>237</v>
      </c>
      <c r="X47" s="62" t="s">
        <v>238</v>
      </c>
      <c r="Y47" s="62" t="s">
        <v>239</v>
      </c>
      <c r="AA47" s="62" t="s">
        <v>240</v>
      </c>
      <c r="AB47" s="62" t="s">
        <v>241</v>
      </c>
    </row>
    <row r="49" spans="1:18" x14ac:dyDescent="0.25">
      <c r="A49" s="62" t="s">
        <v>13</v>
      </c>
      <c r="G49" s="62" t="s">
        <v>21</v>
      </c>
      <c r="H49" s="62" t="s">
        <v>17</v>
      </c>
      <c r="N49" s="62" t="s">
        <v>21</v>
      </c>
      <c r="O49" s="62" t="s">
        <v>20</v>
      </c>
    </row>
    <row r="50" spans="1:18" x14ac:dyDescent="0.25">
      <c r="H50" s="62" t="s">
        <v>7</v>
      </c>
      <c r="I50" s="62" t="s">
        <v>8</v>
      </c>
      <c r="J50" s="62" t="s">
        <v>9</v>
      </c>
      <c r="K50" s="62" t="s">
        <v>10</v>
      </c>
      <c r="O50" s="62" t="s">
        <v>7</v>
      </c>
      <c r="P50" s="62" t="s">
        <v>8</v>
      </c>
      <c r="Q50" s="62" t="s">
        <v>9</v>
      </c>
      <c r="R50" s="62" t="s">
        <v>10</v>
      </c>
    </row>
    <row r="51" spans="1:18" x14ac:dyDescent="0.25">
      <c r="E51" s="62" t="s">
        <v>57</v>
      </c>
      <c r="G51" s="62" t="s">
        <v>242</v>
      </c>
      <c r="H51" s="62" t="s">
        <v>243</v>
      </c>
      <c r="I51" s="62" t="s">
        <v>244</v>
      </c>
      <c r="J51" s="62" t="s">
        <v>245</v>
      </c>
      <c r="K51" s="62" t="s">
        <v>246</v>
      </c>
      <c r="M51" s="62" t="s">
        <v>247</v>
      </c>
      <c r="N51" s="62" t="s">
        <v>242</v>
      </c>
      <c r="O51" s="62" t="s">
        <v>248</v>
      </c>
      <c r="P51" s="62" t="s">
        <v>249</v>
      </c>
      <c r="Q51" s="62" t="s">
        <v>250</v>
      </c>
      <c r="R51" s="62" t="s">
        <v>251</v>
      </c>
    </row>
    <row r="52" spans="1:18" x14ac:dyDescent="0.25">
      <c r="A52" s="62" t="s">
        <v>2</v>
      </c>
    </row>
    <row r="53" spans="1:18" x14ac:dyDescent="0.25">
      <c r="H53" s="62" t="s">
        <v>252</v>
      </c>
      <c r="I53" s="62" t="s">
        <v>253</v>
      </c>
      <c r="J53" s="62" t="s">
        <v>254</v>
      </c>
      <c r="K53" s="62" t="s">
        <v>255</v>
      </c>
      <c r="O53" s="62" t="s">
        <v>256</v>
      </c>
      <c r="P53" s="62" t="s">
        <v>257</v>
      </c>
      <c r="Q53" s="62" t="s">
        <v>258</v>
      </c>
      <c r="R53" s="62" t="s">
        <v>259</v>
      </c>
    </row>
    <row r="55" spans="1:18" x14ac:dyDescent="0.25">
      <c r="G55" s="62" t="s">
        <v>21</v>
      </c>
      <c r="H55" s="62" t="s">
        <v>19</v>
      </c>
      <c r="N55" s="62" t="s">
        <v>21</v>
      </c>
      <c r="O55" s="62" t="s">
        <v>18</v>
      </c>
    </row>
    <row r="56" spans="1:18" x14ac:dyDescent="0.25">
      <c r="H56" s="62" t="s">
        <v>7</v>
      </c>
      <c r="I56" s="62" t="s">
        <v>8</v>
      </c>
      <c r="J56" s="62" t="s">
        <v>9</v>
      </c>
      <c r="K56" s="62" t="s">
        <v>10</v>
      </c>
      <c r="O56" s="62" t="s">
        <v>7</v>
      </c>
      <c r="P56" s="62" t="s">
        <v>8</v>
      </c>
      <c r="Q56" s="62" t="s">
        <v>9</v>
      </c>
      <c r="R56" s="62" t="s">
        <v>10</v>
      </c>
    </row>
    <row r="57" spans="1:18" x14ac:dyDescent="0.25">
      <c r="E57" s="62" t="s">
        <v>57</v>
      </c>
      <c r="G57" s="62" t="s">
        <v>260</v>
      </c>
      <c r="H57" s="62" t="s">
        <v>261</v>
      </c>
      <c r="I57" s="62" t="s">
        <v>262</v>
      </c>
      <c r="J57" s="62" t="s">
        <v>263</v>
      </c>
      <c r="K57" s="62" t="s">
        <v>264</v>
      </c>
      <c r="M57" s="62" t="s">
        <v>265</v>
      </c>
      <c r="N57" s="62" t="s">
        <v>260</v>
      </c>
      <c r="O57" s="62" t="s">
        <v>266</v>
      </c>
      <c r="P57" s="62" t="s">
        <v>267</v>
      </c>
      <c r="Q57" s="62" t="s">
        <v>268</v>
      </c>
      <c r="R57" s="62" t="s">
        <v>269</v>
      </c>
    </row>
    <row r="58" spans="1:18" x14ac:dyDescent="0.25">
      <c r="A58" s="62" t="s">
        <v>2</v>
      </c>
    </row>
    <row r="59" spans="1:18" x14ac:dyDescent="0.25">
      <c r="H59" s="62" t="s">
        <v>270</v>
      </c>
      <c r="I59" s="62" t="s">
        <v>271</v>
      </c>
      <c r="J59" s="62" t="s">
        <v>272</v>
      </c>
      <c r="K59" s="62" t="s">
        <v>273</v>
      </c>
      <c r="O59" s="62" t="s">
        <v>274</v>
      </c>
      <c r="P59" s="62" t="s">
        <v>275</v>
      </c>
      <c r="Q59" s="62" t="s">
        <v>276</v>
      </c>
      <c r="R59" s="62" t="s">
        <v>277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71"/>
  <sheetViews>
    <sheetView workbookViewId="0"/>
  </sheetViews>
  <sheetFormatPr defaultRowHeight="15" x14ac:dyDescent="0.25"/>
  <sheetData>
    <row r="1" spans="1:28" x14ac:dyDescent="0.25">
      <c r="A1" s="62" t="s">
        <v>639</v>
      </c>
      <c r="B1" s="62" t="s">
        <v>2</v>
      </c>
      <c r="C1" s="62" t="s">
        <v>2</v>
      </c>
      <c r="D1" s="62" t="s">
        <v>2</v>
      </c>
      <c r="E1" s="62" t="s">
        <v>2</v>
      </c>
      <c r="G1" s="62" t="s">
        <v>5</v>
      </c>
      <c r="H1" s="62" t="s">
        <v>13</v>
      </c>
      <c r="I1" s="62" t="s">
        <v>5</v>
      </c>
      <c r="J1" s="62" t="s">
        <v>5</v>
      </c>
      <c r="K1" s="62" t="s">
        <v>5</v>
      </c>
      <c r="M1" s="62" t="s">
        <v>2</v>
      </c>
      <c r="N1" s="62" t="s">
        <v>5</v>
      </c>
      <c r="O1" s="62" t="s">
        <v>13</v>
      </c>
      <c r="P1" s="62" t="s">
        <v>5</v>
      </c>
      <c r="Q1" s="62" t="s">
        <v>5</v>
      </c>
      <c r="R1" s="62" t="s">
        <v>5</v>
      </c>
      <c r="T1" s="62" t="s">
        <v>2</v>
      </c>
      <c r="U1" s="62" t="s">
        <v>5</v>
      </c>
      <c r="V1" s="62" t="s">
        <v>13</v>
      </c>
      <c r="W1" s="62" t="s">
        <v>5</v>
      </c>
      <c r="X1" s="62" t="s">
        <v>5</v>
      </c>
      <c r="Y1" s="62" t="s">
        <v>5</v>
      </c>
      <c r="AA1" s="62" t="s">
        <v>5</v>
      </c>
      <c r="AB1" s="62" t="s">
        <v>5</v>
      </c>
    </row>
    <row r="2" spans="1:28" x14ac:dyDescent="0.25">
      <c r="A2" s="62" t="s">
        <v>2</v>
      </c>
      <c r="G2" s="62" t="s">
        <v>28</v>
      </c>
      <c r="N2" s="62" t="s">
        <v>28</v>
      </c>
      <c r="U2" s="62" t="s">
        <v>28</v>
      </c>
    </row>
    <row r="3" spans="1:28" x14ac:dyDescent="0.25">
      <c r="A3" s="62" t="s">
        <v>2</v>
      </c>
      <c r="B3" s="62" t="s">
        <v>14</v>
      </c>
      <c r="C3" s="62" t="s">
        <v>30</v>
      </c>
    </row>
    <row r="4" spans="1:28" x14ac:dyDescent="0.25">
      <c r="A4" s="62" t="s">
        <v>2</v>
      </c>
      <c r="B4" s="62" t="s">
        <v>22</v>
      </c>
      <c r="C4" s="62" t="s">
        <v>31</v>
      </c>
    </row>
    <row r="5" spans="1:28" x14ac:dyDescent="0.25">
      <c r="A5" s="62" t="s">
        <v>2</v>
      </c>
      <c r="B5" s="62" t="s">
        <v>6</v>
      </c>
      <c r="C5" s="62" t="s">
        <v>32</v>
      </c>
    </row>
    <row r="6" spans="1:28" x14ac:dyDescent="0.25">
      <c r="A6" s="62" t="s">
        <v>2</v>
      </c>
      <c r="B6" s="62" t="s">
        <v>11</v>
      </c>
      <c r="C6" s="62" t="s">
        <v>33</v>
      </c>
    </row>
    <row r="7" spans="1:28" x14ac:dyDescent="0.25">
      <c r="A7" s="62" t="s">
        <v>2</v>
      </c>
      <c r="B7" s="62" t="s">
        <v>15</v>
      </c>
      <c r="C7" s="62" t="s">
        <v>34</v>
      </c>
    </row>
    <row r="8" spans="1:28" x14ac:dyDescent="0.25">
      <c r="A8" s="62" t="s">
        <v>2</v>
      </c>
      <c r="B8" s="62" t="s">
        <v>12</v>
      </c>
      <c r="C8" s="62" t="s">
        <v>35</v>
      </c>
    </row>
    <row r="9" spans="1:28" x14ac:dyDescent="0.25">
      <c r="C9" s="62" t="s">
        <v>36</v>
      </c>
    </row>
    <row r="11" spans="1:28" x14ac:dyDescent="0.25">
      <c r="G11" s="62" t="s">
        <v>24</v>
      </c>
      <c r="Y11" s="62" t="s">
        <v>26</v>
      </c>
    </row>
    <row r="12" spans="1:28" x14ac:dyDescent="0.25">
      <c r="G12" s="62" t="s">
        <v>25</v>
      </c>
      <c r="Y12" s="62" t="s">
        <v>27</v>
      </c>
      <c r="AA12" s="62" t="s">
        <v>36</v>
      </c>
    </row>
    <row r="17" spans="1:28" x14ac:dyDescent="0.25">
      <c r="A17" s="62" t="s">
        <v>2</v>
      </c>
      <c r="G17" s="62" t="s">
        <v>16</v>
      </c>
      <c r="H17" s="62" t="s">
        <v>37</v>
      </c>
      <c r="I17" s="62" t="s">
        <v>38</v>
      </c>
      <c r="J17" s="62" t="s">
        <v>39</v>
      </c>
      <c r="N17" s="62" t="s">
        <v>16</v>
      </c>
      <c r="O17" s="62" t="s">
        <v>40</v>
      </c>
      <c r="P17" s="62" t="s">
        <v>41</v>
      </c>
      <c r="Q17" s="62" t="s">
        <v>42</v>
      </c>
      <c r="U17" s="62" t="s">
        <v>16</v>
      </c>
      <c r="V17" s="62" t="s">
        <v>43</v>
      </c>
      <c r="W17" s="62" t="s">
        <v>44</v>
      </c>
      <c r="X17" s="62" t="s">
        <v>45</v>
      </c>
    </row>
    <row r="18" spans="1:28" x14ac:dyDescent="0.25">
      <c r="A18" s="62" t="s">
        <v>2</v>
      </c>
      <c r="G18" s="62" t="s">
        <v>3</v>
      </c>
      <c r="H18" s="62" t="s">
        <v>46</v>
      </c>
      <c r="J18" s="62" t="s">
        <v>47</v>
      </c>
      <c r="N18" s="62" t="s">
        <v>3</v>
      </c>
      <c r="O18" s="62" t="s">
        <v>48</v>
      </c>
      <c r="Q18" s="62" t="s">
        <v>49</v>
      </c>
      <c r="U18" s="62" t="s">
        <v>3</v>
      </c>
      <c r="V18" s="62" t="s">
        <v>50</v>
      </c>
      <c r="X18" s="62" t="s">
        <v>51</v>
      </c>
    </row>
    <row r="19" spans="1:28" x14ac:dyDescent="0.25">
      <c r="A19" s="62" t="s">
        <v>13</v>
      </c>
      <c r="H19" s="62" t="s">
        <v>52</v>
      </c>
      <c r="O19" s="62" t="s">
        <v>53</v>
      </c>
      <c r="V19" s="62" t="s">
        <v>54</v>
      </c>
      <c r="AA19" s="62" t="s">
        <v>17</v>
      </c>
    </row>
    <row r="20" spans="1:28" x14ac:dyDescent="0.25">
      <c r="H20" s="62" t="s">
        <v>7</v>
      </c>
      <c r="I20" s="62" t="s">
        <v>8</v>
      </c>
      <c r="J20" s="62" t="s">
        <v>9</v>
      </c>
      <c r="K20" s="62" t="s">
        <v>10</v>
      </c>
      <c r="O20" s="62" t="s">
        <v>7</v>
      </c>
      <c r="P20" s="62" t="s">
        <v>8</v>
      </c>
      <c r="Q20" s="62" t="s">
        <v>9</v>
      </c>
      <c r="R20" s="62" t="s">
        <v>10</v>
      </c>
      <c r="V20" s="62" t="s">
        <v>7</v>
      </c>
      <c r="W20" s="62" t="s">
        <v>8</v>
      </c>
      <c r="X20" s="62" t="s">
        <v>9</v>
      </c>
      <c r="Y20" s="62" t="s">
        <v>10</v>
      </c>
      <c r="AA20" s="62" t="s">
        <v>9</v>
      </c>
      <c r="AB20" s="62" t="s">
        <v>10</v>
      </c>
    </row>
    <row r="21" spans="1:28" x14ac:dyDescent="0.25">
      <c r="C21" s="62" t="s">
        <v>55</v>
      </c>
      <c r="D21" s="62" t="s">
        <v>56</v>
      </c>
      <c r="E21" s="62" t="s">
        <v>57</v>
      </c>
      <c r="G21" s="62" t="s">
        <v>58</v>
      </c>
      <c r="H21" s="62" t="s">
        <v>59</v>
      </c>
      <c r="I21" s="62" t="s">
        <v>60</v>
      </c>
      <c r="J21" s="62" t="s">
        <v>61</v>
      </c>
      <c r="K21" s="62" t="s">
        <v>62</v>
      </c>
      <c r="M21" s="62" t="s">
        <v>63</v>
      </c>
      <c r="N21" s="62" t="s">
        <v>58</v>
      </c>
      <c r="O21" s="62" t="s">
        <v>64</v>
      </c>
      <c r="P21" s="62" t="s">
        <v>65</v>
      </c>
      <c r="Q21" s="62" t="s">
        <v>66</v>
      </c>
      <c r="R21" s="62" t="s">
        <v>67</v>
      </c>
      <c r="T21" s="62" t="s">
        <v>63</v>
      </c>
      <c r="U21" s="62" t="s">
        <v>58</v>
      </c>
      <c r="V21" s="62" t="s">
        <v>68</v>
      </c>
      <c r="W21" s="62" t="s">
        <v>69</v>
      </c>
      <c r="X21" s="62" t="s">
        <v>70</v>
      </c>
      <c r="Y21" s="62" t="s">
        <v>71</v>
      </c>
      <c r="AA21" s="62" t="s">
        <v>72</v>
      </c>
      <c r="AB21" s="62" t="s">
        <v>73</v>
      </c>
    </row>
    <row r="22" spans="1:28" x14ac:dyDescent="0.25">
      <c r="A22" s="62" t="s">
        <v>279</v>
      </c>
      <c r="C22" s="62" t="s">
        <v>281</v>
      </c>
      <c r="D22" s="62" t="s">
        <v>282</v>
      </c>
      <c r="E22" s="62" t="s">
        <v>283</v>
      </c>
      <c r="G22" s="62" t="s">
        <v>623</v>
      </c>
      <c r="H22" s="62" t="s">
        <v>284</v>
      </c>
      <c r="I22" s="62" t="s">
        <v>285</v>
      </c>
      <c r="J22" s="62" t="s">
        <v>286</v>
      </c>
      <c r="K22" s="62" t="s">
        <v>287</v>
      </c>
      <c r="M22" s="62" t="s">
        <v>288</v>
      </c>
      <c r="N22" s="62" t="s">
        <v>623</v>
      </c>
      <c r="O22" s="62" t="s">
        <v>289</v>
      </c>
      <c r="P22" s="62" t="s">
        <v>290</v>
      </c>
      <c r="Q22" s="62" t="s">
        <v>291</v>
      </c>
      <c r="R22" s="62" t="s">
        <v>292</v>
      </c>
      <c r="T22" s="62" t="s">
        <v>288</v>
      </c>
      <c r="U22" s="62" t="s">
        <v>623</v>
      </c>
      <c r="V22" s="62" t="s">
        <v>293</v>
      </c>
      <c r="W22" s="62" t="s">
        <v>294</v>
      </c>
      <c r="X22" s="62" t="s">
        <v>295</v>
      </c>
      <c r="Y22" s="62" t="s">
        <v>296</v>
      </c>
      <c r="AA22" s="62" t="s">
        <v>297</v>
      </c>
      <c r="AB22" s="62" t="s">
        <v>298</v>
      </c>
    </row>
    <row r="23" spans="1:28" x14ac:dyDescent="0.25">
      <c r="A23" s="62" t="s">
        <v>279</v>
      </c>
      <c r="C23" s="62" t="s">
        <v>299</v>
      </c>
      <c r="D23" s="62" t="s">
        <v>300</v>
      </c>
      <c r="E23" s="62" t="s">
        <v>301</v>
      </c>
      <c r="G23" s="62" t="s">
        <v>624</v>
      </c>
      <c r="H23" s="62" t="s">
        <v>302</v>
      </c>
      <c r="I23" s="62" t="s">
        <v>303</v>
      </c>
      <c r="J23" s="62" t="s">
        <v>77</v>
      </c>
      <c r="K23" s="62" t="s">
        <v>78</v>
      </c>
      <c r="M23" s="62" t="s">
        <v>304</v>
      </c>
      <c r="N23" s="62" t="s">
        <v>624</v>
      </c>
      <c r="O23" s="62" t="s">
        <v>305</v>
      </c>
      <c r="P23" s="62" t="s">
        <v>306</v>
      </c>
      <c r="Q23" s="62" t="s">
        <v>81</v>
      </c>
      <c r="R23" s="62" t="s">
        <v>82</v>
      </c>
      <c r="T23" s="62" t="s">
        <v>304</v>
      </c>
      <c r="U23" s="62" t="s">
        <v>624</v>
      </c>
      <c r="V23" s="62" t="s">
        <v>307</v>
      </c>
      <c r="W23" s="62" t="s">
        <v>308</v>
      </c>
      <c r="X23" s="62" t="s">
        <v>85</v>
      </c>
      <c r="Y23" s="62" t="s">
        <v>86</v>
      </c>
      <c r="AA23" s="62" t="s">
        <v>309</v>
      </c>
      <c r="AB23" s="62" t="s">
        <v>88</v>
      </c>
    </row>
    <row r="24" spans="1:28" x14ac:dyDescent="0.25">
      <c r="A24" s="62" t="s">
        <v>2</v>
      </c>
    </row>
    <row r="25" spans="1:28" x14ac:dyDescent="0.25">
      <c r="C25" s="62" t="s">
        <v>310</v>
      </c>
      <c r="H25" s="62" t="s">
        <v>311</v>
      </c>
      <c r="I25" s="62" t="s">
        <v>312</v>
      </c>
      <c r="J25" s="62" t="s">
        <v>313</v>
      </c>
      <c r="K25" s="62" t="s">
        <v>314</v>
      </c>
      <c r="O25" s="62" t="s">
        <v>315</v>
      </c>
      <c r="P25" s="62" t="s">
        <v>316</v>
      </c>
      <c r="Q25" s="62" t="s">
        <v>317</v>
      </c>
      <c r="R25" s="62" t="s">
        <v>318</v>
      </c>
      <c r="V25" s="62" t="s">
        <v>319</v>
      </c>
      <c r="W25" s="62" t="s">
        <v>320</v>
      </c>
      <c r="X25" s="62" t="s">
        <v>321</v>
      </c>
      <c r="Y25" s="62" t="s">
        <v>322</v>
      </c>
      <c r="AA25" s="62" t="s">
        <v>323</v>
      </c>
      <c r="AB25" s="62" t="s">
        <v>324</v>
      </c>
    </row>
    <row r="27" spans="1:28" x14ac:dyDescent="0.25">
      <c r="A27" s="62" t="s">
        <v>2</v>
      </c>
      <c r="G27" s="62" t="s">
        <v>16</v>
      </c>
      <c r="H27" s="62" t="s">
        <v>89</v>
      </c>
      <c r="I27" s="62" t="s">
        <v>325</v>
      </c>
      <c r="J27" s="62" t="s">
        <v>326</v>
      </c>
      <c r="N27" s="62" t="s">
        <v>16</v>
      </c>
      <c r="O27" s="62" t="s">
        <v>327</v>
      </c>
      <c r="P27" s="62" t="s">
        <v>328</v>
      </c>
      <c r="Q27" s="62" t="s">
        <v>329</v>
      </c>
      <c r="U27" s="62" t="s">
        <v>16</v>
      </c>
      <c r="V27" s="62" t="s">
        <v>330</v>
      </c>
      <c r="W27" s="62" t="s">
        <v>331</v>
      </c>
      <c r="X27" s="62" t="s">
        <v>332</v>
      </c>
    </row>
    <row r="28" spans="1:28" x14ac:dyDescent="0.25">
      <c r="A28" s="62" t="s">
        <v>2</v>
      </c>
      <c r="G28" s="62" t="s">
        <v>3</v>
      </c>
      <c r="H28" s="62" t="s">
        <v>333</v>
      </c>
      <c r="J28" s="62" t="s">
        <v>334</v>
      </c>
      <c r="N28" s="62" t="s">
        <v>3</v>
      </c>
      <c r="O28" s="62" t="s">
        <v>335</v>
      </c>
      <c r="Q28" s="62" t="s">
        <v>336</v>
      </c>
      <c r="U28" s="62" t="s">
        <v>3</v>
      </c>
      <c r="V28" s="62" t="s">
        <v>337</v>
      </c>
      <c r="X28" s="62" t="s">
        <v>338</v>
      </c>
    </row>
    <row r="29" spans="1:28" x14ac:dyDescent="0.25">
      <c r="H29" s="62" t="s">
        <v>339</v>
      </c>
      <c r="O29" s="62" t="s">
        <v>340</v>
      </c>
      <c r="V29" s="62" t="s">
        <v>341</v>
      </c>
      <c r="AA29" s="62" t="s">
        <v>20</v>
      </c>
    </row>
    <row r="30" spans="1:28" x14ac:dyDescent="0.25">
      <c r="H30" s="62" t="s">
        <v>7</v>
      </c>
      <c r="I30" s="62" t="s">
        <v>8</v>
      </c>
      <c r="J30" s="62" t="s">
        <v>9</v>
      </c>
      <c r="K30" s="62" t="s">
        <v>10</v>
      </c>
      <c r="O30" s="62" t="s">
        <v>7</v>
      </c>
      <c r="P30" s="62" t="s">
        <v>8</v>
      </c>
      <c r="Q30" s="62" t="s">
        <v>9</v>
      </c>
      <c r="R30" s="62" t="s">
        <v>10</v>
      </c>
      <c r="V30" s="62" t="s">
        <v>7</v>
      </c>
      <c r="W30" s="62" t="s">
        <v>8</v>
      </c>
      <c r="X30" s="62" t="s">
        <v>9</v>
      </c>
      <c r="Y30" s="62" t="s">
        <v>10</v>
      </c>
      <c r="AA30" s="62" t="s">
        <v>9</v>
      </c>
      <c r="AB30" s="62" t="s">
        <v>10</v>
      </c>
    </row>
    <row r="31" spans="1:28" x14ac:dyDescent="0.25">
      <c r="C31" s="62" t="s">
        <v>342</v>
      </c>
      <c r="D31" s="62" t="s">
        <v>343</v>
      </c>
      <c r="E31" s="62" t="s">
        <v>57</v>
      </c>
      <c r="G31" s="62" t="s">
        <v>625</v>
      </c>
      <c r="H31" s="62" t="s">
        <v>344</v>
      </c>
      <c r="I31" s="62" t="s">
        <v>345</v>
      </c>
      <c r="J31" s="62" t="s">
        <v>128</v>
      </c>
      <c r="K31" s="62" t="s">
        <v>129</v>
      </c>
      <c r="M31" s="62" t="s">
        <v>346</v>
      </c>
      <c r="N31" s="62" t="s">
        <v>625</v>
      </c>
      <c r="O31" s="62" t="s">
        <v>347</v>
      </c>
      <c r="P31" s="62" t="s">
        <v>348</v>
      </c>
      <c r="Q31" s="62" t="s">
        <v>132</v>
      </c>
      <c r="R31" s="62" t="s">
        <v>133</v>
      </c>
      <c r="T31" s="62" t="s">
        <v>346</v>
      </c>
      <c r="U31" s="62" t="s">
        <v>625</v>
      </c>
      <c r="V31" s="62" t="s">
        <v>349</v>
      </c>
      <c r="W31" s="62" t="s">
        <v>350</v>
      </c>
      <c r="X31" s="62" t="s">
        <v>136</v>
      </c>
      <c r="Y31" s="62" t="s">
        <v>137</v>
      </c>
      <c r="AA31" s="62" t="s">
        <v>351</v>
      </c>
      <c r="AB31" s="62" t="s">
        <v>139</v>
      </c>
    </row>
    <row r="32" spans="1:28" x14ac:dyDescent="0.25">
      <c r="A32" s="62" t="s">
        <v>279</v>
      </c>
      <c r="C32" s="62" t="s">
        <v>352</v>
      </c>
      <c r="D32" s="62" t="s">
        <v>353</v>
      </c>
      <c r="E32" s="62" t="s">
        <v>283</v>
      </c>
      <c r="G32" s="62" t="s">
        <v>626</v>
      </c>
      <c r="H32" s="62" t="s">
        <v>354</v>
      </c>
      <c r="I32" s="62" t="s">
        <v>355</v>
      </c>
      <c r="J32" s="62" t="s">
        <v>356</v>
      </c>
      <c r="K32" s="62" t="s">
        <v>357</v>
      </c>
      <c r="M32" s="62" t="s">
        <v>358</v>
      </c>
      <c r="N32" s="62" t="s">
        <v>626</v>
      </c>
      <c r="O32" s="62" t="s">
        <v>359</v>
      </c>
      <c r="P32" s="62" t="s">
        <v>360</v>
      </c>
      <c r="Q32" s="62" t="s">
        <v>361</v>
      </c>
      <c r="R32" s="62" t="s">
        <v>362</v>
      </c>
      <c r="T32" s="62" t="s">
        <v>358</v>
      </c>
      <c r="U32" s="62" t="s">
        <v>626</v>
      </c>
      <c r="V32" s="62" t="s">
        <v>363</v>
      </c>
      <c r="W32" s="62" t="s">
        <v>364</v>
      </c>
      <c r="X32" s="62" t="s">
        <v>365</v>
      </c>
      <c r="Y32" s="62" t="s">
        <v>366</v>
      </c>
      <c r="AA32" s="62" t="s">
        <v>367</v>
      </c>
      <c r="AB32" s="62" t="s">
        <v>368</v>
      </c>
    </row>
    <row r="33" spans="1:28" x14ac:dyDescent="0.25">
      <c r="A33" s="62" t="s">
        <v>279</v>
      </c>
      <c r="C33" s="62" t="s">
        <v>369</v>
      </c>
      <c r="D33" s="62" t="s">
        <v>370</v>
      </c>
      <c r="E33" s="62" t="s">
        <v>301</v>
      </c>
      <c r="G33" s="62" t="s">
        <v>627</v>
      </c>
      <c r="H33" s="62" t="s">
        <v>371</v>
      </c>
      <c r="I33" s="62" t="s">
        <v>372</v>
      </c>
      <c r="J33" s="62" t="s">
        <v>373</v>
      </c>
      <c r="K33" s="62" t="s">
        <v>374</v>
      </c>
      <c r="M33" s="62" t="s">
        <v>375</v>
      </c>
      <c r="N33" s="62" t="s">
        <v>627</v>
      </c>
      <c r="O33" s="62" t="s">
        <v>376</v>
      </c>
      <c r="P33" s="62" t="s">
        <v>377</v>
      </c>
      <c r="Q33" s="62" t="s">
        <v>378</v>
      </c>
      <c r="R33" s="62" t="s">
        <v>379</v>
      </c>
      <c r="T33" s="62" t="s">
        <v>375</v>
      </c>
      <c r="U33" s="62" t="s">
        <v>627</v>
      </c>
      <c r="V33" s="62" t="s">
        <v>380</v>
      </c>
      <c r="W33" s="62" t="s">
        <v>381</v>
      </c>
      <c r="X33" s="62" t="s">
        <v>382</v>
      </c>
      <c r="Y33" s="62" t="s">
        <v>383</v>
      </c>
      <c r="AA33" s="62" t="s">
        <v>384</v>
      </c>
      <c r="AB33" s="62" t="s">
        <v>385</v>
      </c>
    </row>
    <row r="34" spans="1:28" x14ac:dyDescent="0.25">
      <c r="A34" s="62" t="s">
        <v>2</v>
      </c>
    </row>
    <row r="35" spans="1:28" x14ac:dyDescent="0.25">
      <c r="C35" s="62" t="s">
        <v>386</v>
      </c>
      <c r="H35" s="62" t="s">
        <v>387</v>
      </c>
      <c r="I35" s="62" t="s">
        <v>388</v>
      </c>
      <c r="J35" s="62" t="s">
        <v>389</v>
      </c>
      <c r="K35" s="62" t="s">
        <v>390</v>
      </c>
      <c r="O35" s="62" t="s">
        <v>391</v>
      </c>
      <c r="P35" s="62" t="s">
        <v>392</v>
      </c>
      <c r="Q35" s="62" t="s">
        <v>393</v>
      </c>
      <c r="R35" s="62" t="s">
        <v>394</v>
      </c>
      <c r="V35" s="62" t="s">
        <v>395</v>
      </c>
      <c r="W35" s="62" t="s">
        <v>396</v>
      </c>
      <c r="X35" s="62" t="s">
        <v>397</v>
      </c>
      <c r="Y35" s="62" t="s">
        <v>398</v>
      </c>
      <c r="AA35" s="62" t="s">
        <v>399</v>
      </c>
      <c r="AB35" s="62" t="s">
        <v>400</v>
      </c>
    </row>
    <row r="37" spans="1:28" x14ac:dyDescent="0.25">
      <c r="A37" s="62" t="s">
        <v>2</v>
      </c>
      <c r="G37" s="62" t="s">
        <v>16</v>
      </c>
      <c r="H37" s="62" t="s">
        <v>401</v>
      </c>
      <c r="I37" s="62" t="s">
        <v>402</v>
      </c>
      <c r="J37" s="62" t="s">
        <v>403</v>
      </c>
      <c r="N37" s="62" t="s">
        <v>16</v>
      </c>
      <c r="O37" s="62" t="s">
        <v>404</v>
      </c>
      <c r="P37" s="62" t="s">
        <v>405</v>
      </c>
      <c r="Q37" s="62" t="s">
        <v>406</v>
      </c>
      <c r="U37" s="62" t="s">
        <v>16</v>
      </c>
      <c r="V37" s="62" t="s">
        <v>407</v>
      </c>
      <c r="W37" s="62" t="s">
        <v>408</v>
      </c>
      <c r="X37" s="62" t="s">
        <v>409</v>
      </c>
    </row>
    <row r="38" spans="1:28" x14ac:dyDescent="0.25">
      <c r="A38" s="62" t="s">
        <v>2</v>
      </c>
      <c r="G38" s="62" t="s">
        <v>3</v>
      </c>
      <c r="H38" s="62" t="s">
        <v>410</v>
      </c>
      <c r="J38" s="62" t="s">
        <v>411</v>
      </c>
      <c r="N38" s="62" t="s">
        <v>3</v>
      </c>
      <c r="O38" s="62" t="s">
        <v>412</v>
      </c>
      <c r="Q38" s="62" t="s">
        <v>413</v>
      </c>
      <c r="U38" s="62" t="s">
        <v>3</v>
      </c>
      <c r="V38" s="62" t="s">
        <v>414</v>
      </c>
      <c r="X38" s="62" t="s">
        <v>415</v>
      </c>
    </row>
    <row r="39" spans="1:28" x14ac:dyDescent="0.25">
      <c r="H39" s="62" t="s">
        <v>416</v>
      </c>
      <c r="O39" s="62" t="s">
        <v>417</v>
      </c>
      <c r="V39" s="62" t="s">
        <v>418</v>
      </c>
      <c r="AA39" s="62" t="s">
        <v>19</v>
      </c>
    </row>
    <row r="40" spans="1:28" x14ac:dyDescent="0.25">
      <c r="H40" s="62" t="s">
        <v>7</v>
      </c>
      <c r="I40" s="62" t="s">
        <v>8</v>
      </c>
      <c r="J40" s="62" t="s">
        <v>9</v>
      </c>
      <c r="K40" s="62" t="s">
        <v>10</v>
      </c>
      <c r="O40" s="62" t="s">
        <v>7</v>
      </c>
      <c r="P40" s="62" t="s">
        <v>8</v>
      </c>
      <c r="Q40" s="62" t="s">
        <v>9</v>
      </c>
      <c r="R40" s="62" t="s">
        <v>10</v>
      </c>
      <c r="V40" s="62" t="s">
        <v>7</v>
      </c>
      <c r="W40" s="62" t="s">
        <v>8</v>
      </c>
      <c r="X40" s="62" t="s">
        <v>9</v>
      </c>
      <c r="Y40" s="62" t="s">
        <v>10</v>
      </c>
      <c r="AA40" s="62" t="s">
        <v>9</v>
      </c>
      <c r="AB40" s="62" t="s">
        <v>10</v>
      </c>
    </row>
    <row r="41" spans="1:28" x14ac:dyDescent="0.25">
      <c r="C41" s="62" t="s">
        <v>419</v>
      </c>
      <c r="D41" s="62" t="s">
        <v>420</v>
      </c>
      <c r="E41" s="62" t="s">
        <v>57</v>
      </c>
      <c r="G41" s="62" t="s">
        <v>628</v>
      </c>
      <c r="H41" s="62" t="s">
        <v>421</v>
      </c>
      <c r="I41" s="62" t="s">
        <v>422</v>
      </c>
      <c r="J41" s="62" t="s">
        <v>423</v>
      </c>
      <c r="K41" s="62" t="s">
        <v>424</v>
      </c>
      <c r="M41" s="62" t="s">
        <v>425</v>
      </c>
      <c r="N41" s="62" t="s">
        <v>628</v>
      </c>
      <c r="O41" s="62" t="s">
        <v>426</v>
      </c>
      <c r="P41" s="62" t="s">
        <v>427</v>
      </c>
      <c r="Q41" s="62" t="s">
        <v>428</v>
      </c>
      <c r="R41" s="62" t="s">
        <v>429</v>
      </c>
      <c r="T41" s="62" t="s">
        <v>425</v>
      </c>
      <c r="U41" s="62" t="s">
        <v>628</v>
      </c>
      <c r="V41" s="62" t="s">
        <v>430</v>
      </c>
      <c r="W41" s="62" t="s">
        <v>431</v>
      </c>
      <c r="X41" s="62" t="s">
        <v>432</v>
      </c>
      <c r="Y41" s="62" t="s">
        <v>433</v>
      </c>
      <c r="AA41" s="62" t="s">
        <v>434</v>
      </c>
      <c r="AB41" s="62" t="s">
        <v>435</v>
      </c>
    </row>
    <row r="42" spans="1:28" x14ac:dyDescent="0.25">
      <c r="A42" s="62" t="s">
        <v>279</v>
      </c>
      <c r="C42" s="62" t="s">
        <v>436</v>
      </c>
      <c r="D42" s="62" t="s">
        <v>437</v>
      </c>
      <c r="E42" s="62" t="s">
        <v>283</v>
      </c>
      <c r="G42" s="62" t="s">
        <v>629</v>
      </c>
      <c r="H42" s="62" t="s">
        <v>438</v>
      </c>
      <c r="I42" s="62" t="s">
        <v>439</v>
      </c>
      <c r="J42" s="62" t="s">
        <v>440</v>
      </c>
      <c r="K42" s="62" t="s">
        <v>441</v>
      </c>
      <c r="M42" s="62" t="s">
        <v>442</v>
      </c>
      <c r="N42" s="62" t="s">
        <v>629</v>
      </c>
      <c r="O42" s="62" t="s">
        <v>443</v>
      </c>
      <c r="P42" s="62" t="s">
        <v>444</v>
      </c>
      <c r="Q42" s="62" t="s">
        <v>445</v>
      </c>
      <c r="R42" s="62" t="s">
        <v>446</v>
      </c>
      <c r="T42" s="62" t="s">
        <v>442</v>
      </c>
      <c r="U42" s="62" t="s">
        <v>629</v>
      </c>
      <c r="V42" s="62" t="s">
        <v>447</v>
      </c>
      <c r="W42" s="62" t="s">
        <v>448</v>
      </c>
      <c r="X42" s="62" t="s">
        <v>449</v>
      </c>
      <c r="Y42" s="62" t="s">
        <v>450</v>
      </c>
      <c r="AA42" s="62" t="s">
        <v>451</v>
      </c>
      <c r="AB42" s="62" t="s">
        <v>452</v>
      </c>
    </row>
    <row r="43" spans="1:28" x14ac:dyDescent="0.25">
      <c r="A43" s="62" t="s">
        <v>279</v>
      </c>
      <c r="C43" s="62" t="s">
        <v>453</v>
      </c>
      <c r="D43" s="62" t="s">
        <v>454</v>
      </c>
      <c r="E43" s="62" t="s">
        <v>301</v>
      </c>
      <c r="G43" s="62" t="s">
        <v>630</v>
      </c>
      <c r="H43" s="62" t="s">
        <v>455</v>
      </c>
      <c r="I43" s="62" t="s">
        <v>456</v>
      </c>
      <c r="J43" s="62" t="s">
        <v>457</v>
      </c>
      <c r="K43" s="62" t="s">
        <v>458</v>
      </c>
      <c r="M43" s="62" t="s">
        <v>459</v>
      </c>
      <c r="N43" s="62" t="s">
        <v>630</v>
      </c>
      <c r="O43" s="62" t="s">
        <v>460</v>
      </c>
      <c r="P43" s="62" t="s">
        <v>461</v>
      </c>
      <c r="Q43" s="62" t="s">
        <v>462</v>
      </c>
      <c r="R43" s="62" t="s">
        <v>463</v>
      </c>
      <c r="T43" s="62" t="s">
        <v>459</v>
      </c>
      <c r="U43" s="62" t="s">
        <v>630</v>
      </c>
      <c r="V43" s="62" t="s">
        <v>464</v>
      </c>
      <c r="W43" s="62" t="s">
        <v>465</v>
      </c>
      <c r="X43" s="62" t="s">
        <v>466</v>
      </c>
      <c r="Y43" s="62" t="s">
        <v>467</v>
      </c>
      <c r="AA43" s="62" t="s">
        <v>468</v>
      </c>
      <c r="AB43" s="62" t="s">
        <v>469</v>
      </c>
    </row>
    <row r="44" spans="1:28" x14ac:dyDescent="0.25">
      <c r="A44" s="62" t="s">
        <v>2</v>
      </c>
    </row>
    <row r="45" spans="1:28" x14ac:dyDescent="0.25">
      <c r="C45" s="62" t="s">
        <v>470</v>
      </c>
      <c r="H45" s="62" t="s">
        <v>471</v>
      </c>
      <c r="I45" s="62" t="s">
        <v>472</v>
      </c>
      <c r="J45" s="62" t="s">
        <v>214</v>
      </c>
      <c r="K45" s="62" t="s">
        <v>215</v>
      </c>
      <c r="O45" s="62" t="s">
        <v>473</v>
      </c>
      <c r="P45" s="62" t="s">
        <v>474</v>
      </c>
      <c r="Q45" s="62" t="s">
        <v>219</v>
      </c>
      <c r="R45" s="62" t="s">
        <v>220</v>
      </c>
      <c r="V45" s="62" t="s">
        <v>475</v>
      </c>
      <c r="W45" s="62" t="s">
        <v>476</v>
      </c>
      <c r="X45" s="62" t="s">
        <v>223</v>
      </c>
      <c r="Y45" s="62" t="s">
        <v>224</v>
      </c>
      <c r="AA45" s="62" t="s">
        <v>477</v>
      </c>
      <c r="AB45" s="62" t="s">
        <v>226</v>
      </c>
    </row>
    <row r="47" spans="1:28" x14ac:dyDescent="0.25">
      <c r="A47" s="62" t="s">
        <v>2</v>
      </c>
      <c r="G47" s="62" t="s">
        <v>16</v>
      </c>
      <c r="H47" s="62" t="s">
        <v>478</v>
      </c>
      <c r="I47" s="62" t="s">
        <v>479</v>
      </c>
      <c r="J47" s="62" t="s">
        <v>480</v>
      </c>
      <c r="N47" s="62" t="s">
        <v>16</v>
      </c>
      <c r="O47" s="62" t="s">
        <v>481</v>
      </c>
      <c r="P47" s="62" t="s">
        <v>482</v>
      </c>
      <c r="Q47" s="62" t="s">
        <v>483</v>
      </c>
      <c r="U47" s="62" t="s">
        <v>16</v>
      </c>
      <c r="V47" s="62" t="s">
        <v>484</v>
      </c>
      <c r="W47" s="62" t="s">
        <v>485</v>
      </c>
      <c r="X47" s="62" t="s">
        <v>486</v>
      </c>
    </row>
    <row r="48" spans="1:28" x14ac:dyDescent="0.25">
      <c r="A48" s="62" t="s">
        <v>2</v>
      </c>
      <c r="G48" s="62" t="s">
        <v>3</v>
      </c>
      <c r="H48" s="62" t="s">
        <v>487</v>
      </c>
      <c r="J48" s="62" t="s">
        <v>488</v>
      </c>
      <c r="N48" s="62" t="s">
        <v>3</v>
      </c>
      <c r="O48" s="62" t="s">
        <v>489</v>
      </c>
      <c r="Q48" s="62" t="s">
        <v>490</v>
      </c>
      <c r="U48" s="62" t="s">
        <v>3</v>
      </c>
      <c r="V48" s="62" t="s">
        <v>491</v>
      </c>
      <c r="X48" s="62" t="s">
        <v>492</v>
      </c>
    </row>
    <row r="49" spans="1:28" x14ac:dyDescent="0.25">
      <c r="H49" s="62" t="s">
        <v>493</v>
      </c>
      <c r="O49" s="62" t="s">
        <v>494</v>
      </c>
      <c r="V49" s="62" t="s">
        <v>495</v>
      </c>
      <c r="AA49" s="62" t="s">
        <v>18</v>
      </c>
    </row>
    <row r="50" spans="1:28" x14ac:dyDescent="0.25">
      <c r="H50" s="62" t="s">
        <v>7</v>
      </c>
      <c r="I50" s="62" t="s">
        <v>8</v>
      </c>
      <c r="J50" s="62" t="s">
        <v>9</v>
      </c>
      <c r="K50" s="62" t="s">
        <v>10</v>
      </c>
      <c r="O50" s="62" t="s">
        <v>7</v>
      </c>
      <c r="P50" s="62" t="s">
        <v>8</v>
      </c>
      <c r="Q50" s="62" t="s">
        <v>9</v>
      </c>
      <c r="R50" s="62" t="s">
        <v>10</v>
      </c>
      <c r="V50" s="62" t="s">
        <v>7</v>
      </c>
      <c r="W50" s="62" t="s">
        <v>8</v>
      </c>
      <c r="X50" s="62" t="s">
        <v>9</v>
      </c>
      <c r="Y50" s="62" t="s">
        <v>10</v>
      </c>
      <c r="AA50" s="62" t="s">
        <v>9</v>
      </c>
      <c r="AB50" s="62" t="s">
        <v>10</v>
      </c>
    </row>
    <row r="51" spans="1:28" x14ac:dyDescent="0.25">
      <c r="C51" s="62" t="s">
        <v>496</v>
      </c>
      <c r="D51" s="62" t="s">
        <v>497</v>
      </c>
      <c r="E51" s="62" t="s">
        <v>57</v>
      </c>
      <c r="G51" s="62" t="s">
        <v>242</v>
      </c>
      <c r="H51" s="62" t="s">
        <v>498</v>
      </c>
      <c r="I51" s="62" t="s">
        <v>499</v>
      </c>
      <c r="J51" s="62" t="s">
        <v>245</v>
      </c>
      <c r="K51" s="62" t="s">
        <v>500</v>
      </c>
      <c r="M51" s="62" t="s">
        <v>247</v>
      </c>
      <c r="N51" s="62" t="s">
        <v>242</v>
      </c>
      <c r="O51" s="62" t="s">
        <v>501</v>
      </c>
      <c r="P51" s="62" t="s">
        <v>502</v>
      </c>
      <c r="Q51" s="62" t="s">
        <v>250</v>
      </c>
      <c r="R51" s="62" t="s">
        <v>503</v>
      </c>
      <c r="T51" s="62" t="s">
        <v>247</v>
      </c>
      <c r="U51" s="62" t="s">
        <v>242</v>
      </c>
      <c r="V51" s="62" t="s">
        <v>504</v>
      </c>
      <c r="W51" s="62" t="s">
        <v>505</v>
      </c>
      <c r="X51" s="62" t="s">
        <v>506</v>
      </c>
      <c r="Y51" s="62" t="s">
        <v>507</v>
      </c>
      <c r="AA51" s="62" t="s">
        <v>508</v>
      </c>
      <c r="AB51" s="62" t="s">
        <v>509</v>
      </c>
    </row>
    <row r="52" spans="1:28" x14ac:dyDescent="0.25">
      <c r="A52" s="62" t="s">
        <v>279</v>
      </c>
      <c r="C52" s="62" t="s">
        <v>510</v>
      </c>
      <c r="D52" s="62" t="s">
        <v>511</v>
      </c>
      <c r="E52" s="62" t="s">
        <v>283</v>
      </c>
      <c r="G52" s="62" t="s">
        <v>631</v>
      </c>
      <c r="H52" s="62" t="s">
        <v>512</v>
      </c>
      <c r="I52" s="62" t="s">
        <v>513</v>
      </c>
      <c r="J52" s="62" t="s">
        <v>514</v>
      </c>
      <c r="K52" s="62" t="s">
        <v>515</v>
      </c>
      <c r="M52" s="62" t="s">
        <v>516</v>
      </c>
      <c r="N52" s="62" t="s">
        <v>631</v>
      </c>
      <c r="O52" s="62" t="s">
        <v>517</v>
      </c>
      <c r="P52" s="62" t="s">
        <v>518</v>
      </c>
      <c r="Q52" s="62" t="s">
        <v>519</v>
      </c>
      <c r="R52" s="62" t="s">
        <v>520</v>
      </c>
      <c r="T52" s="62" t="s">
        <v>516</v>
      </c>
      <c r="U52" s="62" t="s">
        <v>631</v>
      </c>
      <c r="V52" s="62" t="s">
        <v>521</v>
      </c>
      <c r="W52" s="62" t="s">
        <v>522</v>
      </c>
      <c r="X52" s="62" t="s">
        <v>523</v>
      </c>
      <c r="Y52" s="62" t="s">
        <v>524</v>
      </c>
      <c r="AA52" s="62" t="s">
        <v>525</v>
      </c>
      <c r="AB52" s="62" t="s">
        <v>526</v>
      </c>
    </row>
    <row r="53" spans="1:28" x14ac:dyDescent="0.25">
      <c r="A53" s="62" t="s">
        <v>279</v>
      </c>
      <c r="C53" s="62" t="s">
        <v>527</v>
      </c>
      <c r="D53" s="62" t="s">
        <v>528</v>
      </c>
      <c r="E53" s="62" t="s">
        <v>301</v>
      </c>
      <c r="G53" s="62" t="s">
        <v>632</v>
      </c>
      <c r="H53" s="62" t="s">
        <v>529</v>
      </c>
      <c r="I53" s="62" t="s">
        <v>530</v>
      </c>
      <c r="J53" s="62" t="s">
        <v>254</v>
      </c>
      <c r="K53" s="62" t="s">
        <v>531</v>
      </c>
      <c r="M53" s="62" t="s">
        <v>532</v>
      </c>
      <c r="N53" s="62" t="s">
        <v>632</v>
      </c>
      <c r="O53" s="62" t="s">
        <v>533</v>
      </c>
      <c r="P53" s="62" t="s">
        <v>534</v>
      </c>
      <c r="Q53" s="62" t="s">
        <v>258</v>
      </c>
      <c r="R53" s="62" t="s">
        <v>535</v>
      </c>
      <c r="T53" s="62" t="s">
        <v>532</v>
      </c>
      <c r="U53" s="62" t="s">
        <v>632</v>
      </c>
      <c r="V53" s="62" t="s">
        <v>536</v>
      </c>
      <c r="W53" s="62" t="s">
        <v>537</v>
      </c>
      <c r="X53" s="62" t="s">
        <v>538</v>
      </c>
      <c r="Y53" s="62" t="s">
        <v>539</v>
      </c>
      <c r="AA53" s="62" t="s">
        <v>540</v>
      </c>
      <c r="AB53" s="62" t="s">
        <v>541</v>
      </c>
    </row>
    <row r="54" spans="1:28" x14ac:dyDescent="0.25">
      <c r="A54" s="62" t="s">
        <v>2</v>
      </c>
    </row>
    <row r="55" spans="1:28" x14ac:dyDescent="0.25">
      <c r="C55" s="62" t="s">
        <v>542</v>
      </c>
      <c r="H55" s="62" t="s">
        <v>543</v>
      </c>
      <c r="I55" s="62" t="s">
        <v>544</v>
      </c>
      <c r="J55" s="62" t="s">
        <v>545</v>
      </c>
      <c r="K55" s="62" t="s">
        <v>546</v>
      </c>
      <c r="O55" s="62" t="s">
        <v>547</v>
      </c>
      <c r="P55" s="62" t="s">
        <v>548</v>
      </c>
      <c r="Q55" s="62" t="s">
        <v>549</v>
      </c>
      <c r="R55" s="62" t="s">
        <v>550</v>
      </c>
      <c r="V55" s="62" t="s">
        <v>551</v>
      </c>
      <c r="W55" s="62" t="s">
        <v>552</v>
      </c>
      <c r="X55" s="62" t="s">
        <v>553</v>
      </c>
      <c r="Y55" s="62" t="s">
        <v>554</v>
      </c>
      <c r="AA55" s="62" t="s">
        <v>555</v>
      </c>
      <c r="AB55" s="62" t="s">
        <v>556</v>
      </c>
    </row>
    <row r="57" spans="1:28" x14ac:dyDescent="0.25">
      <c r="A57" s="62" t="s">
        <v>13</v>
      </c>
      <c r="G57" s="62" t="s">
        <v>21</v>
      </c>
      <c r="H57" s="62" t="s">
        <v>17</v>
      </c>
      <c r="N57" s="62" t="s">
        <v>21</v>
      </c>
      <c r="O57" s="62" t="s">
        <v>20</v>
      </c>
    </row>
    <row r="58" spans="1:28" x14ac:dyDescent="0.25">
      <c r="H58" s="62" t="s">
        <v>7</v>
      </c>
      <c r="I58" s="62" t="s">
        <v>8</v>
      </c>
      <c r="J58" s="62" t="s">
        <v>9</v>
      </c>
      <c r="K58" s="62" t="s">
        <v>10</v>
      </c>
      <c r="O58" s="62" t="s">
        <v>7</v>
      </c>
      <c r="P58" s="62" t="s">
        <v>8</v>
      </c>
      <c r="Q58" s="62" t="s">
        <v>9</v>
      </c>
      <c r="R58" s="62" t="s">
        <v>10</v>
      </c>
    </row>
    <row r="59" spans="1:28" x14ac:dyDescent="0.25">
      <c r="E59" s="62" t="s">
        <v>57</v>
      </c>
      <c r="G59" s="62" t="s">
        <v>633</v>
      </c>
      <c r="H59" s="62" t="s">
        <v>557</v>
      </c>
      <c r="I59" s="62" t="s">
        <v>558</v>
      </c>
      <c r="J59" s="62" t="s">
        <v>272</v>
      </c>
      <c r="K59" s="62" t="s">
        <v>273</v>
      </c>
      <c r="M59" s="62" t="s">
        <v>559</v>
      </c>
      <c r="N59" s="62" t="s">
        <v>633</v>
      </c>
      <c r="O59" s="62" t="s">
        <v>560</v>
      </c>
      <c r="P59" s="62" t="s">
        <v>561</v>
      </c>
      <c r="Q59" s="62" t="s">
        <v>276</v>
      </c>
      <c r="R59" s="62" t="s">
        <v>277</v>
      </c>
    </row>
    <row r="60" spans="1:28" x14ac:dyDescent="0.25">
      <c r="A60" s="62" t="s">
        <v>279</v>
      </c>
      <c r="E60" s="62" t="s">
        <v>283</v>
      </c>
      <c r="G60" s="62" t="s">
        <v>634</v>
      </c>
      <c r="H60" s="62" t="s">
        <v>562</v>
      </c>
      <c r="I60" s="62" t="s">
        <v>563</v>
      </c>
      <c r="J60" s="62" t="s">
        <v>564</v>
      </c>
      <c r="K60" s="62" t="s">
        <v>565</v>
      </c>
      <c r="M60" s="62" t="s">
        <v>566</v>
      </c>
      <c r="N60" s="62" t="s">
        <v>634</v>
      </c>
      <c r="O60" s="62" t="s">
        <v>567</v>
      </c>
      <c r="P60" s="62" t="s">
        <v>568</v>
      </c>
      <c r="Q60" s="62" t="s">
        <v>569</v>
      </c>
      <c r="R60" s="62" t="s">
        <v>570</v>
      </c>
    </row>
    <row r="61" spans="1:28" x14ac:dyDescent="0.25">
      <c r="A61" s="62" t="s">
        <v>279</v>
      </c>
      <c r="E61" s="62" t="s">
        <v>301</v>
      </c>
      <c r="G61" s="62" t="s">
        <v>635</v>
      </c>
      <c r="H61" s="62" t="s">
        <v>571</v>
      </c>
      <c r="I61" s="62" t="s">
        <v>572</v>
      </c>
      <c r="J61" s="62" t="s">
        <v>573</v>
      </c>
      <c r="K61" s="62" t="s">
        <v>574</v>
      </c>
      <c r="M61" s="62" t="s">
        <v>575</v>
      </c>
      <c r="N61" s="62" t="s">
        <v>635</v>
      </c>
      <c r="O61" s="62" t="s">
        <v>576</v>
      </c>
      <c r="P61" s="62" t="s">
        <v>577</v>
      </c>
      <c r="Q61" s="62" t="s">
        <v>578</v>
      </c>
      <c r="R61" s="62" t="s">
        <v>579</v>
      </c>
    </row>
    <row r="62" spans="1:28" x14ac:dyDescent="0.25">
      <c r="A62" s="62" t="s">
        <v>2</v>
      </c>
    </row>
    <row r="63" spans="1:28" x14ac:dyDescent="0.25">
      <c r="H63" s="62" t="s">
        <v>580</v>
      </c>
      <c r="I63" s="62" t="s">
        <v>581</v>
      </c>
      <c r="J63" s="62" t="s">
        <v>582</v>
      </c>
      <c r="K63" s="62" t="s">
        <v>583</v>
      </c>
      <c r="O63" s="62" t="s">
        <v>584</v>
      </c>
      <c r="P63" s="62" t="s">
        <v>585</v>
      </c>
      <c r="Q63" s="62" t="s">
        <v>586</v>
      </c>
      <c r="R63" s="62" t="s">
        <v>587</v>
      </c>
    </row>
    <row r="65" spans="1:18" x14ac:dyDescent="0.25">
      <c r="G65" s="62" t="s">
        <v>21</v>
      </c>
      <c r="H65" s="62" t="s">
        <v>19</v>
      </c>
      <c r="N65" s="62" t="s">
        <v>21</v>
      </c>
      <c r="O65" s="62" t="s">
        <v>18</v>
      </c>
    </row>
    <row r="66" spans="1:18" x14ac:dyDescent="0.25">
      <c r="H66" s="62" t="s">
        <v>7</v>
      </c>
      <c r="I66" s="62" t="s">
        <v>8</v>
      </c>
      <c r="J66" s="62" t="s">
        <v>9</v>
      </c>
      <c r="K66" s="62" t="s">
        <v>10</v>
      </c>
      <c r="O66" s="62" t="s">
        <v>7</v>
      </c>
      <c r="P66" s="62" t="s">
        <v>8</v>
      </c>
      <c r="Q66" s="62" t="s">
        <v>9</v>
      </c>
      <c r="R66" s="62" t="s">
        <v>10</v>
      </c>
    </row>
    <row r="67" spans="1:18" x14ac:dyDescent="0.25">
      <c r="E67" s="62" t="s">
        <v>57</v>
      </c>
      <c r="G67" s="62" t="s">
        <v>636</v>
      </c>
      <c r="H67" s="62" t="s">
        <v>588</v>
      </c>
      <c r="I67" s="62" t="s">
        <v>589</v>
      </c>
      <c r="J67" s="62" t="s">
        <v>590</v>
      </c>
      <c r="K67" s="62" t="s">
        <v>591</v>
      </c>
      <c r="M67" s="62" t="s">
        <v>592</v>
      </c>
      <c r="N67" s="62" t="s">
        <v>636</v>
      </c>
      <c r="O67" s="62" t="s">
        <v>593</v>
      </c>
      <c r="P67" s="62" t="s">
        <v>594</v>
      </c>
      <c r="Q67" s="62" t="s">
        <v>595</v>
      </c>
      <c r="R67" s="62" t="s">
        <v>596</v>
      </c>
    </row>
    <row r="68" spans="1:18" x14ac:dyDescent="0.25">
      <c r="A68" s="62" t="s">
        <v>279</v>
      </c>
      <c r="E68" s="62" t="s">
        <v>283</v>
      </c>
      <c r="G68" s="62" t="s">
        <v>637</v>
      </c>
      <c r="H68" s="62" t="s">
        <v>597</v>
      </c>
      <c r="I68" s="62" t="s">
        <v>598</v>
      </c>
      <c r="J68" s="62" t="s">
        <v>599</v>
      </c>
      <c r="K68" s="62" t="s">
        <v>600</v>
      </c>
      <c r="M68" s="62" t="s">
        <v>601</v>
      </c>
      <c r="N68" s="62" t="s">
        <v>637</v>
      </c>
      <c r="O68" s="62" t="s">
        <v>602</v>
      </c>
      <c r="P68" s="62" t="s">
        <v>603</v>
      </c>
      <c r="Q68" s="62" t="s">
        <v>604</v>
      </c>
      <c r="R68" s="62" t="s">
        <v>605</v>
      </c>
    </row>
    <row r="69" spans="1:18" x14ac:dyDescent="0.25">
      <c r="A69" s="62" t="s">
        <v>279</v>
      </c>
      <c r="E69" s="62" t="s">
        <v>301</v>
      </c>
      <c r="G69" s="62" t="s">
        <v>638</v>
      </c>
      <c r="H69" s="62" t="s">
        <v>606</v>
      </c>
      <c r="I69" s="62" t="s">
        <v>607</v>
      </c>
      <c r="J69" s="62" t="s">
        <v>608</v>
      </c>
      <c r="K69" s="62" t="s">
        <v>609</v>
      </c>
      <c r="M69" s="62" t="s">
        <v>610</v>
      </c>
      <c r="N69" s="62" t="s">
        <v>638</v>
      </c>
      <c r="O69" s="62" t="s">
        <v>611</v>
      </c>
      <c r="P69" s="62" t="s">
        <v>612</v>
      </c>
      <c r="Q69" s="62" t="s">
        <v>613</v>
      </c>
      <c r="R69" s="62" t="s">
        <v>614</v>
      </c>
    </row>
    <row r="70" spans="1:18" x14ac:dyDescent="0.25">
      <c r="A70" s="62" t="s">
        <v>2</v>
      </c>
    </row>
    <row r="71" spans="1:18" x14ac:dyDescent="0.25">
      <c r="H71" s="62" t="s">
        <v>615</v>
      </c>
      <c r="I71" s="62" t="s">
        <v>616</v>
      </c>
      <c r="J71" s="62" t="s">
        <v>617</v>
      </c>
      <c r="K71" s="62" t="s">
        <v>618</v>
      </c>
      <c r="O71" s="62" t="s">
        <v>619</v>
      </c>
      <c r="P71" s="62" t="s">
        <v>620</v>
      </c>
      <c r="Q71" s="62" t="s">
        <v>621</v>
      </c>
      <c r="R71" s="62" t="s">
        <v>622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Options</vt:lpstr>
      <vt:lpstr>Report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Forecast to Actual Calendar Format</dc:title>
  <dc:subject>Jet Reports</dc:subject>
  <dc:creator>Joe Little</dc:creator>
  <dc:description>Sales forecast to actual in calendar format.  It includes monthly information as well as quarterly breakdowns.  Actual values are used to date and budget values are used for future periods to keep the end of quarter and year information as relevant as possible at all times during the year.</dc:description>
  <cp:lastModifiedBy>Haseeb Tariq</cp:lastModifiedBy>
  <cp:lastPrinted>2013-04-25T22:21:59Z</cp:lastPrinted>
  <dcterms:created xsi:type="dcterms:W3CDTF">2010-01-29T22:55:48Z</dcterms:created>
  <dcterms:modified xsi:type="dcterms:W3CDTF">2023-09-04T10:22:55Z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