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3167" documentId="11_123288E82C72E03E0C53BF3E28BAA96EE988662B" xr6:coauthVersionLast="47" xr6:coauthVersionMax="47" xr10:uidLastSave="{3DF33D0F-B65C-46C0-9DDB-B5DA9DE2E52D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All Locations" sheetId="2" r:id="rId2"/>
    <sheet name="NY-WHSE1" sheetId="3" r:id="rId3"/>
    <sheet name="NY-WHSE2" sheetId="237" r:id="rId4"/>
    <sheet name="Sheet24" sheetId="231" state="veryHidden" r:id="rId5"/>
    <sheet name="Sheet25" sheetId="232" state="veryHidden" r:id="rId6"/>
    <sheet name="Sheet26" sheetId="233" state="veryHidden" r:id="rId7"/>
    <sheet name="Sheet27" sheetId="234" state="veryHidden" r:id="rId8"/>
    <sheet name="Sheet28" sheetId="235" state="veryHidden" r:id="rId9"/>
    <sheet name="Sheet29" sheetId="236" state="veryHidden" r:id="rId10"/>
    <sheet name="Sheet31" sheetId="238" state="veryHidden" r:id="rId11"/>
    <sheet name="Sheet32" sheetId="239" state="veryHidden" r:id="rId12"/>
    <sheet name="Sheet33" sheetId="240" state="veryHidden" r:id="rId13"/>
    <sheet name="Sheet34" sheetId="241" state="veryHidden" r:id="rId14"/>
  </sheets>
  <definedNames>
    <definedName name="_xlnm._FilterDatabase" localSheetId="1" hidden="1">'All Locations'!$E$10:$U$13</definedName>
    <definedName name="_xlnm._FilterDatabase" localSheetId="2" hidden="1">'NY-WHSE1'!$E$10:$U$13</definedName>
    <definedName name="_xlnm._FilterDatabase" localSheetId="3" hidden="1">'NY-WHSE2'!$E$10:$U$13</definedName>
    <definedName name="AccountType">Options!$D6</definedName>
    <definedName name="Company">Options!$D$10</definedName>
    <definedName name="Datasource">Options!$D$9</definedName>
    <definedName name="DateFilter">Options!$F$12</definedName>
    <definedName name="EndDate">Options!$D$13</definedName>
    <definedName name="GLTotalingFilter" localSheetId="1">'All Locations'!$G1</definedName>
    <definedName name="GLTotalingFilter" localSheetId="3">'NY-WHSE2'!$G1</definedName>
    <definedName name="GLTotalingFilter">'NY-WHSE1'!$G1</definedName>
    <definedName name="Heading" localSheetId="1">'All Locations'!$E1</definedName>
    <definedName name="Heading" localSheetId="3">'NY-WHSE2'!$E1</definedName>
    <definedName name="Heading">'NY-WHSE1'!$E1</definedName>
    <definedName name="PeriodType">Options!$D$14</definedName>
    <definedName name="StartDate">Options!$D$12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3" l="1"/>
  <c r="E6" i="3"/>
  <c r="L6" i="3"/>
  <c r="L7" i="3"/>
  <c r="E12" i="3"/>
  <c r="F12" i="3"/>
  <c r="H12" i="3"/>
  <c r="O12" i="3"/>
  <c r="P12" i="3"/>
  <c r="Q12" i="3"/>
  <c r="R12" i="3"/>
  <c r="S12" i="3"/>
  <c r="T12" i="3"/>
  <c r="G13" i="3"/>
  <c r="J13" i="3"/>
  <c r="K13" i="3"/>
  <c r="L13" i="3"/>
  <c r="M13" i="3"/>
  <c r="N13" i="3"/>
  <c r="G14" i="3"/>
  <c r="J14" i="3"/>
  <c r="K14" i="3"/>
  <c r="L14" i="3"/>
  <c r="M14" i="3"/>
  <c r="N14" i="3"/>
  <c r="E17" i="3"/>
  <c r="F17" i="3"/>
  <c r="H17" i="3"/>
  <c r="O17" i="3"/>
  <c r="P17" i="3"/>
  <c r="Q17" i="3"/>
  <c r="R17" i="3"/>
  <c r="S17" i="3"/>
  <c r="T17" i="3"/>
  <c r="G18" i="3"/>
  <c r="J18" i="3"/>
  <c r="K18" i="3"/>
  <c r="L18" i="3"/>
  <c r="M18" i="3"/>
  <c r="N18" i="3"/>
  <c r="E21" i="3"/>
  <c r="F21" i="3"/>
  <c r="H21" i="3"/>
  <c r="O21" i="3"/>
  <c r="P21" i="3"/>
  <c r="Q21" i="3"/>
  <c r="R21" i="3"/>
  <c r="S21" i="3"/>
  <c r="T21" i="3"/>
  <c r="G22" i="3"/>
  <c r="J22" i="3"/>
  <c r="K22" i="3"/>
  <c r="L22" i="3"/>
  <c r="M22" i="3"/>
  <c r="N22" i="3"/>
  <c r="G23" i="3"/>
  <c r="J23" i="3"/>
  <c r="K23" i="3"/>
  <c r="L23" i="3"/>
  <c r="M23" i="3"/>
  <c r="N23" i="3"/>
  <c r="E26" i="3"/>
  <c r="F26" i="3"/>
  <c r="H26" i="3"/>
  <c r="O26" i="3"/>
  <c r="P26" i="3"/>
  <c r="Q26" i="3"/>
  <c r="R26" i="3"/>
  <c r="S26" i="3"/>
  <c r="T26" i="3"/>
  <c r="G27" i="3"/>
  <c r="J27" i="3"/>
  <c r="K27" i="3"/>
  <c r="L27" i="3"/>
  <c r="M27" i="3"/>
  <c r="N27" i="3"/>
  <c r="E30" i="3"/>
  <c r="D30" i="3" s="1"/>
  <c r="D31" i="3" s="1"/>
  <c r="F30" i="3"/>
  <c r="H30" i="3"/>
  <c r="O30" i="3"/>
  <c r="P30" i="3"/>
  <c r="Q30" i="3"/>
  <c r="R30" i="3"/>
  <c r="S30" i="3"/>
  <c r="T30" i="3"/>
  <c r="G31" i="3"/>
  <c r="J31" i="3"/>
  <c r="K31" i="3"/>
  <c r="L31" i="3"/>
  <c r="M31" i="3"/>
  <c r="N31" i="3"/>
  <c r="G32" i="3"/>
  <c r="J32" i="3"/>
  <c r="K32" i="3"/>
  <c r="L32" i="3"/>
  <c r="M32" i="3"/>
  <c r="N32" i="3"/>
  <c r="E35" i="3"/>
  <c r="F35" i="3"/>
  <c r="H35" i="3"/>
  <c r="O35" i="3"/>
  <c r="P35" i="3"/>
  <c r="Q35" i="3"/>
  <c r="R35" i="3"/>
  <c r="S35" i="3"/>
  <c r="T35" i="3"/>
  <c r="G36" i="3"/>
  <c r="J36" i="3"/>
  <c r="K36" i="3"/>
  <c r="L36" i="3"/>
  <c r="M36" i="3"/>
  <c r="N36" i="3"/>
  <c r="G37" i="3"/>
  <c r="J37" i="3"/>
  <c r="K37" i="3"/>
  <c r="L37" i="3"/>
  <c r="M37" i="3"/>
  <c r="N37" i="3"/>
  <c r="G38" i="3"/>
  <c r="J38" i="3"/>
  <c r="K38" i="3"/>
  <c r="L38" i="3"/>
  <c r="M38" i="3"/>
  <c r="N38" i="3"/>
  <c r="E41" i="3"/>
  <c r="F41" i="3"/>
  <c r="H41" i="3"/>
  <c r="O41" i="3"/>
  <c r="P41" i="3"/>
  <c r="Q41" i="3"/>
  <c r="R41" i="3"/>
  <c r="S41" i="3"/>
  <c r="T41" i="3"/>
  <c r="G42" i="3"/>
  <c r="J42" i="3"/>
  <c r="K42" i="3"/>
  <c r="L42" i="3"/>
  <c r="M42" i="3"/>
  <c r="N42" i="3"/>
  <c r="G43" i="3"/>
  <c r="J43" i="3"/>
  <c r="K43" i="3"/>
  <c r="L43" i="3"/>
  <c r="M43" i="3"/>
  <c r="N43" i="3"/>
  <c r="G44" i="3"/>
  <c r="J44" i="3"/>
  <c r="K44" i="3"/>
  <c r="L44" i="3"/>
  <c r="M44" i="3"/>
  <c r="N44" i="3"/>
  <c r="G45" i="3"/>
  <c r="J45" i="3"/>
  <c r="K45" i="3"/>
  <c r="L45" i="3"/>
  <c r="M45" i="3"/>
  <c r="N45" i="3"/>
  <c r="E48" i="3"/>
  <c r="F48" i="3"/>
  <c r="H48" i="3"/>
  <c r="O48" i="3"/>
  <c r="P48" i="3"/>
  <c r="Q48" i="3"/>
  <c r="R48" i="3"/>
  <c r="S48" i="3"/>
  <c r="T48" i="3"/>
  <c r="G49" i="3"/>
  <c r="J49" i="3"/>
  <c r="K49" i="3"/>
  <c r="L49" i="3"/>
  <c r="M49" i="3"/>
  <c r="N49" i="3"/>
  <c r="E52" i="3"/>
  <c r="D52" i="3" s="1"/>
  <c r="D53" i="3" s="1"/>
  <c r="F52" i="3"/>
  <c r="H52" i="3"/>
  <c r="O52" i="3"/>
  <c r="P52" i="3"/>
  <c r="Q52" i="3"/>
  <c r="R52" i="3"/>
  <c r="S52" i="3"/>
  <c r="T52" i="3"/>
  <c r="G53" i="3"/>
  <c r="J53" i="3"/>
  <c r="K53" i="3"/>
  <c r="L53" i="3"/>
  <c r="M53" i="3"/>
  <c r="N53" i="3"/>
  <c r="E56" i="3"/>
  <c r="D56" i="3" s="1"/>
  <c r="D57" i="3" s="1"/>
  <c r="F56" i="3"/>
  <c r="H56" i="3"/>
  <c r="O56" i="3"/>
  <c r="P56" i="3"/>
  <c r="Q56" i="3"/>
  <c r="R56" i="3"/>
  <c r="S56" i="3"/>
  <c r="T56" i="3"/>
  <c r="G57" i="3"/>
  <c r="J57" i="3"/>
  <c r="K57" i="3"/>
  <c r="L57" i="3"/>
  <c r="M57" i="3"/>
  <c r="N57" i="3"/>
  <c r="E60" i="3"/>
  <c r="D60" i="3" s="1"/>
  <c r="D61" i="3" s="1"/>
  <c r="F60" i="3"/>
  <c r="H60" i="3"/>
  <c r="O60" i="3"/>
  <c r="P60" i="3"/>
  <c r="Q60" i="3"/>
  <c r="R60" i="3"/>
  <c r="S60" i="3"/>
  <c r="T60" i="3"/>
  <c r="G61" i="3"/>
  <c r="J61" i="3"/>
  <c r="K61" i="3"/>
  <c r="L61" i="3"/>
  <c r="M61" i="3"/>
  <c r="N61" i="3"/>
  <c r="G62" i="3"/>
  <c r="J62" i="3"/>
  <c r="K62" i="3"/>
  <c r="L62" i="3"/>
  <c r="M62" i="3"/>
  <c r="N62" i="3"/>
  <c r="E65" i="3"/>
  <c r="D65" i="3" s="1"/>
  <c r="D66" i="3" s="1"/>
  <c r="F65" i="3"/>
  <c r="H65" i="3"/>
  <c r="O65" i="3"/>
  <c r="P65" i="3"/>
  <c r="Q65" i="3"/>
  <c r="R65" i="3"/>
  <c r="S65" i="3"/>
  <c r="T65" i="3"/>
  <c r="G66" i="3"/>
  <c r="J66" i="3"/>
  <c r="K66" i="3"/>
  <c r="L66" i="3"/>
  <c r="M66" i="3"/>
  <c r="N66" i="3"/>
  <c r="G67" i="3"/>
  <c r="J67" i="3"/>
  <c r="K67" i="3"/>
  <c r="L67" i="3"/>
  <c r="M67" i="3"/>
  <c r="N67" i="3"/>
  <c r="E70" i="3"/>
  <c r="F70" i="3"/>
  <c r="H70" i="3"/>
  <c r="O70" i="3"/>
  <c r="P70" i="3"/>
  <c r="Q70" i="3"/>
  <c r="R70" i="3"/>
  <c r="S70" i="3"/>
  <c r="T70" i="3"/>
  <c r="G71" i="3"/>
  <c r="J71" i="3"/>
  <c r="K71" i="3"/>
  <c r="L71" i="3"/>
  <c r="M71" i="3"/>
  <c r="N71" i="3"/>
  <c r="E74" i="3"/>
  <c r="F74" i="3"/>
  <c r="H74" i="3"/>
  <c r="O74" i="3"/>
  <c r="P74" i="3"/>
  <c r="Q74" i="3"/>
  <c r="R74" i="3"/>
  <c r="S74" i="3"/>
  <c r="T74" i="3"/>
  <c r="G75" i="3"/>
  <c r="J75" i="3"/>
  <c r="K75" i="3"/>
  <c r="L75" i="3"/>
  <c r="M75" i="3"/>
  <c r="N75" i="3"/>
  <c r="G76" i="3"/>
  <c r="J76" i="3"/>
  <c r="K76" i="3"/>
  <c r="L76" i="3"/>
  <c r="M76" i="3"/>
  <c r="N76" i="3"/>
  <c r="E79" i="3"/>
  <c r="F79" i="3"/>
  <c r="H79" i="3"/>
  <c r="O79" i="3"/>
  <c r="P79" i="3"/>
  <c r="Q79" i="3"/>
  <c r="R79" i="3"/>
  <c r="S79" i="3"/>
  <c r="T79" i="3"/>
  <c r="G80" i="3"/>
  <c r="J80" i="3"/>
  <c r="K80" i="3"/>
  <c r="L80" i="3"/>
  <c r="M80" i="3"/>
  <c r="N80" i="3"/>
  <c r="G81" i="3"/>
  <c r="J81" i="3"/>
  <c r="K81" i="3"/>
  <c r="L81" i="3"/>
  <c r="M81" i="3"/>
  <c r="N81" i="3"/>
  <c r="E84" i="3"/>
  <c r="D84" i="3" s="1"/>
  <c r="D85" i="3" s="1"/>
  <c r="F84" i="3"/>
  <c r="H84" i="3"/>
  <c r="O84" i="3"/>
  <c r="P84" i="3"/>
  <c r="Q84" i="3"/>
  <c r="R84" i="3"/>
  <c r="S84" i="3"/>
  <c r="T84" i="3"/>
  <c r="G85" i="3"/>
  <c r="J85" i="3"/>
  <c r="K85" i="3"/>
  <c r="L85" i="3"/>
  <c r="M85" i="3"/>
  <c r="N85" i="3"/>
  <c r="G86" i="3"/>
  <c r="J86" i="3"/>
  <c r="K86" i="3"/>
  <c r="L86" i="3"/>
  <c r="M86" i="3"/>
  <c r="N86" i="3"/>
  <c r="G87" i="3"/>
  <c r="J87" i="3"/>
  <c r="K87" i="3"/>
  <c r="L87" i="3"/>
  <c r="M87" i="3"/>
  <c r="N87" i="3"/>
  <c r="E90" i="3"/>
  <c r="F90" i="3"/>
  <c r="H90" i="3"/>
  <c r="O90" i="3"/>
  <c r="P90" i="3"/>
  <c r="Q90" i="3"/>
  <c r="R90" i="3"/>
  <c r="S90" i="3"/>
  <c r="T90" i="3"/>
  <c r="G91" i="3"/>
  <c r="J91" i="3"/>
  <c r="K91" i="3"/>
  <c r="L91" i="3"/>
  <c r="M91" i="3"/>
  <c r="N91" i="3"/>
  <c r="E94" i="3"/>
  <c r="F94" i="3"/>
  <c r="H94" i="3"/>
  <c r="O94" i="3"/>
  <c r="P94" i="3"/>
  <c r="Q94" i="3"/>
  <c r="R94" i="3"/>
  <c r="S94" i="3"/>
  <c r="T94" i="3"/>
  <c r="G95" i="3"/>
  <c r="J95" i="3"/>
  <c r="K95" i="3"/>
  <c r="L95" i="3"/>
  <c r="M95" i="3"/>
  <c r="N95" i="3"/>
  <c r="E98" i="3"/>
  <c r="F98" i="3"/>
  <c r="H98" i="3"/>
  <c r="O98" i="3"/>
  <c r="P98" i="3"/>
  <c r="Q98" i="3"/>
  <c r="R98" i="3"/>
  <c r="S98" i="3"/>
  <c r="T98" i="3"/>
  <c r="G99" i="3"/>
  <c r="J99" i="3"/>
  <c r="K99" i="3"/>
  <c r="L99" i="3"/>
  <c r="M99" i="3"/>
  <c r="N99" i="3"/>
  <c r="G100" i="3"/>
  <c r="J100" i="3"/>
  <c r="K100" i="3"/>
  <c r="L100" i="3"/>
  <c r="M100" i="3"/>
  <c r="N100" i="3"/>
  <c r="E103" i="3"/>
  <c r="F103" i="3"/>
  <c r="H103" i="3"/>
  <c r="O103" i="3"/>
  <c r="P103" i="3"/>
  <c r="Q103" i="3"/>
  <c r="R103" i="3"/>
  <c r="S103" i="3"/>
  <c r="T103" i="3"/>
  <c r="G104" i="3"/>
  <c r="J104" i="3"/>
  <c r="K104" i="3"/>
  <c r="L104" i="3"/>
  <c r="M104" i="3"/>
  <c r="N104" i="3"/>
  <c r="E107" i="3"/>
  <c r="F107" i="3"/>
  <c r="H107" i="3"/>
  <c r="O107" i="3"/>
  <c r="P107" i="3"/>
  <c r="Q107" i="3"/>
  <c r="R107" i="3"/>
  <c r="S107" i="3"/>
  <c r="T107" i="3"/>
  <c r="G108" i="3"/>
  <c r="J108" i="3"/>
  <c r="K108" i="3"/>
  <c r="L108" i="3"/>
  <c r="M108" i="3"/>
  <c r="N108" i="3"/>
  <c r="G109" i="3"/>
  <c r="J109" i="3"/>
  <c r="K109" i="3"/>
  <c r="L109" i="3"/>
  <c r="M109" i="3"/>
  <c r="N109" i="3"/>
  <c r="E112" i="3"/>
  <c r="D112" i="3" s="1"/>
  <c r="D113" i="3" s="1"/>
  <c r="F112" i="3"/>
  <c r="H112" i="3"/>
  <c r="O112" i="3"/>
  <c r="P112" i="3"/>
  <c r="Q112" i="3"/>
  <c r="R112" i="3"/>
  <c r="S112" i="3"/>
  <c r="T112" i="3"/>
  <c r="G113" i="3"/>
  <c r="J113" i="3"/>
  <c r="K113" i="3"/>
  <c r="L113" i="3"/>
  <c r="M113" i="3"/>
  <c r="N113" i="3"/>
  <c r="G114" i="3"/>
  <c r="J114" i="3"/>
  <c r="K114" i="3"/>
  <c r="L114" i="3"/>
  <c r="M114" i="3"/>
  <c r="N114" i="3"/>
  <c r="G115" i="3"/>
  <c r="J115" i="3"/>
  <c r="K115" i="3"/>
  <c r="L115" i="3"/>
  <c r="M115" i="3"/>
  <c r="N115" i="3"/>
  <c r="E118" i="3"/>
  <c r="F118" i="3"/>
  <c r="H118" i="3"/>
  <c r="O118" i="3"/>
  <c r="P118" i="3"/>
  <c r="Q118" i="3"/>
  <c r="R118" i="3"/>
  <c r="S118" i="3"/>
  <c r="T118" i="3"/>
  <c r="G119" i="3"/>
  <c r="J119" i="3"/>
  <c r="K119" i="3"/>
  <c r="L119" i="3"/>
  <c r="M119" i="3"/>
  <c r="N119" i="3"/>
  <c r="G120" i="3"/>
  <c r="J120" i="3"/>
  <c r="K120" i="3"/>
  <c r="L120" i="3"/>
  <c r="M120" i="3"/>
  <c r="N120" i="3"/>
  <c r="G121" i="3"/>
  <c r="J121" i="3"/>
  <c r="K121" i="3"/>
  <c r="L121" i="3"/>
  <c r="M121" i="3"/>
  <c r="N121" i="3"/>
  <c r="E124" i="3"/>
  <c r="F124" i="3"/>
  <c r="H124" i="3"/>
  <c r="O124" i="3"/>
  <c r="P124" i="3"/>
  <c r="Q124" i="3"/>
  <c r="R124" i="3"/>
  <c r="S124" i="3"/>
  <c r="T124" i="3"/>
  <c r="G125" i="3"/>
  <c r="J125" i="3"/>
  <c r="K125" i="3"/>
  <c r="L125" i="3"/>
  <c r="M125" i="3"/>
  <c r="N125" i="3"/>
  <c r="G126" i="3"/>
  <c r="J126" i="3"/>
  <c r="K126" i="3"/>
  <c r="L126" i="3"/>
  <c r="M126" i="3"/>
  <c r="N126" i="3"/>
  <c r="E129" i="3"/>
  <c r="D129" i="3" s="1"/>
  <c r="D130" i="3" s="1"/>
  <c r="F129" i="3"/>
  <c r="H129" i="3"/>
  <c r="O129" i="3"/>
  <c r="P129" i="3"/>
  <c r="Q129" i="3"/>
  <c r="R129" i="3"/>
  <c r="S129" i="3"/>
  <c r="T129" i="3"/>
  <c r="G130" i="3"/>
  <c r="J130" i="3"/>
  <c r="K130" i="3"/>
  <c r="L130" i="3"/>
  <c r="M130" i="3"/>
  <c r="N130" i="3"/>
  <c r="G131" i="3"/>
  <c r="J131" i="3"/>
  <c r="K131" i="3"/>
  <c r="L131" i="3"/>
  <c r="M131" i="3"/>
  <c r="N131" i="3"/>
  <c r="E134" i="3"/>
  <c r="F134" i="3"/>
  <c r="H134" i="3"/>
  <c r="O134" i="3"/>
  <c r="P134" i="3"/>
  <c r="Q134" i="3"/>
  <c r="R134" i="3"/>
  <c r="S134" i="3"/>
  <c r="T134" i="3"/>
  <c r="G135" i="3"/>
  <c r="J135" i="3"/>
  <c r="K135" i="3"/>
  <c r="L135" i="3"/>
  <c r="M135" i="3"/>
  <c r="N135" i="3"/>
  <c r="G136" i="3"/>
  <c r="J136" i="3"/>
  <c r="K136" i="3"/>
  <c r="L136" i="3"/>
  <c r="M136" i="3"/>
  <c r="N136" i="3"/>
  <c r="G137" i="3"/>
  <c r="J137" i="3"/>
  <c r="K137" i="3"/>
  <c r="L137" i="3"/>
  <c r="M137" i="3"/>
  <c r="N137" i="3"/>
  <c r="E140" i="3"/>
  <c r="D140" i="3" s="1"/>
  <c r="D141" i="3" s="1"/>
  <c r="F140" i="3"/>
  <c r="H140" i="3"/>
  <c r="O140" i="3"/>
  <c r="P140" i="3"/>
  <c r="Q140" i="3"/>
  <c r="R140" i="3"/>
  <c r="S140" i="3"/>
  <c r="T140" i="3"/>
  <c r="G141" i="3"/>
  <c r="J141" i="3"/>
  <c r="K141" i="3"/>
  <c r="L141" i="3"/>
  <c r="M141" i="3"/>
  <c r="N141" i="3"/>
  <c r="E144" i="3"/>
  <c r="D144" i="3" s="1"/>
  <c r="D145" i="3" s="1"/>
  <c r="F144" i="3"/>
  <c r="H144" i="3"/>
  <c r="O144" i="3"/>
  <c r="P144" i="3"/>
  <c r="Q144" i="3"/>
  <c r="R144" i="3"/>
  <c r="S144" i="3"/>
  <c r="T144" i="3"/>
  <c r="G145" i="3"/>
  <c r="J145" i="3"/>
  <c r="K145" i="3"/>
  <c r="L145" i="3"/>
  <c r="M145" i="3"/>
  <c r="N145" i="3"/>
  <c r="G146" i="3"/>
  <c r="J146" i="3"/>
  <c r="K146" i="3"/>
  <c r="L146" i="3"/>
  <c r="M146" i="3"/>
  <c r="N146" i="3"/>
  <c r="E149" i="3"/>
  <c r="F149" i="3"/>
  <c r="H149" i="3"/>
  <c r="O149" i="3"/>
  <c r="P149" i="3"/>
  <c r="Q149" i="3"/>
  <c r="R149" i="3"/>
  <c r="S149" i="3"/>
  <c r="T149" i="3"/>
  <c r="G150" i="3"/>
  <c r="J150" i="3"/>
  <c r="K150" i="3"/>
  <c r="L150" i="3"/>
  <c r="M150" i="3"/>
  <c r="N150" i="3"/>
  <c r="G151" i="3"/>
  <c r="J151" i="3"/>
  <c r="K151" i="3"/>
  <c r="L151" i="3"/>
  <c r="M151" i="3"/>
  <c r="N151" i="3"/>
  <c r="E154" i="3"/>
  <c r="F154" i="3"/>
  <c r="H154" i="3"/>
  <c r="O154" i="3"/>
  <c r="P154" i="3"/>
  <c r="Q154" i="3"/>
  <c r="R154" i="3"/>
  <c r="S154" i="3"/>
  <c r="T154" i="3"/>
  <c r="G155" i="3"/>
  <c r="J155" i="3"/>
  <c r="K155" i="3"/>
  <c r="L155" i="3"/>
  <c r="M155" i="3"/>
  <c r="N155" i="3"/>
  <c r="E158" i="3"/>
  <c r="F158" i="3"/>
  <c r="H158" i="3"/>
  <c r="O158" i="3"/>
  <c r="P158" i="3"/>
  <c r="Q158" i="3"/>
  <c r="R158" i="3"/>
  <c r="S158" i="3"/>
  <c r="T158" i="3"/>
  <c r="G159" i="3"/>
  <c r="J159" i="3"/>
  <c r="K159" i="3"/>
  <c r="L159" i="3"/>
  <c r="M159" i="3"/>
  <c r="N159" i="3"/>
  <c r="G160" i="3"/>
  <c r="J160" i="3"/>
  <c r="K160" i="3"/>
  <c r="L160" i="3"/>
  <c r="M160" i="3"/>
  <c r="N160" i="3"/>
  <c r="G161" i="3"/>
  <c r="J161" i="3"/>
  <c r="K161" i="3"/>
  <c r="L161" i="3"/>
  <c r="M161" i="3"/>
  <c r="N161" i="3"/>
  <c r="E164" i="3"/>
  <c r="F164" i="3"/>
  <c r="H164" i="3"/>
  <c r="O164" i="3"/>
  <c r="P164" i="3"/>
  <c r="Q164" i="3"/>
  <c r="R164" i="3"/>
  <c r="S164" i="3"/>
  <c r="T164" i="3"/>
  <c r="G165" i="3"/>
  <c r="J165" i="3"/>
  <c r="K165" i="3"/>
  <c r="L165" i="3"/>
  <c r="M165" i="3"/>
  <c r="N165" i="3"/>
  <c r="G166" i="3"/>
  <c r="J166" i="3"/>
  <c r="K166" i="3"/>
  <c r="L166" i="3"/>
  <c r="M166" i="3"/>
  <c r="N166" i="3"/>
  <c r="E169" i="3"/>
  <c r="F169" i="3"/>
  <c r="H169" i="3"/>
  <c r="O169" i="3"/>
  <c r="P169" i="3"/>
  <c r="Q169" i="3"/>
  <c r="R169" i="3"/>
  <c r="S169" i="3"/>
  <c r="T169" i="3"/>
  <c r="G170" i="3"/>
  <c r="J170" i="3"/>
  <c r="K170" i="3"/>
  <c r="L170" i="3"/>
  <c r="M170" i="3"/>
  <c r="N170" i="3"/>
  <c r="G171" i="3"/>
  <c r="J171" i="3"/>
  <c r="K171" i="3"/>
  <c r="L171" i="3"/>
  <c r="M171" i="3"/>
  <c r="N171" i="3"/>
  <c r="E174" i="3"/>
  <c r="F174" i="3"/>
  <c r="H174" i="3"/>
  <c r="O174" i="3"/>
  <c r="P174" i="3"/>
  <c r="Q174" i="3"/>
  <c r="R174" i="3"/>
  <c r="S174" i="3"/>
  <c r="T174" i="3"/>
  <c r="G175" i="3"/>
  <c r="J175" i="3"/>
  <c r="K175" i="3"/>
  <c r="L175" i="3"/>
  <c r="M175" i="3"/>
  <c r="N175" i="3"/>
  <c r="G176" i="3"/>
  <c r="J176" i="3"/>
  <c r="K176" i="3"/>
  <c r="L176" i="3"/>
  <c r="M176" i="3"/>
  <c r="N176" i="3"/>
  <c r="E179" i="3"/>
  <c r="D179" i="3" s="1"/>
  <c r="D180" i="3" s="1"/>
  <c r="F179" i="3"/>
  <c r="H179" i="3"/>
  <c r="O179" i="3"/>
  <c r="P179" i="3"/>
  <c r="Q179" i="3"/>
  <c r="R179" i="3"/>
  <c r="S179" i="3"/>
  <c r="T179" i="3"/>
  <c r="G180" i="3"/>
  <c r="J180" i="3"/>
  <c r="K180" i="3"/>
  <c r="L180" i="3"/>
  <c r="M180" i="3"/>
  <c r="N180" i="3"/>
  <c r="E183" i="3"/>
  <c r="F183" i="3"/>
  <c r="H183" i="3"/>
  <c r="O183" i="3"/>
  <c r="P183" i="3"/>
  <c r="Q183" i="3"/>
  <c r="R183" i="3"/>
  <c r="S183" i="3"/>
  <c r="T183" i="3"/>
  <c r="G184" i="3"/>
  <c r="J184" i="3"/>
  <c r="K184" i="3"/>
  <c r="L184" i="3"/>
  <c r="M184" i="3"/>
  <c r="N184" i="3"/>
  <c r="E187" i="3"/>
  <c r="D187" i="3" s="1"/>
  <c r="D188" i="3" s="1"/>
  <c r="F187" i="3"/>
  <c r="H187" i="3"/>
  <c r="O187" i="3"/>
  <c r="P187" i="3"/>
  <c r="Q187" i="3"/>
  <c r="R187" i="3"/>
  <c r="S187" i="3"/>
  <c r="T187" i="3"/>
  <c r="G188" i="3"/>
  <c r="J188" i="3"/>
  <c r="K188" i="3"/>
  <c r="L188" i="3"/>
  <c r="M188" i="3"/>
  <c r="N188" i="3"/>
  <c r="E191" i="3"/>
  <c r="F191" i="3"/>
  <c r="H191" i="3"/>
  <c r="O191" i="3"/>
  <c r="P191" i="3"/>
  <c r="Q191" i="3"/>
  <c r="R191" i="3"/>
  <c r="S191" i="3"/>
  <c r="T191" i="3"/>
  <c r="G192" i="3"/>
  <c r="J192" i="3"/>
  <c r="K192" i="3"/>
  <c r="L192" i="3"/>
  <c r="M192" i="3"/>
  <c r="N192" i="3"/>
  <c r="E195" i="3"/>
  <c r="F195" i="3"/>
  <c r="H195" i="3"/>
  <c r="O195" i="3"/>
  <c r="P195" i="3"/>
  <c r="Q195" i="3"/>
  <c r="R195" i="3"/>
  <c r="S195" i="3"/>
  <c r="T195" i="3"/>
  <c r="G196" i="3"/>
  <c r="J196" i="3"/>
  <c r="K196" i="3"/>
  <c r="L196" i="3"/>
  <c r="M196" i="3"/>
  <c r="N196" i="3"/>
  <c r="G197" i="3"/>
  <c r="J197" i="3"/>
  <c r="K197" i="3"/>
  <c r="L197" i="3"/>
  <c r="M197" i="3"/>
  <c r="N197" i="3"/>
  <c r="E200" i="3"/>
  <c r="F200" i="3"/>
  <c r="H200" i="3"/>
  <c r="O200" i="3"/>
  <c r="P200" i="3"/>
  <c r="Q200" i="3"/>
  <c r="R200" i="3"/>
  <c r="S200" i="3"/>
  <c r="T200" i="3"/>
  <c r="G201" i="3"/>
  <c r="J201" i="3"/>
  <c r="K201" i="3"/>
  <c r="L201" i="3"/>
  <c r="M201" i="3"/>
  <c r="N201" i="3"/>
  <c r="E204" i="3"/>
  <c r="F204" i="3"/>
  <c r="H204" i="3"/>
  <c r="O204" i="3"/>
  <c r="P204" i="3"/>
  <c r="Q204" i="3"/>
  <c r="R204" i="3"/>
  <c r="S204" i="3"/>
  <c r="T204" i="3"/>
  <c r="G205" i="3"/>
  <c r="J205" i="3"/>
  <c r="K205" i="3"/>
  <c r="L205" i="3"/>
  <c r="M205" i="3"/>
  <c r="N205" i="3"/>
  <c r="G206" i="3"/>
  <c r="J206" i="3"/>
  <c r="K206" i="3"/>
  <c r="L206" i="3"/>
  <c r="M206" i="3"/>
  <c r="N206" i="3"/>
  <c r="E209" i="3"/>
  <c r="F209" i="3"/>
  <c r="H209" i="3"/>
  <c r="O209" i="3"/>
  <c r="P209" i="3"/>
  <c r="Q209" i="3"/>
  <c r="R209" i="3"/>
  <c r="S209" i="3"/>
  <c r="T209" i="3"/>
  <c r="G210" i="3"/>
  <c r="J210" i="3"/>
  <c r="K210" i="3"/>
  <c r="L210" i="3"/>
  <c r="M210" i="3"/>
  <c r="N210" i="3"/>
  <c r="E213" i="3"/>
  <c r="F213" i="3"/>
  <c r="H213" i="3"/>
  <c r="O213" i="3"/>
  <c r="P213" i="3"/>
  <c r="Q213" i="3"/>
  <c r="R213" i="3"/>
  <c r="S213" i="3"/>
  <c r="T213" i="3"/>
  <c r="G214" i="3"/>
  <c r="J214" i="3"/>
  <c r="K214" i="3"/>
  <c r="L214" i="3"/>
  <c r="M214" i="3"/>
  <c r="N214" i="3"/>
  <c r="G215" i="3"/>
  <c r="J215" i="3"/>
  <c r="K215" i="3"/>
  <c r="L215" i="3"/>
  <c r="M215" i="3"/>
  <c r="N215" i="3"/>
  <c r="E218" i="3"/>
  <c r="F218" i="3"/>
  <c r="H218" i="3"/>
  <c r="O218" i="3"/>
  <c r="P218" i="3"/>
  <c r="Q218" i="3"/>
  <c r="R218" i="3"/>
  <c r="S218" i="3"/>
  <c r="T218" i="3"/>
  <c r="G219" i="3"/>
  <c r="J219" i="3"/>
  <c r="K219" i="3"/>
  <c r="L219" i="3"/>
  <c r="M219" i="3"/>
  <c r="N219" i="3"/>
  <c r="E222" i="3"/>
  <c r="F222" i="3"/>
  <c r="H222" i="3"/>
  <c r="O222" i="3"/>
  <c r="P222" i="3"/>
  <c r="Q222" i="3"/>
  <c r="R222" i="3"/>
  <c r="S222" i="3"/>
  <c r="T222" i="3"/>
  <c r="G223" i="3"/>
  <c r="J223" i="3"/>
  <c r="K223" i="3"/>
  <c r="L223" i="3"/>
  <c r="M223" i="3"/>
  <c r="N223" i="3"/>
  <c r="G224" i="3"/>
  <c r="J224" i="3"/>
  <c r="K224" i="3"/>
  <c r="L224" i="3"/>
  <c r="M224" i="3"/>
  <c r="N224" i="3"/>
  <c r="E227" i="3"/>
  <c r="F227" i="3"/>
  <c r="H227" i="3"/>
  <c r="O227" i="3"/>
  <c r="P227" i="3"/>
  <c r="Q227" i="3"/>
  <c r="R227" i="3"/>
  <c r="S227" i="3"/>
  <c r="T227" i="3"/>
  <c r="G228" i="3"/>
  <c r="J228" i="3"/>
  <c r="K228" i="3"/>
  <c r="L228" i="3"/>
  <c r="M228" i="3"/>
  <c r="N228" i="3"/>
  <c r="G229" i="3"/>
  <c r="J229" i="3"/>
  <c r="K229" i="3"/>
  <c r="L229" i="3"/>
  <c r="M229" i="3"/>
  <c r="N229" i="3"/>
  <c r="G230" i="3"/>
  <c r="J230" i="3"/>
  <c r="K230" i="3"/>
  <c r="L230" i="3"/>
  <c r="M230" i="3"/>
  <c r="N230" i="3"/>
  <c r="E233" i="3"/>
  <c r="F233" i="3"/>
  <c r="H233" i="3"/>
  <c r="O233" i="3"/>
  <c r="P233" i="3"/>
  <c r="Q233" i="3"/>
  <c r="R233" i="3"/>
  <c r="S233" i="3"/>
  <c r="T233" i="3"/>
  <c r="G234" i="3"/>
  <c r="J234" i="3"/>
  <c r="K234" i="3"/>
  <c r="L234" i="3"/>
  <c r="M234" i="3"/>
  <c r="N234" i="3"/>
  <c r="E237" i="3"/>
  <c r="F237" i="3"/>
  <c r="H237" i="3"/>
  <c r="O237" i="3"/>
  <c r="P237" i="3"/>
  <c r="Q237" i="3"/>
  <c r="R237" i="3"/>
  <c r="S237" i="3"/>
  <c r="T237" i="3"/>
  <c r="G238" i="3"/>
  <c r="J238" i="3"/>
  <c r="K238" i="3"/>
  <c r="L238" i="3"/>
  <c r="M238" i="3"/>
  <c r="N238" i="3"/>
  <c r="E241" i="3"/>
  <c r="F241" i="3"/>
  <c r="H241" i="3"/>
  <c r="O241" i="3"/>
  <c r="P241" i="3"/>
  <c r="Q241" i="3"/>
  <c r="R241" i="3"/>
  <c r="S241" i="3"/>
  <c r="T241" i="3"/>
  <c r="G242" i="3"/>
  <c r="J242" i="3"/>
  <c r="K242" i="3"/>
  <c r="L242" i="3"/>
  <c r="M242" i="3"/>
  <c r="N242" i="3"/>
  <c r="E245" i="3"/>
  <c r="F245" i="3"/>
  <c r="H245" i="3"/>
  <c r="O245" i="3"/>
  <c r="P245" i="3"/>
  <c r="Q245" i="3"/>
  <c r="R245" i="3"/>
  <c r="S245" i="3"/>
  <c r="T245" i="3"/>
  <c r="G246" i="3"/>
  <c r="J246" i="3"/>
  <c r="K246" i="3"/>
  <c r="L246" i="3"/>
  <c r="M246" i="3"/>
  <c r="N246" i="3"/>
  <c r="E249" i="3"/>
  <c r="F249" i="3"/>
  <c r="H249" i="3"/>
  <c r="O249" i="3"/>
  <c r="P249" i="3"/>
  <c r="Q249" i="3"/>
  <c r="R249" i="3"/>
  <c r="S249" i="3"/>
  <c r="T249" i="3"/>
  <c r="G250" i="3"/>
  <c r="J250" i="3"/>
  <c r="K250" i="3"/>
  <c r="L250" i="3"/>
  <c r="M250" i="3"/>
  <c r="N250" i="3"/>
  <c r="E253" i="3"/>
  <c r="D253" i="3" s="1"/>
  <c r="D254" i="3" s="1"/>
  <c r="F253" i="3"/>
  <c r="H253" i="3"/>
  <c r="O253" i="3"/>
  <c r="P253" i="3"/>
  <c r="Q253" i="3"/>
  <c r="R253" i="3"/>
  <c r="S253" i="3"/>
  <c r="T253" i="3"/>
  <c r="G254" i="3"/>
  <c r="J254" i="3"/>
  <c r="K254" i="3"/>
  <c r="L254" i="3"/>
  <c r="M254" i="3"/>
  <c r="N254" i="3"/>
  <c r="E257" i="3"/>
  <c r="D257" i="3" s="1"/>
  <c r="D258" i="3" s="1"/>
  <c r="F257" i="3"/>
  <c r="H257" i="3"/>
  <c r="O257" i="3"/>
  <c r="P257" i="3"/>
  <c r="Q257" i="3"/>
  <c r="R257" i="3"/>
  <c r="S257" i="3"/>
  <c r="T257" i="3"/>
  <c r="G258" i="3"/>
  <c r="J258" i="3"/>
  <c r="K258" i="3"/>
  <c r="L258" i="3"/>
  <c r="M258" i="3"/>
  <c r="N258" i="3"/>
  <c r="E261" i="3"/>
  <c r="D261" i="3" s="1"/>
  <c r="D262" i="3" s="1"/>
  <c r="F261" i="3"/>
  <c r="H261" i="3"/>
  <c r="O261" i="3"/>
  <c r="P261" i="3"/>
  <c r="Q261" i="3"/>
  <c r="R261" i="3"/>
  <c r="S261" i="3"/>
  <c r="T261" i="3"/>
  <c r="G262" i="3"/>
  <c r="J262" i="3"/>
  <c r="K262" i="3"/>
  <c r="L262" i="3"/>
  <c r="M262" i="3"/>
  <c r="N262" i="3"/>
  <c r="G263" i="3"/>
  <c r="J263" i="3"/>
  <c r="K263" i="3"/>
  <c r="L263" i="3"/>
  <c r="M263" i="3"/>
  <c r="N263" i="3"/>
  <c r="E266" i="3"/>
  <c r="F266" i="3"/>
  <c r="H266" i="3"/>
  <c r="O266" i="3"/>
  <c r="P266" i="3"/>
  <c r="Q266" i="3"/>
  <c r="R266" i="3"/>
  <c r="S266" i="3"/>
  <c r="T266" i="3"/>
  <c r="G267" i="3"/>
  <c r="J267" i="3"/>
  <c r="K267" i="3"/>
  <c r="L267" i="3"/>
  <c r="M267" i="3"/>
  <c r="N267" i="3"/>
  <c r="E270" i="3"/>
  <c r="F270" i="3"/>
  <c r="H270" i="3"/>
  <c r="O270" i="3"/>
  <c r="P270" i="3"/>
  <c r="Q270" i="3"/>
  <c r="R270" i="3"/>
  <c r="S270" i="3"/>
  <c r="T270" i="3"/>
  <c r="G271" i="3"/>
  <c r="J271" i="3"/>
  <c r="K271" i="3"/>
  <c r="L271" i="3"/>
  <c r="M271" i="3"/>
  <c r="N271" i="3"/>
  <c r="E274" i="3"/>
  <c r="F274" i="3"/>
  <c r="H274" i="3"/>
  <c r="O274" i="3"/>
  <c r="P274" i="3"/>
  <c r="Q274" i="3"/>
  <c r="R274" i="3"/>
  <c r="S274" i="3"/>
  <c r="T274" i="3"/>
  <c r="G275" i="3"/>
  <c r="J275" i="3"/>
  <c r="K275" i="3"/>
  <c r="L275" i="3"/>
  <c r="M275" i="3"/>
  <c r="N275" i="3"/>
  <c r="E278" i="3"/>
  <c r="D278" i="3" s="1"/>
  <c r="D279" i="3" s="1"/>
  <c r="F278" i="3"/>
  <c r="H278" i="3"/>
  <c r="O278" i="3"/>
  <c r="P278" i="3"/>
  <c r="Q278" i="3"/>
  <c r="R278" i="3"/>
  <c r="S278" i="3"/>
  <c r="T278" i="3"/>
  <c r="G279" i="3"/>
  <c r="J279" i="3"/>
  <c r="K279" i="3"/>
  <c r="L279" i="3"/>
  <c r="M279" i="3"/>
  <c r="N279" i="3"/>
  <c r="E282" i="3"/>
  <c r="D282" i="3" s="1"/>
  <c r="D283" i="3" s="1"/>
  <c r="F282" i="3"/>
  <c r="H282" i="3"/>
  <c r="O282" i="3"/>
  <c r="P282" i="3"/>
  <c r="Q282" i="3"/>
  <c r="R282" i="3"/>
  <c r="S282" i="3"/>
  <c r="T282" i="3"/>
  <c r="G283" i="3"/>
  <c r="J283" i="3"/>
  <c r="K283" i="3"/>
  <c r="L283" i="3"/>
  <c r="M283" i="3"/>
  <c r="N283" i="3"/>
  <c r="E286" i="3"/>
  <c r="D286" i="3" s="1"/>
  <c r="D287" i="3" s="1"/>
  <c r="F286" i="3"/>
  <c r="H286" i="3"/>
  <c r="O286" i="3"/>
  <c r="P286" i="3"/>
  <c r="Q286" i="3"/>
  <c r="R286" i="3"/>
  <c r="S286" i="3"/>
  <c r="T286" i="3"/>
  <c r="G287" i="3"/>
  <c r="J287" i="3"/>
  <c r="K287" i="3"/>
  <c r="L287" i="3"/>
  <c r="M287" i="3"/>
  <c r="N287" i="3"/>
  <c r="E290" i="3"/>
  <c r="F290" i="3"/>
  <c r="H290" i="3"/>
  <c r="O290" i="3"/>
  <c r="P290" i="3"/>
  <c r="Q290" i="3"/>
  <c r="R290" i="3"/>
  <c r="S290" i="3"/>
  <c r="T290" i="3"/>
  <c r="G291" i="3"/>
  <c r="J291" i="3"/>
  <c r="K291" i="3"/>
  <c r="L291" i="3"/>
  <c r="M291" i="3"/>
  <c r="N291" i="3"/>
  <c r="E294" i="3"/>
  <c r="F294" i="3"/>
  <c r="H294" i="3"/>
  <c r="O294" i="3"/>
  <c r="P294" i="3"/>
  <c r="Q294" i="3"/>
  <c r="R294" i="3"/>
  <c r="S294" i="3"/>
  <c r="T294" i="3"/>
  <c r="G295" i="3"/>
  <c r="J295" i="3"/>
  <c r="K295" i="3"/>
  <c r="L295" i="3"/>
  <c r="M295" i="3"/>
  <c r="N295" i="3"/>
  <c r="E298" i="3"/>
  <c r="D298" i="3" s="1"/>
  <c r="D299" i="3" s="1"/>
  <c r="F298" i="3"/>
  <c r="H298" i="3"/>
  <c r="O298" i="3"/>
  <c r="P298" i="3"/>
  <c r="Q298" i="3"/>
  <c r="R298" i="3"/>
  <c r="S298" i="3"/>
  <c r="T298" i="3"/>
  <c r="G299" i="3"/>
  <c r="J299" i="3"/>
  <c r="K299" i="3"/>
  <c r="L299" i="3"/>
  <c r="M299" i="3"/>
  <c r="N299" i="3"/>
  <c r="G300" i="3"/>
  <c r="J300" i="3"/>
  <c r="K300" i="3"/>
  <c r="L300" i="3"/>
  <c r="M300" i="3"/>
  <c r="N300" i="3"/>
  <c r="E303" i="3"/>
  <c r="F303" i="3"/>
  <c r="H303" i="3"/>
  <c r="O303" i="3"/>
  <c r="P303" i="3"/>
  <c r="Q303" i="3"/>
  <c r="R303" i="3"/>
  <c r="S303" i="3"/>
  <c r="T303" i="3"/>
  <c r="G304" i="3"/>
  <c r="J304" i="3"/>
  <c r="K304" i="3"/>
  <c r="L304" i="3"/>
  <c r="M304" i="3"/>
  <c r="N304" i="3"/>
  <c r="G305" i="3"/>
  <c r="J305" i="3"/>
  <c r="K305" i="3"/>
  <c r="L305" i="3"/>
  <c r="M305" i="3"/>
  <c r="N305" i="3"/>
  <c r="E308" i="3"/>
  <c r="F308" i="3"/>
  <c r="H308" i="3"/>
  <c r="O308" i="3"/>
  <c r="P308" i="3"/>
  <c r="Q308" i="3"/>
  <c r="R308" i="3"/>
  <c r="S308" i="3"/>
  <c r="T308" i="3"/>
  <c r="G309" i="3"/>
  <c r="J309" i="3"/>
  <c r="K309" i="3"/>
  <c r="L309" i="3"/>
  <c r="M309" i="3"/>
  <c r="N309" i="3"/>
  <c r="E312" i="3"/>
  <c r="F312" i="3"/>
  <c r="H312" i="3"/>
  <c r="O312" i="3"/>
  <c r="P312" i="3"/>
  <c r="Q312" i="3"/>
  <c r="R312" i="3"/>
  <c r="S312" i="3"/>
  <c r="T312" i="3"/>
  <c r="G313" i="3"/>
  <c r="J313" i="3"/>
  <c r="K313" i="3"/>
  <c r="L313" i="3"/>
  <c r="M313" i="3"/>
  <c r="N313" i="3"/>
  <c r="G314" i="3"/>
  <c r="J314" i="3"/>
  <c r="K314" i="3"/>
  <c r="L314" i="3"/>
  <c r="M314" i="3"/>
  <c r="N314" i="3"/>
  <c r="E317" i="3"/>
  <c r="F317" i="3"/>
  <c r="H317" i="3"/>
  <c r="O317" i="3"/>
  <c r="P317" i="3"/>
  <c r="Q317" i="3"/>
  <c r="R317" i="3"/>
  <c r="S317" i="3"/>
  <c r="T317" i="3"/>
  <c r="G318" i="3"/>
  <c r="J318" i="3"/>
  <c r="K318" i="3"/>
  <c r="L318" i="3"/>
  <c r="M318" i="3"/>
  <c r="N318" i="3"/>
  <c r="E321" i="3"/>
  <c r="F321" i="3"/>
  <c r="H321" i="3"/>
  <c r="O321" i="3"/>
  <c r="P321" i="3"/>
  <c r="Q321" i="3"/>
  <c r="R321" i="3"/>
  <c r="S321" i="3"/>
  <c r="T321" i="3"/>
  <c r="G322" i="3"/>
  <c r="J322" i="3"/>
  <c r="K322" i="3"/>
  <c r="L322" i="3"/>
  <c r="M322" i="3"/>
  <c r="N322" i="3"/>
  <c r="G323" i="3"/>
  <c r="J323" i="3"/>
  <c r="K323" i="3"/>
  <c r="L323" i="3"/>
  <c r="M323" i="3"/>
  <c r="N323" i="3"/>
  <c r="E326" i="3"/>
  <c r="F326" i="3"/>
  <c r="H326" i="3"/>
  <c r="O326" i="3"/>
  <c r="P326" i="3"/>
  <c r="Q326" i="3"/>
  <c r="R326" i="3"/>
  <c r="S326" i="3"/>
  <c r="T326" i="3"/>
  <c r="G327" i="3"/>
  <c r="J327" i="3"/>
  <c r="K327" i="3"/>
  <c r="L327" i="3"/>
  <c r="M327" i="3"/>
  <c r="N327" i="3"/>
  <c r="G328" i="3"/>
  <c r="J328" i="3"/>
  <c r="K328" i="3"/>
  <c r="L328" i="3"/>
  <c r="M328" i="3"/>
  <c r="N328" i="3"/>
  <c r="E331" i="3"/>
  <c r="F331" i="3"/>
  <c r="H331" i="3"/>
  <c r="O331" i="3"/>
  <c r="P331" i="3"/>
  <c r="Q331" i="3"/>
  <c r="R331" i="3"/>
  <c r="S331" i="3"/>
  <c r="T331" i="3"/>
  <c r="G332" i="3"/>
  <c r="J332" i="3"/>
  <c r="K332" i="3"/>
  <c r="L332" i="3"/>
  <c r="M332" i="3"/>
  <c r="N332" i="3"/>
  <c r="G333" i="3"/>
  <c r="J333" i="3"/>
  <c r="K333" i="3"/>
  <c r="L333" i="3"/>
  <c r="M333" i="3"/>
  <c r="N333" i="3"/>
  <c r="G334" i="3"/>
  <c r="J334" i="3"/>
  <c r="K334" i="3"/>
  <c r="L334" i="3"/>
  <c r="M334" i="3"/>
  <c r="N334" i="3"/>
  <c r="G335" i="3"/>
  <c r="J335" i="3"/>
  <c r="K335" i="3"/>
  <c r="L335" i="3"/>
  <c r="M335" i="3"/>
  <c r="N335" i="3"/>
  <c r="E338" i="3"/>
  <c r="F338" i="3"/>
  <c r="H338" i="3"/>
  <c r="O338" i="3"/>
  <c r="P338" i="3"/>
  <c r="Q338" i="3"/>
  <c r="R338" i="3"/>
  <c r="S338" i="3"/>
  <c r="T338" i="3"/>
  <c r="G339" i="3"/>
  <c r="J339" i="3"/>
  <c r="K339" i="3"/>
  <c r="L339" i="3"/>
  <c r="M339" i="3"/>
  <c r="N339" i="3"/>
  <c r="G340" i="3"/>
  <c r="J340" i="3"/>
  <c r="K340" i="3"/>
  <c r="L340" i="3"/>
  <c r="M340" i="3"/>
  <c r="N340" i="3"/>
  <c r="E343" i="3"/>
  <c r="F343" i="3"/>
  <c r="H343" i="3"/>
  <c r="O343" i="3"/>
  <c r="P343" i="3"/>
  <c r="Q343" i="3"/>
  <c r="R343" i="3"/>
  <c r="S343" i="3"/>
  <c r="T343" i="3"/>
  <c r="G344" i="3"/>
  <c r="J344" i="3"/>
  <c r="K344" i="3"/>
  <c r="L344" i="3"/>
  <c r="M344" i="3"/>
  <c r="N344" i="3"/>
  <c r="G345" i="3"/>
  <c r="J345" i="3"/>
  <c r="K345" i="3"/>
  <c r="L345" i="3"/>
  <c r="M345" i="3"/>
  <c r="N345" i="3"/>
  <c r="E348" i="3"/>
  <c r="D348" i="3" s="1"/>
  <c r="D349" i="3" s="1"/>
  <c r="D350" i="3" s="1"/>
  <c r="D351" i="3" s="1"/>
  <c r="D352" i="3" s="1"/>
  <c r="F348" i="3"/>
  <c r="H348" i="3"/>
  <c r="O348" i="3"/>
  <c r="P348" i="3"/>
  <c r="Q348" i="3"/>
  <c r="R348" i="3"/>
  <c r="S348" i="3"/>
  <c r="T348" i="3"/>
  <c r="G349" i="3"/>
  <c r="J349" i="3"/>
  <c r="K349" i="3"/>
  <c r="L349" i="3"/>
  <c r="M349" i="3"/>
  <c r="N349" i="3"/>
  <c r="G350" i="3"/>
  <c r="J350" i="3"/>
  <c r="K350" i="3"/>
  <c r="L350" i="3"/>
  <c r="M350" i="3"/>
  <c r="N350" i="3"/>
  <c r="G351" i="3"/>
  <c r="J351" i="3"/>
  <c r="K351" i="3"/>
  <c r="L351" i="3"/>
  <c r="M351" i="3"/>
  <c r="N351" i="3"/>
  <c r="G352" i="3"/>
  <c r="J352" i="3"/>
  <c r="K352" i="3"/>
  <c r="L352" i="3"/>
  <c r="M352" i="3"/>
  <c r="N352" i="3"/>
  <c r="E355" i="3"/>
  <c r="D355" i="3" s="1"/>
  <c r="D356" i="3" s="1"/>
  <c r="F355" i="3"/>
  <c r="H355" i="3"/>
  <c r="O355" i="3"/>
  <c r="P355" i="3"/>
  <c r="Q355" i="3"/>
  <c r="R355" i="3"/>
  <c r="S355" i="3"/>
  <c r="T355" i="3"/>
  <c r="G356" i="3"/>
  <c r="J356" i="3"/>
  <c r="K356" i="3"/>
  <c r="L356" i="3"/>
  <c r="M356" i="3"/>
  <c r="N356" i="3"/>
  <c r="E359" i="3"/>
  <c r="D359" i="3" s="1"/>
  <c r="D360" i="3" s="1"/>
  <c r="F359" i="3"/>
  <c r="H359" i="3"/>
  <c r="O359" i="3"/>
  <c r="P359" i="3"/>
  <c r="Q359" i="3"/>
  <c r="R359" i="3"/>
  <c r="S359" i="3"/>
  <c r="T359" i="3"/>
  <c r="G360" i="3"/>
  <c r="J360" i="3"/>
  <c r="K360" i="3"/>
  <c r="L360" i="3"/>
  <c r="M360" i="3"/>
  <c r="N360" i="3"/>
  <c r="E363" i="3"/>
  <c r="D363" i="3" s="1"/>
  <c r="D364" i="3" s="1"/>
  <c r="F363" i="3"/>
  <c r="H363" i="3"/>
  <c r="O363" i="3"/>
  <c r="P363" i="3"/>
  <c r="Q363" i="3"/>
  <c r="R363" i="3"/>
  <c r="S363" i="3"/>
  <c r="T363" i="3"/>
  <c r="G364" i="3"/>
  <c r="J364" i="3"/>
  <c r="K364" i="3"/>
  <c r="L364" i="3"/>
  <c r="M364" i="3"/>
  <c r="N364" i="3"/>
  <c r="G365" i="3"/>
  <c r="J365" i="3"/>
  <c r="K365" i="3"/>
  <c r="L365" i="3"/>
  <c r="M365" i="3"/>
  <c r="N365" i="3"/>
  <c r="E368" i="3"/>
  <c r="F368" i="3"/>
  <c r="H368" i="3"/>
  <c r="O368" i="3"/>
  <c r="P368" i="3"/>
  <c r="Q368" i="3"/>
  <c r="R368" i="3"/>
  <c r="S368" i="3"/>
  <c r="T368" i="3"/>
  <c r="G369" i="3"/>
  <c r="J369" i="3"/>
  <c r="K369" i="3"/>
  <c r="L369" i="3"/>
  <c r="M369" i="3"/>
  <c r="N369" i="3"/>
  <c r="E372" i="3"/>
  <c r="F372" i="3"/>
  <c r="H372" i="3"/>
  <c r="O372" i="3"/>
  <c r="P372" i="3"/>
  <c r="Q372" i="3"/>
  <c r="R372" i="3"/>
  <c r="S372" i="3"/>
  <c r="T372" i="3"/>
  <c r="G373" i="3"/>
  <c r="J373" i="3"/>
  <c r="K373" i="3"/>
  <c r="L373" i="3"/>
  <c r="M373" i="3"/>
  <c r="N373" i="3"/>
  <c r="E376" i="3"/>
  <c r="D376" i="3" s="1"/>
  <c r="D377" i="3" s="1"/>
  <c r="F376" i="3"/>
  <c r="H376" i="3"/>
  <c r="O376" i="3"/>
  <c r="P376" i="3"/>
  <c r="Q376" i="3"/>
  <c r="R376" i="3"/>
  <c r="S376" i="3"/>
  <c r="T376" i="3"/>
  <c r="G377" i="3"/>
  <c r="J377" i="3"/>
  <c r="K377" i="3"/>
  <c r="L377" i="3"/>
  <c r="M377" i="3"/>
  <c r="N377" i="3"/>
  <c r="E380" i="3"/>
  <c r="F380" i="3"/>
  <c r="H380" i="3"/>
  <c r="O380" i="3"/>
  <c r="P380" i="3"/>
  <c r="Q380" i="3"/>
  <c r="R380" i="3"/>
  <c r="S380" i="3"/>
  <c r="T380" i="3"/>
  <c r="G381" i="3"/>
  <c r="J381" i="3"/>
  <c r="K381" i="3"/>
  <c r="L381" i="3"/>
  <c r="M381" i="3"/>
  <c r="N381" i="3"/>
  <c r="E384" i="3"/>
  <c r="D384" i="3" s="1"/>
  <c r="D385" i="3" s="1"/>
  <c r="F384" i="3"/>
  <c r="H384" i="3"/>
  <c r="O384" i="3"/>
  <c r="P384" i="3"/>
  <c r="Q384" i="3"/>
  <c r="R384" i="3"/>
  <c r="S384" i="3"/>
  <c r="T384" i="3"/>
  <c r="G385" i="3"/>
  <c r="J385" i="3"/>
  <c r="K385" i="3"/>
  <c r="L385" i="3"/>
  <c r="M385" i="3"/>
  <c r="N385" i="3"/>
  <c r="E388" i="3"/>
  <c r="D388" i="3" s="1"/>
  <c r="D389" i="3" s="1"/>
  <c r="F388" i="3"/>
  <c r="H388" i="3"/>
  <c r="O388" i="3"/>
  <c r="P388" i="3"/>
  <c r="Q388" i="3"/>
  <c r="R388" i="3"/>
  <c r="S388" i="3"/>
  <c r="T388" i="3"/>
  <c r="G389" i="3"/>
  <c r="J389" i="3"/>
  <c r="K389" i="3"/>
  <c r="L389" i="3"/>
  <c r="M389" i="3"/>
  <c r="N389" i="3"/>
  <c r="E392" i="3"/>
  <c r="D392" i="3" s="1"/>
  <c r="D393" i="3" s="1"/>
  <c r="F392" i="3"/>
  <c r="H392" i="3"/>
  <c r="O392" i="3"/>
  <c r="P392" i="3"/>
  <c r="Q392" i="3"/>
  <c r="R392" i="3"/>
  <c r="S392" i="3"/>
  <c r="T392" i="3"/>
  <c r="G393" i="3"/>
  <c r="J393" i="3"/>
  <c r="K393" i="3"/>
  <c r="L393" i="3"/>
  <c r="M393" i="3"/>
  <c r="N393" i="3"/>
  <c r="E396" i="3"/>
  <c r="D396" i="3" s="1"/>
  <c r="D397" i="3" s="1"/>
  <c r="F396" i="3"/>
  <c r="H396" i="3"/>
  <c r="O396" i="3"/>
  <c r="P396" i="3"/>
  <c r="Q396" i="3"/>
  <c r="R396" i="3"/>
  <c r="S396" i="3"/>
  <c r="T396" i="3"/>
  <c r="G397" i="3"/>
  <c r="J397" i="3"/>
  <c r="K397" i="3"/>
  <c r="L397" i="3"/>
  <c r="M397" i="3"/>
  <c r="N397" i="3"/>
  <c r="G398" i="3"/>
  <c r="J398" i="3"/>
  <c r="K398" i="3"/>
  <c r="L398" i="3"/>
  <c r="M398" i="3"/>
  <c r="N398" i="3"/>
  <c r="E401" i="3"/>
  <c r="D401" i="3" s="1"/>
  <c r="D402" i="3" s="1"/>
  <c r="F401" i="3"/>
  <c r="H401" i="3"/>
  <c r="O401" i="3"/>
  <c r="P401" i="3"/>
  <c r="Q401" i="3"/>
  <c r="R401" i="3"/>
  <c r="S401" i="3"/>
  <c r="T401" i="3"/>
  <c r="G402" i="3"/>
  <c r="J402" i="3"/>
  <c r="K402" i="3"/>
  <c r="L402" i="3"/>
  <c r="M402" i="3"/>
  <c r="N402" i="3"/>
  <c r="E405" i="3"/>
  <c r="F405" i="3"/>
  <c r="H405" i="3"/>
  <c r="O405" i="3"/>
  <c r="P405" i="3"/>
  <c r="Q405" i="3"/>
  <c r="R405" i="3"/>
  <c r="S405" i="3"/>
  <c r="T405" i="3"/>
  <c r="G406" i="3"/>
  <c r="J406" i="3"/>
  <c r="K406" i="3"/>
  <c r="L406" i="3"/>
  <c r="M406" i="3"/>
  <c r="N406" i="3"/>
  <c r="G407" i="3"/>
  <c r="J407" i="3"/>
  <c r="K407" i="3"/>
  <c r="L407" i="3"/>
  <c r="M407" i="3"/>
  <c r="N407" i="3"/>
  <c r="E410" i="3"/>
  <c r="F410" i="3"/>
  <c r="H410" i="3"/>
  <c r="O410" i="3"/>
  <c r="P410" i="3"/>
  <c r="Q410" i="3"/>
  <c r="R410" i="3"/>
  <c r="S410" i="3"/>
  <c r="T410" i="3"/>
  <c r="G411" i="3"/>
  <c r="J411" i="3"/>
  <c r="K411" i="3"/>
  <c r="L411" i="3"/>
  <c r="M411" i="3"/>
  <c r="N411" i="3"/>
  <c r="E414" i="3"/>
  <c r="F414" i="3"/>
  <c r="H414" i="3"/>
  <c r="O414" i="3"/>
  <c r="P414" i="3"/>
  <c r="Q414" i="3"/>
  <c r="R414" i="3"/>
  <c r="S414" i="3"/>
  <c r="T414" i="3"/>
  <c r="G415" i="3"/>
  <c r="J415" i="3"/>
  <c r="K415" i="3"/>
  <c r="L415" i="3"/>
  <c r="M415" i="3"/>
  <c r="N415" i="3"/>
  <c r="E418" i="3"/>
  <c r="F418" i="3"/>
  <c r="H418" i="3"/>
  <c r="O418" i="3"/>
  <c r="P418" i="3"/>
  <c r="Q418" i="3"/>
  <c r="R418" i="3"/>
  <c r="S418" i="3"/>
  <c r="T418" i="3"/>
  <c r="G419" i="3"/>
  <c r="J419" i="3"/>
  <c r="K419" i="3"/>
  <c r="L419" i="3"/>
  <c r="M419" i="3"/>
  <c r="N419" i="3"/>
  <c r="E422" i="3"/>
  <c r="D422" i="3" s="1"/>
  <c r="D423" i="3" s="1"/>
  <c r="F422" i="3"/>
  <c r="H422" i="3"/>
  <c r="O422" i="3"/>
  <c r="P422" i="3"/>
  <c r="Q422" i="3"/>
  <c r="R422" i="3"/>
  <c r="S422" i="3"/>
  <c r="T422" i="3"/>
  <c r="G423" i="3"/>
  <c r="J423" i="3"/>
  <c r="K423" i="3"/>
  <c r="L423" i="3"/>
  <c r="M423" i="3"/>
  <c r="N423" i="3"/>
  <c r="E426" i="3"/>
  <c r="D426" i="3" s="1"/>
  <c r="D427" i="3" s="1"/>
  <c r="F426" i="3"/>
  <c r="H426" i="3"/>
  <c r="O426" i="3"/>
  <c r="P426" i="3"/>
  <c r="Q426" i="3"/>
  <c r="R426" i="3"/>
  <c r="S426" i="3"/>
  <c r="T426" i="3"/>
  <c r="G427" i="3"/>
  <c r="J427" i="3"/>
  <c r="K427" i="3"/>
  <c r="L427" i="3"/>
  <c r="M427" i="3"/>
  <c r="N427" i="3"/>
  <c r="E430" i="3"/>
  <c r="F430" i="3"/>
  <c r="H430" i="3"/>
  <c r="O430" i="3"/>
  <c r="P430" i="3"/>
  <c r="Q430" i="3"/>
  <c r="R430" i="3"/>
  <c r="S430" i="3"/>
  <c r="T430" i="3"/>
  <c r="G431" i="3"/>
  <c r="J431" i="3"/>
  <c r="K431" i="3"/>
  <c r="L431" i="3"/>
  <c r="M431" i="3"/>
  <c r="N431" i="3"/>
  <c r="E434" i="3"/>
  <c r="F434" i="3"/>
  <c r="H434" i="3"/>
  <c r="O434" i="3"/>
  <c r="P434" i="3"/>
  <c r="Q434" i="3"/>
  <c r="R434" i="3"/>
  <c r="S434" i="3"/>
  <c r="T434" i="3"/>
  <c r="G435" i="3"/>
  <c r="J435" i="3"/>
  <c r="K435" i="3"/>
  <c r="L435" i="3"/>
  <c r="M435" i="3"/>
  <c r="N435" i="3"/>
  <c r="E438" i="3"/>
  <c r="F438" i="3"/>
  <c r="H438" i="3"/>
  <c r="O438" i="3"/>
  <c r="P438" i="3"/>
  <c r="Q438" i="3"/>
  <c r="R438" i="3"/>
  <c r="S438" i="3"/>
  <c r="T438" i="3"/>
  <c r="G439" i="3"/>
  <c r="J439" i="3"/>
  <c r="K439" i="3"/>
  <c r="L439" i="3"/>
  <c r="M439" i="3"/>
  <c r="N439" i="3"/>
  <c r="E442" i="3"/>
  <c r="F442" i="3"/>
  <c r="H442" i="3"/>
  <c r="O442" i="3"/>
  <c r="P442" i="3"/>
  <c r="Q442" i="3"/>
  <c r="R442" i="3"/>
  <c r="S442" i="3"/>
  <c r="T442" i="3"/>
  <c r="G443" i="3"/>
  <c r="J443" i="3"/>
  <c r="K443" i="3"/>
  <c r="L443" i="3"/>
  <c r="M443" i="3"/>
  <c r="N443" i="3"/>
  <c r="E446" i="3"/>
  <c r="F446" i="3"/>
  <c r="H446" i="3"/>
  <c r="O446" i="3"/>
  <c r="P446" i="3"/>
  <c r="Q446" i="3"/>
  <c r="R446" i="3"/>
  <c r="S446" i="3"/>
  <c r="T446" i="3"/>
  <c r="G447" i="3"/>
  <c r="J447" i="3"/>
  <c r="K447" i="3"/>
  <c r="L447" i="3"/>
  <c r="M447" i="3"/>
  <c r="N447" i="3"/>
  <c r="E450" i="3"/>
  <c r="F450" i="3"/>
  <c r="H450" i="3"/>
  <c r="O450" i="3"/>
  <c r="P450" i="3"/>
  <c r="Q450" i="3"/>
  <c r="R450" i="3"/>
  <c r="S450" i="3"/>
  <c r="T450" i="3"/>
  <c r="G451" i="3"/>
  <c r="J451" i="3"/>
  <c r="K451" i="3"/>
  <c r="L451" i="3"/>
  <c r="M451" i="3"/>
  <c r="N451" i="3"/>
  <c r="E454" i="3"/>
  <c r="F454" i="3"/>
  <c r="H454" i="3"/>
  <c r="O454" i="3"/>
  <c r="P454" i="3"/>
  <c r="Q454" i="3"/>
  <c r="R454" i="3"/>
  <c r="S454" i="3"/>
  <c r="T454" i="3"/>
  <c r="G455" i="3"/>
  <c r="J455" i="3"/>
  <c r="K455" i="3"/>
  <c r="L455" i="3"/>
  <c r="M455" i="3"/>
  <c r="N455" i="3"/>
  <c r="G456" i="3"/>
  <c r="J456" i="3"/>
  <c r="K456" i="3"/>
  <c r="L456" i="3"/>
  <c r="M456" i="3"/>
  <c r="N456" i="3"/>
  <c r="E459" i="3"/>
  <c r="F459" i="3"/>
  <c r="H459" i="3"/>
  <c r="O459" i="3"/>
  <c r="P459" i="3"/>
  <c r="Q459" i="3"/>
  <c r="R459" i="3"/>
  <c r="S459" i="3"/>
  <c r="T459" i="3"/>
  <c r="G460" i="3"/>
  <c r="J460" i="3"/>
  <c r="K460" i="3"/>
  <c r="L460" i="3"/>
  <c r="M460" i="3"/>
  <c r="N460" i="3"/>
  <c r="G461" i="3"/>
  <c r="J461" i="3"/>
  <c r="K461" i="3"/>
  <c r="L461" i="3"/>
  <c r="M461" i="3"/>
  <c r="N461" i="3"/>
  <c r="E464" i="3"/>
  <c r="F464" i="3"/>
  <c r="H464" i="3"/>
  <c r="O464" i="3"/>
  <c r="P464" i="3"/>
  <c r="Q464" i="3"/>
  <c r="R464" i="3"/>
  <c r="S464" i="3"/>
  <c r="T464" i="3"/>
  <c r="G465" i="3"/>
  <c r="J465" i="3"/>
  <c r="K465" i="3"/>
  <c r="L465" i="3"/>
  <c r="M465" i="3"/>
  <c r="N465" i="3"/>
  <c r="E468" i="3"/>
  <c r="F468" i="3"/>
  <c r="H468" i="3"/>
  <c r="O468" i="3"/>
  <c r="P468" i="3"/>
  <c r="Q468" i="3"/>
  <c r="R468" i="3"/>
  <c r="S468" i="3"/>
  <c r="T468" i="3"/>
  <c r="G469" i="3"/>
  <c r="J469" i="3"/>
  <c r="K469" i="3"/>
  <c r="L469" i="3"/>
  <c r="M469" i="3"/>
  <c r="N469" i="3"/>
  <c r="G470" i="3"/>
  <c r="J470" i="3"/>
  <c r="K470" i="3"/>
  <c r="L470" i="3"/>
  <c r="M470" i="3"/>
  <c r="N470" i="3"/>
  <c r="E473" i="3"/>
  <c r="F473" i="3"/>
  <c r="H473" i="3"/>
  <c r="O473" i="3"/>
  <c r="P473" i="3"/>
  <c r="Q473" i="3"/>
  <c r="R473" i="3"/>
  <c r="S473" i="3"/>
  <c r="T473" i="3"/>
  <c r="G474" i="3"/>
  <c r="J474" i="3"/>
  <c r="K474" i="3"/>
  <c r="L474" i="3"/>
  <c r="M474" i="3"/>
  <c r="N474" i="3"/>
  <c r="G475" i="3"/>
  <c r="J475" i="3"/>
  <c r="K475" i="3"/>
  <c r="L475" i="3"/>
  <c r="M475" i="3"/>
  <c r="N475" i="3"/>
  <c r="E478" i="3"/>
  <c r="F478" i="3"/>
  <c r="H478" i="3"/>
  <c r="O478" i="3"/>
  <c r="P478" i="3"/>
  <c r="Q478" i="3"/>
  <c r="R478" i="3"/>
  <c r="S478" i="3"/>
  <c r="T478" i="3"/>
  <c r="G479" i="3"/>
  <c r="J479" i="3"/>
  <c r="K479" i="3"/>
  <c r="L479" i="3"/>
  <c r="M479" i="3"/>
  <c r="N479" i="3"/>
  <c r="E482" i="3"/>
  <c r="F482" i="3"/>
  <c r="H482" i="3"/>
  <c r="O482" i="3"/>
  <c r="P482" i="3"/>
  <c r="Q482" i="3"/>
  <c r="R482" i="3"/>
  <c r="S482" i="3"/>
  <c r="T482" i="3"/>
  <c r="G483" i="3"/>
  <c r="J483" i="3"/>
  <c r="K483" i="3"/>
  <c r="L483" i="3"/>
  <c r="M483" i="3"/>
  <c r="N483" i="3"/>
  <c r="E486" i="3"/>
  <c r="F486" i="3"/>
  <c r="H486" i="3"/>
  <c r="O486" i="3"/>
  <c r="P486" i="3"/>
  <c r="Q486" i="3"/>
  <c r="R486" i="3"/>
  <c r="S486" i="3"/>
  <c r="T486" i="3"/>
  <c r="G487" i="3"/>
  <c r="J487" i="3"/>
  <c r="K487" i="3"/>
  <c r="L487" i="3"/>
  <c r="M487" i="3"/>
  <c r="N487" i="3"/>
  <c r="G488" i="3"/>
  <c r="J488" i="3"/>
  <c r="K488" i="3"/>
  <c r="L488" i="3"/>
  <c r="M488" i="3"/>
  <c r="N488" i="3"/>
  <c r="E491" i="3"/>
  <c r="D491" i="3" s="1"/>
  <c r="D492" i="3" s="1"/>
  <c r="F491" i="3"/>
  <c r="H491" i="3"/>
  <c r="O491" i="3"/>
  <c r="P491" i="3"/>
  <c r="Q491" i="3"/>
  <c r="R491" i="3"/>
  <c r="S491" i="3"/>
  <c r="T491" i="3"/>
  <c r="G492" i="3"/>
  <c r="J492" i="3"/>
  <c r="K492" i="3"/>
  <c r="L492" i="3"/>
  <c r="M492" i="3"/>
  <c r="N492" i="3"/>
  <c r="E495" i="3"/>
  <c r="D495" i="3" s="1"/>
  <c r="D496" i="3" s="1"/>
  <c r="D497" i="3" s="1"/>
  <c r="F495" i="3"/>
  <c r="H495" i="3"/>
  <c r="O495" i="3"/>
  <c r="P495" i="3"/>
  <c r="Q495" i="3"/>
  <c r="R495" i="3"/>
  <c r="S495" i="3"/>
  <c r="T495" i="3"/>
  <c r="G496" i="3"/>
  <c r="J496" i="3"/>
  <c r="K496" i="3"/>
  <c r="L496" i="3"/>
  <c r="M496" i="3"/>
  <c r="N496" i="3"/>
  <c r="G497" i="3"/>
  <c r="J497" i="3"/>
  <c r="K497" i="3"/>
  <c r="L497" i="3"/>
  <c r="M497" i="3"/>
  <c r="N497" i="3"/>
  <c r="E500" i="3"/>
  <c r="F500" i="3"/>
  <c r="H500" i="3"/>
  <c r="O500" i="3"/>
  <c r="P500" i="3"/>
  <c r="Q500" i="3"/>
  <c r="R500" i="3"/>
  <c r="S500" i="3"/>
  <c r="T500" i="3"/>
  <c r="G501" i="3"/>
  <c r="J501" i="3"/>
  <c r="K501" i="3"/>
  <c r="L501" i="3"/>
  <c r="M501" i="3"/>
  <c r="N501" i="3"/>
  <c r="E504" i="3"/>
  <c r="F504" i="3"/>
  <c r="H504" i="3"/>
  <c r="O504" i="3"/>
  <c r="P504" i="3"/>
  <c r="Q504" i="3"/>
  <c r="R504" i="3"/>
  <c r="S504" i="3"/>
  <c r="T504" i="3"/>
  <c r="G505" i="3"/>
  <c r="J505" i="3"/>
  <c r="K505" i="3"/>
  <c r="L505" i="3"/>
  <c r="M505" i="3"/>
  <c r="N505" i="3"/>
  <c r="G506" i="3"/>
  <c r="J506" i="3"/>
  <c r="K506" i="3"/>
  <c r="L506" i="3"/>
  <c r="M506" i="3"/>
  <c r="N506" i="3"/>
  <c r="E509" i="3"/>
  <c r="F509" i="3"/>
  <c r="H509" i="3"/>
  <c r="O509" i="3"/>
  <c r="P509" i="3"/>
  <c r="Q509" i="3"/>
  <c r="R509" i="3"/>
  <c r="S509" i="3"/>
  <c r="T509" i="3"/>
  <c r="G510" i="3"/>
  <c r="J510" i="3"/>
  <c r="K510" i="3"/>
  <c r="L510" i="3"/>
  <c r="M510" i="3"/>
  <c r="N510" i="3"/>
  <c r="G511" i="3"/>
  <c r="J511" i="3"/>
  <c r="K511" i="3"/>
  <c r="L511" i="3"/>
  <c r="M511" i="3"/>
  <c r="N511" i="3"/>
  <c r="E514" i="3"/>
  <c r="D514" i="3" s="1"/>
  <c r="D515" i="3" s="1"/>
  <c r="F514" i="3"/>
  <c r="H514" i="3"/>
  <c r="O514" i="3"/>
  <c r="P514" i="3"/>
  <c r="Q514" i="3"/>
  <c r="R514" i="3"/>
  <c r="S514" i="3"/>
  <c r="T514" i="3"/>
  <c r="G515" i="3"/>
  <c r="J515" i="3"/>
  <c r="K515" i="3"/>
  <c r="L515" i="3"/>
  <c r="M515" i="3"/>
  <c r="N515" i="3"/>
  <c r="G516" i="3"/>
  <c r="J516" i="3"/>
  <c r="K516" i="3"/>
  <c r="L516" i="3"/>
  <c r="M516" i="3"/>
  <c r="N516" i="3"/>
  <c r="G517" i="3"/>
  <c r="J517" i="3"/>
  <c r="K517" i="3"/>
  <c r="L517" i="3"/>
  <c r="M517" i="3"/>
  <c r="N517" i="3"/>
  <c r="E520" i="3"/>
  <c r="F520" i="3"/>
  <c r="H520" i="3"/>
  <c r="O520" i="3"/>
  <c r="P520" i="3"/>
  <c r="Q520" i="3"/>
  <c r="R520" i="3"/>
  <c r="S520" i="3"/>
  <c r="T520" i="3"/>
  <c r="G521" i="3"/>
  <c r="J521" i="3"/>
  <c r="K521" i="3"/>
  <c r="L521" i="3"/>
  <c r="M521" i="3"/>
  <c r="N521" i="3"/>
  <c r="E524" i="3"/>
  <c r="F524" i="3"/>
  <c r="H524" i="3"/>
  <c r="O524" i="3"/>
  <c r="P524" i="3"/>
  <c r="Q524" i="3"/>
  <c r="R524" i="3"/>
  <c r="S524" i="3"/>
  <c r="T524" i="3"/>
  <c r="G525" i="3"/>
  <c r="J525" i="3"/>
  <c r="K525" i="3"/>
  <c r="L525" i="3"/>
  <c r="M525" i="3"/>
  <c r="N525" i="3"/>
  <c r="G526" i="3"/>
  <c r="J526" i="3"/>
  <c r="K526" i="3"/>
  <c r="L526" i="3"/>
  <c r="M526" i="3"/>
  <c r="N526" i="3"/>
  <c r="G527" i="3"/>
  <c r="J527" i="3"/>
  <c r="K527" i="3"/>
  <c r="L527" i="3"/>
  <c r="M527" i="3"/>
  <c r="N527" i="3"/>
  <c r="E530" i="3"/>
  <c r="D530" i="3" s="1"/>
  <c r="D531" i="3" s="1"/>
  <c r="D532" i="3" s="1"/>
  <c r="D533" i="3" s="1"/>
  <c r="F530" i="3"/>
  <c r="H530" i="3"/>
  <c r="O530" i="3"/>
  <c r="P530" i="3"/>
  <c r="Q530" i="3"/>
  <c r="R530" i="3"/>
  <c r="S530" i="3"/>
  <c r="T530" i="3"/>
  <c r="G531" i="3"/>
  <c r="J531" i="3"/>
  <c r="K531" i="3"/>
  <c r="L531" i="3"/>
  <c r="M531" i="3"/>
  <c r="N531" i="3"/>
  <c r="G532" i="3"/>
  <c r="J532" i="3"/>
  <c r="K532" i="3"/>
  <c r="L532" i="3"/>
  <c r="M532" i="3"/>
  <c r="N532" i="3"/>
  <c r="G533" i="3"/>
  <c r="J533" i="3"/>
  <c r="K533" i="3"/>
  <c r="L533" i="3"/>
  <c r="M533" i="3"/>
  <c r="N533" i="3"/>
  <c r="E536" i="3"/>
  <c r="F536" i="3"/>
  <c r="H536" i="3"/>
  <c r="O536" i="3"/>
  <c r="P536" i="3"/>
  <c r="Q536" i="3"/>
  <c r="R536" i="3"/>
  <c r="S536" i="3"/>
  <c r="T536" i="3"/>
  <c r="G537" i="3"/>
  <c r="J537" i="3"/>
  <c r="K537" i="3"/>
  <c r="L537" i="3"/>
  <c r="M537" i="3"/>
  <c r="N537" i="3"/>
  <c r="G538" i="3"/>
  <c r="J538" i="3"/>
  <c r="K538" i="3"/>
  <c r="L538" i="3"/>
  <c r="M538" i="3"/>
  <c r="N538" i="3"/>
  <c r="E541" i="3"/>
  <c r="D541" i="3" s="1"/>
  <c r="D542" i="3" s="1"/>
  <c r="F541" i="3"/>
  <c r="H541" i="3"/>
  <c r="O541" i="3"/>
  <c r="P541" i="3"/>
  <c r="Q541" i="3"/>
  <c r="R541" i="3"/>
  <c r="S541" i="3"/>
  <c r="T541" i="3"/>
  <c r="G542" i="3"/>
  <c r="J542" i="3"/>
  <c r="K542" i="3"/>
  <c r="L542" i="3"/>
  <c r="M542" i="3"/>
  <c r="N542" i="3"/>
  <c r="E545" i="3"/>
  <c r="D545" i="3" s="1"/>
  <c r="D546" i="3" s="1"/>
  <c r="F545" i="3"/>
  <c r="H545" i="3"/>
  <c r="O545" i="3"/>
  <c r="P545" i="3"/>
  <c r="Q545" i="3"/>
  <c r="R545" i="3"/>
  <c r="S545" i="3"/>
  <c r="T545" i="3"/>
  <c r="G546" i="3"/>
  <c r="J546" i="3"/>
  <c r="K546" i="3"/>
  <c r="L546" i="3"/>
  <c r="M546" i="3"/>
  <c r="N546" i="3"/>
  <c r="E549" i="3"/>
  <c r="F549" i="3"/>
  <c r="H549" i="3"/>
  <c r="O549" i="3"/>
  <c r="P549" i="3"/>
  <c r="Q549" i="3"/>
  <c r="R549" i="3"/>
  <c r="S549" i="3"/>
  <c r="T549" i="3"/>
  <c r="G550" i="3"/>
  <c r="J550" i="3"/>
  <c r="K550" i="3"/>
  <c r="L550" i="3"/>
  <c r="M550" i="3"/>
  <c r="N550" i="3"/>
  <c r="E553" i="3"/>
  <c r="F553" i="3"/>
  <c r="H553" i="3"/>
  <c r="O553" i="3"/>
  <c r="P553" i="3"/>
  <c r="Q553" i="3"/>
  <c r="R553" i="3"/>
  <c r="S553" i="3"/>
  <c r="T553" i="3"/>
  <c r="G554" i="3"/>
  <c r="J554" i="3"/>
  <c r="K554" i="3"/>
  <c r="L554" i="3"/>
  <c r="M554" i="3"/>
  <c r="N554" i="3"/>
  <c r="E557" i="3"/>
  <c r="F557" i="3"/>
  <c r="H557" i="3"/>
  <c r="O557" i="3"/>
  <c r="P557" i="3"/>
  <c r="Q557" i="3"/>
  <c r="R557" i="3"/>
  <c r="S557" i="3"/>
  <c r="T557" i="3"/>
  <c r="G558" i="3"/>
  <c r="J558" i="3"/>
  <c r="K558" i="3"/>
  <c r="L558" i="3"/>
  <c r="M558" i="3"/>
  <c r="N558" i="3"/>
  <c r="E561" i="3"/>
  <c r="D561" i="3" s="1"/>
  <c r="D562" i="3" s="1"/>
  <c r="F561" i="3"/>
  <c r="H561" i="3"/>
  <c r="O561" i="3"/>
  <c r="P561" i="3"/>
  <c r="Q561" i="3"/>
  <c r="R561" i="3"/>
  <c r="S561" i="3"/>
  <c r="T561" i="3"/>
  <c r="G562" i="3"/>
  <c r="J562" i="3"/>
  <c r="K562" i="3"/>
  <c r="L562" i="3"/>
  <c r="M562" i="3"/>
  <c r="N562" i="3"/>
  <c r="E565" i="3"/>
  <c r="F565" i="3"/>
  <c r="H565" i="3"/>
  <c r="O565" i="3"/>
  <c r="P565" i="3"/>
  <c r="Q565" i="3"/>
  <c r="R565" i="3"/>
  <c r="S565" i="3"/>
  <c r="T565" i="3"/>
  <c r="G566" i="3"/>
  <c r="J566" i="3"/>
  <c r="K566" i="3"/>
  <c r="L566" i="3"/>
  <c r="M566" i="3"/>
  <c r="N566" i="3"/>
  <c r="E569" i="3"/>
  <c r="F569" i="3"/>
  <c r="H569" i="3"/>
  <c r="O569" i="3"/>
  <c r="P569" i="3"/>
  <c r="Q569" i="3"/>
  <c r="R569" i="3"/>
  <c r="S569" i="3"/>
  <c r="T569" i="3"/>
  <c r="G570" i="3"/>
  <c r="J570" i="3"/>
  <c r="K570" i="3"/>
  <c r="L570" i="3"/>
  <c r="M570" i="3"/>
  <c r="N570" i="3"/>
  <c r="E573" i="3"/>
  <c r="F573" i="3"/>
  <c r="H573" i="3"/>
  <c r="O573" i="3"/>
  <c r="P573" i="3"/>
  <c r="Q573" i="3"/>
  <c r="R573" i="3"/>
  <c r="S573" i="3"/>
  <c r="T573" i="3"/>
  <c r="G574" i="3"/>
  <c r="J574" i="3"/>
  <c r="K574" i="3"/>
  <c r="L574" i="3"/>
  <c r="M574" i="3"/>
  <c r="N574" i="3"/>
  <c r="E577" i="3"/>
  <c r="F577" i="3"/>
  <c r="H577" i="3"/>
  <c r="O577" i="3"/>
  <c r="P577" i="3"/>
  <c r="Q577" i="3"/>
  <c r="R577" i="3"/>
  <c r="S577" i="3"/>
  <c r="T577" i="3"/>
  <c r="G578" i="3"/>
  <c r="J578" i="3"/>
  <c r="K578" i="3"/>
  <c r="L578" i="3"/>
  <c r="M578" i="3"/>
  <c r="N578" i="3"/>
  <c r="L5" i="2"/>
  <c r="L6" i="2"/>
  <c r="L7" i="2"/>
  <c r="E12" i="2"/>
  <c r="F12" i="2"/>
  <c r="H12" i="2"/>
  <c r="O12" i="2"/>
  <c r="P12" i="2"/>
  <c r="Q12" i="2"/>
  <c r="R12" i="2"/>
  <c r="S12" i="2"/>
  <c r="T12" i="2"/>
  <c r="G13" i="2"/>
  <c r="J13" i="2"/>
  <c r="K13" i="2"/>
  <c r="L13" i="2"/>
  <c r="M13" i="2"/>
  <c r="N13" i="2"/>
  <c r="G14" i="2"/>
  <c r="J14" i="2"/>
  <c r="K14" i="2"/>
  <c r="L14" i="2"/>
  <c r="M14" i="2"/>
  <c r="N14" i="2"/>
  <c r="E17" i="2"/>
  <c r="D17" i="2" s="1"/>
  <c r="D18" i="2" s="1"/>
  <c r="F17" i="2"/>
  <c r="H17" i="2"/>
  <c r="O17" i="2"/>
  <c r="P17" i="2"/>
  <c r="Q17" i="2"/>
  <c r="R17" i="2"/>
  <c r="S17" i="2"/>
  <c r="T17" i="2"/>
  <c r="G18" i="2"/>
  <c r="J18" i="2"/>
  <c r="K18" i="2"/>
  <c r="L18" i="2"/>
  <c r="M18" i="2"/>
  <c r="N18" i="2"/>
  <c r="G19" i="2"/>
  <c r="J19" i="2"/>
  <c r="K19" i="2"/>
  <c r="L19" i="2"/>
  <c r="M19" i="2"/>
  <c r="N19" i="2"/>
  <c r="E22" i="2"/>
  <c r="F22" i="2"/>
  <c r="H22" i="2"/>
  <c r="O22" i="2"/>
  <c r="P22" i="2"/>
  <c r="Q22" i="2"/>
  <c r="R22" i="2"/>
  <c r="S22" i="2"/>
  <c r="T22" i="2"/>
  <c r="G23" i="2"/>
  <c r="J23" i="2"/>
  <c r="K23" i="2"/>
  <c r="L23" i="2"/>
  <c r="M23" i="2"/>
  <c r="N23" i="2"/>
  <c r="G24" i="2"/>
  <c r="J24" i="2"/>
  <c r="K24" i="2"/>
  <c r="L24" i="2"/>
  <c r="M24" i="2"/>
  <c r="N24" i="2"/>
  <c r="E27" i="2"/>
  <c r="F27" i="2"/>
  <c r="H27" i="2"/>
  <c r="O27" i="2"/>
  <c r="P27" i="2"/>
  <c r="Q27" i="2"/>
  <c r="R27" i="2"/>
  <c r="S27" i="2"/>
  <c r="T27" i="2"/>
  <c r="G28" i="2"/>
  <c r="J28" i="2"/>
  <c r="K28" i="2"/>
  <c r="L28" i="2"/>
  <c r="M28" i="2"/>
  <c r="N28" i="2"/>
  <c r="G29" i="2"/>
  <c r="J29" i="2"/>
  <c r="K29" i="2"/>
  <c r="L29" i="2"/>
  <c r="M29" i="2"/>
  <c r="N29" i="2"/>
  <c r="G30" i="2"/>
  <c r="J30" i="2"/>
  <c r="K30" i="2"/>
  <c r="L30" i="2"/>
  <c r="M30" i="2"/>
  <c r="N30" i="2"/>
  <c r="E33" i="2"/>
  <c r="F33" i="2"/>
  <c r="H33" i="2"/>
  <c r="O33" i="2"/>
  <c r="P33" i="2"/>
  <c r="Q33" i="2"/>
  <c r="R33" i="2"/>
  <c r="S33" i="2"/>
  <c r="T33" i="2"/>
  <c r="G34" i="2"/>
  <c r="J34" i="2"/>
  <c r="K34" i="2"/>
  <c r="L34" i="2"/>
  <c r="M34" i="2"/>
  <c r="N34" i="2"/>
  <c r="G35" i="2"/>
  <c r="J35" i="2"/>
  <c r="K35" i="2"/>
  <c r="L35" i="2"/>
  <c r="M35" i="2"/>
  <c r="N35" i="2"/>
  <c r="G36" i="2"/>
  <c r="J36" i="2"/>
  <c r="K36" i="2"/>
  <c r="L36" i="2"/>
  <c r="M36" i="2"/>
  <c r="N36" i="2"/>
  <c r="G37" i="2"/>
  <c r="J37" i="2"/>
  <c r="K37" i="2"/>
  <c r="L37" i="2"/>
  <c r="M37" i="2"/>
  <c r="N37" i="2"/>
  <c r="E40" i="2"/>
  <c r="F40" i="2"/>
  <c r="H40" i="2"/>
  <c r="O40" i="2"/>
  <c r="P40" i="2"/>
  <c r="Q40" i="2"/>
  <c r="R40" i="2"/>
  <c r="S40" i="2"/>
  <c r="T40" i="2"/>
  <c r="G41" i="2"/>
  <c r="J41" i="2"/>
  <c r="K41" i="2"/>
  <c r="L41" i="2"/>
  <c r="M41" i="2"/>
  <c r="N41" i="2"/>
  <c r="G42" i="2"/>
  <c r="J42" i="2"/>
  <c r="K42" i="2"/>
  <c r="L42" i="2"/>
  <c r="M42" i="2"/>
  <c r="N42" i="2"/>
  <c r="G43" i="2"/>
  <c r="J43" i="2"/>
  <c r="K43" i="2"/>
  <c r="L43" i="2"/>
  <c r="M43" i="2"/>
  <c r="N43" i="2"/>
  <c r="E46" i="2"/>
  <c r="D46" i="2" s="1"/>
  <c r="D47" i="2" s="1"/>
  <c r="F46" i="2"/>
  <c r="H46" i="2"/>
  <c r="O46" i="2"/>
  <c r="P46" i="2"/>
  <c r="Q46" i="2"/>
  <c r="R46" i="2"/>
  <c r="S46" i="2"/>
  <c r="T46" i="2"/>
  <c r="G47" i="2"/>
  <c r="J47" i="2"/>
  <c r="K47" i="2"/>
  <c r="L47" i="2"/>
  <c r="M47" i="2"/>
  <c r="N47" i="2"/>
  <c r="G48" i="2"/>
  <c r="J48" i="2"/>
  <c r="K48" i="2"/>
  <c r="L48" i="2"/>
  <c r="M48" i="2"/>
  <c r="N48" i="2"/>
  <c r="G49" i="2"/>
  <c r="J49" i="2"/>
  <c r="K49" i="2"/>
  <c r="L49" i="2"/>
  <c r="M49" i="2"/>
  <c r="N49" i="2"/>
  <c r="G50" i="2"/>
  <c r="J50" i="2"/>
  <c r="K50" i="2"/>
  <c r="L50" i="2"/>
  <c r="M50" i="2"/>
  <c r="N50" i="2"/>
  <c r="E53" i="2"/>
  <c r="D53" i="2" s="1"/>
  <c r="D54" i="2" s="1"/>
  <c r="F53" i="2"/>
  <c r="H53" i="2"/>
  <c r="O53" i="2"/>
  <c r="P53" i="2"/>
  <c r="Q53" i="2"/>
  <c r="R53" i="2"/>
  <c r="S53" i="2"/>
  <c r="T53" i="2"/>
  <c r="G54" i="2"/>
  <c r="J54" i="2"/>
  <c r="K54" i="2"/>
  <c r="L54" i="2"/>
  <c r="M54" i="2"/>
  <c r="N54" i="2"/>
  <c r="E57" i="2"/>
  <c r="D57" i="2" s="1"/>
  <c r="D58" i="2" s="1"/>
  <c r="F57" i="2"/>
  <c r="H57" i="2"/>
  <c r="O57" i="2"/>
  <c r="P57" i="2"/>
  <c r="Q57" i="2"/>
  <c r="R57" i="2"/>
  <c r="S57" i="2"/>
  <c r="T57" i="2"/>
  <c r="G58" i="2"/>
  <c r="J58" i="2"/>
  <c r="K58" i="2"/>
  <c r="L58" i="2"/>
  <c r="M58" i="2"/>
  <c r="N58" i="2"/>
  <c r="E61" i="2"/>
  <c r="D61" i="2" s="1"/>
  <c r="D62" i="2" s="1"/>
  <c r="F61" i="2"/>
  <c r="H61" i="2"/>
  <c r="O61" i="2"/>
  <c r="P61" i="2"/>
  <c r="Q61" i="2"/>
  <c r="R61" i="2"/>
  <c r="S61" i="2"/>
  <c r="T61" i="2"/>
  <c r="G62" i="2"/>
  <c r="J62" i="2"/>
  <c r="K62" i="2"/>
  <c r="L62" i="2"/>
  <c r="M62" i="2"/>
  <c r="N62" i="2"/>
  <c r="E65" i="2"/>
  <c r="F65" i="2"/>
  <c r="H65" i="2"/>
  <c r="O65" i="2"/>
  <c r="P65" i="2"/>
  <c r="Q65" i="2"/>
  <c r="R65" i="2"/>
  <c r="S65" i="2"/>
  <c r="T65" i="2"/>
  <c r="G66" i="2"/>
  <c r="J66" i="2"/>
  <c r="K66" i="2"/>
  <c r="L66" i="2"/>
  <c r="M66" i="2"/>
  <c r="N66" i="2"/>
  <c r="G67" i="2"/>
  <c r="J67" i="2"/>
  <c r="K67" i="2"/>
  <c r="L67" i="2"/>
  <c r="M67" i="2"/>
  <c r="N67" i="2"/>
  <c r="E70" i="2"/>
  <c r="F70" i="2"/>
  <c r="H70" i="2"/>
  <c r="O70" i="2"/>
  <c r="P70" i="2"/>
  <c r="Q70" i="2"/>
  <c r="R70" i="2"/>
  <c r="S70" i="2"/>
  <c r="T70" i="2"/>
  <c r="G71" i="2"/>
  <c r="J71" i="2"/>
  <c r="K71" i="2"/>
  <c r="L71" i="2"/>
  <c r="M71" i="2"/>
  <c r="N71" i="2"/>
  <c r="G72" i="2"/>
  <c r="J72" i="2"/>
  <c r="K72" i="2"/>
  <c r="L72" i="2"/>
  <c r="M72" i="2"/>
  <c r="N72" i="2"/>
  <c r="G73" i="2"/>
  <c r="J73" i="2"/>
  <c r="K73" i="2"/>
  <c r="L73" i="2"/>
  <c r="M73" i="2"/>
  <c r="N73" i="2"/>
  <c r="E76" i="2"/>
  <c r="D76" i="2" s="1"/>
  <c r="D77" i="2" s="1"/>
  <c r="F76" i="2"/>
  <c r="H76" i="2"/>
  <c r="O76" i="2"/>
  <c r="P76" i="2"/>
  <c r="Q76" i="2"/>
  <c r="R76" i="2"/>
  <c r="S76" i="2"/>
  <c r="T76" i="2"/>
  <c r="G77" i="2"/>
  <c r="J77" i="2"/>
  <c r="K77" i="2"/>
  <c r="L77" i="2"/>
  <c r="M77" i="2"/>
  <c r="N77" i="2"/>
  <c r="E80" i="2"/>
  <c r="D80" i="2" s="1"/>
  <c r="D81" i="2" s="1"/>
  <c r="F80" i="2"/>
  <c r="H80" i="2"/>
  <c r="O80" i="2"/>
  <c r="P80" i="2"/>
  <c r="Q80" i="2"/>
  <c r="R80" i="2"/>
  <c r="S80" i="2"/>
  <c r="T80" i="2"/>
  <c r="G81" i="2"/>
  <c r="J81" i="2"/>
  <c r="K81" i="2"/>
  <c r="L81" i="2"/>
  <c r="M81" i="2"/>
  <c r="N81" i="2"/>
  <c r="G82" i="2"/>
  <c r="J82" i="2"/>
  <c r="K82" i="2"/>
  <c r="L82" i="2"/>
  <c r="M82" i="2"/>
  <c r="N82" i="2"/>
  <c r="E85" i="2"/>
  <c r="F85" i="2"/>
  <c r="H85" i="2"/>
  <c r="O85" i="2"/>
  <c r="P85" i="2"/>
  <c r="Q85" i="2"/>
  <c r="R85" i="2"/>
  <c r="S85" i="2"/>
  <c r="T85" i="2"/>
  <c r="G86" i="2"/>
  <c r="J86" i="2"/>
  <c r="K86" i="2"/>
  <c r="L86" i="2"/>
  <c r="M86" i="2"/>
  <c r="N86" i="2"/>
  <c r="G87" i="2"/>
  <c r="J87" i="2"/>
  <c r="K87" i="2"/>
  <c r="L87" i="2"/>
  <c r="M87" i="2"/>
  <c r="N87" i="2"/>
  <c r="E90" i="2"/>
  <c r="F90" i="2"/>
  <c r="H90" i="2"/>
  <c r="O90" i="2"/>
  <c r="P90" i="2"/>
  <c r="Q90" i="2"/>
  <c r="R90" i="2"/>
  <c r="S90" i="2"/>
  <c r="T90" i="2"/>
  <c r="G91" i="2"/>
  <c r="J91" i="2"/>
  <c r="K91" i="2"/>
  <c r="L91" i="2"/>
  <c r="M91" i="2"/>
  <c r="N91" i="2"/>
  <c r="G92" i="2"/>
  <c r="J92" i="2"/>
  <c r="K92" i="2"/>
  <c r="L92" i="2"/>
  <c r="M92" i="2"/>
  <c r="N92" i="2"/>
  <c r="G93" i="2"/>
  <c r="J93" i="2"/>
  <c r="K93" i="2"/>
  <c r="L93" i="2"/>
  <c r="M93" i="2"/>
  <c r="N93" i="2"/>
  <c r="E96" i="2"/>
  <c r="F96" i="2"/>
  <c r="H96" i="2"/>
  <c r="O96" i="2"/>
  <c r="P96" i="2"/>
  <c r="Q96" i="2"/>
  <c r="R96" i="2"/>
  <c r="S96" i="2"/>
  <c r="T96" i="2"/>
  <c r="G97" i="2"/>
  <c r="J97" i="2"/>
  <c r="K97" i="2"/>
  <c r="L97" i="2"/>
  <c r="M97" i="2"/>
  <c r="N97" i="2"/>
  <c r="G98" i="2"/>
  <c r="J98" i="2"/>
  <c r="K98" i="2"/>
  <c r="L98" i="2"/>
  <c r="M98" i="2"/>
  <c r="N98" i="2"/>
  <c r="G99" i="2"/>
  <c r="J99" i="2"/>
  <c r="K99" i="2"/>
  <c r="L99" i="2"/>
  <c r="M99" i="2"/>
  <c r="N99" i="2"/>
  <c r="E102" i="2"/>
  <c r="F102" i="2"/>
  <c r="H102" i="2"/>
  <c r="O102" i="2"/>
  <c r="P102" i="2"/>
  <c r="Q102" i="2"/>
  <c r="R102" i="2"/>
  <c r="S102" i="2"/>
  <c r="T102" i="2"/>
  <c r="G103" i="2"/>
  <c r="J103" i="2"/>
  <c r="K103" i="2"/>
  <c r="L103" i="2"/>
  <c r="M103" i="2"/>
  <c r="N103" i="2"/>
  <c r="G104" i="2"/>
  <c r="J104" i="2"/>
  <c r="K104" i="2"/>
  <c r="L104" i="2"/>
  <c r="M104" i="2"/>
  <c r="N104" i="2"/>
  <c r="G105" i="2"/>
  <c r="J105" i="2"/>
  <c r="K105" i="2"/>
  <c r="L105" i="2"/>
  <c r="M105" i="2"/>
  <c r="N105" i="2"/>
  <c r="G106" i="2"/>
  <c r="J106" i="2"/>
  <c r="K106" i="2"/>
  <c r="L106" i="2"/>
  <c r="M106" i="2"/>
  <c r="N106" i="2"/>
  <c r="E109" i="2"/>
  <c r="F109" i="2"/>
  <c r="H109" i="2"/>
  <c r="O109" i="2"/>
  <c r="P109" i="2"/>
  <c r="Q109" i="2"/>
  <c r="R109" i="2"/>
  <c r="S109" i="2"/>
  <c r="T109" i="2"/>
  <c r="G110" i="2"/>
  <c r="J110" i="2"/>
  <c r="K110" i="2"/>
  <c r="L110" i="2"/>
  <c r="M110" i="2"/>
  <c r="N110" i="2"/>
  <c r="G111" i="2"/>
  <c r="J111" i="2"/>
  <c r="K111" i="2"/>
  <c r="L111" i="2"/>
  <c r="M111" i="2"/>
  <c r="N111" i="2"/>
  <c r="E114" i="2"/>
  <c r="F114" i="2"/>
  <c r="H114" i="2"/>
  <c r="O114" i="2"/>
  <c r="P114" i="2"/>
  <c r="Q114" i="2"/>
  <c r="R114" i="2"/>
  <c r="S114" i="2"/>
  <c r="T114" i="2"/>
  <c r="G115" i="2"/>
  <c r="J115" i="2"/>
  <c r="K115" i="2"/>
  <c r="L115" i="2"/>
  <c r="M115" i="2"/>
  <c r="N115" i="2"/>
  <c r="G116" i="2"/>
  <c r="J116" i="2"/>
  <c r="K116" i="2"/>
  <c r="L116" i="2"/>
  <c r="M116" i="2"/>
  <c r="N116" i="2"/>
  <c r="G117" i="2"/>
  <c r="J117" i="2"/>
  <c r="K117" i="2"/>
  <c r="L117" i="2"/>
  <c r="M117" i="2"/>
  <c r="N117" i="2"/>
  <c r="E120" i="2"/>
  <c r="F120" i="2"/>
  <c r="H120" i="2"/>
  <c r="O120" i="2"/>
  <c r="P120" i="2"/>
  <c r="Q120" i="2"/>
  <c r="R120" i="2"/>
  <c r="S120" i="2"/>
  <c r="T120" i="2"/>
  <c r="G121" i="2"/>
  <c r="J121" i="2"/>
  <c r="K121" i="2"/>
  <c r="L121" i="2"/>
  <c r="M121" i="2"/>
  <c r="N121" i="2"/>
  <c r="G122" i="2"/>
  <c r="J122" i="2"/>
  <c r="K122" i="2"/>
  <c r="L122" i="2"/>
  <c r="M122" i="2"/>
  <c r="N122" i="2"/>
  <c r="G123" i="2"/>
  <c r="J123" i="2"/>
  <c r="K123" i="2"/>
  <c r="L123" i="2"/>
  <c r="M123" i="2"/>
  <c r="N123" i="2"/>
  <c r="G124" i="2"/>
  <c r="J124" i="2"/>
  <c r="K124" i="2"/>
  <c r="L124" i="2"/>
  <c r="M124" i="2"/>
  <c r="N124" i="2"/>
  <c r="E127" i="2"/>
  <c r="F127" i="2"/>
  <c r="H127" i="2"/>
  <c r="O127" i="2"/>
  <c r="P127" i="2"/>
  <c r="Q127" i="2"/>
  <c r="R127" i="2"/>
  <c r="S127" i="2"/>
  <c r="T127" i="2"/>
  <c r="G128" i="2"/>
  <c r="J128" i="2"/>
  <c r="K128" i="2"/>
  <c r="L128" i="2"/>
  <c r="M128" i="2"/>
  <c r="N128" i="2"/>
  <c r="E131" i="2"/>
  <c r="D131" i="2" s="1"/>
  <c r="D132" i="2" s="1"/>
  <c r="F131" i="2"/>
  <c r="H131" i="2"/>
  <c r="O131" i="2"/>
  <c r="P131" i="2"/>
  <c r="Q131" i="2"/>
  <c r="R131" i="2"/>
  <c r="S131" i="2"/>
  <c r="T131" i="2"/>
  <c r="G132" i="2"/>
  <c r="J132" i="2"/>
  <c r="K132" i="2"/>
  <c r="L132" i="2"/>
  <c r="M132" i="2"/>
  <c r="N132" i="2"/>
  <c r="G133" i="2"/>
  <c r="J133" i="2"/>
  <c r="K133" i="2"/>
  <c r="L133" i="2"/>
  <c r="M133" i="2"/>
  <c r="N133" i="2"/>
  <c r="G134" i="2"/>
  <c r="J134" i="2"/>
  <c r="K134" i="2"/>
  <c r="L134" i="2"/>
  <c r="M134" i="2"/>
  <c r="N134" i="2"/>
  <c r="G135" i="2"/>
  <c r="J135" i="2"/>
  <c r="K135" i="2"/>
  <c r="L135" i="2"/>
  <c r="M135" i="2"/>
  <c r="N135" i="2"/>
  <c r="G136" i="2"/>
  <c r="J136" i="2"/>
  <c r="K136" i="2"/>
  <c r="L136" i="2"/>
  <c r="M136" i="2"/>
  <c r="N136" i="2"/>
  <c r="G137" i="2"/>
  <c r="J137" i="2"/>
  <c r="K137" i="2"/>
  <c r="L137" i="2"/>
  <c r="M137" i="2"/>
  <c r="N137" i="2"/>
  <c r="E140" i="2"/>
  <c r="F140" i="2"/>
  <c r="H140" i="2"/>
  <c r="O140" i="2"/>
  <c r="P140" i="2"/>
  <c r="Q140" i="2"/>
  <c r="R140" i="2"/>
  <c r="S140" i="2"/>
  <c r="T140" i="2"/>
  <c r="G141" i="2"/>
  <c r="J141" i="2"/>
  <c r="K141" i="2"/>
  <c r="L141" i="2"/>
  <c r="M141" i="2"/>
  <c r="N141" i="2"/>
  <c r="G142" i="2"/>
  <c r="J142" i="2"/>
  <c r="K142" i="2"/>
  <c r="L142" i="2"/>
  <c r="M142" i="2"/>
  <c r="N142" i="2"/>
  <c r="G143" i="2"/>
  <c r="J143" i="2"/>
  <c r="K143" i="2"/>
  <c r="L143" i="2"/>
  <c r="M143" i="2"/>
  <c r="N143" i="2"/>
  <c r="E146" i="2"/>
  <c r="F146" i="2"/>
  <c r="H146" i="2"/>
  <c r="O146" i="2"/>
  <c r="P146" i="2"/>
  <c r="Q146" i="2"/>
  <c r="R146" i="2"/>
  <c r="S146" i="2"/>
  <c r="T146" i="2"/>
  <c r="G147" i="2"/>
  <c r="J147" i="2"/>
  <c r="K147" i="2"/>
  <c r="L147" i="2"/>
  <c r="M147" i="2"/>
  <c r="N147" i="2"/>
  <c r="G148" i="2"/>
  <c r="J148" i="2"/>
  <c r="K148" i="2"/>
  <c r="L148" i="2"/>
  <c r="M148" i="2"/>
  <c r="N148" i="2"/>
  <c r="E151" i="2"/>
  <c r="F151" i="2"/>
  <c r="H151" i="2"/>
  <c r="O151" i="2"/>
  <c r="P151" i="2"/>
  <c r="Q151" i="2"/>
  <c r="R151" i="2"/>
  <c r="S151" i="2"/>
  <c r="T151" i="2"/>
  <c r="G152" i="2"/>
  <c r="J152" i="2"/>
  <c r="K152" i="2"/>
  <c r="L152" i="2"/>
  <c r="M152" i="2"/>
  <c r="N152" i="2"/>
  <c r="G153" i="2"/>
  <c r="J153" i="2"/>
  <c r="K153" i="2"/>
  <c r="L153" i="2"/>
  <c r="M153" i="2"/>
  <c r="N153" i="2"/>
  <c r="E156" i="2"/>
  <c r="F156" i="2"/>
  <c r="H156" i="2"/>
  <c r="O156" i="2"/>
  <c r="P156" i="2"/>
  <c r="Q156" i="2"/>
  <c r="R156" i="2"/>
  <c r="S156" i="2"/>
  <c r="T156" i="2"/>
  <c r="G157" i="2"/>
  <c r="J157" i="2"/>
  <c r="K157" i="2"/>
  <c r="L157" i="2"/>
  <c r="M157" i="2"/>
  <c r="N157" i="2"/>
  <c r="G158" i="2"/>
  <c r="J158" i="2"/>
  <c r="K158" i="2"/>
  <c r="L158" i="2"/>
  <c r="M158" i="2"/>
  <c r="N158" i="2"/>
  <c r="G159" i="2"/>
  <c r="J159" i="2"/>
  <c r="K159" i="2"/>
  <c r="L159" i="2"/>
  <c r="M159" i="2"/>
  <c r="N159" i="2"/>
  <c r="E162" i="2"/>
  <c r="F162" i="2"/>
  <c r="H162" i="2"/>
  <c r="O162" i="2"/>
  <c r="P162" i="2"/>
  <c r="Q162" i="2"/>
  <c r="R162" i="2"/>
  <c r="S162" i="2"/>
  <c r="T162" i="2"/>
  <c r="G163" i="2"/>
  <c r="J163" i="2"/>
  <c r="K163" i="2"/>
  <c r="L163" i="2"/>
  <c r="M163" i="2"/>
  <c r="N163" i="2"/>
  <c r="G164" i="2"/>
  <c r="J164" i="2"/>
  <c r="K164" i="2"/>
  <c r="L164" i="2"/>
  <c r="M164" i="2"/>
  <c r="N164" i="2"/>
  <c r="G165" i="2"/>
  <c r="J165" i="2"/>
  <c r="K165" i="2"/>
  <c r="L165" i="2"/>
  <c r="M165" i="2"/>
  <c r="N165" i="2"/>
  <c r="E168" i="2"/>
  <c r="F168" i="2"/>
  <c r="H168" i="2"/>
  <c r="O168" i="2"/>
  <c r="P168" i="2"/>
  <c r="Q168" i="2"/>
  <c r="R168" i="2"/>
  <c r="S168" i="2"/>
  <c r="T168" i="2"/>
  <c r="G169" i="2"/>
  <c r="J169" i="2"/>
  <c r="K169" i="2"/>
  <c r="L169" i="2"/>
  <c r="M169" i="2"/>
  <c r="N169" i="2"/>
  <c r="G170" i="2"/>
  <c r="J170" i="2"/>
  <c r="K170" i="2"/>
  <c r="L170" i="2"/>
  <c r="M170" i="2"/>
  <c r="N170" i="2"/>
  <c r="E173" i="2"/>
  <c r="D173" i="2" s="1"/>
  <c r="D174" i="2" s="1"/>
  <c r="F173" i="2"/>
  <c r="H173" i="2"/>
  <c r="O173" i="2"/>
  <c r="P173" i="2"/>
  <c r="Q173" i="2"/>
  <c r="R173" i="2"/>
  <c r="S173" i="2"/>
  <c r="T173" i="2"/>
  <c r="G174" i="2"/>
  <c r="J174" i="2"/>
  <c r="K174" i="2"/>
  <c r="L174" i="2"/>
  <c r="M174" i="2"/>
  <c r="N174" i="2"/>
  <c r="G175" i="2"/>
  <c r="J175" i="2"/>
  <c r="K175" i="2"/>
  <c r="L175" i="2"/>
  <c r="M175" i="2"/>
  <c r="N175" i="2"/>
  <c r="G176" i="2"/>
  <c r="J176" i="2"/>
  <c r="K176" i="2"/>
  <c r="L176" i="2"/>
  <c r="M176" i="2"/>
  <c r="N176" i="2"/>
  <c r="G177" i="2"/>
  <c r="J177" i="2"/>
  <c r="K177" i="2"/>
  <c r="L177" i="2"/>
  <c r="M177" i="2"/>
  <c r="N177" i="2"/>
  <c r="G178" i="2"/>
  <c r="J178" i="2"/>
  <c r="K178" i="2"/>
  <c r="L178" i="2"/>
  <c r="M178" i="2"/>
  <c r="N178" i="2"/>
  <c r="E181" i="2"/>
  <c r="F181" i="2"/>
  <c r="H181" i="2"/>
  <c r="O181" i="2"/>
  <c r="P181" i="2"/>
  <c r="Q181" i="2"/>
  <c r="R181" i="2"/>
  <c r="S181" i="2"/>
  <c r="T181" i="2"/>
  <c r="G182" i="2"/>
  <c r="J182" i="2"/>
  <c r="K182" i="2"/>
  <c r="L182" i="2"/>
  <c r="M182" i="2"/>
  <c r="N182" i="2"/>
  <c r="E185" i="2"/>
  <c r="D185" i="2" s="1"/>
  <c r="D186" i="2" s="1"/>
  <c r="F185" i="2"/>
  <c r="H185" i="2"/>
  <c r="O185" i="2"/>
  <c r="P185" i="2"/>
  <c r="Q185" i="2"/>
  <c r="R185" i="2"/>
  <c r="S185" i="2"/>
  <c r="T185" i="2"/>
  <c r="G186" i="2"/>
  <c r="J186" i="2"/>
  <c r="K186" i="2"/>
  <c r="L186" i="2"/>
  <c r="M186" i="2"/>
  <c r="N186" i="2"/>
  <c r="G187" i="2"/>
  <c r="J187" i="2"/>
  <c r="K187" i="2"/>
  <c r="L187" i="2"/>
  <c r="M187" i="2"/>
  <c r="N187" i="2"/>
  <c r="G188" i="2"/>
  <c r="J188" i="2"/>
  <c r="K188" i="2"/>
  <c r="L188" i="2"/>
  <c r="M188" i="2"/>
  <c r="N188" i="2"/>
  <c r="E191" i="2"/>
  <c r="D191" i="2" s="1"/>
  <c r="D192" i="2" s="1"/>
  <c r="F191" i="2"/>
  <c r="H191" i="2"/>
  <c r="O191" i="2"/>
  <c r="P191" i="2"/>
  <c r="Q191" i="2"/>
  <c r="R191" i="2"/>
  <c r="S191" i="2"/>
  <c r="T191" i="2"/>
  <c r="G192" i="2"/>
  <c r="J192" i="2"/>
  <c r="K192" i="2"/>
  <c r="L192" i="2"/>
  <c r="M192" i="2"/>
  <c r="N192" i="2"/>
  <c r="G193" i="2"/>
  <c r="J193" i="2"/>
  <c r="K193" i="2"/>
  <c r="L193" i="2"/>
  <c r="M193" i="2"/>
  <c r="N193" i="2"/>
  <c r="E196" i="2"/>
  <c r="D196" i="2" s="1"/>
  <c r="D197" i="2" s="1"/>
  <c r="F196" i="2"/>
  <c r="H196" i="2"/>
  <c r="O196" i="2"/>
  <c r="P196" i="2"/>
  <c r="Q196" i="2"/>
  <c r="R196" i="2"/>
  <c r="S196" i="2"/>
  <c r="T196" i="2"/>
  <c r="G197" i="2"/>
  <c r="J197" i="2"/>
  <c r="K197" i="2"/>
  <c r="L197" i="2"/>
  <c r="M197" i="2"/>
  <c r="N197" i="2"/>
  <c r="G198" i="2"/>
  <c r="J198" i="2"/>
  <c r="K198" i="2"/>
  <c r="L198" i="2"/>
  <c r="M198" i="2"/>
  <c r="N198" i="2"/>
  <c r="E201" i="2"/>
  <c r="F201" i="2"/>
  <c r="H201" i="2"/>
  <c r="O201" i="2"/>
  <c r="P201" i="2"/>
  <c r="Q201" i="2"/>
  <c r="R201" i="2"/>
  <c r="S201" i="2"/>
  <c r="T201" i="2"/>
  <c r="G202" i="2"/>
  <c r="J202" i="2"/>
  <c r="K202" i="2"/>
  <c r="L202" i="2"/>
  <c r="M202" i="2"/>
  <c r="N202" i="2"/>
  <c r="G203" i="2"/>
  <c r="J203" i="2"/>
  <c r="K203" i="2"/>
  <c r="L203" i="2"/>
  <c r="M203" i="2"/>
  <c r="N203" i="2"/>
  <c r="E206" i="2"/>
  <c r="F206" i="2"/>
  <c r="H206" i="2"/>
  <c r="O206" i="2"/>
  <c r="P206" i="2"/>
  <c r="Q206" i="2"/>
  <c r="R206" i="2"/>
  <c r="S206" i="2"/>
  <c r="T206" i="2"/>
  <c r="G207" i="2"/>
  <c r="J207" i="2"/>
  <c r="K207" i="2"/>
  <c r="L207" i="2"/>
  <c r="M207" i="2"/>
  <c r="N207" i="2"/>
  <c r="E210" i="2"/>
  <c r="F210" i="2"/>
  <c r="H210" i="2"/>
  <c r="O210" i="2"/>
  <c r="P210" i="2"/>
  <c r="Q210" i="2"/>
  <c r="R210" i="2"/>
  <c r="S210" i="2"/>
  <c r="T210" i="2"/>
  <c r="G211" i="2"/>
  <c r="J211" i="2"/>
  <c r="K211" i="2"/>
  <c r="L211" i="2"/>
  <c r="M211" i="2"/>
  <c r="N211" i="2"/>
  <c r="E214" i="2"/>
  <c r="F214" i="2"/>
  <c r="H214" i="2"/>
  <c r="O214" i="2"/>
  <c r="P214" i="2"/>
  <c r="Q214" i="2"/>
  <c r="R214" i="2"/>
  <c r="S214" i="2"/>
  <c r="T214" i="2"/>
  <c r="G215" i="2"/>
  <c r="J215" i="2"/>
  <c r="K215" i="2"/>
  <c r="L215" i="2"/>
  <c r="M215" i="2"/>
  <c r="N215" i="2"/>
  <c r="E218" i="2"/>
  <c r="F218" i="2"/>
  <c r="H218" i="2"/>
  <c r="O218" i="2"/>
  <c r="P218" i="2"/>
  <c r="Q218" i="2"/>
  <c r="R218" i="2"/>
  <c r="S218" i="2"/>
  <c r="T218" i="2"/>
  <c r="G219" i="2"/>
  <c r="J219" i="2"/>
  <c r="K219" i="2"/>
  <c r="L219" i="2"/>
  <c r="M219" i="2"/>
  <c r="N219" i="2"/>
  <c r="G220" i="2"/>
  <c r="J220" i="2"/>
  <c r="K220" i="2"/>
  <c r="L220" i="2"/>
  <c r="M220" i="2"/>
  <c r="N220" i="2"/>
  <c r="E223" i="2"/>
  <c r="D223" i="2" s="1"/>
  <c r="D224" i="2" s="1"/>
  <c r="F223" i="2"/>
  <c r="H223" i="2"/>
  <c r="O223" i="2"/>
  <c r="P223" i="2"/>
  <c r="Q223" i="2"/>
  <c r="R223" i="2"/>
  <c r="S223" i="2"/>
  <c r="T223" i="2"/>
  <c r="G224" i="2"/>
  <c r="J224" i="2"/>
  <c r="K224" i="2"/>
  <c r="L224" i="2"/>
  <c r="M224" i="2"/>
  <c r="N224" i="2"/>
  <c r="G225" i="2"/>
  <c r="J225" i="2"/>
  <c r="K225" i="2"/>
  <c r="L225" i="2"/>
  <c r="M225" i="2"/>
  <c r="N225" i="2"/>
  <c r="E228" i="2"/>
  <c r="F228" i="2"/>
  <c r="H228" i="2"/>
  <c r="O228" i="2"/>
  <c r="P228" i="2"/>
  <c r="Q228" i="2"/>
  <c r="R228" i="2"/>
  <c r="S228" i="2"/>
  <c r="T228" i="2"/>
  <c r="G229" i="2"/>
  <c r="J229" i="2"/>
  <c r="K229" i="2"/>
  <c r="L229" i="2"/>
  <c r="M229" i="2"/>
  <c r="N229" i="2"/>
  <c r="E232" i="2"/>
  <c r="F232" i="2"/>
  <c r="H232" i="2"/>
  <c r="O232" i="2"/>
  <c r="P232" i="2"/>
  <c r="Q232" i="2"/>
  <c r="R232" i="2"/>
  <c r="S232" i="2"/>
  <c r="T232" i="2"/>
  <c r="G233" i="2"/>
  <c r="J233" i="2"/>
  <c r="K233" i="2"/>
  <c r="L233" i="2"/>
  <c r="M233" i="2"/>
  <c r="N233" i="2"/>
  <c r="G234" i="2"/>
  <c r="J234" i="2"/>
  <c r="K234" i="2"/>
  <c r="L234" i="2"/>
  <c r="M234" i="2"/>
  <c r="N234" i="2"/>
  <c r="E237" i="2"/>
  <c r="F237" i="2"/>
  <c r="H237" i="2"/>
  <c r="O237" i="2"/>
  <c r="P237" i="2"/>
  <c r="Q237" i="2"/>
  <c r="R237" i="2"/>
  <c r="S237" i="2"/>
  <c r="T237" i="2"/>
  <c r="G238" i="2"/>
  <c r="J238" i="2"/>
  <c r="K238" i="2"/>
  <c r="L238" i="2"/>
  <c r="M238" i="2"/>
  <c r="N238" i="2"/>
  <c r="E241" i="2"/>
  <c r="F241" i="2"/>
  <c r="H241" i="2"/>
  <c r="O241" i="2"/>
  <c r="P241" i="2"/>
  <c r="Q241" i="2"/>
  <c r="R241" i="2"/>
  <c r="S241" i="2"/>
  <c r="T241" i="2"/>
  <c r="G242" i="2"/>
  <c r="J242" i="2"/>
  <c r="K242" i="2"/>
  <c r="L242" i="2"/>
  <c r="M242" i="2"/>
  <c r="N242" i="2"/>
  <c r="G243" i="2"/>
  <c r="J243" i="2"/>
  <c r="K243" i="2"/>
  <c r="L243" i="2"/>
  <c r="M243" i="2"/>
  <c r="N243" i="2"/>
  <c r="E246" i="2"/>
  <c r="F246" i="2"/>
  <c r="H246" i="2"/>
  <c r="O246" i="2"/>
  <c r="P246" i="2"/>
  <c r="Q246" i="2"/>
  <c r="R246" i="2"/>
  <c r="S246" i="2"/>
  <c r="T246" i="2"/>
  <c r="G247" i="2"/>
  <c r="J247" i="2"/>
  <c r="K247" i="2"/>
  <c r="L247" i="2"/>
  <c r="M247" i="2"/>
  <c r="N247" i="2"/>
  <c r="E250" i="2"/>
  <c r="F250" i="2"/>
  <c r="H250" i="2"/>
  <c r="O250" i="2"/>
  <c r="P250" i="2"/>
  <c r="Q250" i="2"/>
  <c r="R250" i="2"/>
  <c r="S250" i="2"/>
  <c r="T250" i="2"/>
  <c r="G251" i="2"/>
  <c r="J251" i="2"/>
  <c r="K251" i="2"/>
  <c r="L251" i="2"/>
  <c r="M251" i="2"/>
  <c r="N251" i="2"/>
  <c r="G252" i="2"/>
  <c r="J252" i="2"/>
  <c r="K252" i="2"/>
  <c r="L252" i="2"/>
  <c r="M252" i="2"/>
  <c r="N252" i="2"/>
  <c r="E255" i="2"/>
  <c r="D255" i="2" s="1"/>
  <c r="D256" i="2" s="1"/>
  <c r="F255" i="2"/>
  <c r="H255" i="2"/>
  <c r="O255" i="2"/>
  <c r="P255" i="2"/>
  <c r="Q255" i="2"/>
  <c r="R255" i="2"/>
  <c r="S255" i="2"/>
  <c r="T255" i="2"/>
  <c r="G256" i="2"/>
  <c r="J256" i="2"/>
  <c r="K256" i="2"/>
  <c r="L256" i="2"/>
  <c r="M256" i="2"/>
  <c r="N256" i="2"/>
  <c r="G257" i="2"/>
  <c r="J257" i="2"/>
  <c r="K257" i="2"/>
  <c r="L257" i="2"/>
  <c r="M257" i="2"/>
  <c r="N257" i="2"/>
  <c r="G258" i="2"/>
  <c r="J258" i="2"/>
  <c r="K258" i="2"/>
  <c r="L258" i="2"/>
  <c r="M258" i="2"/>
  <c r="N258" i="2"/>
  <c r="E261" i="2"/>
  <c r="F261" i="2"/>
  <c r="H261" i="2"/>
  <c r="O261" i="2"/>
  <c r="P261" i="2"/>
  <c r="Q261" i="2"/>
  <c r="R261" i="2"/>
  <c r="S261" i="2"/>
  <c r="T261" i="2"/>
  <c r="G262" i="2"/>
  <c r="J262" i="2"/>
  <c r="K262" i="2"/>
  <c r="L262" i="2"/>
  <c r="M262" i="2"/>
  <c r="N262" i="2"/>
  <c r="E265" i="2"/>
  <c r="F265" i="2"/>
  <c r="H265" i="2"/>
  <c r="O265" i="2"/>
  <c r="P265" i="2"/>
  <c r="Q265" i="2"/>
  <c r="R265" i="2"/>
  <c r="S265" i="2"/>
  <c r="T265" i="2"/>
  <c r="G266" i="2"/>
  <c r="J266" i="2"/>
  <c r="K266" i="2"/>
  <c r="L266" i="2"/>
  <c r="M266" i="2"/>
  <c r="N266" i="2"/>
  <c r="G267" i="2"/>
  <c r="J267" i="2"/>
  <c r="K267" i="2"/>
  <c r="L267" i="2"/>
  <c r="M267" i="2"/>
  <c r="N267" i="2"/>
  <c r="E270" i="2"/>
  <c r="D270" i="2" s="1"/>
  <c r="D271" i="2" s="1"/>
  <c r="F270" i="2"/>
  <c r="H270" i="2"/>
  <c r="O270" i="2"/>
  <c r="P270" i="2"/>
  <c r="Q270" i="2"/>
  <c r="R270" i="2"/>
  <c r="S270" i="2"/>
  <c r="T270" i="2"/>
  <c r="G271" i="2"/>
  <c r="J271" i="2"/>
  <c r="K271" i="2"/>
  <c r="L271" i="2"/>
  <c r="M271" i="2"/>
  <c r="N271" i="2"/>
  <c r="G272" i="2"/>
  <c r="J272" i="2"/>
  <c r="K272" i="2"/>
  <c r="L272" i="2"/>
  <c r="M272" i="2"/>
  <c r="N272" i="2"/>
  <c r="G273" i="2"/>
  <c r="J273" i="2"/>
  <c r="K273" i="2"/>
  <c r="L273" i="2"/>
  <c r="M273" i="2"/>
  <c r="N273" i="2"/>
  <c r="E276" i="2"/>
  <c r="F276" i="2"/>
  <c r="H276" i="2"/>
  <c r="O276" i="2"/>
  <c r="P276" i="2"/>
  <c r="Q276" i="2"/>
  <c r="R276" i="2"/>
  <c r="S276" i="2"/>
  <c r="T276" i="2"/>
  <c r="G277" i="2"/>
  <c r="J277" i="2"/>
  <c r="K277" i="2"/>
  <c r="L277" i="2"/>
  <c r="M277" i="2"/>
  <c r="N277" i="2"/>
  <c r="G278" i="2"/>
  <c r="J278" i="2"/>
  <c r="K278" i="2"/>
  <c r="L278" i="2"/>
  <c r="M278" i="2"/>
  <c r="N278" i="2"/>
  <c r="E281" i="2"/>
  <c r="D281" i="2" s="1"/>
  <c r="D282" i="2" s="1"/>
  <c r="F281" i="2"/>
  <c r="H281" i="2"/>
  <c r="O281" i="2"/>
  <c r="P281" i="2"/>
  <c r="Q281" i="2"/>
  <c r="R281" i="2"/>
  <c r="S281" i="2"/>
  <c r="T281" i="2"/>
  <c r="G282" i="2"/>
  <c r="J282" i="2"/>
  <c r="K282" i="2"/>
  <c r="L282" i="2"/>
  <c r="M282" i="2"/>
  <c r="N282" i="2"/>
  <c r="E285" i="2"/>
  <c r="F285" i="2"/>
  <c r="H285" i="2"/>
  <c r="O285" i="2"/>
  <c r="P285" i="2"/>
  <c r="Q285" i="2"/>
  <c r="R285" i="2"/>
  <c r="S285" i="2"/>
  <c r="T285" i="2"/>
  <c r="G286" i="2"/>
  <c r="J286" i="2"/>
  <c r="K286" i="2"/>
  <c r="L286" i="2"/>
  <c r="M286" i="2"/>
  <c r="N286" i="2"/>
  <c r="G287" i="2"/>
  <c r="J287" i="2"/>
  <c r="K287" i="2"/>
  <c r="L287" i="2"/>
  <c r="M287" i="2"/>
  <c r="N287" i="2"/>
  <c r="G288" i="2"/>
  <c r="J288" i="2"/>
  <c r="K288" i="2"/>
  <c r="L288" i="2"/>
  <c r="M288" i="2"/>
  <c r="N288" i="2"/>
  <c r="E291" i="2"/>
  <c r="F291" i="2"/>
  <c r="H291" i="2"/>
  <c r="O291" i="2"/>
  <c r="P291" i="2"/>
  <c r="Q291" i="2"/>
  <c r="R291" i="2"/>
  <c r="S291" i="2"/>
  <c r="T291" i="2"/>
  <c r="G292" i="2"/>
  <c r="J292" i="2"/>
  <c r="K292" i="2"/>
  <c r="L292" i="2"/>
  <c r="M292" i="2"/>
  <c r="N292" i="2"/>
  <c r="E295" i="2"/>
  <c r="F295" i="2"/>
  <c r="H295" i="2"/>
  <c r="O295" i="2"/>
  <c r="P295" i="2"/>
  <c r="Q295" i="2"/>
  <c r="R295" i="2"/>
  <c r="S295" i="2"/>
  <c r="T295" i="2"/>
  <c r="G296" i="2"/>
  <c r="J296" i="2"/>
  <c r="K296" i="2"/>
  <c r="L296" i="2"/>
  <c r="M296" i="2"/>
  <c r="N296" i="2"/>
  <c r="G297" i="2"/>
  <c r="J297" i="2"/>
  <c r="K297" i="2"/>
  <c r="L297" i="2"/>
  <c r="M297" i="2"/>
  <c r="N297" i="2"/>
  <c r="G298" i="2"/>
  <c r="J298" i="2"/>
  <c r="K298" i="2"/>
  <c r="L298" i="2"/>
  <c r="M298" i="2"/>
  <c r="N298" i="2"/>
  <c r="G299" i="2"/>
  <c r="J299" i="2"/>
  <c r="K299" i="2"/>
  <c r="L299" i="2"/>
  <c r="M299" i="2"/>
  <c r="N299" i="2"/>
  <c r="G300" i="2"/>
  <c r="J300" i="2"/>
  <c r="K300" i="2"/>
  <c r="L300" i="2"/>
  <c r="M300" i="2"/>
  <c r="N300" i="2"/>
  <c r="E303" i="2"/>
  <c r="F303" i="2"/>
  <c r="H303" i="2"/>
  <c r="O303" i="2"/>
  <c r="P303" i="2"/>
  <c r="Q303" i="2"/>
  <c r="R303" i="2"/>
  <c r="S303" i="2"/>
  <c r="T303" i="2"/>
  <c r="G304" i="2"/>
  <c r="J304" i="2"/>
  <c r="K304" i="2"/>
  <c r="L304" i="2"/>
  <c r="M304" i="2"/>
  <c r="N304" i="2"/>
  <c r="E307" i="2"/>
  <c r="D307" i="2" s="1"/>
  <c r="D308" i="2" s="1"/>
  <c r="F307" i="2"/>
  <c r="H307" i="2"/>
  <c r="O307" i="2"/>
  <c r="P307" i="2"/>
  <c r="Q307" i="2"/>
  <c r="R307" i="2"/>
  <c r="S307" i="2"/>
  <c r="T307" i="2"/>
  <c r="G308" i="2"/>
  <c r="J308" i="2"/>
  <c r="K308" i="2"/>
  <c r="L308" i="2"/>
  <c r="M308" i="2"/>
  <c r="N308" i="2"/>
  <c r="E311" i="2"/>
  <c r="D311" i="2" s="1"/>
  <c r="D312" i="2" s="1"/>
  <c r="F311" i="2"/>
  <c r="H311" i="2"/>
  <c r="O311" i="2"/>
  <c r="P311" i="2"/>
  <c r="Q311" i="2"/>
  <c r="R311" i="2"/>
  <c r="S311" i="2"/>
  <c r="T311" i="2"/>
  <c r="G312" i="2"/>
  <c r="J312" i="2"/>
  <c r="K312" i="2"/>
  <c r="L312" i="2"/>
  <c r="M312" i="2"/>
  <c r="N312" i="2"/>
  <c r="G313" i="2"/>
  <c r="J313" i="2"/>
  <c r="K313" i="2"/>
  <c r="L313" i="2"/>
  <c r="M313" i="2"/>
  <c r="N313" i="2"/>
  <c r="E316" i="2"/>
  <c r="F316" i="2"/>
  <c r="H316" i="2"/>
  <c r="O316" i="2"/>
  <c r="P316" i="2"/>
  <c r="Q316" i="2"/>
  <c r="R316" i="2"/>
  <c r="S316" i="2"/>
  <c r="T316" i="2"/>
  <c r="G317" i="2"/>
  <c r="J317" i="2"/>
  <c r="K317" i="2"/>
  <c r="L317" i="2"/>
  <c r="M317" i="2"/>
  <c r="N317" i="2"/>
  <c r="G318" i="2"/>
  <c r="J318" i="2"/>
  <c r="K318" i="2"/>
  <c r="L318" i="2"/>
  <c r="M318" i="2"/>
  <c r="N318" i="2"/>
  <c r="E321" i="2"/>
  <c r="F321" i="2"/>
  <c r="H321" i="2"/>
  <c r="O321" i="2"/>
  <c r="P321" i="2"/>
  <c r="Q321" i="2"/>
  <c r="R321" i="2"/>
  <c r="S321" i="2"/>
  <c r="T321" i="2"/>
  <c r="G322" i="2"/>
  <c r="J322" i="2"/>
  <c r="K322" i="2"/>
  <c r="L322" i="2"/>
  <c r="M322" i="2"/>
  <c r="N322" i="2"/>
  <c r="G323" i="2"/>
  <c r="J323" i="2"/>
  <c r="K323" i="2"/>
  <c r="L323" i="2"/>
  <c r="M323" i="2"/>
  <c r="N323" i="2"/>
  <c r="G324" i="2"/>
  <c r="J324" i="2"/>
  <c r="K324" i="2"/>
  <c r="L324" i="2"/>
  <c r="M324" i="2"/>
  <c r="N324" i="2"/>
  <c r="G325" i="2"/>
  <c r="J325" i="2"/>
  <c r="K325" i="2"/>
  <c r="L325" i="2"/>
  <c r="M325" i="2"/>
  <c r="N325" i="2"/>
  <c r="E328" i="2"/>
  <c r="F328" i="2"/>
  <c r="H328" i="2"/>
  <c r="O328" i="2"/>
  <c r="P328" i="2"/>
  <c r="Q328" i="2"/>
  <c r="R328" i="2"/>
  <c r="S328" i="2"/>
  <c r="T328" i="2"/>
  <c r="G329" i="2"/>
  <c r="J329" i="2"/>
  <c r="K329" i="2"/>
  <c r="L329" i="2"/>
  <c r="M329" i="2"/>
  <c r="N329" i="2"/>
  <c r="E332" i="2"/>
  <c r="F332" i="2"/>
  <c r="H332" i="2"/>
  <c r="O332" i="2"/>
  <c r="P332" i="2"/>
  <c r="Q332" i="2"/>
  <c r="R332" i="2"/>
  <c r="S332" i="2"/>
  <c r="T332" i="2"/>
  <c r="G333" i="2"/>
  <c r="J333" i="2"/>
  <c r="K333" i="2"/>
  <c r="L333" i="2"/>
  <c r="M333" i="2"/>
  <c r="N333" i="2"/>
  <c r="G334" i="2"/>
  <c r="J334" i="2"/>
  <c r="K334" i="2"/>
  <c r="L334" i="2"/>
  <c r="M334" i="2"/>
  <c r="N334" i="2"/>
  <c r="G335" i="2"/>
  <c r="J335" i="2"/>
  <c r="K335" i="2"/>
  <c r="L335" i="2"/>
  <c r="M335" i="2"/>
  <c r="N335" i="2"/>
  <c r="G336" i="2"/>
  <c r="J336" i="2"/>
  <c r="K336" i="2"/>
  <c r="L336" i="2"/>
  <c r="M336" i="2"/>
  <c r="N336" i="2"/>
  <c r="E339" i="2"/>
  <c r="F339" i="2"/>
  <c r="H339" i="2"/>
  <c r="O339" i="2"/>
  <c r="P339" i="2"/>
  <c r="Q339" i="2"/>
  <c r="R339" i="2"/>
  <c r="S339" i="2"/>
  <c r="T339" i="2"/>
  <c r="G340" i="2"/>
  <c r="J340" i="2"/>
  <c r="K340" i="2"/>
  <c r="L340" i="2"/>
  <c r="M340" i="2"/>
  <c r="N340" i="2"/>
  <c r="G341" i="2"/>
  <c r="J341" i="2"/>
  <c r="K341" i="2"/>
  <c r="L341" i="2"/>
  <c r="M341" i="2"/>
  <c r="N341" i="2"/>
  <c r="E344" i="2"/>
  <c r="F344" i="2"/>
  <c r="H344" i="2"/>
  <c r="O344" i="2"/>
  <c r="P344" i="2"/>
  <c r="Q344" i="2"/>
  <c r="R344" i="2"/>
  <c r="S344" i="2"/>
  <c r="T344" i="2"/>
  <c r="G345" i="2"/>
  <c r="J345" i="2"/>
  <c r="K345" i="2"/>
  <c r="L345" i="2"/>
  <c r="M345" i="2"/>
  <c r="N345" i="2"/>
  <c r="G346" i="2"/>
  <c r="J346" i="2"/>
  <c r="K346" i="2"/>
  <c r="L346" i="2"/>
  <c r="M346" i="2"/>
  <c r="N346" i="2"/>
  <c r="G347" i="2"/>
  <c r="J347" i="2"/>
  <c r="K347" i="2"/>
  <c r="L347" i="2"/>
  <c r="M347" i="2"/>
  <c r="N347" i="2"/>
  <c r="E350" i="2"/>
  <c r="F350" i="2"/>
  <c r="H350" i="2"/>
  <c r="O350" i="2"/>
  <c r="P350" i="2"/>
  <c r="Q350" i="2"/>
  <c r="R350" i="2"/>
  <c r="S350" i="2"/>
  <c r="T350" i="2"/>
  <c r="G351" i="2"/>
  <c r="J351" i="2"/>
  <c r="K351" i="2"/>
  <c r="L351" i="2"/>
  <c r="M351" i="2"/>
  <c r="N351" i="2"/>
  <c r="G352" i="2"/>
  <c r="J352" i="2"/>
  <c r="K352" i="2"/>
  <c r="L352" i="2"/>
  <c r="M352" i="2"/>
  <c r="N352" i="2"/>
  <c r="G353" i="2"/>
  <c r="J353" i="2"/>
  <c r="K353" i="2"/>
  <c r="L353" i="2"/>
  <c r="M353" i="2"/>
  <c r="N353" i="2"/>
  <c r="G354" i="2"/>
  <c r="J354" i="2"/>
  <c r="K354" i="2"/>
  <c r="L354" i="2"/>
  <c r="M354" i="2"/>
  <c r="N354" i="2"/>
  <c r="G355" i="2"/>
  <c r="J355" i="2"/>
  <c r="K355" i="2"/>
  <c r="L355" i="2"/>
  <c r="M355" i="2"/>
  <c r="N355" i="2"/>
  <c r="G356" i="2"/>
  <c r="J356" i="2"/>
  <c r="K356" i="2"/>
  <c r="L356" i="2"/>
  <c r="M356" i="2"/>
  <c r="N356" i="2"/>
  <c r="E359" i="2"/>
  <c r="F359" i="2"/>
  <c r="H359" i="2"/>
  <c r="O359" i="2"/>
  <c r="P359" i="2"/>
  <c r="Q359" i="2"/>
  <c r="R359" i="2"/>
  <c r="S359" i="2"/>
  <c r="T359" i="2"/>
  <c r="G360" i="2"/>
  <c r="J360" i="2"/>
  <c r="K360" i="2"/>
  <c r="L360" i="2"/>
  <c r="M360" i="2"/>
  <c r="N360" i="2"/>
  <c r="G361" i="2"/>
  <c r="J361" i="2"/>
  <c r="K361" i="2"/>
  <c r="L361" i="2"/>
  <c r="M361" i="2"/>
  <c r="N361" i="2"/>
  <c r="E364" i="2"/>
  <c r="F364" i="2"/>
  <c r="H364" i="2"/>
  <c r="O364" i="2"/>
  <c r="P364" i="2"/>
  <c r="Q364" i="2"/>
  <c r="R364" i="2"/>
  <c r="S364" i="2"/>
  <c r="T364" i="2"/>
  <c r="G365" i="2"/>
  <c r="J365" i="2"/>
  <c r="K365" i="2"/>
  <c r="L365" i="2"/>
  <c r="M365" i="2"/>
  <c r="N365" i="2"/>
  <c r="G366" i="2"/>
  <c r="J366" i="2"/>
  <c r="K366" i="2"/>
  <c r="L366" i="2"/>
  <c r="M366" i="2"/>
  <c r="N366" i="2"/>
  <c r="E369" i="2"/>
  <c r="F369" i="2"/>
  <c r="H369" i="2"/>
  <c r="O369" i="2"/>
  <c r="P369" i="2"/>
  <c r="Q369" i="2"/>
  <c r="R369" i="2"/>
  <c r="S369" i="2"/>
  <c r="T369" i="2"/>
  <c r="G370" i="2"/>
  <c r="J370" i="2"/>
  <c r="K370" i="2"/>
  <c r="L370" i="2"/>
  <c r="M370" i="2"/>
  <c r="N370" i="2"/>
  <c r="G371" i="2"/>
  <c r="J371" i="2"/>
  <c r="K371" i="2"/>
  <c r="L371" i="2"/>
  <c r="M371" i="2"/>
  <c r="N371" i="2"/>
  <c r="G372" i="2"/>
  <c r="J372" i="2"/>
  <c r="K372" i="2"/>
  <c r="L372" i="2"/>
  <c r="M372" i="2"/>
  <c r="N372" i="2"/>
  <c r="G373" i="2"/>
  <c r="J373" i="2"/>
  <c r="K373" i="2"/>
  <c r="L373" i="2"/>
  <c r="M373" i="2"/>
  <c r="N373" i="2"/>
  <c r="E376" i="2"/>
  <c r="F376" i="2"/>
  <c r="H376" i="2"/>
  <c r="O376" i="2"/>
  <c r="P376" i="2"/>
  <c r="Q376" i="2"/>
  <c r="R376" i="2"/>
  <c r="S376" i="2"/>
  <c r="T376" i="2"/>
  <c r="G377" i="2"/>
  <c r="J377" i="2"/>
  <c r="K377" i="2"/>
  <c r="L377" i="2"/>
  <c r="M377" i="2"/>
  <c r="N377" i="2"/>
  <c r="E380" i="2"/>
  <c r="F380" i="2"/>
  <c r="H380" i="2"/>
  <c r="O380" i="2"/>
  <c r="P380" i="2"/>
  <c r="Q380" i="2"/>
  <c r="R380" i="2"/>
  <c r="S380" i="2"/>
  <c r="T380" i="2"/>
  <c r="G381" i="2"/>
  <c r="J381" i="2"/>
  <c r="K381" i="2"/>
  <c r="L381" i="2"/>
  <c r="M381" i="2"/>
  <c r="N381" i="2"/>
  <c r="G382" i="2"/>
  <c r="J382" i="2"/>
  <c r="K382" i="2"/>
  <c r="L382" i="2"/>
  <c r="M382" i="2"/>
  <c r="N382" i="2"/>
  <c r="G383" i="2"/>
  <c r="J383" i="2"/>
  <c r="K383" i="2"/>
  <c r="L383" i="2"/>
  <c r="M383" i="2"/>
  <c r="N383" i="2"/>
  <c r="G384" i="2"/>
  <c r="J384" i="2"/>
  <c r="K384" i="2"/>
  <c r="L384" i="2"/>
  <c r="M384" i="2"/>
  <c r="N384" i="2"/>
  <c r="G385" i="2"/>
  <c r="J385" i="2"/>
  <c r="K385" i="2"/>
  <c r="L385" i="2"/>
  <c r="M385" i="2"/>
  <c r="N385" i="2"/>
  <c r="G386" i="2"/>
  <c r="J386" i="2"/>
  <c r="K386" i="2"/>
  <c r="L386" i="2"/>
  <c r="M386" i="2"/>
  <c r="N386" i="2"/>
  <c r="E389" i="2"/>
  <c r="F389" i="2"/>
  <c r="H389" i="2"/>
  <c r="O389" i="2"/>
  <c r="P389" i="2"/>
  <c r="Q389" i="2"/>
  <c r="R389" i="2"/>
  <c r="S389" i="2"/>
  <c r="T389" i="2"/>
  <c r="G390" i="2"/>
  <c r="J390" i="2"/>
  <c r="K390" i="2"/>
  <c r="L390" i="2"/>
  <c r="M390" i="2"/>
  <c r="N390" i="2"/>
  <c r="G391" i="2"/>
  <c r="J391" i="2"/>
  <c r="K391" i="2"/>
  <c r="L391" i="2"/>
  <c r="M391" i="2"/>
  <c r="N391" i="2"/>
  <c r="G392" i="2"/>
  <c r="J392" i="2"/>
  <c r="K392" i="2"/>
  <c r="L392" i="2"/>
  <c r="M392" i="2"/>
  <c r="N392" i="2"/>
  <c r="G393" i="2"/>
  <c r="J393" i="2"/>
  <c r="K393" i="2"/>
  <c r="L393" i="2"/>
  <c r="M393" i="2"/>
  <c r="N393" i="2"/>
  <c r="G394" i="2"/>
  <c r="J394" i="2"/>
  <c r="K394" i="2"/>
  <c r="L394" i="2"/>
  <c r="M394" i="2"/>
  <c r="N394" i="2"/>
  <c r="E397" i="2"/>
  <c r="F397" i="2"/>
  <c r="H397" i="2"/>
  <c r="O397" i="2"/>
  <c r="P397" i="2"/>
  <c r="Q397" i="2"/>
  <c r="R397" i="2"/>
  <c r="S397" i="2"/>
  <c r="T397" i="2"/>
  <c r="G398" i="2"/>
  <c r="J398" i="2"/>
  <c r="K398" i="2"/>
  <c r="L398" i="2"/>
  <c r="M398" i="2"/>
  <c r="N398" i="2"/>
  <c r="G399" i="2"/>
  <c r="J399" i="2"/>
  <c r="K399" i="2"/>
  <c r="L399" i="2"/>
  <c r="M399" i="2"/>
  <c r="N399" i="2"/>
  <c r="G400" i="2"/>
  <c r="J400" i="2"/>
  <c r="K400" i="2"/>
  <c r="L400" i="2"/>
  <c r="M400" i="2"/>
  <c r="N400" i="2"/>
  <c r="G401" i="2"/>
  <c r="J401" i="2"/>
  <c r="K401" i="2"/>
  <c r="L401" i="2"/>
  <c r="M401" i="2"/>
  <c r="N401" i="2"/>
  <c r="G402" i="2"/>
  <c r="J402" i="2"/>
  <c r="K402" i="2"/>
  <c r="L402" i="2"/>
  <c r="M402" i="2"/>
  <c r="N402" i="2"/>
  <c r="G403" i="2"/>
  <c r="J403" i="2"/>
  <c r="K403" i="2"/>
  <c r="L403" i="2"/>
  <c r="M403" i="2"/>
  <c r="N403" i="2"/>
  <c r="E406" i="2"/>
  <c r="F406" i="2"/>
  <c r="H406" i="2"/>
  <c r="O406" i="2"/>
  <c r="P406" i="2"/>
  <c r="Q406" i="2"/>
  <c r="R406" i="2"/>
  <c r="S406" i="2"/>
  <c r="T406" i="2"/>
  <c r="G407" i="2"/>
  <c r="J407" i="2"/>
  <c r="K407" i="2"/>
  <c r="L407" i="2"/>
  <c r="M407" i="2"/>
  <c r="N407" i="2"/>
  <c r="G408" i="2"/>
  <c r="J408" i="2"/>
  <c r="K408" i="2"/>
  <c r="L408" i="2"/>
  <c r="M408" i="2"/>
  <c r="N408" i="2"/>
  <c r="E411" i="2"/>
  <c r="F411" i="2"/>
  <c r="H411" i="2"/>
  <c r="O411" i="2"/>
  <c r="P411" i="2"/>
  <c r="Q411" i="2"/>
  <c r="R411" i="2"/>
  <c r="S411" i="2"/>
  <c r="T411" i="2"/>
  <c r="G412" i="2"/>
  <c r="J412" i="2"/>
  <c r="K412" i="2"/>
  <c r="L412" i="2"/>
  <c r="M412" i="2"/>
  <c r="N412" i="2"/>
  <c r="G413" i="2"/>
  <c r="J413" i="2"/>
  <c r="K413" i="2"/>
  <c r="L413" i="2"/>
  <c r="M413" i="2"/>
  <c r="N413" i="2"/>
  <c r="E416" i="2"/>
  <c r="F416" i="2"/>
  <c r="H416" i="2"/>
  <c r="O416" i="2"/>
  <c r="P416" i="2"/>
  <c r="Q416" i="2"/>
  <c r="R416" i="2"/>
  <c r="S416" i="2"/>
  <c r="T416" i="2"/>
  <c r="G417" i="2"/>
  <c r="J417" i="2"/>
  <c r="K417" i="2"/>
  <c r="L417" i="2"/>
  <c r="M417" i="2"/>
  <c r="N417" i="2"/>
  <c r="G418" i="2"/>
  <c r="J418" i="2"/>
  <c r="K418" i="2"/>
  <c r="L418" i="2"/>
  <c r="M418" i="2"/>
  <c r="N418" i="2"/>
  <c r="G419" i="2"/>
  <c r="J419" i="2"/>
  <c r="K419" i="2"/>
  <c r="L419" i="2"/>
  <c r="M419" i="2"/>
  <c r="N419" i="2"/>
  <c r="G420" i="2"/>
  <c r="J420" i="2"/>
  <c r="K420" i="2"/>
  <c r="L420" i="2"/>
  <c r="M420" i="2"/>
  <c r="N420" i="2"/>
  <c r="G421" i="2"/>
  <c r="J421" i="2"/>
  <c r="K421" i="2"/>
  <c r="L421" i="2"/>
  <c r="M421" i="2"/>
  <c r="N421" i="2"/>
  <c r="E424" i="2"/>
  <c r="D424" i="2" s="1"/>
  <c r="D425" i="2" s="1"/>
  <c r="F424" i="2"/>
  <c r="H424" i="2"/>
  <c r="O424" i="2"/>
  <c r="P424" i="2"/>
  <c r="Q424" i="2"/>
  <c r="R424" i="2"/>
  <c r="S424" i="2"/>
  <c r="T424" i="2"/>
  <c r="G425" i="2"/>
  <c r="J425" i="2"/>
  <c r="K425" i="2"/>
  <c r="L425" i="2"/>
  <c r="M425" i="2"/>
  <c r="N425" i="2"/>
  <c r="E428" i="2"/>
  <c r="D428" i="2" s="1"/>
  <c r="D429" i="2" s="1"/>
  <c r="F428" i="2"/>
  <c r="H428" i="2"/>
  <c r="O428" i="2"/>
  <c r="P428" i="2"/>
  <c r="Q428" i="2"/>
  <c r="R428" i="2"/>
  <c r="S428" i="2"/>
  <c r="T428" i="2"/>
  <c r="G429" i="2"/>
  <c r="J429" i="2"/>
  <c r="K429" i="2"/>
  <c r="L429" i="2"/>
  <c r="M429" i="2"/>
  <c r="N429" i="2"/>
  <c r="G430" i="2"/>
  <c r="J430" i="2"/>
  <c r="K430" i="2"/>
  <c r="L430" i="2"/>
  <c r="M430" i="2"/>
  <c r="N430" i="2"/>
  <c r="E433" i="2"/>
  <c r="F433" i="2"/>
  <c r="H433" i="2"/>
  <c r="O433" i="2"/>
  <c r="P433" i="2"/>
  <c r="Q433" i="2"/>
  <c r="R433" i="2"/>
  <c r="S433" i="2"/>
  <c r="T433" i="2"/>
  <c r="G434" i="2"/>
  <c r="J434" i="2"/>
  <c r="K434" i="2"/>
  <c r="L434" i="2"/>
  <c r="M434" i="2"/>
  <c r="N434" i="2"/>
  <c r="G435" i="2"/>
  <c r="J435" i="2"/>
  <c r="K435" i="2"/>
  <c r="L435" i="2"/>
  <c r="M435" i="2"/>
  <c r="N435" i="2"/>
  <c r="G436" i="2"/>
  <c r="J436" i="2"/>
  <c r="K436" i="2"/>
  <c r="L436" i="2"/>
  <c r="M436" i="2"/>
  <c r="N436" i="2"/>
  <c r="E439" i="2"/>
  <c r="D439" i="2" s="1"/>
  <c r="D440" i="2" s="1"/>
  <c r="F439" i="2"/>
  <c r="H439" i="2"/>
  <c r="O439" i="2"/>
  <c r="P439" i="2"/>
  <c r="Q439" i="2"/>
  <c r="R439" i="2"/>
  <c r="S439" i="2"/>
  <c r="T439" i="2"/>
  <c r="G440" i="2"/>
  <c r="J440" i="2"/>
  <c r="K440" i="2"/>
  <c r="L440" i="2"/>
  <c r="M440" i="2"/>
  <c r="N440" i="2"/>
  <c r="G441" i="2"/>
  <c r="J441" i="2"/>
  <c r="K441" i="2"/>
  <c r="L441" i="2"/>
  <c r="M441" i="2"/>
  <c r="N441" i="2"/>
  <c r="G442" i="2"/>
  <c r="J442" i="2"/>
  <c r="K442" i="2"/>
  <c r="L442" i="2"/>
  <c r="M442" i="2"/>
  <c r="N442" i="2"/>
  <c r="G443" i="2"/>
  <c r="J443" i="2"/>
  <c r="K443" i="2"/>
  <c r="L443" i="2"/>
  <c r="M443" i="2"/>
  <c r="N443" i="2"/>
  <c r="E446" i="2"/>
  <c r="F446" i="2"/>
  <c r="H446" i="2"/>
  <c r="O446" i="2"/>
  <c r="P446" i="2"/>
  <c r="Q446" i="2"/>
  <c r="R446" i="2"/>
  <c r="S446" i="2"/>
  <c r="T446" i="2"/>
  <c r="G447" i="2"/>
  <c r="J447" i="2"/>
  <c r="K447" i="2"/>
  <c r="L447" i="2"/>
  <c r="M447" i="2"/>
  <c r="N447" i="2"/>
  <c r="G448" i="2"/>
  <c r="J448" i="2"/>
  <c r="K448" i="2"/>
  <c r="L448" i="2"/>
  <c r="M448" i="2"/>
  <c r="N448" i="2"/>
  <c r="E451" i="2"/>
  <c r="F451" i="2"/>
  <c r="H451" i="2"/>
  <c r="O451" i="2"/>
  <c r="P451" i="2"/>
  <c r="Q451" i="2"/>
  <c r="R451" i="2"/>
  <c r="S451" i="2"/>
  <c r="T451" i="2"/>
  <c r="G452" i="2"/>
  <c r="J452" i="2"/>
  <c r="K452" i="2"/>
  <c r="L452" i="2"/>
  <c r="M452" i="2"/>
  <c r="N452" i="2"/>
  <c r="G453" i="2"/>
  <c r="J453" i="2"/>
  <c r="K453" i="2"/>
  <c r="L453" i="2"/>
  <c r="M453" i="2"/>
  <c r="N453" i="2"/>
  <c r="G454" i="2"/>
  <c r="J454" i="2"/>
  <c r="K454" i="2"/>
  <c r="L454" i="2"/>
  <c r="M454" i="2"/>
  <c r="N454" i="2"/>
  <c r="E457" i="2"/>
  <c r="D457" i="2" s="1"/>
  <c r="D458" i="2" s="1"/>
  <c r="F457" i="2"/>
  <c r="H457" i="2"/>
  <c r="O457" i="2"/>
  <c r="P457" i="2"/>
  <c r="Q457" i="2"/>
  <c r="R457" i="2"/>
  <c r="S457" i="2"/>
  <c r="T457" i="2"/>
  <c r="G458" i="2"/>
  <c r="J458" i="2"/>
  <c r="K458" i="2"/>
  <c r="L458" i="2"/>
  <c r="M458" i="2"/>
  <c r="N458" i="2"/>
  <c r="E461" i="2"/>
  <c r="F461" i="2"/>
  <c r="H461" i="2"/>
  <c r="O461" i="2"/>
  <c r="P461" i="2"/>
  <c r="Q461" i="2"/>
  <c r="R461" i="2"/>
  <c r="S461" i="2"/>
  <c r="T461" i="2"/>
  <c r="G462" i="2"/>
  <c r="J462" i="2"/>
  <c r="K462" i="2"/>
  <c r="L462" i="2"/>
  <c r="M462" i="2"/>
  <c r="N462" i="2"/>
  <c r="E465" i="2"/>
  <c r="D465" i="2" s="1"/>
  <c r="D466" i="2" s="1"/>
  <c r="F465" i="2"/>
  <c r="H465" i="2"/>
  <c r="O465" i="2"/>
  <c r="P465" i="2"/>
  <c r="Q465" i="2"/>
  <c r="R465" i="2"/>
  <c r="S465" i="2"/>
  <c r="T465" i="2"/>
  <c r="G466" i="2"/>
  <c r="J466" i="2"/>
  <c r="K466" i="2"/>
  <c r="L466" i="2"/>
  <c r="M466" i="2"/>
  <c r="N466" i="2"/>
  <c r="G467" i="2"/>
  <c r="J467" i="2"/>
  <c r="K467" i="2"/>
  <c r="L467" i="2"/>
  <c r="M467" i="2"/>
  <c r="N467" i="2"/>
  <c r="E470" i="2"/>
  <c r="F470" i="2"/>
  <c r="H470" i="2"/>
  <c r="O470" i="2"/>
  <c r="P470" i="2"/>
  <c r="Q470" i="2"/>
  <c r="R470" i="2"/>
  <c r="S470" i="2"/>
  <c r="T470" i="2"/>
  <c r="G471" i="2"/>
  <c r="J471" i="2"/>
  <c r="K471" i="2"/>
  <c r="L471" i="2"/>
  <c r="M471" i="2"/>
  <c r="N471" i="2"/>
  <c r="E474" i="2"/>
  <c r="D474" i="2" s="1"/>
  <c r="D475" i="2" s="1"/>
  <c r="D476" i="2" s="1"/>
  <c r="D477" i="2" s="1"/>
  <c r="F474" i="2"/>
  <c r="H474" i="2"/>
  <c r="O474" i="2"/>
  <c r="P474" i="2"/>
  <c r="Q474" i="2"/>
  <c r="R474" i="2"/>
  <c r="S474" i="2"/>
  <c r="T474" i="2"/>
  <c r="G475" i="2"/>
  <c r="J475" i="2"/>
  <c r="K475" i="2"/>
  <c r="L475" i="2"/>
  <c r="M475" i="2"/>
  <c r="N475" i="2"/>
  <c r="G476" i="2"/>
  <c r="J476" i="2"/>
  <c r="K476" i="2"/>
  <c r="L476" i="2"/>
  <c r="M476" i="2"/>
  <c r="N476" i="2"/>
  <c r="G477" i="2"/>
  <c r="J477" i="2"/>
  <c r="K477" i="2"/>
  <c r="L477" i="2"/>
  <c r="M477" i="2"/>
  <c r="N477" i="2"/>
  <c r="E480" i="2"/>
  <c r="F480" i="2"/>
  <c r="H480" i="2"/>
  <c r="O480" i="2"/>
  <c r="P480" i="2"/>
  <c r="Q480" i="2"/>
  <c r="R480" i="2"/>
  <c r="S480" i="2"/>
  <c r="T480" i="2"/>
  <c r="G481" i="2"/>
  <c r="J481" i="2"/>
  <c r="K481" i="2"/>
  <c r="L481" i="2"/>
  <c r="M481" i="2"/>
  <c r="N481" i="2"/>
  <c r="G482" i="2"/>
  <c r="J482" i="2"/>
  <c r="K482" i="2"/>
  <c r="L482" i="2"/>
  <c r="M482" i="2"/>
  <c r="N482" i="2"/>
  <c r="G483" i="2"/>
  <c r="J483" i="2"/>
  <c r="K483" i="2"/>
  <c r="L483" i="2"/>
  <c r="M483" i="2"/>
  <c r="N483" i="2"/>
  <c r="G484" i="2"/>
  <c r="J484" i="2"/>
  <c r="K484" i="2"/>
  <c r="L484" i="2"/>
  <c r="M484" i="2"/>
  <c r="N484" i="2"/>
  <c r="E487" i="2"/>
  <c r="F487" i="2"/>
  <c r="H487" i="2"/>
  <c r="O487" i="2"/>
  <c r="P487" i="2"/>
  <c r="Q487" i="2"/>
  <c r="R487" i="2"/>
  <c r="S487" i="2"/>
  <c r="T487" i="2"/>
  <c r="G488" i="2"/>
  <c r="J488" i="2"/>
  <c r="K488" i="2"/>
  <c r="L488" i="2"/>
  <c r="M488" i="2"/>
  <c r="N488" i="2"/>
  <c r="G489" i="2"/>
  <c r="J489" i="2"/>
  <c r="K489" i="2"/>
  <c r="L489" i="2"/>
  <c r="M489" i="2"/>
  <c r="N489" i="2"/>
  <c r="G490" i="2"/>
  <c r="J490" i="2"/>
  <c r="K490" i="2"/>
  <c r="L490" i="2"/>
  <c r="M490" i="2"/>
  <c r="N490" i="2"/>
  <c r="E493" i="2"/>
  <c r="F493" i="2"/>
  <c r="H493" i="2"/>
  <c r="O493" i="2"/>
  <c r="P493" i="2"/>
  <c r="Q493" i="2"/>
  <c r="R493" i="2"/>
  <c r="S493" i="2"/>
  <c r="T493" i="2"/>
  <c r="G494" i="2"/>
  <c r="J494" i="2"/>
  <c r="K494" i="2"/>
  <c r="L494" i="2"/>
  <c r="M494" i="2"/>
  <c r="N494" i="2"/>
  <c r="E497" i="2"/>
  <c r="F497" i="2"/>
  <c r="H497" i="2"/>
  <c r="O497" i="2"/>
  <c r="P497" i="2"/>
  <c r="Q497" i="2"/>
  <c r="R497" i="2"/>
  <c r="S497" i="2"/>
  <c r="T497" i="2"/>
  <c r="G498" i="2"/>
  <c r="J498" i="2"/>
  <c r="K498" i="2"/>
  <c r="L498" i="2"/>
  <c r="M498" i="2"/>
  <c r="N498" i="2"/>
  <c r="E501" i="2"/>
  <c r="F501" i="2"/>
  <c r="H501" i="2"/>
  <c r="O501" i="2"/>
  <c r="P501" i="2"/>
  <c r="Q501" i="2"/>
  <c r="R501" i="2"/>
  <c r="S501" i="2"/>
  <c r="T501" i="2"/>
  <c r="G502" i="2"/>
  <c r="J502" i="2"/>
  <c r="K502" i="2"/>
  <c r="L502" i="2"/>
  <c r="M502" i="2"/>
  <c r="N502" i="2"/>
  <c r="E505" i="2"/>
  <c r="F505" i="2"/>
  <c r="H505" i="2"/>
  <c r="O505" i="2"/>
  <c r="P505" i="2"/>
  <c r="Q505" i="2"/>
  <c r="R505" i="2"/>
  <c r="S505" i="2"/>
  <c r="T505" i="2"/>
  <c r="G506" i="2"/>
  <c r="J506" i="2"/>
  <c r="K506" i="2"/>
  <c r="L506" i="2"/>
  <c r="M506" i="2"/>
  <c r="N506" i="2"/>
  <c r="G507" i="2"/>
  <c r="J507" i="2"/>
  <c r="K507" i="2"/>
  <c r="L507" i="2"/>
  <c r="M507" i="2"/>
  <c r="N507" i="2"/>
  <c r="E510" i="2"/>
  <c r="F510" i="2"/>
  <c r="H510" i="2"/>
  <c r="O510" i="2"/>
  <c r="P510" i="2"/>
  <c r="Q510" i="2"/>
  <c r="R510" i="2"/>
  <c r="S510" i="2"/>
  <c r="T510" i="2"/>
  <c r="G511" i="2"/>
  <c r="J511" i="2"/>
  <c r="K511" i="2"/>
  <c r="L511" i="2"/>
  <c r="M511" i="2"/>
  <c r="N511" i="2"/>
  <c r="G512" i="2"/>
  <c r="J512" i="2"/>
  <c r="K512" i="2"/>
  <c r="L512" i="2"/>
  <c r="M512" i="2"/>
  <c r="N512" i="2"/>
  <c r="E515" i="2"/>
  <c r="D515" i="2" s="1"/>
  <c r="D516" i="2" s="1"/>
  <c r="F515" i="2"/>
  <c r="H515" i="2"/>
  <c r="O515" i="2"/>
  <c r="P515" i="2"/>
  <c r="Q515" i="2"/>
  <c r="R515" i="2"/>
  <c r="S515" i="2"/>
  <c r="T515" i="2"/>
  <c r="G516" i="2"/>
  <c r="J516" i="2"/>
  <c r="K516" i="2"/>
  <c r="L516" i="2"/>
  <c r="M516" i="2"/>
  <c r="N516" i="2"/>
  <c r="G517" i="2"/>
  <c r="J517" i="2"/>
  <c r="K517" i="2"/>
  <c r="L517" i="2"/>
  <c r="M517" i="2"/>
  <c r="N517" i="2"/>
  <c r="E520" i="2"/>
  <c r="F520" i="2"/>
  <c r="H520" i="2"/>
  <c r="O520" i="2"/>
  <c r="P520" i="2"/>
  <c r="Q520" i="2"/>
  <c r="R520" i="2"/>
  <c r="S520" i="2"/>
  <c r="T520" i="2"/>
  <c r="G521" i="2"/>
  <c r="J521" i="2"/>
  <c r="K521" i="2"/>
  <c r="L521" i="2"/>
  <c r="M521" i="2"/>
  <c r="N521" i="2"/>
  <c r="G522" i="2"/>
  <c r="J522" i="2"/>
  <c r="K522" i="2"/>
  <c r="L522" i="2"/>
  <c r="M522" i="2"/>
  <c r="N522" i="2"/>
  <c r="E525" i="2"/>
  <c r="F525" i="2"/>
  <c r="H525" i="2"/>
  <c r="O525" i="2"/>
  <c r="P525" i="2"/>
  <c r="Q525" i="2"/>
  <c r="R525" i="2"/>
  <c r="S525" i="2"/>
  <c r="T525" i="2"/>
  <c r="G526" i="2"/>
  <c r="J526" i="2"/>
  <c r="K526" i="2"/>
  <c r="L526" i="2"/>
  <c r="M526" i="2"/>
  <c r="N526" i="2"/>
  <c r="G527" i="2"/>
  <c r="J527" i="2"/>
  <c r="K527" i="2"/>
  <c r="L527" i="2"/>
  <c r="M527" i="2"/>
  <c r="N527" i="2"/>
  <c r="E530" i="2"/>
  <c r="D530" i="2" s="1"/>
  <c r="D531" i="2" s="1"/>
  <c r="D532" i="2" s="1"/>
  <c r="F530" i="2"/>
  <c r="H530" i="2"/>
  <c r="O530" i="2"/>
  <c r="P530" i="2"/>
  <c r="Q530" i="2"/>
  <c r="R530" i="2"/>
  <c r="S530" i="2"/>
  <c r="T530" i="2"/>
  <c r="G531" i="2"/>
  <c r="J531" i="2"/>
  <c r="K531" i="2"/>
  <c r="L531" i="2"/>
  <c r="M531" i="2"/>
  <c r="N531" i="2"/>
  <c r="G532" i="2"/>
  <c r="J532" i="2"/>
  <c r="K532" i="2"/>
  <c r="L532" i="2"/>
  <c r="M532" i="2"/>
  <c r="N532" i="2"/>
  <c r="E535" i="2"/>
  <c r="F535" i="2"/>
  <c r="H535" i="2"/>
  <c r="O535" i="2"/>
  <c r="P535" i="2"/>
  <c r="Q535" i="2"/>
  <c r="R535" i="2"/>
  <c r="S535" i="2"/>
  <c r="T535" i="2"/>
  <c r="G536" i="2"/>
  <c r="J536" i="2"/>
  <c r="K536" i="2"/>
  <c r="L536" i="2"/>
  <c r="M536" i="2"/>
  <c r="N536" i="2"/>
  <c r="E539" i="2"/>
  <c r="F539" i="2"/>
  <c r="H539" i="2"/>
  <c r="O539" i="2"/>
  <c r="P539" i="2"/>
  <c r="Q539" i="2"/>
  <c r="R539" i="2"/>
  <c r="S539" i="2"/>
  <c r="T539" i="2"/>
  <c r="G540" i="2"/>
  <c r="J540" i="2"/>
  <c r="K540" i="2"/>
  <c r="L540" i="2"/>
  <c r="M540" i="2"/>
  <c r="N540" i="2"/>
  <c r="G541" i="2"/>
  <c r="J541" i="2"/>
  <c r="K541" i="2"/>
  <c r="L541" i="2"/>
  <c r="M541" i="2"/>
  <c r="N541" i="2"/>
  <c r="E544" i="2"/>
  <c r="F544" i="2"/>
  <c r="H544" i="2"/>
  <c r="O544" i="2"/>
  <c r="P544" i="2"/>
  <c r="Q544" i="2"/>
  <c r="R544" i="2"/>
  <c r="S544" i="2"/>
  <c r="T544" i="2"/>
  <c r="G545" i="2"/>
  <c r="J545" i="2"/>
  <c r="K545" i="2"/>
  <c r="L545" i="2"/>
  <c r="M545" i="2"/>
  <c r="N545" i="2"/>
  <c r="G546" i="2"/>
  <c r="J546" i="2"/>
  <c r="K546" i="2"/>
  <c r="L546" i="2"/>
  <c r="M546" i="2"/>
  <c r="N546" i="2"/>
  <c r="G547" i="2"/>
  <c r="J547" i="2"/>
  <c r="K547" i="2"/>
  <c r="L547" i="2"/>
  <c r="M547" i="2"/>
  <c r="N547" i="2"/>
  <c r="G548" i="2"/>
  <c r="J548" i="2"/>
  <c r="K548" i="2"/>
  <c r="L548" i="2"/>
  <c r="M548" i="2"/>
  <c r="N548" i="2"/>
  <c r="E551" i="2"/>
  <c r="F551" i="2"/>
  <c r="H551" i="2"/>
  <c r="O551" i="2"/>
  <c r="P551" i="2"/>
  <c r="Q551" i="2"/>
  <c r="R551" i="2"/>
  <c r="S551" i="2"/>
  <c r="T551" i="2"/>
  <c r="G552" i="2"/>
  <c r="J552" i="2"/>
  <c r="K552" i="2"/>
  <c r="L552" i="2"/>
  <c r="M552" i="2"/>
  <c r="N552" i="2"/>
  <c r="G553" i="2"/>
  <c r="J553" i="2"/>
  <c r="K553" i="2"/>
  <c r="L553" i="2"/>
  <c r="M553" i="2"/>
  <c r="N553" i="2"/>
  <c r="E556" i="2"/>
  <c r="D556" i="2" s="1"/>
  <c r="D557" i="2" s="1"/>
  <c r="F556" i="2"/>
  <c r="H556" i="2"/>
  <c r="O556" i="2"/>
  <c r="P556" i="2"/>
  <c r="Q556" i="2"/>
  <c r="R556" i="2"/>
  <c r="S556" i="2"/>
  <c r="T556" i="2"/>
  <c r="G557" i="2"/>
  <c r="J557" i="2"/>
  <c r="K557" i="2"/>
  <c r="L557" i="2"/>
  <c r="M557" i="2"/>
  <c r="N557" i="2"/>
  <c r="G558" i="2"/>
  <c r="J558" i="2"/>
  <c r="K558" i="2"/>
  <c r="L558" i="2"/>
  <c r="M558" i="2"/>
  <c r="N558" i="2"/>
  <c r="G559" i="2"/>
  <c r="J559" i="2"/>
  <c r="K559" i="2"/>
  <c r="L559" i="2"/>
  <c r="M559" i="2"/>
  <c r="N559" i="2"/>
  <c r="G560" i="2"/>
  <c r="J560" i="2"/>
  <c r="K560" i="2"/>
  <c r="L560" i="2"/>
  <c r="M560" i="2"/>
  <c r="N560" i="2"/>
  <c r="E563" i="2"/>
  <c r="D563" i="2" s="1"/>
  <c r="D564" i="2" s="1"/>
  <c r="F563" i="2"/>
  <c r="H563" i="2"/>
  <c r="O563" i="2"/>
  <c r="P563" i="2"/>
  <c r="Q563" i="2"/>
  <c r="R563" i="2"/>
  <c r="S563" i="2"/>
  <c r="T563" i="2"/>
  <c r="G564" i="2"/>
  <c r="J564" i="2"/>
  <c r="K564" i="2"/>
  <c r="L564" i="2"/>
  <c r="M564" i="2"/>
  <c r="N564" i="2"/>
  <c r="G565" i="2"/>
  <c r="J565" i="2"/>
  <c r="K565" i="2"/>
  <c r="L565" i="2"/>
  <c r="M565" i="2"/>
  <c r="N565" i="2"/>
  <c r="G566" i="2"/>
  <c r="J566" i="2"/>
  <c r="K566" i="2"/>
  <c r="L566" i="2"/>
  <c r="M566" i="2"/>
  <c r="N566" i="2"/>
  <c r="G567" i="2"/>
  <c r="J567" i="2"/>
  <c r="K567" i="2"/>
  <c r="L567" i="2"/>
  <c r="M567" i="2"/>
  <c r="N567" i="2"/>
  <c r="E570" i="2"/>
  <c r="F570" i="2"/>
  <c r="H570" i="2"/>
  <c r="O570" i="2"/>
  <c r="P570" i="2"/>
  <c r="Q570" i="2"/>
  <c r="R570" i="2"/>
  <c r="S570" i="2"/>
  <c r="T570" i="2"/>
  <c r="G571" i="2"/>
  <c r="J571" i="2"/>
  <c r="K571" i="2"/>
  <c r="L571" i="2"/>
  <c r="M571" i="2"/>
  <c r="N571" i="2"/>
  <c r="G572" i="2"/>
  <c r="J572" i="2"/>
  <c r="K572" i="2"/>
  <c r="L572" i="2"/>
  <c r="M572" i="2"/>
  <c r="N572" i="2"/>
  <c r="G573" i="2"/>
  <c r="J573" i="2"/>
  <c r="K573" i="2"/>
  <c r="L573" i="2"/>
  <c r="M573" i="2"/>
  <c r="N573" i="2"/>
  <c r="E576" i="2"/>
  <c r="F576" i="2"/>
  <c r="H576" i="2"/>
  <c r="O576" i="2"/>
  <c r="P576" i="2"/>
  <c r="Q576" i="2"/>
  <c r="R576" i="2"/>
  <c r="S576" i="2"/>
  <c r="T576" i="2"/>
  <c r="G577" i="2"/>
  <c r="J577" i="2"/>
  <c r="K577" i="2"/>
  <c r="L577" i="2"/>
  <c r="M577" i="2"/>
  <c r="N577" i="2"/>
  <c r="E580" i="2"/>
  <c r="F580" i="2"/>
  <c r="H580" i="2"/>
  <c r="O580" i="2"/>
  <c r="P580" i="2"/>
  <c r="Q580" i="2"/>
  <c r="R580" i="2"/>
  <c r="S580" i="2"/>
  <c r="T580" i="2"/>
  <c r="G581" i="2"/>
  <c r="J581" i="2"/>
  <c r="K581" i="2"/>
  <c r="L581" i="2"/>
  <c r="M581" i="2"/>
  <c r="N581" i="2"/>
  <c r="G582" i="2"/>
  <c r="J582" i="2"/>
  <c r="K582" i="2"/>
  <c r="L582" i="2"/>
  <c r="M582" i="2"/>
  <c r="N582" i="2"/>
  <c r="G583" i="2"/>
  <c r="J583" i="2"/>
  <c r="K583" i="2"/>
  <c r="L583" i="2"/>
  <c r="M583" i="2"/>
  <c r="N583" i="2"/>
  <c r="E586" i="2"/>
  <c r="F586" i="2"/>
  <c r="H586" i="2"/>
  <c r="O586" i="2"/>
  <c r="P586" i="2"/>
  <c r="Q586" i="2"/>
  <c r="R586" i="2"/>
  <c r="S586" i="2"/>
  <c r="T586" i="2"/>
  <c r="G587" i="2"/>
  <c r="J587" i="2"/>
  <c r="K587" i="2"/>
  <c r="L587" i="2"/>
  <c r="M587" i="2"/>
  <c r="N587" i="2"/>
  <c r="G588" i="2"/>
  <c r="J588" i="2"/>
  <c r="K588" i="2"/>
  <c r="L588" i="2"/>
  <c r="M588" i="2"/>
  <c r="N588" i="2"/>
  <c r="G589" i="2"/>
  <c r="J589" i="2"/>
  <c r="K589" i="2"/>
  <c r="L589" i="2"/>
  <c r="M589" i="2"/>
  <c r="N589" i="2"/>
  <c r="E592" i="2"/>
  <c r="F592" i="2"/>
  <c r="H592" i="2"/>
  <c r="O592" i="2"/>
  <c r="P592" i="2"/>
  <c r="Q592" i="2"/>
  <c r="R592" i="2"/>
  <c r="S592" i="2"/>
  <c r="T592" i="2"/>
  <c r="G593" i="2"/>
  <c r="J593" i="2"/>
  <c r="K593" i="2"/>
  <c r="L593" i="2"/>
  <c r="M593" i="2"/>
  <c r="N593" i="2"/>
  <c r="G594" i="2"/>
  <c r="J594" i="2"/>
  <c r="K594" i="2"/>
  <c r="L594" i="2"/>
  <c r="M594" i="2"/>
  <c r="N594" i="2"/>
  <c r="E597" i="2"/>
  <c r="F597" i="2"/>
  <c r="H597" i="2"/>
  <c r="O597" i="2"/>
  <c r="P597" i="2"/>
  <c r="Q597" i="2"/>
  <c r="R597" i="2"/>
  <c r="S597" i="2"/>
  <c r="T597" i="2"/>
  <c r="G598" i="2"/>
  <c r="J598" i="2"/>
  <c r="K598" i="2"/>
  <c r="L598" i="2"/>
  <c r="M598" i="2"/>
  <c r="N598" i="2"/>
  <c r="G599" i="2"/>
  <c r="J599" i="2"/>
  <c r="K599" i="2"/>
  <c r="L599" i="2"/>
  <c r="M599" i="2"/>
  <c r="N599" i="2"/>
  <c r="E602" i="2"/>
  <c r="F602" i="2"/>
  <c r="H602" i="2"/>
  <c r="O602" i="2"/>
  <c r="P602" i="2"/>
  <c r="Q602" i="2"/>
  <c r="R602" i="2"/>
  <c r="S602" i="2"/>
  <c r="T602" i="2"/>
  <c r="G603" i="2"/>
  <c r="J603" i="2"/>
  <c r="K603" i="2"/>
  <c r="L603" i="2"/>
  <c r="M603" i="2"/>
  <c r="N603" i="2"/>
  <c r="G604" i="2"/>
  <c r="J604" i="2"/>
  <c r="K604" i="2"/>
  <c r="L604" i="2"/>
  <c r="M604" i="2"/>
  <c r="N604" i="2"/>
  <c r="G605" i="2"/>
  <c r="J605" i="2"/>
  <c r="K605" i="2"/>
  <c r="L605" i="2"/>
  <c r="M605" i="2"/>
  <c r="N605" i="2"/>
  <c r="E608" i="2"/>
  <c r="F608" i="2"/>
  <c r="H608" i="2"/>
  <c r="O608" i="2"/>
  <c r="P608" i="2"/>
  <c r="Q608" i="2"/>
  <c r="R608" i="2"/>
  <c r="S608" i="2"/>
  <c r="T608" i="2"/>
  <c r="G609" i="2"/>
  <c r="J609" i="2"/>
  <c r="K609" i="2"/>
  <c r="L609" i="2"/>
  <c r="M609" i="2"/>
  <c r="N609" i="2"/>
  <c r="G610" i="2"/>
  <c r="J610" i="2"/>
  <c r="K610" i="2"/>
  <c r="L610" i="2"/>
  <c r="M610" i="2"/>
  <c r="N610" i="2"/>
  <c r="E613" i="2"/>
  <c r="F613" i="2"/>
  <c r="H613" i="2"/>
  <c r="O613" i="2"/>
  <c r="P613" i="2"/>
  <c r="Q613" i="2"/>
  <c r="R613" i="2"/>
  <c r="S613" i="2"/>
  <c r="T613" i="2"/>
  <c r="G614" i="2"/>
  <c r="J614" i="2"/>
  <c r="K614" i="2"/>
  <c r="L614" i="2"/>
  <c r="M614" i="2"/>
  <c r="N614" i="2"/>
  <c r="G615" i="2"/>
  <c r="J615" i="2"/>
  <c r="K615" i="2"/>
  <c r="L615" i="2"/>
  <c r="M615" i="2"/>
  <c r="N615" i="2"/>
  <c r="E618" i="2"/>
  <c r="F618" i="2"/>
  <c r="H618" i="2"/>
  <c r="O618" i="2"/>
  <c r="P618" i="2"/>
  <c r="Q618" i="2"/>
  <c r="R618" i="2"/>
  <c r="S618" i="2"/>
  <c r="T618" i="2"/>
  <c r="G619" i="2"/>
  <c r="J619" i="2"/>
  <c r="K619" i="2"/>
  <c r="L619" i="2"/>
  <c r="M619" i="2"/>
  <c r="N619" i="2"/>
  <c r="G620" i="2"/>
  <c r="J620" i="2"/>
  <c r="K620" i="2"/>
  <c r="L620" i="2"/>
  <c r="M620" i="2"/>
  <c r="N620" i="2"/>
  <c r="G621" i="2"/>
  <c r="J621" i="2"/>
  <c r="K621" i="2"/>
  <c r="L621" i="2"/>
  <c r="M621" i="2"/>
  <c r="N621" i="2"/>
  <c r="G622" i="2"/>
  <c r="J622" i="2"/>
  <c r="K622" i="2"/>
  <c r="L622" i="2"/>
  <c r="M622" i="2"/>
  <c r="N622" i="2"/>
  <c r="G623" i="2"/>
  <c r="J623" i="2"/>
  <c r="K623" i="2"/>
  <c r="L623" i="2"/>
  <c r="M623" i="2"/>
  <c r="N623" i="2"/>
  <c r="E626" i="2"/>
  <c r="F626" i="2"/>
  <c r="H626" i="2"/>
  <c r="O626" i="2"/>
  <c r="P626" i="2"/>
  <c r="Q626" i="2"/>
  <c r="R626" i="2"/>
  <c r="S626" i="2"/>
  <c r="T626" i="2"/>
  <c r="G627" i="2"/>
  <c r="J627" i="2"/>
  <c r="K627" i="2"/>
  <c r="L627" i="2"/>
  <c r="M627" i="2"/>
  <c r="N627" i="2"/>
  <c r="G628" i="2"/>
  <c r="J628" i="2"/>
  <c r="K628" i="2"/>
  <c r="L628" i="2"/>
  <c r="M628" i="2"/>
  <c r="N628" i="2"/>
  <c r="E631" i="2"/>
  <c r="F631" i="2"/>
  <c r="H631" i="2"/>
  <c r="O631" i="2"/>
  <c r="P631" i="2"/>
  <c r="Q631" i="2"/>
  <c r="R631" i="2"/>
  <c r="S631" i="2"/>
  <c r="T631" i="2"/>
  <c r="G632" i="2"/>
  <c r="J632" i="2"/>
  <c r="K632" i="2"/>
  <c r="L632" i="2"/>
  <c r="M632" i="2"/>
  <c r="N632" i="2"/>
  <c r="G633" i="2"/>
  <c r="J633" i="2"/>
  <c r="K633" i="2"/>
  <c r="L633" i="2"/>
  <c r="M633" i="2"/>
  <c r="N633" i="2"/>
  <c r="G634" i="2"/>
  <c r="J634" i="2"/>
  <c r="K634" i="2"/>
  <c r="L634" i="2"/>
  <c r="M634" i="2"/>
  <c r="N634" i="2"/>
  <c r="G635" i="2"/>
  <c r="J635" i="2"/>
  <c r="K635" i="2"/>
  <c r="L635" i="2"/>
  <c r="M635" i="2"/>
  <c r="N635" i="2"/>
  <c r="G636" i="2"/>
  <c r="J636" i="2"/>
  <c r="K636" i="2"/>
  <c r="L636" i="2"/>
  <c r="M636" i="2"/>
  <c r="N636" i="2"/>
  <c r="G637" i="2"/>
  <c r="J637" i="2"/>
  <c r="K637" i="2"/>
  <c r="L637" i="2"/>
  <c r="M637" i="2"/>
  <c r="N637" i="2"/>
  <c r="E640" i="2"/>
  <c r="F640" i="2"/>
  <c r="H640" i="2"/>
  <c r="O640" i="2"/>
  <c r="P640" i="2"/>
  <c r="Q640" i="2"/>
  <c r="R640" i="2"/>
  <c r="S640" i="2"/>
  <c r="T640" i="2"/>
  <c r="G641" i="2"/>
  <c r="J641" i="2"/>
  <c r="K641" i="2"/>
  <c r="L641" i="2"/>
  <c r="M641" i="2"/>
  <c r="N641" i="2"/>
  <c r="G642" i="2"/>
  <c r="J642" i="2"/>
  <c r="K642" i="2"/>
  <c r="L642" i="2"/>
  <c r="M642" i="2"/>
  <c r="N642" i="2"/>
  <c r="G643" i="2"/>
  <c r="J643" i="2"/>
  <c r="K643" i="2"/>
  <c r="L643" i="2"/>
  <c r="M643" i="2"/>
  <c r="N643" i="2"/>
  <c r="G644" i="2"/>
  <c r="J644" i="2"/>
  <c r="K644" i="2"/>
  <c r="L644" i="2"/>
  <c r="M644" i="2"/>
  <c r="N644" i="2"/>
  <c r="G645" i="2"/>
  <c r="J645" i="2"/>
  <c r="K645" i="2"/>
  <c r="L645" i="2"/>
  <c r="M645" i="2"/>
  <c r="N645" i="2"/>
  <c r="E648" i="2"/>
  <c r="D648" i="2" s="1"/>
  <c r="D649" i="2" s="1"/>
  <c r="F648" i="2"/>
  <c r="H648" i="2"/>
  <c r="O648" i="2"/>
  <c r="P648" i="2"/>
  <c r="Q648" i="2"/>
  <c r="R648" i="2"/>
  <c r="S648" i="2"/>
  <c r="T648" i="2"/>
  <c r="G649" i="2"/>
  <c r="J649" i="2"/>
  <c r="K649" i="2"/>
  <c r="L649" i="2"/>
  <c r="M649" i="2"/>
  <c r="N649" i="2"/>
  <c r="G650" i="2"/>
  <c r="J650" i="2"/>
  <c r="K650" i="2"/>
  <c r="L650" i="2"/>
  <c r="M650" i="2"/>
  <c r="N650" i="2"/>
  <c r="G651" i="2"/>
  <c r="J651" i="2"/>
  <c r="K651" i="2"/>
  <c r="L651" i="2"/>
  <c r="M651" i="2"/>
  <c r="N651" i="2"/>
  <c r="G652" i="2"/>
  <c r="J652" i="2"/>
  <c r="K652" i="2"/>
  <c r="L652" i="2"/>
  <c r="M652" i="2"/>
  <c r="N652" i="2"/>
  <c r="E655" i="2"/>
  <c r="F655" i="2"/>
  <c r="H655" i="2"/>
  <c r="O655" i="2"/>
  <c r="P655" i="2"/>
  <c r="Q655" i="2"/>
  <c r="R655" i="2"/>
  <c r="S655" i="2"/>
  <c r="T655" i="2"/>
  <c r="G656" i="2"/>
  <c r="J656" i="2"/>
  <c r="K656" i="2"/>
  <c r="L656" i="2"/>
  <c r="M656" i="2"/>
  <c r="N656" i="2"/>
  <c r="E659" i="2"/>
  <c r="F659" i="2"/>
  <c r="H659" i="2"/>
  <c r="O659" i="2"/>
  <c r="P659" i="2"/>
  <c r="Q659" i="2"/>
  <c r="R659" i="2"/>
  <c r="S659" i="2"/>
  <c r="T659" i="2"/>
  <c r="G660" i="2"/>
  <c r="J660" i="2"/>
  <c r="K660" i="2"/>
  <c r="L660" i="2"/>
  <c r="M660" i="2"/>
  <c r="N660" i="2"/>
  <c r="G661" i="2"/>
  <c r="J661" i="2"/>
  <c r="K661" i="2"/>
  <c r="L661" i="2"/>
  <c r="M661" i="2"/>
  <c r="N661" i="2"/>
  <c r="G662" i="2"/>
  <c r="J662" i="2"/>
  <c r="K662" i="2"/>
  <c r="L662" i="2"/>
  <c r="M662" i="2"/>
  <c r="N662" i="2"/>
  <c r="E665" i="2"/>
  <c r="F665" i="2"/>
  <c r="H665" i="2"/>
  <c r="O665" i="2"/>
  <c r="P665" i="2"/>
  <c r="Q665" i="2"/>
  <c r="R665" i="2"/>
  <c r="S665" i="2"/>
  <c r="T665" i="2"/>
  <c r="G666" i="2"/>
  <c r="J666" i="2"/>
  <c r="K666" i="2"/>
  <c r="L666" i="2"/>
  <c r="M666" i="2"/>
  <c r="N666" i="2"/>
  <c r="G667" i="2"/>
  <c r="J667" i="2"/>
  <c r="K667" i="2"/>
  <c r="L667" i="2"/>
  <c r="M667" i="2"/>
  <c r="N667" i="2"/>
  <c r="G668" i="2"/>
  <c r="J668" i="2"/>
  <c r="K668" i="2"/>
  <c r="L668" i="2"/>
  <c r="M668" i="2"/>
  <c r="N668" i="2"/>
  <c r="E671" i="2"/>
  <c r="F671" i="2"/>
  <c r="H671" i="2"/>
  <c r="O671" i="2"/>
  <c r="P671" i="2"/>
  <c r="Q671" i="2"/>
  <c r="R671" i="2"/>
  <c r="S671" i="2"/>
  <c r="T671" i="2"/>
  <c r="G672" i="2"/>
  <c r="J672" i="2"/>
  <c r="K672" i="2"/>
  <c r="L672" i="2"/>
  <c r="M672" i="2"/>
  <c r="N672" i="2"/>
  <c r="G673" i="2"/>
  <c r="J673" i="2"/>
  <c r="K673" i="2"/>
  <c r="L673" i="2"/>
  <c r="M673" i="2"/>
  <c r="N673" i="2"/>
  <c r="G674" i="2"/>
  <c r="J674" i="2"/>
  <c r="K674" i="2"/>
  <c r="L674" i="2"/>
  <c r="M674" i="2"/>
  <c r="N674" i="2"/>
  <c r="E677" i="2"/>
  <c r="D677" i="2" s="1"/>
  <c r="D678" i="2" s="1"/>
  <c r="F677" i="2"/>
  <c r="H677" i="2"/>
  <c r="O677" i="2"/>
  <c r="P677" i="2"/>
  <c r="Q677" i="2"/>
  <c r="R677" i="2"/>
  <c r="S677" i="2"/>
  <c r="T677" i="2"/>
  <c r="G678" i="2"/>
  <c r="J678" i="2"/>
  <c r="K678" i="2"/>
  <c r="L678" i="2"/>
  <c r="M678" i="2"/>
  <c r="N678" i="2"/>
  <c r="E681" i="2"/>
  <c r="F681" i="2"/>
  <c r="H681" i="2"/>
  <c r="O681" i="2"/>
  <c r="P681" i="2"/>
  <c r="Q681" i="2"/>
  <c r="R681" i="2"/>
  <c r="S681" i="2"/>
  <c r="T681" i="2"/>
  <c r="G682" i="2"/>
  <c r="J682" i="2"/>
  <c r="K682" i="2"/>
  <c r="L682" i="2"/>
  <c r="M682" i="2"/>
  <c r="N682" i="2"/>
  <c r="E685" i="2"/>
  <c r="D685" i="2" s="1"/>
  <c r="D686" i="2" s="1"/>
  <c r="F685" i="2"/>
  <c r="H685" i="2"/>
  <c r="O685" i="2"/>
  <c r="P685" i="2"/>
  <c r="Q685" i="2"/>
  <c r="R685" i="2"/>
  <c r="S685" i="2"/>
  <c r="T685" i="2"/>
  <c r="G686" i="2"/>
  <c r="J686" i="2"/>
  <c r="K686" i="2"/>
  <c r="L686" i="2"/>
  <c r="M686" i="2"/>
  <c r="N686" i="2"/>
  <c r="E689" i="2"/>
  <c r="F689" i="2"/>
  <c r="H689" i="2"/>
  <c r="O689" i="2"/>
  <c r="P689" i="2"/>
  <c r="Q689" i="2"/>
  <c r="R689" i="2"/>
  <c r="S689" i="2"/>
  <c r="T689" i="2"/>
  <c r="G690" i="2"/>
  <c r="J690" i="2"/>
  <c r="K690" i="2"/>
  <c r="L690" i="2"/>
  <c r="M690" i="2"/>
  <c r="N690" i="2"/>
  <c r="E693" i="2"/>
  <c r="F693" i="2"/>
  <c r="H693" i="2"/>
  <c r="O693" i="2"/>
  <c r="P693" i="2"/>
  <c r="Q693" i="2"/>
  <c r="R693" i="2"/>
  <c r="S693" i="2"/>
  <c r="T693" i="2"/>
  <c r="G694" i="2"/>
  <c r="J694" i="2"/>
  <c r="K694" i="2"/>
  <c r="L694" i="2"/>
  <c r="M694" i="2"/>
  <c r="N694" i="2"/>
  <c r="E697" i="2"/>
  <c r="D697" i="2" s="1"/>
  <c r="D698" i="2" s="1"/>
  <c r="F697" i="2"/>
  <c r="H697" i="2"/>
  <c r="O697" i="2"/>
  <c r="P697" i="2"/>
  <c r="Q697" i="2"/>
  <c r="R697" i="2"/>
  <c r="S697" i="2"/>
  <c r="T697" i="2"/>
  <c r="G698" i="2"/>
  <c r="J698" i="2"/>
  <c r="K698" i="2"/>
  <c r="L698" i="2"/>
  <c r="M698" i="2"/>
  <c r="N698" i="2"/>
  <c r="E701" i="2"/>
  <c r="F701" i="2"/>
  <c r="H701" i="2"/>
  <c r="O701" i="2"/>
  <c r="P701" i="2"/>
  <c r="Q701" i="2"/>
  <c r="R701" i="2"/>
  <c r="S701" i="2"/>
  <c r="T701" i="2"/>
  <c r="G702" i="2"/>
  <c r="J702" i="2"/>
  <c r="K702" i="2"/>
  <c r="L702" i="2"/>
  <c r="M702" i="2"/>
  <c r="N702" i="2"/>
  <c r="E705" i="2"/>
  <c r="F705" i="2"/>
  <c r="H705" i="2"/>
  <c r="O705" i="2"/>
  <c r="P705" i="2"/>
  <c r="Q705" i="2"/>
  <c r="R705" i="2"/>
  <c r="S705" i="2"/>
  <c r="T705" i="2"/>
  <c r="G706" i="2"/>
  <c r="J706" i="2"/>
  <c r="K706" i="2"/>
  <c r="L706" i="2"/>
  <c r="M706" i="2"/>
  <c r="N706" i="2"/>
  <c r="G707" i="2"/>
  <c r="J707" i="2"/>
  <c r="K707" i="2"/>
  <c r="L707" i="2"/>
  <c r="M707" i="2"/>
  <c r="N707" i="2"/>
  <c r="E710" i="2"/>
  <c r="D710" i="2" s="1"/>
  <c r="D711" i="2" s="1"/>
  <c r="F710" i="2"/>
  <c r="H710" i="2"/>
  <c r="O710" i="2"/>
  <c r="P710" i="2"/>
  <c r="Q710" i="2"/>
  <c r="R710" i="2"/>
  <c r="S710" i="2"/>
  <c r="T710" i="2"/>
  <c r="G711" i="2"/>
  <c r="J711" i="2"/>
  <c r="K711" i="2"/>
  <c r="L711" i="2"/>
  <c r="M711" i="2"/>
  <c r="N711" i="2"/>
  <c r="E714" i="2"/>
  <c r="F714" i="2"/>
  <c r="H714" i="2"/>
  <c r="O714" i="2"/>
  <c r="P714" i="2"/>
  <c r="Q714" i="2"/>
  <c r="R714" i="2"/>
  <c r="S714" i="2"/>
  <c r="T714" i="2"/>
  <c r="G715" i="2"/>
  <c r="J715" i="2"/>
  <c r="K715" i="2"/>
  <c r="L715" i="2"/>
  <c r="M715" i="2"/>
  <c r="N715" i="2"/>
  <c r="E718" i="2"/>
  <c r="F718" i="2"/>
  <c r="H718" i="2"/>
  <c r="O718" i="2"/>
  <c r="P718" i="2"/>
  <c r="Q718" i="2"/>
  <c r="R718" i="2"/>
  <c r="S718" i="2"/>
  <c r="T718" i="2"/>
  <c r="G719" i="2"/>
  <c r="J719" i="2"/>
  <c r="K719" i="2"/>
  <c r="L719" i="2"/>
  <c r="M719" i="2"/>
  <c r="N719" i="2"/>
  <c r="E722" i="2"/>
  <c r="F722" i="2"/>
  <c r="H722" i="2"/>
  <c r="O722" i="2"/>
  <c r="P722" i="2"/>
  <c r="Q722" i="2"/>
  <c r="R722" i="2"/>
  <c r="S722" i="2"/>
  <c r="T722" i="2"/>
  <c r="G723" i="2"/>
  <c r="J723" i="2"/>
  <c r="K723" i="2"/>
  <c r="L723" i="2"/>
  <c r="M723" i="2"/>
  <c r="N723" i="2"/>
  <c r="D5" i="1"/>
  <c r="D6" i="1"/>
  <c r="L5" i="237"/>
  <c r="E6" i="237"/>
  <c r="L6" i="237"/>
  <c r="L7" i="237"/>
  <c r="E12" i="237"/>
  <c r="F12" i="237"/>
  <c r="H12" i="237"/>
  <c r="O12" i="237"/>
  <c r="P12" i="237"/>
  <c r="Q12" i="237"/>
  <c r="R12" i="237"/>
  <c r="S12" i="237"/>
  <c r="T12" i="237"/>
  <c r="G13" i="237"/>
  <c r="J13" i="237"/>
  <c r="K13" i="237"/>
  <c r="L13" i="237"/>
  <c r="M13" i="237"/>
  <c r="N13" i="237"/>
  <c r="E16" i="237"/>
  <c r="D16" i="237" s="1"/>
  <c r="D17" i="237" s="1"/>
  <c r="F16" i="237"/>
  <c r="H16" i="237"/>
  <c r="O16" i="237"/>
  <c r="P16" i="237"/>
  <c r="Q16" i="237"/>
  <c r="R16" i="237"/>
  <c r="S16" i="237"/>
  <c r="T16" i="237"/>
  <c r="G17" i="237"/>
  <c r="J17" i="237"/>
  <c r="K17" i="237"/>
  <c r="L17" i="237"/>
  <c r="M17" i="237"/>
  <c r="N17" i="237"/>
  <c r="G18" i="237"/>
  <c r="J18" i="237"/>
  <c r="K18" i="237"/>
  <c r="L18" i="237"/>
  <c r="M18" i="237"/>
  <c r="N18" i="237"/>
  <c r="E21" i="237"/>
  <c r="F21" i="237"/>
  <c r="H21" i="237"/>
  <c r="O21" i="237"/>
  <c r="P21" i="237"/>
  <c r="Q21" i="237"/>
  <c r="R21" i="237"/>
  <c r="S21" i="237"/>
  <c r="T21" i="237"/>
  <c r="G22" i="237"/>
  <c r="J22" i="237"/>
  <c r="K22" i="237"/>
  <c r="L22" i="237"/>
  <c r="M22" i="237"/>
  <c r="N22" i="237"/>
  <c r="G23" i="237"/>
  <c r="J23" i="237"/>
  <c r="K23" i="237"/>
  <c r="L23" i="237"/>
  <c r="M23" i="237"/>
  <c r="N23" i="237"/>
  <c r="E26" i="237"/>
  <c r="F26" i="237"/>
  <c r="H26" i="237"/>
  <c r="O26" i="237"/>
  <c r="P26" i="237"/>
  <c r="Q26" i="237"/>
  <c r="R26" i="237"/>
  <c r="S26" i="237"/>
  <c r="T26" i="237"/>
  <c r="G27" i="237"/>
  <c r="J27" i="237"/>
  <c r="K27" i="237"/>
  <c r="L27" i="237"/>
  <c r="M27" i="237"/>
  <c r="N27" i="237"/>
  <c r="E30" i="237"/>
  <c r="F30" i="237"/>
  <c r="H30" i="237"/>
  <c r="O30" i="237"/>
  <c r="P30" i="237"/>
  <c r="Q30" i="237"/>
  <c r="R30" i="237"/>
  <c r="S30" i="237"/>
  <c r="T30" i="237"/>
  <c r="G31" i="237"/>
  <c r="J31" i="237"/>
  <c r="K31" i="237"/>
  <c r="L31" i="237"/>
  <c r="M31" i="237"/>
  <c r="N31" i="237"/>
  <c r="G32" i="237"/>
  <c r="J32" i="237"/>
  <c r="K32" i="237"/>
  <c r="L32" i="237"/>
  <c r="M32" i="237"/>
  <c r="N32" i="237"/>
  <c r="E35" i="237"/>
  <c r="F35" i="237"/>
  <c r="H35" i="237"/>
  <c r="O35" i="237"/>
  <c r="P35" i="237"/>
  <c r="Q35" i="237"/>
  <c r="R35" i="237"/>
  <c r="S35" i="237"/>
  <c r="T35" i="237"/>
  <c r="G36" i="237"/>
  <c r="J36" i="237"/>
  <c r="K36" i="237"/>
  <c r="L36" i="237"/>
  <c r="M36" i="237"/>
  <c r="N36" i="237"/>
  <c r="G37" i="237"/>
  <c r="J37" i="237"/>
  <c r="K37" i="237"/>
  <c r="L37" i="237"/>
  <c r="M37" i="237"/>
  <c r="N37" i="237"/>
  <c r="G38" i="237"/>
  <c r="J38" i="237"/>
  <c r="K38" i="237"/>
  <c r="L38" i="237"/>
  <c r="M38" i="237"/>
  <c r="N38" i="237"/>
  <c r="E41" i="237"/>
  <c r="F41" i="237"/>
  <c r="H41" i="237"/>
  <c r="O41" i="237"/>
  <c r="P41" i="237"/>
  <c r="Q41" i="237"/>
  <c r="R41" i="237"/>
  <c r="S41" i="237"/>
  <c r="T41" i="237"/>
  <c r="G42" i="237"/>
  <c r="J42" i="237"/>
  <c r="K42" i="237"/>
  <c r="L42" i="237"/>
  <c r="M42" i="237"/>
  <c r="N42" i="237"/>
  <c r="G43" i="237"/>
  <c r="J43" i="237"/>
  <c r="K43" i="237"/>
  <c r="L43" i="237"/>
  <c r="M43" i="237"/>
  <c r="N43" i="237"/>
  <c r="E46" i="237"/>
  <c r="D46" i="237" s="1"/>
  <c r="D47" i="237" s="1"/>
  <c r="F46" i="237"/>
  <c r="H46" i="237"/>
  <c r="O46" i="237"/>
  <c r="P46" i="237"/>
  <c r="Q46" i="237"/>
  <c r="R46" i="237"/>
  <c r="S46" i="237"/>
  <c r="T46" i="237"/>
  <c r="G47" i="237"/>
  <c r="J47" i="237"/>
  <c r="K47" i="237"/>
  <c r="L47" i="237"/>
  <c r="M47" i="237"/>
  <c r="N47" i="237"/>
  <c r="G48" i="237"/>
  <c r="J48" i="237"/>
  <c r="K48" i="237"/>
  <c r="L48" i="237"/>
  <c r="M48" i="237"/>
  <c r="N48" i="237"/>
  <c r="E51" i="237"/>
  <c r="D51" i="237" s="1"/>
  <c r="D52" i="237" s="1"/>
  <c r="F51" i="237"/>
  <c r="H51" i="237"/>
  <c r="O51" i="237"/>
  <c r="P51" i="237"/>
  <c r="Q51" i="237"/>
  <c r="R51" i="237"/>
  <c r="S51" i="237"/>
  <c r="T51" i="237"/>
  <c r="G52" i="237"/>
  <c r="J52" i="237"/>
  <c r="K52" i="237"/>
  <c r="L52" i="237"/>
  <c r="M52" i="237"/>
  <c r="N52" i="237"/>
  <c r="E55" i="237"/>
  <c r="D55" i="237" s="1"/>
  <c r="D56" i="237" s="1"/>
  <c r="D57" i="237" s="1"/>
  <c r="D58" i="237" s="1"/>
  <c r="F55" i="237"/>
  <c r="H55" i="237"/>
  <c r="O55" i="237"/>
  <c r="P55" i="237"/>
  <c r="Q55" i="237"/>
  <c r="R55" i="237"/>
  <c r="S55" i="237"/>
  <c r="T55" i="237"/>
  <c r="G56" i="237"/>
  <c r="J56" i="237"/>
  <c r="K56" i="237"/>
  <c r="L56" i="237"/>
  <c r="M56" i="237"/>
  <c r="N56" i="237"/>
  <c r="G57" i="237"/>
  <c r="J57" i="237"/>
  <c r="K57" i="237"/>
  <c r="L57" i="237"/>
  <c r="M57" i="237"/>
  <c r="N57" i="237"/>
  <c r="G58" i="237"/>
  <c r="J58" i="237"/>
  <c r="K58" i="237"/>
  <c r="L58" i="237"/>
  <c r="M58" i="237"/>
  <c r="N58" i="237"/>
  <c r="E61" i="237"/>
  <c r="F61" i="237"/>
  <c r="H61" i="237"/>
  <c r="O61" i="237"/>
  <c r="P61" i="237"/>
  <c r="Q61" i="237"/>
  <c r="R61" i="237"/>
  <c r="S61" i="237"/>
  <c r="T61" i="237"/>
  <c r="G62" i="237"/>
  <c r="J62" i="237"/>
  <c r="K62" i="237"/>
  <c r="L62" i="237"/>
  <c r="M62" i="237"/>
  <c r="N62" i="237"/>
  <c r="G63" i="237"/>
  <c r="J63" i="237"/>
  <c r="K63" i="237"/>
  <c r="L63" i="237"/>
  <c r="M63" i="237"/>
  <c r="N63" i="237"/>
  <c r="E66" i="237"/>
  <c r="D66" i="237" s="1"/>
  <c r="D67" i="237" s="1"/>
  <c r="F66" i="237"/>
  <c r="H66" i="237"/>
  <c r="O66" i="237"/>
  <c r="P66" i="237"/>
  <c r="Q66" i="237"/>
  <c r="R66" i="237"/>
  <c r="S66" i="237"/>
  <c r="T66" i="237"/>
  <c r="G67" i="237"/>
  <c r="J67" i="237"/>
  <c r="K67" i="237"/>
  <c r="L67" i="237"/>
  <c r="M67" i="237"/>
  <c r="N67" i="237"/>
  <c r="G68" i="237"/>
  <c r="J68" i="237"/>
  <c r="K68" i="237"/>
  <c r="L68" i="237"/>
  <c r="M68" i="237"/>
  <c r="N68" i="237"/>
  <c r="G69" i="237"/>
  <c r="J69" i="237"/>
  <c r="K69" i="237"/>
  <c r="L69" i="237"/>
  <c r="M69" i="237"/>
  <c r="N69" i="237"/>
  <c r="E72" i="237"/>
  <c r="F72" i="237"/>
  <c r="H72" i="237"/>
  <c r="O72" i="237"/>
  <c r="P72" i="237"/>
  <c r="Q72" i="237"/>
  <c r="R72" i="237"/>
  <c r="S72" i="237"/>
  <c r="T72" i="237"/>
  <c r="G73" i="237"/>
  <c r="J73" i="237"/>
  <c r="K73" i="237"/>
  <c r="L73" i="237"/>
  <c r="M73" i="237"/>
  <c r="N73" i="237"/>
  <c r="E76" i="237"/>
  <c r="F76" i="237"/>
  <c r="H76" i="237"/>
  <c r="O76" i="237"/>
  <c r="P76" i="237"/>
  <c r="Q76" i="237"/>
  <c r="R76" i="237"/>
  <c r="S76" i="237"/>
  <c r="T76" i="237"/>
  <c r="G77" i="237"/>
  <c r="J77" i="237"/>
  <c r="K77" i="237"/>
  <c r="L77" i="237"/>
  <c r="M77" i="237"/>
  <c r="N77" i="237"/>
  <c r="E80" i="237"/>
  <c r="D80" i="237" s="1"/>
  <c r="D81" i="237" s="1"/>
  <c r="F80" i="237"/>
  <c r="H80" i="237"/>
  <c r="O80" i="237"/>
  <c r="P80" i="237"/>
  <c r="Q80" i="237"/>
  <c r="R80" i="237"/>
  <c r="S80" i="237"/>
  <c r="T80" i="237"/>
  <c r="G81" i="237"/>
  <c r="J81" i="237"/>
  <c r="K81" i="237"/>
  <c r="L81" i="237"/>
  <c r="M81" i="237"/>
  <c r="N81" i="237"/>
  <c r="G82" i="237"/>
  <c r="J82" i="237"/>
  <c r="K82" i="237"/>
  <c r="L82" i="237"/>
  <c r="M82" i="237"/>
  <c r="N82" i="237"/>
  <c r="E85" i="237"/>
  <c r="D85" i="237" s="1"/>
  <c r="D86" i="237" s="1"/>
  <c r="F85" i="237"/>
  <c r="H85" i="237"/>
  <c r="O85" i="237"/>
  <c r="P85" i="237"/>
  <c r="Q85" i="237"/>
  <c r="R85" i="237"/>
  <c r="S85" i="237"/>
  <c r="T85" i="237"/>
  <c r="G86" i="237"/>
  <c r="J86" i="237"/>
  <c r="K86" i="237"/>
  <c r="L86" i="237"/>
  <c r="M86" i="237"/>
  <c r="N86" i="237"/>
  <c r="E89" i="237"/>
  <c r="D89" i="237" s="1"/>
  <c r="D90" i="237" s="1"/>
  <c r="F89" i="237"/>
  <c r="H89" i="237"/>
  <c r="O89" i="237"/>
  <c r="P89" i="237"/>
  <c r="Q89" i="237"/>
  <c r="R89" i="237"/>
  <c r="S89" i="237"/>
  <c r="T89" i="237"/>
  <c r="G90" i="237"/>
  <c r="J90" i="237"/>
  <c r="K90" i="237"/>
  <c r="L90" i="237"/>
  <c r="M90" i="237"/>
  <c r="N90" i="237"/>
  <c r="G91" i="237"/>
  <c r="J91" i="237"/>
  <c r="K91" i="237"/>
  <c r="L91" i="237"/>
  <c r="M91" i="237"/>
  <c r="N91" i="237"/>
  <c r="E94" i="237"/>
  <c r="F94" i="237"/>
  <c r="H94" i="237"/>
  <c r="O94" i="237"/>
  <c r="P94" i="237"/>
  <c r="Q94" i="237"/>
  <c r="R94" i="237"/>
  <c r="S94" i="237"/>
  <c r="T94" i="237"/>
  <c r="G95" i="237"/>
  <c r="J95" i="237"/>
  <c r="K95" i="237"/>
  <c r="L95" i="237"/>
  <c r="M95" i="237"/>
  <c r="N95" i="237"/>
  <c r="G96" i="237"/>
  <c r="J96" i="237"/>
  <c r="K96" i="237"/>
  <c r="L96" i="237"/>
  <c r="M96" i="237"/>
  <c r="N96" i="237"/>
  <c r="G97" i="237"/>
  <c r="J97" i="237"/>
  <c r="K97" i="237"/>
  <c r="L97" i="237"/>
  <c r="M97" i="237"/>
  <c r="N97" i="237"/>
  <c r="E100" i="237"/>
  <c r="D100" i="237" s="1"/>
  <c r="D101" i="237" s="1"/>
  <c r="F100" i="237"/>
  <c r="H100" i="237"/>
  <c r="O100" i="237"/>
  <c r="P100" i="237"/>
  <c r="Q100" i="237"/>
  <c r="R100" i="237"/>
  <c r="S100" i="237"/>
  <c r="T100" i="237"/>
  <c r="G101" i="237"/>
  <c r="J101" i="237"/>
  <c r="K101" i="237"/>
  <c r="L101" i="237"/>
  <c r="M101" i="237"/>
  <c r="N101" i="237"/>
  <c r="E104" i="237"/>
  <c r="F104" i="237"/>
  <c r="H104" i="237"/>
  <c r="O104" i="237"/>
  <c r="P104" i="237"/>
  <c r="Q104" i="237"/>
  <c r="R104" i="237"/>
  <c r="S104" i="237"/>
  <c r="T104" i="237"/>
  <c r="G105" i="237"/>
  <c r="J105" i="237"/>
  <c r="K105" i="237"/>
  <c r="L105" i="237"/>
  <c r="M105" i="237"/>
  <c r="N105" i="237"/>
  <c r="G106" i="237"/>
  <c r="J106" i="237"/>
  <c r="K106" i="237"/>
  <c r="L106" i="237"/>
  <c r="M106" i="237"/>
  <c r="N106" i="237"/>
  <c r="E109" i="237"/>
  <c r="D109" i="237" s="1"/>
  <c r="D110" i="237" s="1"/>
  <c r="F109" i="237"/>
  <c r="H109" i="237"/>
  <c r="O109" i="237"/>
  <c r="P109" i="237"/>
  <c r="Q109" i="237"/>
  <c r="R109" i="237"/>
  <c r="S109" i="237"/>
  <c r="T109" i="237"/>
  <c r="G110" i="237"/>
  <c r="J110" i="237"/>
  <c r="K110" i="237"/>
  <c r="L110" i="237"/>
  <c r="M110" i="237"/>
  <c r="N110" i="237"/>
  <c r="G111" i="237"/>
  <c r="J111" i="237"/>
  <c r="K111" i="237"/>
  <c r="L111" i="237"/>
  <c r="M111" i="237"/>
  <c r="N111" i="237"/>
  <c r="G112" i="237"/>
  <c r="J112" i="237"/>
  <c r="K112" i="237"/>
  <c r="L112" i="237"/>
  <c r="M112" i="237"/>
  <c r="N112" i="237"/>
  <c r="E115" i="237"/>
  <c r="D115" i="237" s="1"/>
  <c r="D116" i="237" s="1"/>
  <c r="F115" i="237"/>
  <c r="H115" i="237"/>
  <c r="O115" i="237"/>
  <c r="P115" i="237"/>
  <c r="Q115" i="237"/>
  <c r="R115" i="237"/>
  <c r="S115" i="237"/>
  <c r="T115" i="237"/>
  <c r="G116" i="237"/>
  <c r="J116" i="237"/>
  <c r="K116" i="237"/>
  <c r="L116" i="237"/>
  <c r="M116" i="237"/>
  <c r="N116" i="237"/>
  <c r="G117" i="237"/>
  <c r="J117" i="237"/>
  <c r="K117" i="237"/>
  <c r="L117" i="237"/>
  <c r="M117" i="237"/>
  <c r="N117" i="237"/>
  <c r="G118" i="237"/>
  <c r="J118" i="237"/>
  <c r="K118" i="237"/>
  <c r="L118" i="237"/>
  <c r="M118" i="237"/>
  <c r="N118" i="237"/>
  <c r="E121" i="237"/>
  <c r="F121" i="237"/>
  <c r="H121" i="237"/>
  <c r="O121" i="237"/>
  <c r="P121" i="237"/>
  <c r="Q121" i="237"/>
  <c r="R121" i="237"/>
  <c r="S121" i="237"/>
  <c r="T121" i="237"/>
  <c r="G122" i="237"/>
  <c r="J122" i="237"/>
  <c r="K122" i="237"/>
  <c r="L122" i="237"/>
  <c r="M122" i="237"/>
  <c r="N122" i="237"/>
  <c r="E125" i="237"/>
  <c r="F125" i="237"/>
  <c r="H125" i="237"/>
  <c r="O125" i="237"/>
  <c r="P125" i="237"/>
  <c r="Q125" i="237"/>
  <c r="R125" i="237"/>
  <c r="S125" i="237"/>
  <c r="T125" i="237"/>
  <c r="G126" i="237"/>
  <c r="J126" i="237"/>
  <c r="K126" i="237"/>
  <c r="L126" i="237"/>
  <c r="M126" i="237"/>
  <c r="N126" i="237"/>
  <c r="G127" i="237"/>
  <c r="J127" i="237"/>
  <c r="K127" i="237"/>
  <c r="L127" i="237"/>
  <c r="M127" i="237"/>
  <c r="N127" i="237"/>
  <c r="E130" i="237"/>
  <c r="F130" i="237"/>
  <c r="H130" i="237"/>
  <c r="O130" i="237"/>
  <c r="P130" i="237"/>
  <c r="Q130" i="237"/>
  <c r="R130" i="237"/>
  <c r="S130" i="237"/>
  <c r="T130" i="237"/>
  <c r="G131" i="237"/>
  <c r="J131" i="237"/>
  <c r="K131" i="237"/>
  <c r="L131" i="237"/>
  <c r="M131" i="237"/>
  <c r="N131" i="237"/>
  <c r="G132" i="237"/>
  <c r="J132" i="237"/>
  <c r="K132" i="237"/>
  <c r="L132" i="237"/>
  <c r="M132" i="237"/>
  <c r="N132" i="237"/>
  <c r="G133" i="237"/>
  <c r="J133" i="237"/>
  <c r="K133" i="237"/>
  <c r="L133" i="237"/>
  <c r="M133" i="237"/>
  <c r="N133" i="237"/>
  <c r="G134" i="237"/>
  <c r="J134" i="237"/>
  <c r="K134" i="237"/>
  <c r="L134" i="237"/>
  <c r="M134" i="237"/>
  <c r="N134" i="237"/>
  <c r="E137" i="237"/>
  <c r="D137" i="237" s="1"/>
  <c r="D138" i="237" s="1"/>
  <c r="F137" i="237"/>
  <c r="H137" i="237"/>
  <c r="O137" i="237"/>
  <c r="P137" i="237"/>
  <c r="Q137" i="237"/>
  <c r="R137" i="237"/>
  <c r="S137" i="237"/>
  <c r="T137" i="237"/>
  <c r="G138" i="237"/>
  <c r="J138" i="237"/>
  <c r="K138" i="237"/>
  <c r="L138" i="237"/>
  <c r="M138" i="237"/>
  <c r="N138" i="237"/>
  <c r="E141" i="237"/>
  <c r="F141" i="237"/>
  <c r="H141" i="237"/>
  <c r="O141" i="237"/>
  <c r="P141" i="237"/>
  <c r="Q141" i="237"/>
  <c r="R141" i="237"/>
  <c r="S141" i="237"/>
  <c r="T141" i="237"/>
  <c r="G142" i="237"/>
  <c r="J142" i="237"/>
  <c r="K142" i="237"/>
  <c r="L142" i="237"/>
  <c r="M142" i="237"/>
  <c r="N142" i="237"/>
  <c r="G143" i="237"/>
  <c r="J143" i="237"/>
  <c r="K143" i="237"/>
  <c r="L143" i="237"/>
  <c r="M143" i="237"/>
  <c r="N143" i="237"/>
  <c r="E146" i="237"/>
  <c r="D146" i="237" s="1"/>
  <c r="D147" i="237" s="1"/>
  <c r="F146" i="237"/>
  <c r="H146" i="237"/>
  <c r="O146" i="237"/>
  <c r="P146" i="237"/>
  <c r="Q146" i="237"/>
  <c r="R146" i="237"/>
  <c r="S146" i="237"/>
  <c r="T146" i="237"/>
  <c r="G147" i="237"/>
  <c r="J147" i="237"/>
  <c r="K147" i="237"/>
  <c r="L147" i="237"/>
  <c r="M147" i="237"/>
  <c r="N147" i="237"/>
  <c r="G148" i="237"/>
  <c r="J148" i="237"/>
  <c r="K148" i="237"/>
  <c r="L148" i="237"/>
  <c r="M148" i="237"/>
  <c r="N148" i="237"/>
  <c r="G149" i="237"/>
  <c r="J149" i="237"/>
  <c r="K149" i="237"/>
  <c r="L149" i="237"/>
  <c r="M149" i="237"/>
  <c r="N149" i="237"/>
  <c r="G150" i="237"/>
  <c r="J150" i="237"/>
  <c r="K150" i="237"/>
  <c r="L150" i="237"/>
  <c r="M150" i="237"/>
  <c r="N150" i="237"/>
  <c r="E153" i="237"/>
  <c r="D153" i="237" s="1"/>
  <c r="D154" i="237" s="1"/>
  <c r="F153" i="237"/>
  <c r="H153" i="237"/>
  <c r="O153" i="237"/>
  <c r="P153" i="237"/>
  <c r="Q153" i="237"/>
  <c r="R153" i="237"/>
  <c r="S153" i="237"/>
  <c r="T153" i="237"/>
  <c r="G154" i="237"/>
  <c r="J154" i="237"/>
  <c r="K154" i="237"/>
  <c r="L154" i="237"/>
  <c r="M154" i="237"/>
  <c r="N154" i="237"/>
  <c r="G155" i="237"/>
  <c r="J155" i="237"/>
  <c r="K155" i="237"/>
  <c r="L155" i="237"/>
  <c r="M155" i="237"/>
  <c r="N155" i="237"/>
  <c r="G156" i="237"/>
  <c r="J156" i="237"/>
  <c r="K156" i="237"/>
  <c r="L156" i="237"/>
  <c r="M156" i="237"/>
  <c r="N156" i="237"/>
  <c r="E159" i="237"/>
  <c r="F159" i="237"/>
  <c r="H159" i="237"/>
  <c r="O159" i="237"/>
  <c r="P159" i="237"/>
  <c r="Q159" i="237"/>
  <c r="R159" i="237"/>
  <c r="S159" i="237"/>
  <c r="T159" i="237"/>
  <c r="G160" i="237"/>
  <c r="J160" i="237"/>
  <c r="K160" i="237"/>
  <c r="L160" i="237"/>
  <c r="M160" i="237"/>
  <c r="N160" i="237"/>
  <c r="G161" i="237"/>
  <c r="J161" i="237"/>
  <c r="K161" i="237"/>
  <c r="L161" i="237"/>
  <c r="M161" i="237"/>
  <c r="N161" i="237"/>
  <c r="E164" i="237"/>
  <c r="D164" i="237" s="1"/>
  <c r="D165" i="237" s="1"/>
  <c r="F164" i="237"/>
  <c r="H164" i="237"/>
  <c r="O164" i="237"/>
  <c r="P164" i="237"/>
  <c r="Q164" i="237"/>
  <c r="R164" i="237"/>
  <c r="S164" i="237"/>
  <c r="T164" i="237"/>
  <c r="G165" i="237"/>
  <c r="J165" i="237"/>
  <c r="K165" i="237"/>
  <c r="L165" i="237"/>
  <c r="M165" i="237"/>
  <c r="N165" i="237"/>
  <c r="E168" i="237"/>
  <c r="D168" i="237" s="1"/>
  <c r="D169" i="237" s="1"/>
  <c r="F168" i="237"/>
  <c r="H168" i="237"/>
  <c r="O168" i="237"/>
  <c r="P168" i="237"/>
  <c r="Q168" i="237"/>
  <c r="R168" i="237"/>
  <c r="S168" i="237"/>
  <c r="T168" i="237"/>
  <c r="G169" i="237"/>
  <c r="J169" i="237"/>
  <c r="K169" i="237"/>
  <c r="L169" i="237"/>
  <c r="M169" i="237"/>
  <c r="N169" i="237"/>
  <c r="E172" i="237"/>
  <c r="D172" i="237" s="1"/>
  <c r="D173" i="237" s="1"/>
  <c r="F172" i="237"/>
  <c r="H172" i="237"/>
  <c r="O172" i="237"/>
  <c r="P172" i="237"/>
  <c r="Q172" i="237"/>
  <c r="R172" i="237"/>
  <c r="S172" i="237"/>
  <c r="T172" i="237"/>
  <c r="G173" i="237"/>
  <c r="J173" i="237"/>
  <c r="K173" i="237"/>
  <c r="L173" i="237"/>
  <c r="M173" i="237"/>
  <c r="N173" i="237"/>
  <c r="E176" i="237"/>
  <c r="D176" i="237" s="1"/>
  <c r="D177" i="237" s="1"/>
  <c r="F176" i="237"/>
  <c r="H176" i="237"/>
  <c r="O176" i="237"/>
  <c r="P176" i="237"/>
  <c r="Q176" i="237"/>
  <c r="R176" i="237"/>
  <c r="S176" i="237"/>
  <c r="T176" i="237"/>
  <c r="G177" i="237"/>
  <c r="J177" i="237"/>
  <c r="K177" i="237"/>
  <c r="L177" i="237"/>
  <c r="M177" i="237"/>
  <c r="N177" i="237"/>
  <c r="G178" i="237"/>
  <c r="J178" i="237"/>
  <c r="K178" i="237"/>
  <c r="L178" i="237"/>
  <c r="M178" i="237"/>
  <c r="N178" i="237"/>
  <c r="G179" i="237"/>
  <c r="J179" i="237"/>
  <c r="K179" i="237"/>
  <c r="L179" i="237"/>
  <c r="M179" i="237"/>
  <c r="N179" i="237"/>
  <c r="E182" i="237"/>
  <c r="F182" i="237"/>
  <c r="H182" i="237"/>
  <c r="O182" i="237"/>
  <c r="P182" i="237"/>
  <c r="Q182" i="237"/>
  <c r="R182" i="237"/>
  <c r="S182" i="237"/>
  <c r="T182" i="237"/>
  <c r="G183" i="237"/>
  <c r="J183" i="237"/>
  <c r="K183" i="237"/>
  <c r="L183" i="237"/>
  <c r="M183" i="237"/>
  <c r="N183" i="237"/>
  <c r="E186" i="237"/>
  <c r="F186" i="237"/>
  <c r="H186" i="237"/>
  <c r="O186" i="237"/>
  <c r="P186" i="237"/>
  <c r="Q186" i="237"/>
  <c r="R186" i="237"/>
  <c r="S186" i="237"/>
  <c r="T186" i="237"/>
  <c r="G187" i="237"/>
  <c r="J187" i="237"/>
  <c r="K187" i="237"/>
  <c r="L187" i="237"/>
  <c r="M187" i="237"/>
  <c r="N187" i="237"/>
  <c r="G188" i="237"/>
  <c r="J188" i="237"/>
  <c r="K188" i="237"/>
  <c r="L188" i="237"/>
  <c r="M188" i="237"/>
  <c r="N188" i="237"/>
  <c r="E191" i="237"/>
  <c r="D191" i="237" s="1"/>
  <c r="D192" i="237" s="1"/>
  <c r="F191" i="237"/>
  <c r="H191" i="237"/>
  <c r="O191" i="237"/>
  <c r="P191" i="237"/>
  <c r="Q191" i="237"/>
  <c r="R191" i="237"/>
  <c r="S191" i="237"/>
  <c r="T191" i="237"/>
  <c r="G192" i="237"/>
  <c r="J192" i="237"/>
  <c r="K192" i="237"/>
  <c r="L192" i="237"/>
  <c r="M192" i="237"/>
  <c r="N192" i="237"/>
  <c r="E195" i="237"/>
  <c r="D195" i="237" s="1"/>
  <c r="D196" i="237" s="1"/>
  <c r="F195" i="237"/>
  <c r="H195" i="237"/>
  <c r="O195" i="237"/>
  <c r="P195" i="237"/>
  <c r="Q195" i="237"/>
  <c r="R195" i="237"/>
  <c r="S195" i="237"/>
  <c r="T195" i="237"/>
  <c r="G196" i="237"/>
  <c r="J196" i="237"/>
  <c r="K196" i="237"/>
  <c r="L196" i="237"/>
  <c r="M196" i="237"/>
  <c r="N196" i="237"/>
  <c r="E199" i="237"/>
  <c r="D199" i="237" s="1"/>
  <c r="D200" i="237" s="1"/>
  <c r="D201" i="237" s="1"/>
  <c r="D202" i="237" s="1"/>
  <c r="F199" i="237"/>
  <c r="H199" i="237"/>
  <c r="O199" i="237"/>
  <c r="P199" i="237"/>
  <c r="Q199" i="237"/>
  <c r="R199" i="237"/>
  <c r="S199" i="237"/>
  <c r="T199" i="237"/>
  <c r="G200" i="237"/>
  <c r="J200" i="237"/>
  <c r="K200" i="237"/>
  <c r="L200" i="237"/>
  <c r="M200" i="237"/>
  <c r="N200" i="237"/>
  <c r="G201" i="237"/>
  <c r="J201" i="237"/>
  <c r="K201" i="237"/>
  <c r="L201" i="237"/>
  <c r="M201" i="237"/>
  <c r="N201" i="237"/>
  <c r="G202" i="237"/>
  <c r="J202" i="237"/>
  <c r="K202" i="237"/>
  <c r="L202" i="237"/>
  <c r="M202" i="237"/>
  <c r="N202" i="237"/>
  <c r="E205" i="237"/>
  <c r="D205" i="237" s="1"/>
  <c r="D206" i="237" s="1"/>
  <c r="F205" i="237"/>
  <c r="H205" i="237"/>
  <c r="O205" i="237"/>
  <c r="P205" i="237"/>
  <c r="Q205" i="237"/>
  <c r="R205" i="237"/>
  <c r="S205" i="237"/>
  <c r="T205" i="237"/>
  <c r="G206" i="237"/>
  <c r="J206" i="237"/>
  <c r="K206" i="237"/>
  <c r="L206" i="237"/>
  <c r="M206" i="237"/>
  <c r="N206" i="237"/>
  <c r="E209" i="237"/>
  <c r="F209" i="237"/>
  <c r="H209" i="237"/>
  <c r="O209" i="237"/>
  <c r="P209" i="237"/>
  <c r="Q209" i="237"/>
  <c r="R209" i="237"/>
  <c r="S209" i="237"/>
  <c r="T209" i="237"/>
  <c r="G210" i="237"/>
  <c r="J210" i="237"/>
  <c r="K210" i="237"/>
  <c r="L210" i="237"/>
  <c r="M210" i="237"/>
  <c r="N210" i="237"/>
  <c r="E213" i="237"/>
  <c r="F213" i="237"/>
  <c r="H213" i="237"/>
  <c r="O213" i="237"/>
  <c r="P213" i="237"/>
  <c r="Q213" i="237"/>
  <c r="R213" i="237"/>
  <c r="S213" i="237"/>
  <c r="T213" i="237"/>
  <c r="G214" i="237"/>
  <c r="J214" i="237"/>
  <c r="K214" i="237"/>
  <c r="L214" i="237"/>
  <c r="M214" i="237"/>
  <c r="N214" i="237"/>
  <c r="E217" i="237"/>
  <c r="F217" i="237"/>
  <c r="H217" i="237"/>
  <c r="O217" i="237"/>
  <c r="P217" i="237"/>
  <c r="Q217" i="237"/>
  <c r="R217" i="237"/>
  <c r="S217" i="237"/>
  <c r="T217" i="237"/>
  <c r="G218" i="237"/>
  <c r="J218" i="237"/>
  <c r="K218" i="237"/>
  <c r="L218" i="237"/>
  <c r="M218" i="237"/>
  <c r="N218" i="237"/>
  <c r="E221" i="237"/>
  <c r="F221" i="237"/>
  <c r="H221" i="237"/>
  <c r="O221" i="237"/>
  <c r="P221" i="237"/>
  <c r="Q221" i="237"/>
  <c r="R221" i="237"/>
  <c r="S221" i="237"/>
  <c r="T221" i="237"/>
  <c r="G222" i="237"/>
  <c r="J222" i="237"/>
  <c r="K222" i="237"/>
  <c r="L222" i="237"/>
  <c r="M222" i="237"/>
  <c r="N222" i="237"/>
  <c r="E225" i="237"/>
  <c r="F225" i="237"/>
  <c r="H225" i="237"/>
  <c r="O225" i="237"/>
  <c r="P225" i="237"/>
  <c r="Q225" i="237"/>
  <c r="R225" i="237"/>
  <c r="S225" i="237"/>
  <c r="T225" i="237"/>
  <c r="G226" i="237"/>
  <c r="J226" i="237"/>
  <c r="K226" i="237"/>
  <c r="L226" i="237"/>
  <c r="M226" i="237"/>
  <c r="N226" i="237"/>
  <c r="E229" i="237"/>
  <c r="F229" i="237"/>
  <c r="H229" i="237"/>
  <c r="O229" i="237"/>
  <c r="P229" i="237"/>
  <c r="Q229" i="237"/>
  <c r="R229" i="237"/>
  <c r="S229" i="237"/>
  <c r="T229" i="237"/>
  <c r="G230" i="237"/>
  <c r="J230" i="237"/>
  <c r="K230" i="237"/>
  <c r="L230" i="237"/>
  <c r="M230" i="237"/>
  <c r="N230" i="237"/>
  <c r="E233" i="237"/>
  <c r="F233" i="237"/>
  <c r="H233" i="237"/>
  <c r="O233" i="237"/>
  <c r="P233" i="237"/>
  <c r="Q233" i="237"/>
  <c r="R233" i="237"/>
  <c r="S233" i="237"/>
  <c r="T233" i="237"/>
  <c r="G234" i="237"/>
  <c r="J234" i="237"/>
  <c r="K234" i="237"/>
  <c r="L234" i="237"/>
  <c r="M234" i="237"/>
  <c r="N234" i="237"/>
  <c r="E237" i="237"/>
  <c r="F237" i="237"/>
  <c r="H237" i="237"/>
  <c r="O237" i="237"/>
  <c r="P237" i="237"/>
  <c r="Q237" i="237"/>
  <c r="R237" i="237"/>
  <c r="S237" i="237"/>
  <c r="T237" i="237"/>
  <c r="G238" i="237"/>
  <c r="J238" i="237"/>
  <c r="K238" i="237"/>
  <c r="L238" i="237"/>
  <c r="M238" i="237"/>
  <c r="N238" i="237"/>
  <c r="G239" i="237"/>
  <c r="J239" i="237"/>
  <c r="K239" i="237"/>
  <c r="L239" i="237"/>
  <c r="M239" i="237"/>
  <c r="N239" i="237"/>
  <c r="E242" i="237"/>
  <c r="F242" i="237"/>
  <c r="H242" i="237"/>
  <c r="O242" i="237"/>
  <c r="P242" i="237"/>
  <c r="Q242" i="237"/>
  <c r="R242" i="237"/>
  <c r="S242" i="237"/>
  <c r="T242" i="237"/>
  <c r="G243" i="237"/>
  <c r="J243" i="237"/>
  <c r="K243" i="237"/>
  <c r="L243" i="237"/>
  <c r="M243" i="237"/>
  <c r="N243" i="237"/>
  <c r="G244" i="237"/>
  <c r="J244" i="237"/>
  <c r="K244" i="237"/>
  <c r="L244" i="237"/>
  <c r="M244" i="237"/>
  <c r="N244" i="237"/>
  <c r="G245" i="237"/>
  <c r="J245" i="237"/>
  <c r="K245" i="237"/>
  <c r="L245" i="237"/>
  <c r="M245" i="237"/>
  <c r="N245" i="237"/>
  <c r="E248" i="237"/>
  <c r="D248" i="237" s="1"/>
  <c r="D249" i="237" s="1"/>
  <c r="F248" i="237"/>
  <c r="H248" i="237"/>
  <c r="O248" i="237"/>
  <c r="P248" i="237"/>
  <c r="Q248" i="237"/>
  <c r="R248" i="237"/>
  <c r="S248" i="237"/>
  <c r="T248" i="237"/>
  <c r="G249" i="237"/>
  <c r="J249" i="237"/>
  <c r="K249" i="237"/>
  <c r="L249" i="237"/>
  <c r="M249" i="237"/>
  <c r="N249" i="237"/>
  <c r="G250" i="237"/>
  <c r="J250" i="237"/>
  <c r="K250" i="237"/>
  <c r="L250" i="237"/>
  <c r="M250" i="237"/>
  <c r="N250" i="237"/>
  <c r="E253" i="237"/>
  <c r="F253" i="237"/>
  <c r="H253" i="237"/>
  <c r="O253" i="237"/>
  <c r="P253" i="237"/>
  <c r="Q253" i="237"/>
  <c r="R253" i="237"/>
  <c r="S253" i="237"/>
  <c r="T253" i="237"/>
  <c r="G254" i="237"/>
  <c r="J254" i="237"/>
  <c r="K254" i="237"/>
  <c r="L254" i="237"/>
  <c r="M254" i="237"/>
  <c r="N254" i="237"/>
  <c r="E257" i="237"/>
  <c r="F257" i="237"/>
  <c r="H257" i="237"/>
  <c r="O257" i="237"/>
  <c r="P257" i="237"/>
  <c r="Q257" i="237"/>
  <c r="R257" i="237"/>
  <c r="S257" i="237"/>
  <c r="T257" i="237"/>
  <c r="G258" i="237"/>
  <c r="J258" i="237"/>
  <c r="K258" i="237"/>
  <c r="L258" i="237"/>
  <c r="M258" i="237"/>
  <c r="N258" i="237"/>
  <c r="G259" i="237"/>
  <c r="J259" i="237"/>
  <c r="K259" i="237"/>
  <c r="L259" i="237"/>
  <c r="M259" i="237"/>
  <c r="N259" i="237"/>
  <c r="E262" i="237"/>
  <c r="F262" i="237"/>
  <c r="H262" i="237"/>
  <c r="O262" i="237"/>
  <c r="P262" i="237"/>
  <c r="Q262" i="237"/>
  <c r="R262" i="237"/>
  <c r="S262" i="237"/>
  <c r="T262" i="237"/>
  <c r="G263" i="237"/>
  <c r="J263" i="237"/>
  <c r="K263" i="237"/>
  <c r="L263" i="237"/>
  <c r="M263" i="237"/>
  <c r="N263" i="237"/>
  <c r="E266" i="237"/>
  <c r="F266" i="237"/>
  <c r="H266" i="237"/>
  <c r="O266" i="237"/>
  <c r="P266" i="237"/>
  <c r="Q266" i="237"/>
  <c r="R266" i="237"/>
  <c r="S266" i="237"/>
  <c r="T266" i="237"/>
  <c r="G267" i="237"/>
  <c r="J267" i="237"/>
  <c r="K267" i="237"/>
  <c r="L267" i="237"/>
  <c r="M267" i="237"/>
  <c r="N267" i="237"/>
  <c r="E270" i="237"/>
  <c r="F270" i="237"/>
  <c r="H270" i="237"/>
  <c r="O270" i="237"/>
  <c r="P270" i="237"/>
  <c r="Q270" i="237"/>
  <c r="R270" i="237"/>
  <c r="S270" i="237"/>
  <c r="T270" i="237"/>
  <c r="G271" i="237"/>
  <c r="J271" i="237"/>
  <c r="K271" i="237"/>
  <c r="L271" i="237"/>
  <c r="M271" i="237"/>
  <c r="N271" i="237"/>
  <c r="G272" i="237"/>
  <c r="J272" i="237"/>
  <c r="K272" i="237"/>
  <c r="L272" i="237"/>
  <c r="M272" i="237"/>
  <c r="N272" i="237"/>
  <c r="E275" i="237"/>
  <c r="D275" i="237" s="1"/>
  <c r="D276" i="237" s="1"/>
  <c r="D277" i="237" s="1"/>
  <c r="F275" i="237"/>
  <c r="H275" i="237"/>
  <c r="O275" i="237"/>
  <c r="P275" i="237"/>
  <c r="Q275" i="237"/>
  <c r="R275" i="237"/>
  <c r="S275" i="237"/>
  <c r="T275" i="237"/>
  <c r="G276" i="237"/>
  <c r="J276" i="237"/>
  <c r="K276" i="237"/>
  <c r="L276" i="237"/>
  <c r="M276" i="237"/>
  <c r="N276" i="237"/>
  <c r="G277" i="237"/>
  <c r="J277" i="237"/>
  <c r="K277" i="237"/>
  <c r="L277" i="237"/>
  <c r="M277" i="237"/>
  <c r="N277" i="237"/>
  <c r="E280" i="237"/>
  <c r="F280" i="237"/>
  <c r="H280" i="237"/>
  <c r="O280" i="237"/>
  <c r="P280" i="237"/>
  <c r="Q280" i="237"/>
  <c r="R280" i="237"/>
  <c r="S280" i="237"/>
  <c r="T280" i="237"/>
  <c r="G281" i="237"/>
  <c r="J281" i="237"/>
  <c r="K281" i="237"/>
  <c r="L281" i="237"/>
  <c r="M281" i="237"/>
  <c r="N281" i="237"/>
  <c r="E284" i="237"/>
  <c r="D284" i="237" s="1"/>
  <c r="D285" i="237" s="1"/>
  <c r="F284" i="237"/>
  <c r="H284" i="237"/>
  <c r="O284" i="237"/>
  <c r="P284" i="237"/>
  <c r="Q284" i="237"/>
  <c r="R284" i="237"/>
  <c r="S284" i="237"/>
  <c r="T284" i="237"/>
  <c r="G285" i="237"/>
  <c r="J285" i="237"/>
  <c r="K285" i="237"/>
  <c r="L285" i="237"/>
  <c r="M285" i="237"/>
  <c r="N285" i="237"/>
  <c r="G286" i="237"/>
  <c r="J286" i="237"/>
  <c r="K286" i="237"/>
  <c r="L286" i="237"/>
  <c r="M286" i="237"/>
  <c r="N286" i="237"/>
  <c r="G287" i="237"/>
  <c r="J287" i="237"/>
  <c r="K287" i="237"/>
  <c r="L287" i="237"/>
  <c r="M287" i="237"/>
  <c r="N287" i="237"/>
  <c r="E290" i="237"/>
  <c r="F290" i="237"/>
  <c r="H290" i="237"/>
  <c r="O290" i="237"/>
  <c r="P290" i="237"/>
  <c r="Q290" i="237"/>
  <c r="R290" i="237"/>
  <c r="S290" i="237"/>
  <c r="T290" i="237"/>
  <c r="G291" i="237"/>
  <c r="J291" i="237"/>
  <c r="K291" i="237"/>
  <c r="L291" i="237"/>
  <c r="M291" i="237"/>
  <c r="N291" i="237"/>
  <c r="G292" i="237"/>
  <c r="J292" i="237"/>
  <c r="K292" i="237"/>
  <c r="L292" i="237"/>
  <c r="M292" i="237"/>
  <c r="N292" i="237"/>
  <c r="E295" i="237"/>
  <c r="F295" i="237"/>
  <c r="H295" i="237"/>
  <c r="O295" i="237"/>
  <c r="P295" i="237"/>
  <c r="Q295" i="237"/>
  <c r="R295" i="237"/>
  <c r="S295" i="237"/>
  <c r="T295" i="237"/>
  <c r="G296" i="237"/>
  <c r="J296" i="237"/>
  <c r="K296" i="237"/>
  <c r="L296" i="237"/>
  <c r="M296" i="237"/>
  <c r="N296" i="237"/>
  <c r="G297" i="237"/>
  <c r="J297" i="237"/>
  <c r="K297" i="237"/>
  <c r="L297" i="237"/>
  <c r="M297" i="237"/>
  <c r="N297" i="237"/>
  <c r="E300" i="237"/>
  <c r="F300" i="237"/>
  <c r="H300" i="237"/>
  <c r="O300" i="237"/>
  <c r="P300" i="237"/>
  <c r="Q300" i="237"/>
  <c r="R300" i="237"/>
  <c r="S300" i="237"/>
  <c r="T300" i="237"/>
  <c r="G301" i="237"/>
  <c r="J301" i="237"/>
  <c r="K301" i="237"/>
  <c r="L301" i="237"/>
  <c r="M301" i="237"/>
  <c r="N301" i="237"/>
  <c r="G302" i="237"/>
  <c r="J302" i="237"/>
  <c r="K302" i="237"/>
  <c r="L302" i="237"/>
  <c r="M302" i="237"/>
  <c r="N302" i="237"/>
  <c r="E305" i="237"/>
  <c r="F305" i="237"/>
  <c r="H305" i="237"/>
  <c r="O305" i="237"/>
  <c r="P305" i="237"/>
  <c r="Q305" i="237"/>
  <c r="R305" i="237"/>
  <c r="S305" i="237"/>
  <c r="T305" i="237"/>
  <c r="G306" i="237"/>
  <c r="J306" i="237"/>
  <c r="K306" i="237"/>
  <c r="L306" i="237"/>
  <c r="M306" i="237"/>
  <c r="N306" i="237"/>
  <c r="G307" i="237"/>
  <c r="J307" i="237"/>
  <c r="K307" i="237"/>
  <c r="L307" i="237"/>
  <c r="M307" i="237"/>
  <c r="N307" i="237"/>
  <c r="E310" i="237"/>
  <c r="F310" i="237"/>
  <c r="H310" i="237"/>
  <c r="O310" i="237"/>
  <c r="P310" i="237"/>
  <c r="Q310" i="237"/>
  <c r="R310" i="237"/>
  <c r="S310" i="237"/>
  <c r="T310" i="237"/>
  <c r="G311" i="237"/>
  <c r="J311" i="237"/>
  <c r="K311" i="237"/>
  <c r="L311" i="237"/>
  <c r="M311" i="237"/>
  <c r="N311" i="237"/>
  <c r="G312" i="237"/>
  <c r="J312" i="237"/>
  <c r="K312" i="237"/>
  <c r="L312" i="237"/>
  <c r="M312" i="237"/>
  <c r="N312" i="237"/>
  <c r="E315" i="237"/>
  <c r="F315" i="237"/>
  <c r="H315" i="237"/>
  <c r="O315" i="237"/>
  <c r="P315" i="237"/>
  <c r="Q315" i="237"/>
  <c r="R315" i="237"/>
  <c r="S315" i="237"/>
  <c r="T315" i="237"/>
  <c r="G316" i="237"/>
  <c r="J316" i="237"/>
  <c r="K316" i="237"/>
  <c r="L316" i="237"/>
  <c r="M316" i="237"/>
  <c r="N316" i="237"/>
  <c r="E319" i="237"/>
  <c r="D319" i="237" s="1"/>
  <c r="D320" i="237" s="1"/>
  <c r="F319" i="237"/>
  <c r="H319" i="237"/>
  <c r="O319" i="237"/>
  <c r="P319" i="237"/>
  <c r="Q319" i="237"/>
  <c r="R319" i="237"/>
  <c r="S319" i="237"/>
  <c r="T319" i="237"/>
  <c r="G320" i="237"/>
  <c r="J320" i="237"/>
  <c r="K320" i="237"/>
  <c r="L320" i="237"/>
  <c r="M320" i="237"/>
  <c r="N320" i="237"/>
  <c r="E323" i="237"/>
  <c r="D323" i="237" s="1"/>
  <c r="D324" i="237" s="1"/>
  <c r="F323" i="237"/>
  <c r="H323" i="237"/>
  <c r="O323" i="237"/>
  <c r="P323" i="237"/>
  <c r="Q323" i="237"/>
  <c r="R323" i="237"/>
  <c r="S323" i="237"/>
  <c r="T323" i="237"/>
  <c r="G324" i="237"/>
  <c r="J324" i="237"/>
  <c r="K324" i="237"/>
  <c r="L324" i="237"/>
  <c r="M324" i="237"/>
  <c r="N324" i="237"/>
  <c r="E327" i="237"/>
  <c r="F327" i="237"/>
  <c r="H327" i="237"/>
  <c r="O327" i="237"/>
  <c r="P327" i="237"/>
  <c r="Q327" i="237"/>
  <c r="R327" i="237"/>
  <c r="S327" i="237"/>
  <c r="T327" i="237"/>
  <c r="G328" i="237"/>
  <c r="J328" i="237"/>
  <c r="K328" i="237"/>
  <c r="L328" i="237"/>
  <c r="M328" i="237"/>
  <c r="N328" i="237"/>
  <c r="E331" i="237"/>
  <c r="F331" i="237"/>
  <c r="H331" i="237"/>
  <c r="O331" i="237"/>
  <c r="P331" i="237"/>
  <c r="Q331" i="237"/>
  <c r="R331" i="237"/>
  <c r="S331" i="237"/>
  <c r="T331" i="237"/>
  <c r="G332" i="237"/>
  <c r="J332" i="237"/>
  <c r="K332" i="237"/>
  <c r="L332" i="237"/>
  <c r="M332" i="237"/>
  <c r="N332" i="237"/>
  <c r="E335" i="237"/>
  <c r="D335" i="237" s="1"/>
  <c r="D336" i="237" s="1"/>
  <c r="F335" i="237"/>
  <c r="H335" i="237"/>
  <c r="O335" i="237"/>
  <c r="P335" i="237"/>
  <c r="Q335" i="237"/>
  <c r="R335" i="237"/>
  <c r="S335" i="237"/>
  <c r="T335" i="237"/>
  <c r="G336" i="237"/>
  <c r="J336" i="237"/>
  <c r="K336" i="237"/>
  <c r="L336" i="237"/>
  <c r="M336" i="237"/>
  <c r="N336" i="237"/>
  <c r="E339" i="237"/>
  <c r="D339" i="237" s="1"/>
  <c r="D340" i="237" s="1"/>
  <c r="F339" i="237"/>
  <c r="H339" i="237"/>
  <c r="O339" i="237"/>
  <c r="P339" i="237"/>
  <c r="Q339" i="237"/>
  <c r="R339" i="237"/>
  <c r="S339" i="237"/>
  <c r="T339" i="237"/>
  <c r="G340" i="237"/>
  <c r="J340" i="237"/>
  <c r="K340" i="237"/>
  <c r="L340" i="237"/>
  <c r="M340" i="237"/>
  <c r="N340" i="237"/>
  <c r="D21" i="237"/>
  <c r="D22" i="237" s="1"/>
  <c r="D30" i="237"/>
  <c r="D31" i="237" s="1"/>
  <c r="D61" i="237"/>
  <c r="D62" i="237" s="1"/>
  <c r="D72" i="237"/>
  <c r="D73" i="237" s="1"/>
  <c r="D213" i="237"/>
  <c r="D214" i="237" s="1"/>
  <c r="D253" i="237"/>
  <c r="D254" i="237" s="1"/>
  <c r="D257" i="237"/>
  <c r="D258" i="237" s="1"/>
  <c r="D262" i="237"/>
  <c r="D263" i="237" s="1"/>
  <c r="D290" i="237"/>
  <c r="D291" i="237" s="1"/>
  <c r="D292" i="237" s="1"/>
  <c r="D295" i="237"/>
  <c r="D296" i="237" s="1"/>
  <c r="D297" i="237" s="1"/>
  <c r="D300" i="237"/>
  <c r="D301" i="237" s="1"/>
  <c r="D302" i="237" s="1"/>
  <c r="D310" i="237"/>
  <c r="D311" i="237" s="1"/>
  <c r="D315" i="237"/>
  <c r="D316" i="237" s="1"/>
  <c r="D270" i="237"/>
  <c r="D271" i="237" s="1"/>
  <c r="D266" i="237"/>
  <c r="D267" i="237" s="1"/>
  <c r="D242" i="237"/>
  <c r="D243" i="237" s="1"/>
  <c r="D237" i="237"/>
  <c r="D238" i="237" s="1"/>
  <c r="D239" i="237" s="1"/>
  <c r="D221" i="237"/>
  <c r="D222" i="237" s="1"/>
  <c r="D209" i="237"/>
  <c r="D210" i="237" s="1"/>
  <c r="D141" i="237"/>
  <c r="D142" i="237" s="1"/>
  <c r="D130" i="237"/>
  <c r="D131" i="237" s="1"/>
  <c r="D125" i="237"/>
  <c r="D126" i="237" s="1"/>
  <c r="D127" i="237" s="1"/>
  <c r="D121" i="237"/>
  <c r="D122" i="237" s="1"/>
  <c r="D94" i="237"/>
  <c r="D95" i="237" s="1"/>
  <c r="D41" i="237"/>
  <c r="D42" i="237" s="1"/>
  <c r="D134" i="3"/>
  <c r="D135" i="3" s="1"/>
  <c r="D233" i="3"/>
  <c r="D237" i="3"/>
  <c r="D238" i="3" s="1"/>
  <c r="D343" i="3"/>
  <c r="D344" i="3" s="1"/>
  <c r="D345" i="3" s="1"/>
  <c r="D418" i="3"/>
  <c r="D419" i="3" s="1"/>
  <c r="D454" i="3"/>
  <c r="D459" i="3"/>
  <c r="D460" i="3" s="1"/>
  <c r="D557" i="3"/>
  <c r="D558" i="3" s="1"/>
  <c r="D565" i="3"/>
  <c r="D566" i="3" s="1"/>
  <c r="D524" i="3"/>
  <c r="D525" i="3" s="1"/>
  <c r="D526" i="3" s="1"/>
  <c r="D527" i="3" s="1"/>
  <c r="D500" i="3"/>
  <c r="D501" i="3" s="1"/>
  <c r="D486" i="3"/>
  <c r="D487" i="3" s="1"/>
  <c r="D488" i="3" s="1"/>
  <c r="D482" i="3"/>
  <c r="D483" i="3" s="1"/>
  <c r="D478" i="3"/>
  <c r="D479" i="3" s="1"/>
  <c r="D468" i="3"/>
  <c r="D469" i="3" s="1"/>
  <c r="D470" i="3" s="1"/>
  <c r="D455" i="3"/>
  <c r="D430" i="3"/>
  <c r="D431" i="3" s="1"/>
  <c r="D414" i="3"/>
  <c r="D415" i="3" s="1"/>
  <c r="D410" i="3"/>
  <c r="D411" i="3" s="1"/>
  <c r="D338" i="3"/>
  <c r="D339" i="3" s="1"/>
  <c r="D331" i="3"/>
  <c r="D332" i="3" s="1"/>
  <c r="D326" i="3"/>
  <c r="D327" i="3" s="1"/>
  <c r="D312" i="3"/>
  <c r="D313" i="3" s="1"/>
  <c r="D308" i="3"/>
  <c r="D309" i="3" s="1"/>
  <c r="D274" i="3"/>
  <c r="D275" i="3" s="1"/>
  <c r="D241" i="3"/>
  <c r="D242" i="3" s="1"/>
  <c r="D234" i="3"/>
  <c r="D213" i="3"/>
  <c r="D214" i="3" s="1"/>
  <c r="D209" i="3"/>
  <c r="D210" i="3" s="1"/>
  <c r="D204" i="3"/>
  <c r="D205" i="3" s="1"/>
  <c r="D195" i="3"/>
  <c r="D196" i="3" s="1"/>
  <c r="D191" i="3"/>
  <c r="D192" i="3" s="1"/>
  <c r="D174" i="3"/>
  <c r="D175" i="3" s="1"/>
  <c r="D169" i="3"/>
  <c r="D170" i="3" s="1"/>
  <c r="D158" i="3"/>
  <c r="D159" i="3" s="1"/>
  <c r="D154" i="3"/>
  <c r="D155" i="3" s="1"/>
  <c r="D124" i="3"/>
  <c r="D125" i="3" s="1"/>
  <c r="D118" i="3"/>
  <c r="D119" i="3" s="1"/>
  <c r="D107" i="3"/>
  <c r="D108" i="3" s="1"/>
  <c r="D103" i="3"/>
  <c r="D104" i="3" s="1"/>
  <c r="D98" i="3"/>
  <c r="D99" i="3" s="1"/>
  <c r="D94" i="3"/>
  <c r="D95" i="3" s="1"/>
  <c r="D79" i="3"/>
  <c r="D80" i="3" s="1"/>
  <c r="D35" i="3"/>
  <c r="D36" i="3" s="1"/>
  <c r="D21" i="3"/>
  <c r="D22" i="3" s="1"/>
  <c r="D17" i="3"/>
  <c r="D18" i="3" s="1"/>
  <c r="D33" i="2"/>
  <c r="D34" i="2" s="1"/>
  <c r="D70" i="2"/>
  <c r="D71" i="2" s="1"/>
  <c r="D90" i="2"/>
  <c r="D91" i="2" s="1"/>
  <c r="D114" i="2"/>
  <c r="D115" i="2" s="1"/>
  <c r="D214" i="2"/>
  <c r="D215" i="2" s="1"/>
  <c r="D250" i="2"/>
  <c r="D251" i="2" s="1"/>
  <c r="D295" i="2"/>
  <c r="D296" i="2" s="1"/>
  <c r="D376" i="2"/>
  <c r="D377" i="2" s="1"/>
  <c r="D406" i="2"/>
  <c r="D407" i="2" s="1"/>
  <c r="D446" i="2"/>
  <c r="D447" i="2" s="1"/>
  <c r="D480" i="2"/>
  <c r="D481" i="2" s="1"/>
  <c r="D586" i="2"/>
  <c r="D587" i="2" s="1"/>
  <c r="D602" i="2"/>
  <c r="D603" i="2" s="1"/>
  <c r="D604" i="2" s="1"/>
  <c r="D605" i="2" s="1"/>
  <c r="D705" i="2"/>
  <c r="D706" i="2" s="1"/>
  <c r="D707" i="2" s="1"/>
  <c r="D701" i="2"/>
  <c r="D702" i="2" s="1"/>
  <c r="D640" i="2"/>
  <c r="D641" i="2" s="1"/>
  <c r="D613" i="2"/>
  <c r="D614" i="2" s="1"/>
  <c r="D608" i="2"/>
  <c r="D609" i="2" s="1"/>
  <c r="D597" i="2"/>
  <c r="D598" i="2" s="1"/>
  <c r="D599" i="2" s="1"/>
  <c r="D592" i="2"/>
  <c r="D593" i="2" s="1"/>
  <c r="D594" i="2" s="1"/>
  <c r="D580" i="2"/>
  <c r="D581" i="2" s="1"/>
  <c r="D544" i="2"/>
  <c r="D545" i="2" s="1"/>
  <c r="D535" i="2"/>
  <c r="D536" i="2" s="1"/>
  <c r="D525" i="2"/>
  <c r="D526" i="2" s="1"/>
  <c r="D520" i="2"/>
  <c r="D521" i="2" s="1"/>
  <c r="D522" i="2" s="1"/>
  <c r="D510" i="2"/>
  <c r="D511" i="2" s="1"/>
  <c r="D512" i="2" s="1"/>
  <c r="D505" i="2"/>
  <c r="D506" i="2" s="1"/>
  <c r="D497" i="2"/>
  <c r="D498" i="2" s="1"/>
  <c r="D487" i="2"/>
  <c r="D488" i="2" s="1"/>
  <c r="D489" i="2" s="1"/>
  <c r="D490" i="2" s="1"/>
  <c r="D470" i="2"/>
  <c r="D471" i="2" s="1"/>
  <c r="D451" i="2"/>
  <c r="D452" i="2" s="1"/>
  <c r="D433" i="2"/>
  <c r="D434" i="2" s="1"/>
  <c r="D411" i="2"/>
  <c r="D412" i="2" s="1"/>
  <c r="D380" i="2"/>
  <c r="D381" i="2" s="1"/>
  <c r="D364" i="2"/>
  <c r="D365" i="2" s="1"/>
  <c r="D366" i="2" s="1"/>
  <c r="D359" i="2"/>
  <c r="D360" i="2" s="1"/>
  <c r="D344" i="2"/>
  <c r="D345" i="2" s="1"/>
  <c r="D339" i="2"/>
  <c r="D340" i="2" s="1"/>
  <c r="D341" i="2" s="1"/>
  <c r="D332" i="2"/>
  <c r="D333" i="2" s="1"/>
  <c r="D328" i="2"/>
  <c r="D329" i="2" s="1"/>
  <c r="D321" i="2"/>
  <c r="D322" i="2" s="1"/>
  <c r="D323" i="2" s="1"/>
  <c r="D324" i="2" s="1"/>
  <c r="D325" i="2" s="1"/>
  <c r="D291" i="2"/>
  <c r="D292" i="2" s="1"/>
  <c r="D276" i="2"/>
  <c r="D277" i="2" s="1"/>
  <c r="D246" i="2"/>
  <c r="D247" i="2" s="1"/>
  <c r="D241" i="2"/>
  <c r="D242" i="2" s="1"/>
  <c r="D232" i="2"/>
  <c r="D233" i="2" s="1"/>
  <c r="D201" i="2"/>
  <c r="D202" i="2" s="1"/>
  <c r="D181" i="2"/>
  <c r="D182" i="2" s="1"/>
  <c r="D168" i="2"/>
  <c r="D169" i="2" s="1"/>
  <c r="D162" i="2"/>
  <c r="D163" i="2" s="1"/>
  <c r="D151" i="2"/>
  <c r="D152" i="2" s="1"/>
  <c r="D146" i="2"/>
  <c r="D147" i="2" s="1"/>
  <c r="D127" i="2"/>
  <c r="D128" i="2" s="1"/>
  <c r="D102" i="2"/>
  <c r="D103" i="2" s="1"/>
  <c r="D96" i="2"/>
  <c r="D97" i="2" s="1"/>
  <c r="D85" i="2"/>
  <c r="D86" i="2" s="1"/>
  <c r="D27" i="2"/>
  <c r="D28" i="2" s="1"/>
  <c r="D22" i="2"/>
  <c r="D23" i="2" s="1"/>
  <c r="D23" i="237" l="1"/>
  <c r="D43" i="237"/>
  <c r="D111" i="237"/>
  <c r="D112" i="237" s="1"/>
  <c r="D48" i="237"/>
  <c r="D312" i="237"/>
  <c r="D82" i="237"/>
  <c r="D32" i="237"/>
  <c r="D63" i="237"/>
  <c r="D155" i="237"/>
  <c r="D156" i="237" s="1"/>
  <c r="D250" i="237"/>
  <c r="D143" i="237"/>
  <c r="D305" i="237"/>
  <c r="D306" i="237" s="1"/>
  <c r="D327" i="237"/>
  <c r="D328" i="237" s="1"/>
  <c r="D217" i="237"/>
  <c r="D218" i="237" s="1"/>
  <c r="D26" i="237"/>
  <c r="D27" i="237" s="1"/>
  <c r="D132" i="237"/>
  <c r="D133" i="237" s="1"/>
  <c r="D134" i="237" s="1"/>
  <c r="D182" i="237"/>
  <c r="D183" i="237" s="1"/>
  <c r="D229" i="237"/>
  <c r="D230" i="237" s="1"/>
  <c r="D280" i="237"/>
  <c r="D281" i="237" s="1"/>
  <c r="D96" i="237"/>
  <c r="D97" i="237" s="1"/>
  <c r="D186" i="237"/>
  <c r="D187" i="237" s="1"/>
  <c r="D117" i="237"/>
  <c r="D118" i="237" s="1"/>
  <c r="D159" i="237"/>
  <c r="D160" i="237" s="1"/>
  <c r="D331" i="237"/>
  <c r="D332" i="237" s="1"/>
  <c r="D259" i="237"/>
  <c r="D104" i="237"/>
  <c r="D105" i="237" s="1"/>
  <c r="D286" i="237"/>
  <c r="D287" i="237" s="1"/>
  <c r="D91" i="237"/>
  <c r="D178" i="237"/>
  <c r="D179" i="237" s="1"/>
  <c r="D272" i="237"/>
  <c r="D18" i="237"/>
  <c r="D76" i="237"/>
  <c r="D77" i="237" s="1"/>
  <c r="D148" i="237"/>
  <c r="D149" i="237" s="1"/>
  <c r="D150" i="237" s="1"/>
  <c r="D244" i="237"/>
  <c r="D245" i="237" s="1"/>
  <c r="D233" i="237"/>
  <c r="D234" i="237" s="1"/>
  <c r="D225" i="237"/>
  <c r="D226" i="237" s="1"/>
  <c r="D35" i="237"/>
  <c r="D36" i="237" s="1"/>
  <c r="D68" i="237"/>
  <c r="D69" i="237" s="1"/>
  <c r="D12" i="237"/>
  <c r="D13" i="237" s="1"/>
  <c r="D37" i="3"/>
  <c r="D38" i="3" s="1"/>
  <c r="D300" i="3"/>
  <c r="D32" i="3"/>
  <c r="D461" i="3"/>
  <c r="D516" i="3"/>
  <c r="D517" i="3" s="1"/>
  <c r="D136" i="3"/>
  <c r="D137" i="3" s="1"/>
  <c r="D120" i="3"/>
  <c r="D121" i="3" s="1"/>
  <c r="D215" i="3"/>
  <c r="D70" i="3"/>
  <c r="D71" i="3" s="1"/>
  <c r="D206" i="3"/>
  <c r="D126" i="3"/>
  <c r="D270" i="3"/>
  <c r="D271" i="3" s="1"/>
  <c r="D200" i="3"/>
  <c r="D201" i="3" s="1"/>
  <c r="D48" i="3"/>
  <c r="D49" i="3" s="1"/>
  <c r="D171" i="3"/>
  <c r="D197" i="3"/>
  <c r="D340" i="3"/>
  <c r="D405" i="3"/>
  <c r="D406" i="3" s="1"/>
  <c r="D553" i="3"/>
  <c r="D554" i="3" s="1"/>
  <c r="D266" i="3"/>
  <c r="D267" i="3" s="1"/>
  <c r="D41" i="3"/>
  <c r="D42" i="3" s="1"/>
  <c r="D365" i="3"/>
  <c r="D263" i="3"/>
  <c r="D62" i="3"/>
  <c r="D328" i="3"/>
  <c r="D67" i="3"/>
  <c r="D131" i="3"/>
  <c r="D100" i="3"/>
  <c r="D549" i="3"/>
  <c r="D550" i="3" s="1"/>
  <c r="D473" i="3"/>
  <c r="D474" i="3" s="1"/>
  <c r="D176" i="3"/>
  <c r="D333" i="3"/>
  <c r="D334" i="3" s="1"/>
  <c r="D335" i="3" s="1"/>
  <c r="D398" i="3"/>
  <c r="D81" i="3"/>
  <c r="D464" i="3"/>
  <c r="D465" i="3" s="1"/>
  <c r="D321" i="3"/>
  <c r="D322" i="3" s="1"/>
  <c r="D183" i="3"/>
  <c r="D184" i="3" s="1"/>
  <c r="D26" i="3"/>
  <c r="D27" i="3" s="1"/>
  <c r="D249" i="3"/>
  <c r="D250" i="3" s="1"/>
  <c r="D23" i="3"/>
  <c r="D314" i="3"/>
  <c r="D245" i="3"/>
  <c r="D246" i="3" s="1"/>
  <c r="D536" i="3"/>
  <c r="D537" i="3" s="1"/>
  <c r="D86" i="3"/>
  <c r="D87" i="3" s="1"/>
  <c r="D456" i="3"/>
  <c r="D317" i="3"/>
  <c r="D318" i="3" s="1"/>
  <c r="D146" i="3"/>
  <c r="D114" i="3"/>
  <c r="D115" i="3" s="1"/>
  <c r="D164" i="3"/>
  <c r="D165" i="3" s="1"/>
  <c r="D573" i="3"/>
  <c r="D574" i="3" s="1"/>
  <c r="D442" i="3"/>
  <c r="D443" i="3" s="1"/>
  <c r="D450" i="3"/>
  <c r="D451" i="3" s="1"/>
  <c r="D109" i="3"/>
  <c r="D218" i="3"/>
  <c r="D219" i="3" s="1"/>
  <c r="D90" i="3"/>
  <c r="D91" i="3" s="1"/>
  <c r="D160" i="3"/>
  <c r="D161" i="3" s="1"/>
  <c r="D509" i="3"/>
  <c r="D510" i="3" s="1"/>
  <c r="D438" i="3"/>
  <c r="D439" i="3" s="1"/>
  <c r="D372" i="3"/>
  <c r="D373" i="3" s="1"/>
  <c r="D294" i="3"/>
  <c r="D295" i="3" s="1"/>
  <c r="D227" i="3"/>
  <c r="D228" i="3" s="1"/>
  <c r="D577" i="3"/>
  <c r="D578" i="3" s="1"/>
  <c r="D504" i="3"/>
  <c r="D505" i="3" s="1"/>
  <c r="D434" i="3"/>
  <c r="D435" i="3" s="1"/>
  <c r="D368" i="3"/>
  <c r="D369" i="3" s="1"/>
  <c r="D290" i="3"/>
  <c r="D291" i="3" s="1"/>
  <c r="D222" i="3"/>
  <c r="D223" i="3" s="1"/>
  <c r="D149" i="3"/>
  <c r="D150" i="3" s="1"/>
  <c r="D74" i="3"/>
  <c r="D75" i="3" s="1"/>
  <c r="D520" i="3"/>
  <c r="D521" i="3" s="1"/>
  <c r="D380" i="3"/>
  <c r="D381" i="3" s="1"/>
  <c r="D303" i="3"/>
  <c r="D304" i="3" s="1"/>
  <c r="D446" i="3"/>
  <c r="D447" i="3" s="1"/>
  <c r="D569" i="3"/>
  <c r="D570" i="3" s="1"/>
  <c r="D272" i="2"/>
  <c r="D273" i="2" s="1"/>
  <c r="D588" i="2"/>
  <c r="D589" i="2" s="1"/>
  <c r="D24" i="2"/>
  <c r="D116" i="2"/>
  <c r="D117" i="2" s="1"/>
  <c r="D453" i="2"/>
  <c r="D454" i="2" s="1"/>
  <c r="D187" i="2"/>
  <c r="D188" i="2" s="1"/>
  <c r="D48" i="2"/>
  <c r="D49" i="2" s="1"/>
  <c r="D50" i="2" s="1"/>
  <c r="D507" i="2"/>
  <c r="D252" i="2"/>
  <c r="D467" i="2"/>
  <c r="D29" i="2"/>
  <c r="D30" i="2" s="1"/>
  <c r="D203" i="2"/>
  <c r="D19" i="2"/>
  <c r="D527" i="2"/>
  <c r="D448" i="2"/>
  <c r="D92" i="2"/>
  <c r="D93" i="2" s="1"/>
  <c r="D610" i="2"/>
  <c r="D430" i="2"/>
  <c r="D615" i="2"/>
  <c r="D408" i="2"/>
  <c r="D517" i="2"/>
  <c r="D558" i="2"/>
  <c r="D559" i="2" s="1"/>
  <c r="D560" i="2" s="1"/>
  <c r="D565" i="2"/>
  <c r="D566" i="2" s="1"/>
  <c r="D567" i="2" s="1"/>
  <c r="D297" i="2"/>
  <c r="D298" i="2" s="1"/>
  <c r="D299" i="2" s="1"/>
  <c r="D300" i="2" s="1"/>
  <c r="D133" i="2"/>
  <c r="D134" i="2" s="1"/>
  <c r="D135" i="2" s="1"/>
  <c r="D136" i="2" s="1"/>
  <c r="D137" i="2" s="1"/>
  <c r="D382" i="2"/>
  <c r="D383" i="2" s="1"/>
  <c r="D384" i="2" s="1"/>
  <c r="D385" i="2" s="1"/>
  <c r="D386" i="2" s="1"/>
  <c r="D642" i="2"/>
  <c r="D643" i="2" s="1"/>
  <c r="D644" i="2" s="1"/>
  <c r="D645" i="2" s="1"/>
  <c r="D35" i="2"/>
  <c r="D36" i="2" s="1"/>
  <c r="D37" i="2" s="1"/>
  <c r="D234" i="2"/>
  <c r="D441" i="2"/>
  <c r="D442" i="2" s="1"/>
  <c r="D443" i="2" s="1"/>
  <c r="D193" i="2"/>
  <c r="D237" i="2"/>
  <c r="D238" i="2" s="1"/>
  <c r="D278" i="2"/>
  <c r="D413" i="2"/>
  <c r="D681" i="2"/>
  <c r="D682" i="2" s="1"/>
  <c r="D722" i="2"/>
  <c r="D723" i="2" s="1"/>
  <c r="D228" i="2"/>
  <c r="D229" i="2" s="1"/>
  <c r="D435" i="2"/>
  <c r="D436" i="2" s="1"/>
  <c r="D120" i="2"/>
  <c r="D121" i="2" s="1"/>
  <c r="D170" i="2"/>
  <c r="D257" i="2"/>
  <c r="D258" i="2" s="1"/>
  <c r="D334" i="2"/>
  <c r="D335" i="2" s="1"/>
  <c r="D336" i="2" s="1"/>
  <c r="D416" i="2"/>
  <c r="D417" i="2" s="1"/>
  <c r="D551" i="2"/>
  <c r="D552" i="2" s="1"/>
  <c r="D570" i="2"/>
  <c r="D571" i="2" s="1"/>
  <c r="D397" i="2"/>
  <c r="D398" i="2" s="1"/>
  <c r="D303" i="2"/>
  <c r="D304" i="2" s="1"/>
  <c r="D546" i="2"/>
  <c r="D547" i="2" s="1"/>
  <c r="D548" i="2" s="1"/>
  <c r="D493" i="2"/>
  <c r="D494" i="2" s="1"/>
  <c r="D104" i="2"/>
  <c r="D105" i="2" s="1"/>
  <c r="D106" i="2" s="1"/>
  <c r="D285" i="2"/>
  <c r="D286" i="2" s="1"/>
  <c r="D313" i="2"/>
  <c r="D461" i="2"/>
  <c r="D462" i="2" s="1"/>
  <c r="D243" i="2"/>
  <c r="D265" i="2"/>
  <c r="D266" i="2" s="1"/>
  <c r="D671" i="2"/>
  <c r="D672" i="2" s="1"/>
  <c r="D626" i="2"/>
  <c r="D627" i="2" s="1"/>
  <c r="D148" i="2"/>
  <c r="D659" i="2"/>
  <c r="D660" i="2" s="1"/>
  <c r="D175" i="2"/>
  <c r="D176" i="2" s="1"/>
  <c r="D177" i="2" s="1"/>
  <c r="D178" i="2" s="1"/>
  <c r="D198" i="2"/>
  <c r="D218" i="2"/>
  <c r="D219" i="2" s="1"/>
  <c r="D210" i="2"/>
  <c r="D211" i="2" s="1"/>
  <c r="D82" i="2"/>
  <c r="D361" i="2"/>
  <c r="D482" i="2"/>
  <c r="D483" i="2" s="1"/>
  <c r="D484" i="2" s="1"/>
  <c r="D98" i="2"/>
  <c r="D99" i="2" s="1"/>
  <c r="D389" i="2"/>
  <c r="D390" i="2" s="1"/>
  <c r="D582" i="2"/>
  <c r="D583" i="2" s="1"/>
  <c r="D718" i="2"/>
  <c r="D719" i="2" s="1"/>
  <c r="D87" i="2"/>
  <c r="D109" i="2"/>
  <c r="D110" i="2" s="1"/>
  <c r="D156" i="2"/>
  <c r="D157" i="2" s="1"/>
  <c r="D316" i="2"/>
  <c r="D317" i="2" s="1"/>
  <c r="D346" i="2"/>
  <c r="D347" i="2" s="1"/>
  <c r="D369" i="2"/>
  <c r="D370" i="2" s="1"/>
  <c r="D631" i="2"/>
  <c r="D632" i="2" s="1"/>
  <c r="D261" i="2"/>
  <c r="D262" i="2" s="1"/>
  <c r="D140" i="2"/>
  <c r="D141" i="2" s="1"/>
  <c r="D206" i="2"/>
  <c r="D207" i="2" s="1"/>
  <c r="D65" i="2"/>
  <c r="D66" i="2" s="1"/>
  <c r="D501" i="2"/>
  <c r="D502" i="2" s="1"/>
  <c r="D539" i="2"/>
  <c r="D540" i="2" s="1"/>
  <c r="D40" i="2"/>
  <c r="D41" i="2" s="1"/>
  <c r="D350" i="2"/>
  <c r="D351" i="2" s="1"/>
  <c r="D650" i="2"/>
  <c r="D651" i="2" s="1"/>
  <c r="D652" i="2" s="1"/>
  <c r="D153" i="2"/>
  <c r="D225" i="2"/>
  <c r="D618" i="2"/>
  <c r="D619" i="2" s="1"/>
  <c r="D164" i="2"/>
  <c r="D165" i="2" s="1"/>
  <c r="D576" i="2"/>
  <c r="D577" i="2" s="1"/>
  <c r="D714" i="2"/>
  <c r="D715" i="2" s="1"/>
  <c r="D72" i="2"/>
  <c r="D73" i="2" s="1"/>
  <c r="D693" i="2"/>
  <c r="D694" i="2" s="1"/>
  <c r="D665" i="2"/>
  <c r="D666" i="2" s="1"/>
  <c r="D689" i="2"/>
  <c r="D690" i="2" s="1"/>
  <c r="D655" i="2"/>
  <c r="D656" i="2" s="1"/>
  <c r="D307" i="237" l="1"/>
  <c r="D106" i="237"/>
  <c r="D37" i="237"/>
  <c r="D38" i="237" s="1"/>
  <c r="U89" i="237"/>
  <c r="U61" i="237"/>
  <c r="D161" i="237"/>
  <c r="D188" i="237"/>
  <c r="U72" i="237"/>
  <c r="U94" i="237"/>
  <c r="U51" i="237"/>
  <c r="U85" i="237"/>
  <c r="U109" i="237"/>
  <c r="U35" i="237"/>
  <c r="U76" i="237"/>
  <c r="U66" i="237"/>
  <c r="U46" i="237"/>
  <c r="U16" i="237"/>
  <c r="U26" i="237"/>
  <c r="D305" i="3"/>
  <c r="D506" i="3"/>
  <c r="D407" i="3"/>
  <c r="D76" i="3"/>
  <c r="D511" i="3"/>
  <c r="D323" i="3"/>
  <c r="D151" i="3"/>
  <c r="D43" i="3"/>
  <c r="D44" i="3" s="1"/>
  <c r="D45" i="3" s="1"/>
  <c r="D224" i="3"/>
  <c r="D229" i="3"/>
  <c r="D230" i="3" s="1"/>
  <c r="D475" i="3"/>
  <c r="D166" i="3"/>
  <c r="D538" i="3"/>
  <c r="D620" i="2"/>
  <c r="D621" i="2" s="1"/>
  <c r="D622" i="2" s="1"/>
  <c r="D623" i="2" s="1"/>
  <c r="D633" i="2"/>
  <c r="D634" i="2" s="1"/>
  <c r="D635" i="2" s="1"/>
  <c r="D636" i="2" s="1"/>
  <c r="D637" i="2" s="1"/>
  <c r="D391" i="2"/>
  <c r="D392" i="2" s="1"/>
  <c r="D393" i="2" s="1"/>
  <c r="D394" i="2" s="1"/>
  <c r="D541" i="2"/>
  <c r="D142" i="2"/>
  <c r="D143" i="2" s="1"/>
  <c r="D371" i="2"/>
  <c r="D372" i="2" s="1"/>
  <c r="D373" i="2" s="1"/>
  <c r="D628" i="2"/>
  <c r="D318" i="2"/>
  <c r="D399" i="2"/>
  <c r="D400" i="2" s="1"/>
  <c r="D401" i="2" s="1"/>
  <c r="D402" i="2" s="1"/>
  <c r="D403" i="2" s="1"/>
  <c r="D158" i="2"/>
  <c r="D159" i="2" s="1"/>
  <c r="D673" i="2"/>
  <c r="D674" i="2" s="1"/>
  <c r="D122" i="2"/>
  <c r="D123" i="2" s="1"/>
  <c r="D124" i="2" s="1"/>
  <c r="D111" i="2"/>
  <c r="D287" i="2"/>
  <c r="D288" i="2" s="1"/>
  <c r="D572" i="2"/>
  <c r="D573" i="2" s="1"/>
  <c r="D667" i="2"/>
  <c r="D668" i="2" s="1"/>
  <c r="D67" i="2"/>
  <c r="D267" i="2"/>
  <c r="D553" i="2"/>
  <c r="D352" i="2"/>
  <c r="D353" i="2" s="1"/>
  <c r="D354" i="2" s="1"/>
  <c r="D355" i="2" s="1"/>
  <c r="D356" i="2" s="1"/>
  <c r="D418" i="2"/>
  <c r="D419" i="2" s="1"/>
  <c r="D420" i="2" s="1"/>
  <c r="D421" i="2" s="1"/>
  <c r="D220" i="2"/>
  <c r="D42" i="2"/>
  <c r="D43" i="2" s="1"/>
  <c r="D661" i="2"/>
  <c r="D662" i="2" s="1"/>
  <c r="C6" i="1"/>
  <c r="C5" i="1"/>
  <c r="C4" i="1"/>
  <c r="U125" i="237" l="1"/>
  <c r="U41" i="237"/>
  <c r="U121" i="237"/>
  <c r="U21" i="237"/>
  <c r="U30" i="237"/>
  <c r="S344" i="237" l="1"/>
  <c r="U115" i="237"/>
  <c r="U295" i="237"/>
  <c r="U191" i="237"/>
  <c r="U237" i="237"/>
  <c r="U221" i="237"/>
  <c r="U100" i="237"/>
  <c r="U310" i="237"/>
  <c r="U242" i="237"/>
  <c r="U253" i="237"/>
  <c r="U339" i="237"/>
  <c r="U209" i="237"/>
  <c r="U195" i="237"/>
  <c r="U146" i="237"/>
  <c r="U305" i="237"/>
  <c r="U172" i="237"/>
  <c r="U266" i="237"/>
  <c r="U275" i="237"/>
  <c r="U331" i="237"/>
  <c r="U153" i="237"/>
  <c r="U186" i="237"/>
  <c r="U199" i="237"/>
  <c r="U176" i="237"/>
  <c r="U213" i="237"/>
  <c r="U233" i="237"/>
  <c r="U229" i="237"/>
  <c r="U335" i="237"/>
  <c r="U290" i="237"/>
  <c r="U315" i="237"/>
  <c r="U137" i="237"/>
  <c r="U205" i="237"/>
  <c r="U130" i="237"/>
  <c r="U217" i="237"/>
  <c r="U182" i="237"/>
  <c r="U262" i="237"/>
  <c r="U327" i="237"/>
  <c r="U284" i="237"/>
  <c r="U257" i="237"/>
  <c r="U248" i="237"/>
  <c r="U270" i="237"/>
  <c r="U225" i="237"/>
  <c r="U164" i="237"/>
  <c r="U300" i="237"/>
  <c r="U168" i="237"/>
  <c r="U323" i="237"/>
  <c r="U141" i="237"/>
  <c r="U159" i="237"/>
  <c r="U55" i="237"/>
  <c r="U280" i="237"/>
  <c r="U80" i="237"/>
  <c r="U319" i="237"/>
  <c r="U12" i="237"/>
  <c r="T344" i="237"/>
  <c r="Q344" i="237"/>
  <c r="R344" i="237"/>
  <c r="P344" i="237"/>
  <c r="O344" i="237" l="1"/>
  <c r="U104" i="237"/>
  <c r="U344" i="237" s="1"/>
  <c r="D12" i="3"/>
  <c r="D13" i="3" s="1"/>
  <c r="D12" i="2"/>
  <c r="D13" i="2" s="1"/>
  <c r="D14" i="3" l="1"/>
  <c r="D14" i="2"/>
  <c r="U187" i="3" l="1"/>
  <c r="U401" i="3"/>
  <c r="U359" i="3"/>
  <c r="U134" i="3"/>
  <c r="U561" i="3"/>
  <c r="U65" i="3"/>
  <c r="U94" i="3"/>
  <c r="U308" i="3"/>
  <c r="U541" i="3"/>
  <c r="U241" i="3"/>
  <c r="U509" i="3"/>
  <c r="U343" i="3"/>
  <c r="U520" i="3"/>
  <c r="U514" i="3"/>
  <c r="U144" i="3"/>
  <c r="U536" i="3"/>
  <c r="U468" i="3"/>
  <c r="U388" i="3"/>
  <c r="U179" i="3"/>
  <c r="U48" i="3"/>
  <c r="U209" i="3"/>
  <c r="U294" i="3"/>
  <c r="U286" i="3"/>
  <c r="U372" i="3"/>
  <c r="U270" i="3"/>
  <c r="U227" i="3"/>
  <c r="U478" i="3"/>
  <c r="U41" i="3"/>
  <c r="U565" i="3"/>
  <c r="U355" i="3"/>
  <c r="U434" i="3"/>
  <c r="U60" i="3"/>
  <c r="U504" i="3"/>
  <c r="U257" i="3"/>
  <c r="U278" i="3"/>
  <c r="U84" i="3"/>
  <c r="U174" i="3"/>
  <c r="U348" i="3"/>
  <c r="U282" i="3"/>
  <c r="U222" i="3"/>
  <c r="U74" i="3"/>
  <c r="U321" i="3"/>
  <c r="U430" i="3"/>
  <c r="U446" i="3"/>
  <c r="U195" i="3"/>
  <c r="U577" i="3"/>
  <c r="U524" i="3"/>
  <c r="U158" i="3"/>
  <c r="U52" i="3"/>
  <c r="U414" i="3"/>
  <c r="U376" i="3"/>
  <c r="U191" i="3"/>
  <c r="U422" i="3"/>
  <c r="U233" i="3"/>
  <c r="U331" i="3"/>
  <c r="U442" i="3"/>
  <c r="U338" i="3"/>
  <c r="U112" i="3"/>
  <c r="U200" i="3"/>
  <c r="U79" i="3"/>
  <c r="U557" i="3"/>
  <c r="U118" i="3"/>
  <c r="U454" i="3"/>
  <c r="U495" i="3"/>
  <c r="U26" i="3"/>
  <c r="U426" i="3"/>
  <c r="U459" i="3"/>
  <c r="U266" i="3"/>
  <c r="U396" i="3"/>
  <c r="U380" i="3"/>
  <c r="U261" i="3"/>
  <c r="U30" i="3"/>
  <c r="U249" i="3"/>
  <c r="U317" i="3"/>
  <c r="U363" i="3"/>
  <c r="U486" i="3"/>
  <c r="U473" i="3"/>
  <c r="U218" i="3"/>
  <c r="U169" i="3"/>
  <c r="U384" i="3"/>
  <c r="U213" i="3"/>
  <c r="U553" i="3"/>
  <c r="U124" i="3"/>
  <c r="U482" i="3"/>
  <c r="U450" i="3"/>
  <c r="U140" i="3"/>
  <c r="U129" i="3"/>
  <c r="U545" i="3"/>
  <c r="U312" i="3"/>
  <c r="U491" i="3"/>
  <c r="U290" i="3"/>
  <c r="U149" i="3"/>
  <c r="U183" i="3"/>
  <c r="U410" i="3"/>
  <c r="U90" i="3"/>
  <c r="U245" i="3"/>
  <c r="U253" i="3"/>
  <c r="U500" i="3"/>
  <c r="U237" i="3"/>
  <c r="U569" i="3"/>
  <c r="U70" i="3"/>
  <c r="U103" i="3"/>
  <c r="U164" i="3"/>
  <c r="U392" i="3"/>
  <c r="U549" i="3"/>
  <c r="U154" i="3"/>
  <c r="U418" i="3"/>
  <c r="U464" i="3"/>
  <c r="U35" i="3"/>
  <c r="U107" i="3"/>
  <c r="U438" i="3"/>
  <c r="U21" i="3"/>
  <c r="U56" i="3"/>
  <c r="U274" i="3"/>
  <c r="U405" i="3"/>
  <c r="U303" i="3"/>
  <c r="U368" i="3"/>
  <c r="U573" i="3"/>
  <c r="U17" i="3"/>
  <c r="U530" i="3"/>
  <c r="U98" i="3"/>
  <c r="U298" i="3"/>
  <c r="U326" i="3"/>
  <c r="U204" i="3"/>
  <c r="U321" i="2"/>
  <c r="U53" i="2"/>
  <c r="U33" i="2"/>
  <c r="U291" i="2"/>
  <c r="U295" i="2"/>
  <c r="U563" i="2"/>
  <c r="U328" i="2"/>
  <c r="U544" i="2"/>
  <c r="U416" i="2"/>
  <c r="U156" i="2"/>
  <c r="U446" i="2"/>
  <c r="U140" i="2"/>
  <c r="U461" i="2"/>
  <c r="U22" i="2"/>
  <c r="U210" i="2"/>
  <c r="U586" i="2"/>
  <c r="U539" i="2"/>
  <c r="U433" i="2"/>
  <c r="U232" i="2"/>
  <c r="U580" i="2"/>
  <c r="U515" i="2"/>
  <c r="U608" i="2"/>
  <c r="U61" i="2"/>
  <c r="U120" i="2"/>
  <c r="U90" i="2"/>
  <c r="U27" i="2"/>
  <c r="U451" i="2"/>
  <c r="U364" i="2"/>
  <c r="U439" i="2"/>
  <c r="U576" i="2"/>
  <c r="U480" i="2"/>
  <c r="U470" i="2"/>
  <c r="U131" i="2"/>
  <c r="U510" i="2"/>
  <c r="U474" i="2"/>
  <c r="U665" i="2"/>
  <c r="U465" i="2"/>
  <c r="U602" i="2"/>
  <c r="U102" i="2"/>
  <c r="U705" i="2"/>
  <c r="U332" i="2"/>
  <c r="U597" i="2"/>
  <c r="U40" i="2"/>
  <c r="U659" i="2"/>
  <c r="U701" i="2"/>
  <c r="U185" i="2"/>
  <c r="U281" i="2"/>
  <c r="U592" i="2"/>
  <c r="U710" i="2"/>
  <c r="U685" i="2"/>
  <c r="U303" i="2"/>
  <c r="U631" i="2"/>
  <c r="U109" i="2"/>
  <c r="U339" i="2"/>
  <c r="U457" i="2"/>
  <c r="U681" i="2"/>
  <c r="U497" i="2"/>
  <c r="U146" i="2"/>
  <c r="U556" i="2"/>
  <c r="U380" i="2"/>
  <c r="U626" i="2"/>
  <c r="U80" i="2"/>
  <c r="U551" i="2"/>
  <c r="U223" i="2"/>
  <c r="U250" i="2"/>
  <c r="U57" i="2"/>
  <c r="U406" i="2"/>
  <c r="U191" i="2"/>
  <c r="U168" i="2"/>
  <c r="U307" i="2"/>
  <c r="U241" i="2"/>
  <c r="U196" i="2"/>
  <c r="U655" i="2"/>
  <c r="U270" i="2"/>
  <c r="U525" i="2"/>
  <c r="U424" i="2"/>
  <c r="U181" i="2"/>
  <c r="U618" i="2"/>
  <c r="U501" i="2"/>
  <c r="U411" i="2"/>
  <c r="U265" i="2"/>
  <c r="U535" i="2"/>
  <c r="U228" i="2"/>
  <c r="U648" i="2"/>
  <c r="U493" i="2"/>
  <c r="U311" i="2"/>
  <c r="U344" i="2"/>
  <c r="U85" i="2"/>
  <c r="U640" i="2"/>
  <c r="U359" i="2"/>
  <c r="U389" i="2"/>
  <c r="U530" i="2"/>
  <c r="U173" i="2"/>
  <c r="U17" i="2"/>
  <c r="U693" i="2"/>
  <c r="U96" i="2"/>
  <c r="U201" i="2"/>
  <c r="U261" i="2"/>
  <c r="U520" i="2"/>
  <c r="U237" i="2"/>
  <c r="U428" i="2"/>
  <c r="U714" i="2"/>
  <c r="U162" i="2"/>
  <c r="U689" i="2"/>
  <c r="U127" i="2"/>
  <c r="U613" i="2"/>
  <c r="U214" i="2"/>
  <c r="U487" i="2"/>
  <c r="U397" i="2"/>
  <c r="U76" i="2"/>
  <c r="U376" i="2"/>
  <c r="U114" i="2"/>
  <c r="U722" i="2"/>
  <c r="U285" i="2"/>
  <c r="U697" i="2"/>
  <c r="U350" i="2"/>
  <c r="U718" i="2"/>
  <c r="U677" i="2"/>
  <c r="U65" i="2"/>
  <c r="U255" i="2"/>
  <c r="U671" i="2"/>
  <c r="U276" i="2"/>
  <c r="U70" i="2"/>
  <c r="U369" i="2"/>
  <c r="U46" i="2"/>
  <c r="U246" i="2"/>
  <c r="U570" i="2"/>
  <c r="U151" i="2"/>
  <c r="U316" i="2"/>
  <c r="U206" i="2"/>
  <c r="U505" i="2"/>
  <c r="U218" i="2"/>
  <c r="S582" i="3" l="1"/>
  <c r="T582" i="3"/>
  <c r="R582" i="3"/>
  <c r="P582" i="3"/>
  <c r="Q582" i="3"/>
  <c r="U12" i="3"/>
  <c r="U582" i="3" s="1"/>
  <c r="O582" i="3"/>
  <c r="S727" i="2"/>
  <c r="P727" i="2"/>
  <c r="U12" i="2"/>
  <c r="U727" i="2" s="1"/>
  <c r="O727" i="2"/>
  <c r="R727" i="2"/>
  <c r="T727" i="2"/>
  <c r="Q727" i="2"/>
</calcChain>
</file>

<file path=xl/sharedStrings.xml><?xml version="1.0" encoding="utf-8"?>
<sst xmlns="http://schemas.openxmlformats.org/spreadsheetml/2006/main" count="21564" uniqueCount="10896">
  <si>
    <t>Title</t>
  </si>
  <si>
    <t>Value</t>
  </si>
  <si>
    <t>Lookup</t>
  </si>
  <si>
    <t>Report Options</t>
  </si>
  <si>
    <t>Option</t>
  </si>
  <si>
    <t>Date Range</t>
  </si>
  <si>
    <t>Item No.</t>
  </si>
  <si>
    <t>Warehouse</t>
  </si>
  <si>
    <t>fit</t>
  </si>
  <si>
    <t>hide</t>
  </si>
  <si>
    <t>Inventory Movement by Location</t>
  </si>
  <si>
    <t>Warehouse Filter</t>
  </si>
  <si>
    <t>All Locations</t>
  </si>
  <si>
    <t>Item</t>
  </si>
  <si>
    <t>Item Description</t>
  </si>
  <si>
    <t>U of M</t>
  </si>
  <si>
    <t>Posting Date</t>
  </si>
  <si>
    <t>Entry No.</t>
  </si>
  <si>
    <t>Source Type</t>
  </si>
  <si>
    <t>Source No</t>
  </si>
  <si>
    <t>Customer</t>
  </si>
  <si>
    <t xml:space="preserve">Vendor </t>
  </si>
  <si>
    <t>Purchase Qty</t>
  </si>
  <si>
    <t>Sales Qty</t>
  </si>
  <si>
    <t>Pos./Neg. Adjustment</t>
  </si>
  <si>
    <t>Transfer Qty</t>
  </si>
  <si>
    <t>Consumption Qty</t>
  </si>
  <si>
    <t>Output</t>
  </si>
  <si>
    <t>Net Change in Quantity</t>
  </si>
  <si>
    <t>Auto</t>
  </si>
  <si>
    <t xml:space="preserve"> </t>
  </si>
  <si>
    <t>Warehouse (Location) Subtotal:</t>
  </si>
  <si>
    <t>=NL("Lookup","Item","No.")</t>
  </si>
  <si>
    <t>="*"</t>
  </si>
  <si>
    <t>=NP("Eval","=NOW()")</t>
  </si>
  <si>
    <t>=Options!C4</t>
  </si>
  <si>
    <t>=Options!C5</t>
  </si>
  <si>
    <t>=Options!C6</t>
  </si>
  <si>
    <t>=D13</t>
  </si>
  <si>
    <t>=NF($G14,"Posting Date")</t>
  </si>
  <si>
    <t>=NF($G14,"Entry No.")</t>
  </si>
  <si>
    <t>=NF(G14,"Source Type")</t>
  </si>
  <si>
    <t>=NF($G14,"Source No.")</t>
  </si>
  <si>
    <t>=IF($J14="Customer",NL("first",$J14,"Name","No.","@@"&amp;$K14),"")</t>
  </si>
  <si>
    <t>=IF(J14="vendor",NL("first",J14,"Name","No.","@@"&amp;K14),"")</t>
  </si>
  <si>
    <t>=IF($J14="Item",NL("first",$J14,"Description","No.","@@"&amp;$K14),"")</t>
  </si>
  <si>
    <t>=D18</t>
  </si>
  <si>
    <t>=NF($G19,"Posting Date")</t>
  </si>
  <si>
    <t>=NF($G19,"Entry No.")</t>
  </si>
  <si>
    <t>=NF(G19,"Source Type")</t>
  </si>
  <si>
    <t>=NF($G19,"Source No.")</t>
  </si>
  <si>
    <t>=IF($J19="Customer",NL("first",$J19,"Name","No.","@@"&amp;$K19),"")</t>
  </si>
  <si>
    <t>=IF(J19="vendor",NL("first",J19,"Name","No.","@@"&amp;K19),"")</t>
  </si>
  <si>
    <t>=IF($J19="Item",NL("first",$J19,"Description","No.","@@"&amp;$K19),"")</t>
  </si>
  <si>
    <t>=D26</t>
  </si>
  <si>
    <t>=NF($G27,"Posting Date")</t>
  </si>
  <si>
    <t>=NF($G27,"Entry No.")</t>
  </si>
  <si>
    <t>=NF(G27,"Source Type")</t>
  </si>
  <si>
    <t>=NF($G27,"Source No.")</t>
  </si>
  <si>
    <t>=IF($J27="Customer",NL("first",$J27,"Name","No.","@@"&amp;$K27),"")</t>
  </si>
  <si>
    <t>=IF(J27="vendor",NL("first",J27,"Name","No.","@@"&amp;K27),"")</t>
  </si>
  <si>
    <t>=IF($J27="Item",NL("first",$J27,"Description","No.","@@"&amp;$K27),"")</t>
  </si>
  <si>
    <t>=D27</t>
  </si>
  <si>
    <t>=NF($G28,"Posting Date")</t>
  </si>
  <si>
    <t>=NF($G28,"Entry No.")</t>
  </si>
  <si>
    <t>=NF(G28,"Source Type")</t>
  </si>
  <si>
    <t>=NF($G28,"Source No.")</t>
  </si>
  <si>
    <t>=IF($J28="Customer",NL("first",$J28,"Name","No.","@@"&amp;$K28),"")</t>
  </si>
  <si>
    <t>=IF(J28="vendor",NL("first",J28,"Name","No.","@@"&amp;K28),"")</t>
  </si>
  <si>
    <t>=IF($J28="Item",NL("first",$J28,"Description","No.","@@"&amp;$K28),"")</t>
  </si>
  <si>
    <t>=D28</t>
  </si>
  <si>
    <t>=NF($G29,"Posting Date")</t>
  </si>
  <si>
    <t>=NF($G29,"Entry No.")</t>
  </si>
  <si>
    <t>=NF(G29,"Source Type")</t>
  </si>
  <si>
    <t>=NF($G29,"Source No.")</t>
  </si>
  <si>
    <t>=IF($J29="Customer",NL("first",$J29,"Name","No.","@@"&amp;$K29),"")</t>
  </si>
  <si>
    <t>=IF(J29="vendor",NL("first",J29,"Name","No.","@@"&amp;K29),"")</t>
  </si>
  <si>
    <t>=IF($J29="Item",NL("first",$J29,"Description","No.","@@"&amp;$K29),"")</t>
  </si>
  <si>
    <t>=D29</t>
  </si>
  <si>
    <t>=NF($G30,"Posting Date")</t>
  </si>
  <si>
    <t>=NF($G30,"Entry No.")</t>
  </si>
  <si>
    <t>=NF(G30,"Source Type")</t>
  </si>
  <si>
    <t>=NF($G30,"Source No.")</t>
  </si>
  <si>
    <t>=IF($J30="Customer",NL("first",$J30,"Name","No.","@@"&amp;$K30),"")</t>
  </si>
  <si>
    <t>=IF(J30="vendor",NL("first",J30,"Name","No.","@@"&amp;K30),"")</t>
  </si>
  <si>
    <t>=IF($J30="Item",NL("first",$J30,"Description","No.","@@"&amp;$K30),"")</t>
  </si>
  <si>
    <t>=E33</t>
  </si>
  <si>
    <t>=NL("First","Item","Description","No.",$E33)</t>
  </si>
  <si>
    <t>=NL("First","Item","Base Unit of Measure","No.",$E33)</t>
  </si>
  <si>
    <t>=D33</t>
  </si>
  <si>
    <t>=NF($G34,"Posting Date")</t>
  </si>
  <si>
    <t>=NF($G34,"Entry No.")</t>
  </si>
  <si>
    <t>=NF(G34,"Source Type")</t>
  </si>
  <si>
    <t>=NF($G34,"Source No.")</t>
  </si>
  <si>
    <t>=IF($J34="Customer",NL("first",$J34,"Name","No.","@@"&amp;$K34),"")</t>
  </si>
  <si>
    <t>=IF(J34="vendor",NL("first",J34,"Name","No.","@@"&amp;K34),"")</t>
  </si>
  <si>
    <t>=IF($J34="Item",NL("first",$J34,"Description","No.","@@"&amp;$K34),"")</t>
  </si>
  <si>
    <t>=D34</t>
  </si>
  <si>
    <t>=NF($G35,"Posting Date")</t>
  </si>
  <si>
    <t>=NF($G35,"Entry No.")</t>
  </si>
  <si>
    <t>=NF(G35,"Source Type")</t>
  </si>
  <si>
    <t>=NF($G35,"Source No.")</t>
  </si>
  <si>
    <t>=IF($J35="Customer",NL("first",$J35,"Name","No.","@@"&amp;$K35),"")</t>
  </si>
  <si>
    <t>=IF(J35="vendor",NL("first",J35,"Name","No.","@@"&amp;K35),"")</t>
  </si>
  <si>
    <t>=IF($J35="Item",NL("first",$J35,"Description","No.","@@"&amp;$K35),"")</t>
  </si>
  <si>
    <t>=D35</t>
  </si>
  <si>
    <t>=NF($G36,"Posting Date")</t>
  </si>
  <si>
    <t>=NF($G36,"Entry No.")</t>
  </si>
  <si>
    <t>=NF(G36,"Source Type")</t>
  </si>
  <si>
    <t>=NF($G36,"Source No.")</t>
  </si>
  <si>
    <t>=IF($J36="Customer",NL("first",$J36,"Name","No.","@@"&amp;$K36),"")</t>
  </si>
  <si>
    <t>=IF(J36="vendor",NL("first",J36,"Name","No.","@@"&amp;K36),"")</t>
  </si>
  <si>
    <t>=IF($J36="Item",NL("first",$J36,"Description","No.","@@"&amp;$K36),"")</t>
  </si>
  <si>
    <t>=D36</t>
  </si>
  <si>
    <t>=NF($G37,"Posting Date")</t>
  </si>
  <si>
    <t>=NF($G37,"Entry No.")</t>
  </si>
  <si>
    <t>=NF(G37,"Source Type")</t>
  </si>
  <si>
    <t>=NF($G37,"Source No.")</t>
  </si>
  <si>
    <t>=IF($J37="Customer",NL("first",$J37,"Name","No.","@@"&amp;$K37),"")</t>
  </si>
  <si>
    <t>=IF(J37="vendor",NL("first",J37,"Name","No.","@@"&amp;K37),"")</t>
  </si>
  <si>
    <t>=IF($J37="Item",NL("first",$J37,"Description","No.","@@"&amp;$K37),"")</t>
  </si>
  <si>
    <t>=D37</t>
  </si>
  <si>
    <t>=NF($G38,"Posting Date")</t>
  </si>
  <si>
    <t>=NF($G38,"Entry No.")</t>
  </si>
  <si>
    <t>=NF(G38,"Source Type")</t>
  </si>
  <si>
    <t>=NF($G38,"Source No.")</t>
  </si>
  <si>
    <t>=IF($J38="Customer",NL("first",$J38,"Name","No.","@@"&amp;$K38),"")</t>
  </si>
  <si>
    <t>=IF(J38="vendor",NL("first",J38,"Name","No.","@@"&amp;K38),"")</t>
  </si>
  <si>
    <t>=IF($J38="Item",NL("first",$J38,"Description","No.","@@"&amp;$K38),"")</t>
  </si>
  <si>
    <t>=E41</t>
  </si>
  <si>
    <t>=NL("First","Item","Description","No.",$E41)</t>
  </si>
  <si>
    <t>=NL("First","Item","Base Unit of Measure","No.",$E41)</t>
  </si>
  <si>
    <t>=D41</t>
  </si>
  <si>
    <t>=NF($G42,"Posting Date")</t>
  </si>
  <si>
    <t>=NF($G42,"Entry No.")</t>
  </si>
  <si>
    <t>=NF(G42,"Source Type")</t>
  </si>
  <si>
    <t>=NF($G42,"Source No.")</t>
  </si>
  <si>
    <t>=IF($J42="Customer",NL("first",$J42,"Name","No.","@@"&amp;$K42),"")</t>
  </si>
  <si>
    <t>=IF(J42="vendor",NL("first",J42,"Name","No.","@@"&amp;K42),"")</t>
  </si>
  <si>
    <t>=IF($J42="Item",NL("first",$J42,"Description","No.","@@"&amp;$K42),"")</t>
  </si>
  <si>
    <t>=D42</t>
  </si>
  <si>
    <t>=NF($G43,"Posting Date")</t>
  </si>
  <si>
    <t>=NF($G43,"Entry No.")</t>
  </si>
  <si>
    <t>=NF(G43,"Source Type")</t>
  </si>
  <si>
    <t>=NF($G43,"Source No.")</t>
  </si>
  <si>
    <t>=IF($J43="Customer",NL("first",$J43,"Name","No.","@@"&amp;$K43),"")</t>
  </si>
  <si>
    <t>=IF(J43="vendor",NL("first",J43,"Name","No.","@@"&amp;K43),"")</t>
  </si>
  <si>
    <t>=IF($J43="Item",NL("first",$J43,"Description","No.","@@"&amp;$K43),"")</t>
  </si>
  <si>
    <t>=D46</t>
  </si>
  <si>
    <t>=NF($G47,"Posting Date")</t>
  </si>
  <si>
    <t>=NF($G47,"Entry No.")</t>
  </si>
  <si>
    <t>=NF(G47,"Source Type")</t>
  </si>
  <si>
    <t>=NF($G47,"Source No.")</t>
  </si>
  <si>
    <t>=IF($J47="Customer",NL("first",$J47,"Name","No.","@@"&amp;$K47),"")</t>
  </si>
  <si>
    <t>=IF(J47="vendor",NL("first",J47,"Name","No.","@@"&amp;K47),"")</t>
  </si>
  <si>
    <t>=IF($J47="Item",NL("first",$J47,"Description","No.","@@"&amp;$K47),"")</t>
  </si>
  <si>
    <t>=D47</t>
  </si>
  <si>
    <t>=NF($G48,"Posting Date")</t>
  </si>
  <si>
    <t>=NF($G48,"Entry No.")</t>
  </si>
  <si>
    <t>=NF(G48,"Source Type")</t>
  </si>
  <si>
    <t>=NF($G48,"Source No.")</t>
  </si>
  <si>
    <t>=IF($J48="Customer",NL("first",$J48,"Name","No.","@@"&amp;$K48),"")</t>
  </si>
  <si>
    <t>=IF(J48="vendor",NL("first",J48,"Name","No.","@@"&amp;K48),"")</t>
  </si>
  <si>
    <t>=IF($J48="Item",NL("first",$J48,"Description","No.","@@"&amp;$K48),"")</t>
  </si>
  <si>
    <t>=D48</t>
  </si>
  <si>
    <t>=NF($G49,"Posting Date")</t>
  </si>
  <si>
    <t>=NF($G49,"Entry No.")</t>
  </si>
  <si>
    <t>=NF(G49,"Source Type")</t>
  </si>
  <si>
    <t>=NF($G49,"Source No.")</t>
  </si>
  <si>
    <t>=IF($J49="Customer",NL("first",$J49,"Name","No.","@@"&amp;$K49),"")</t>
  </si>
  <si>
    <t>=IF(J49="vendor",NL("first",J49,"Name","No.","@@"&amp;K49),"")</t>
  </si>
  <si>
    <t>=IF($J49="Item",NL("first",$J49,"Description","No.","@@"&amp;$K49),"")</t>
  </si>
  <si>
    <t>=D49</t>
  </si>
  <si>
    <t>=NF($G50,"Posting Date")</t>
  </si>
  <si>
    <t>=NF($G50,"Entry No.")</t>
  </si>
  <si>
    <t>=NF(G50,"Source Type")</t>
  </si>
  <si>
    <t>=NF($G50,"Source No.")</t>
  </si>
  <si>
    <t>=IF($J50="Customer",NL("first",$J50,"Name","No.","@@"&amp;$K50),"")</t>
  </si>
  <si>
    <t>=IF(J50="vendor",NL("first",J50,"Name","No.","@@"&amp;K50),"")</t>
  </si>
  <si>
    <t>=IF($J50="Item",NL("first",$J50,"Description","No.","@@"&amp;$K50),"")</t>
  </si>
  <si>
    <t>=D55</t>
  </si>
  <si>
    <t>=NF($G56,"Posting Date")</t>
  </si>
  <si>
    <t>=NF($G56,"Entry No.")</t>
  </si>
  <si>
    <t>=NF(G56,"Source Type")</t>
  </si>
  <si>
    <t>=NF($G56,"Source No.")</t>
  </si>
  <si>
    <t>=IF($J56="Customer",NL("first",$J56,"Name","No.","@@"&amp;$K56),"")</t>
  </si>
  <si>
    <t>=IF(J56="vendor",NL("first",J56,"Name","No.","@@"&amp;K56),"")</t>
  </si>
  <si>
    <t>=IF($J56="Item",NL("first",$J56,"Description","No.","@@"&amp;$K56),"")</t>
  </si>
  <si>
    <t>=D56</t>
  </si>
  <si>
    <t>=NF($G57,"Posting Date")</t>
  </si>
  <si>
    <t>=NF($G57,"Entry No.")</t>
  </si>
  <si>
    <t>=NF(G57,"Source Type")</t>
  </si>
  <si>
    <t>=NF($G57,"Source No.")</t>
  </si>
  <si>
    <t>=IF($J57="Customer",NL("first",$J57,"Name","No.","@@"&amp;$K57),"")</t>
  </si>
  <si>
    <t>=IF(J57="vendor",NL("first",J57,"Name","No.","@@"&amp;K57),"")</t>
  </si>
  <si>
    <t>=IF($J57="Item",NL("first",$J57,"Description","No.","@@"&amp;$K57),"")</t>
  </si>
  <si>
    <t>=D57</t>
  </si>
  <si>
    <t>=NF($G58,"Posting Date")</t>
  </si>
  <si>
    <t>=NF($G58,"Entry No.")</t>
  </si>
  <si>
    <t>=NF(G58,"Source Type")</t>
  </si>
  <si>
    <t>=NF($G58,"Source No.")</t>
  </si>
  <si>
    <t>=IF($J58="Customer",NL("first",$J58,"Name","No.","@@"&amp;$K58),"")</t>
  </si>
  <si>
    <t>=IF(J58="vendor",NL("first",J58,"Name","No.","@@"&amp;K58),"")</t>
  </si>
  <si>
    <t>=IF($J58="Item",NL("first",$J58,"Description","No.","@@"&amp;$K58),"")</t>
  </si>
  <si>
    <t>=E61</t>
  </si>
  <si>
    <t>=NL("First","Item","Description","No.",$E61)</t>
  </si>
  <si>
    <t>=NL("First","Item","Base Unit of Measure","No.",$E61)</t>
  </si>
  <si>
    <t>=D61</t>
  </si>
  <si>
    <t>=NF($G62,"Posting Date")</t>
  </si>
  <si>
    <t>=NF($G62,"Entry No.")</t>
  </si>
  <si>
    <t>=NF(G62,"Source Type")</t>
  </si>
  <si>
    <t>=NF($G62,"Source No.")</t>
  </si>
  <si>
    <t>=IF($J62="Customer",NL("first",$J62,"Name","No.","@@"&amp;$K62),"")</t>
  </si>
  <si>
    <t>=IF(J62="vendor",NL("first",J62,"Name","No.","@@"&amp;K62),"")</t>
  </si>
  <si>
    <t>=IF($J62="Item",NL("first",$J62,"Description","No.","@@"&amp;$K62),"")</t>
  </si>
  <si>
    <t>=D62</t>
  </si>
  <si>
    <t>=NF($G63,"Posting Date")</t>
  </si>
  <si>
    <t>=NF($G63,"Entry No.")</t>
  </si>
  <si>
    <t>=NF(G63,"Source Type")</t>
  </si>
  <si>
    <t>=NF($G63,"Source No.")</t>
  </si>
  <si>
    <t>=IF($J63="Customer",NL("first",$J63,"Name","No.","@@"&amp;$K63),"")</t>
  </si>
  <si>
    <t>=IF(J63="vendor",NL("first",J63,"Name","No.","@@"&amp;K63),"")</t>
  </si>
  <si>
    <t>=IF($J63="Item",NL("first",$J63,"Description","No.","@@"&amp;$K63),"")</t>
  </si>
  <si>
    <t>=D67</t>
  </si>
  <si>
    <t>=NF($G68,"Posting Date")</t>
  </si>
  <si>
    <t>=NF($G68,"Entry No.")</t>
  </si>
  <si>
    <t>=NF(G68,"Source Type")</t>
  </si>
  <si>
    <t>=NF($G68,"Source No.")</t>
  </si>
  <si>
    <t>=IF($J68="Customer",NL("first",$J68,"Name","No.","@@"&amp;$K68),"")</t>
  </si>
  <si>
    <t>=IF(J68="vendor",NL("first",J68,"Name","No.","@@"&amp;K68),"")</t>
  </si>
  <si>
    <t>=IF($J68="Item",NL("first",$J68,"Description","No.","@@"&amp;$K68),"")</t>
  </si>
  <si>
    <t>=D71</t>
  </si>
  <si>
    <t>=NF($G72,"Posting Date")</t>
  </si>
  <si>
    <t>=NF($G72,"Entry No.")</t>
  </si>
  <si>
    <t>=NF(G72,"Source Type")</t>
  </si>
  <si>
    <t>=NF($G72,"Source No.")</t>
  </si>
  <si>
    <t>=IF($J72="Customer",NL("first",$J72,"Name","No.","@@"&amp;$K72),"")</t>
  </si>
  <si>
    <t>=IF(J72="vendor",NL("first",J72,"Name","No.","@@"&amp;K72),"")</t>
  </si>
  <si>
    <t>=IF($J72="Item",NL("first",$J72,"Description","No.","@@"&amp;$K72),"")</t>
  </si>
  <si>
    <t>=D75</t>
  </si>
  <si>
    <t>=NF($G76,"Posting Date")</t>
  </si>
  <si>
    <t>=NF($G76,"Entry No.")</t>
  </si>
  <si>
    <t>=NF(G76,"Source Type")</t>
  </si>
  <si>
    <t>=NF($G76,"Source No.")</t>
  </si>
  <si>
    <t>=IF($J76="Customer",NL("first",$J76,"Name","No.","@@"&amp;$K76),"")</t>
  </si>
  <si>
    <t>=IF(J76="vendor",NL("first",J76,"Name","No.","@@"&amp;K76),"")</t>
  </si>
  <si>
    <t>=IF($J76="Item",NL("first",$J76,"Description","No.","@@"&amp;$K76),"")</t>
  </si>
  <si>
    <t>=D81</t>
  </si>
  <si>
    <t>=NF($G82,"Posting Date")</t>
  </si>
  <si>
    <t>=NF($G82,"Entry No.")</t>
  </si>
  <si>
    <t>=NF(G82,"Source Type")</t>
  </si>
  <si>
    <t>=NF($G82,"Source No.")</t>
  </si>
  <si>
    <t>=IF($J82="Customer",NL("first",$J82,"Name","No.","@@"&amp;$K82),"")</t>
  </si>
  <si>
    <t>=IF(J82="vendor",NL("first",J82,"Name","No.","@@"&amp;K82),"")</t>
  </si>
  <si>
    <t>=IF($J82="Item",NL("first",$J82,"Description","No.","@@"&amp;$K82),"")</t>
  </si>
  <si>
    <t>=D89</t>
  </si>
  <si>
    <t>=NF($G90,"Posting Date")</t>
  </si>
  <si>
    <t>=NF($G90,"Entry No.")</t>
  </si>
  <si>
    <t>=NF(G90,"Source Type")</t>
  </si>
  <si>
    <t>=NF($G90,"Source No.")</t>
  </si>
  <si>
    <t>=IF($J90="Customer",NL("first",$J90,"Name","No.","@@"&amp;$K90),"")</t>
  </si>
  <si>
    <t>=IF(J90="vendor",NL("first",J90,"Name","No.","@@"&amp;K90),"")</t>
  </si>
  <si>
    <t>=IF($J90="Item",NL("first",$J90,"Description","No.","@@"&amp;$K90),"")</t>
  </si>
  <si>
    <t>=D90</t>
  </si>
  <si>
    <t>=NF($G91,"Posting Date")</t>
  </si>
  <si>
    <t>=NF($G91,"Entry No.")</t>
  </si>
  <si>
    <t>=NF(G91,"Source Type")</t>
  </si>
  <si>
    <t>=NF($G91,"Source No.")</t>
  </si>
  <si>
    <t>=IF($J91="Customer",NL("first",$J91,"Name","No.","@@"&amp;$K91),"")</t>
  </si>
  <si>
    <t>=IF(J91="vendor",NL("first",J91,"Name","No.","@@"&amp;K91),"")</t>
  </si>
  <si>
    <t>=IF($J91="Item",NL("first",$J91,"Description","No.","@@"&amp;$K91),"")</t>
  </si>
  <si>
    <t>=D95</t>
  </si>
  <si>
    <t>=NF($G96,"Posting Date")</t>
  </si>
  <si>
    <t>=NF($G96,"Entry No.")</t>
  </si>
  <si>
    <t>=NF(G96,"Source Type")</t>
  </si>
  <si>
    <t>=NF($G96,"Source No.")</t>
  </si>
  <si>
    <t>=IF($J96="Customer",NL("first",$J96,"Name","No.","@@"&amp;$K96),"")</t>
  </si>
  <si>
    <t>=IF(J96="vendor",NL("first",J96,"Name","No.","@@"&amp;K96),"")</t>
  </si>
  <si>
    <t>=IF($J96="Item",NL("first",$J96,"Description","No.","@@"&amp;$K96),"")</t>
  </si>
  <si>
    <t>=D96</t>
  </si>
  <si>
    <t>=NF($G97,"Posting Date")</t>
  </si>
  <si>
    <t>=NF($G97,"Entry No.")</t>
  </si>
  <si>
    <t>=NF(G97,"Source Type")</t>
  </si>
  <si>
    <t>=NF($G97,"Source No.")</t>
  </si>
  <si>
    <t>=IF($J97="Customer",NL("first",$J97,"Name","No.","@@"&amp;$K97),"")</t>
  </si>
  <si>
    <t>=IF(J97="vendor",NL("first",J97,"Name","No.","@@"&amp;K97),"")</t>
  </si>
  <si>
    <t>=IF($J97="Item",NL("first",$J97,"Description","No.","@@"&amp;$K97),"")</t>
  </si>
  <si>
    <t>=D97</t>
  </si>
  <si>
    <t>=NF($G98,"Posting Date")</t>
  </si>
  <si>
    <t>=NF($G98,"Entry No.")</t>
  </si>
  <si>
    <t>=NF(G98,"Source Type")</t>
  </si>
  <si>
    <t>=NF($G98,"Source No.")</t>
  </si>
  <si>
    <t>=IF($J98="Customer",NL("first",$J98,"Name","No.","@@"&amp;$K98),"")</t>
  </si>
  <si>
    <t>=IF(J98="vendor",NL("first",J98,"Name","No.","@@"&amp;K98),"")</t>
  </si>
  <si>
    <t>=IF($J98="Item",NL("first",$J98,"Description","No.","@@"&amp;$K98),"")</t>
  </si>
  <si>
    <t>=D102</t>
  </si>
  <si>
    <t>=NF($G103,"Posting Date")</t>
  </si>
  <si>
    <t>=NF($G103,"Entry No.")</t>
  </si>
  <si>
    <t>=NF(G103,"Source Type")</t>
  </si>
  <si>
    <t>=NF($G103,"Source No.")</t>
  </si>
  <si>
    <t>=IF($J103="Customer",NL("first",$J103,"Name","No.","@@"&amp;$K103),"")</t>
  </si>
  <si>
    <t>=IF(J103="vendor",NL("first",J103,"Name","No.","@@"&amp;K103),"")</t>
  </si>
  <si>
    <t>=IF($J103="Item",NL("first",$J103,"Description","No.","@@"&amp;$K103),"")</t>
  </si>
  <si>
    <t>=D107</t>
  </si>
  <si>
    <t>=NF($G108,"Posting Date")</t>
  </si>
  <si>
    <t>=NF($G108,"Entry No.")</t>
  </si>
  <si>
    <t>=NF(G108,"Source Type")</t>
  </si>
  <si>
    <t>=NF($G108,"Source No.")</t>
  </si>
  <si>
    <t>=IF($J108="Customer",NL("first",$J108,"Name","No.","@@"&amp;$K108),"")</t>
  </si>
  <si>
    <t>=IF(J108="vendor",NL("first",J108,"Name","No.","@@"&amp;K108),"")</t>
  </si>
  <si>
    <t>=IF($J108="Item",NL("first",$J108,"Description","No.","@@"&amp;$K108),"")</t>
  </si>
  <si>
    <t>=D111</t>
  </si>
  <si>
    <t>=NF($G112,"Posting Date")</t>
  </si>
  <si>
    <t>=NF($G112,"Entry No.")</t>
  </si>
  <si>
    <t>=NF(G112,"Source Type")</t>
  </si>
  <si>
    <t>=NF($G112,"Source No.")</t>
  </si>
  <si>
    <t>=IF($J112="Customer",NL("first",$J112,"Name","No.","@@"&amp;$K112),"")</t>
  </si>
  <si>
    <t>=IF(J112="vendor",NL("first",J112,"Name","No.","@@"&amp;K112),"")</t>
  </si>
  <si>
    <t>=IF($J112="Item",NL("first",$J112,"Description","No.","@@"&amp;$K112),"")</t>
  </si>
  <si>
    <t>=D113</t>
  </si>
  <si>
    <t>=NF($G114,"Posting Date")</t>
  </si>
  <si>
    <t>=NF($G114,"Entry No.")</t>
  </si>
  <si>
    <t>=NF(G114,"Source Type")</t>
  </si>
  <si>
    <t>=NF($G114,"Source No.")</t>
  </si>
  <si>
    <t>=IF($J114="Customer",NL("first",$J114,"Name","No.","@@"&amp;$K114),"")</t>
  </si>
  <si>
    <t>=IF(J114="vendor",NL("first",J114,"Name","No.","@@"&amp;K114),"")</t>
  </si>
  <si>
    <t>=IF($J114="Item",NL("first",$J114,"Description","No.","@@"&amp;$K114),"")</t>
  </si>
  <si>
    <t>=D114</t>
  </si>
  <si>
    <t>=NF($G115,"Posting Date")</t>
  </si>
  <si>
    <t>=NF($G115,"Entry No.")</t>
  </si>
  <si>
    <t>=NF(G115,"Source Type")</t>
  </si>
  <si>
    <t>=NF($G115,"Source No.")</t>
  </si>
  <si>
    <t>=IF($J115="Customer",NL("first",$J115,"Name","No.","@@"&amp;$K115),"")</t>
  </si>
  <si>
    <t>=IF(J115="vendor",NL("first",J115,"Name","No.","@@"&amp;K115),"")</t>
  </si>
  <si>
    <t>=IF($J115="Item",NL("first",$J115,"Description","No.","@@"&amp;$K115),"")</t>
  </si>
  <si>
    <t>=D118</t>
  </si>
  <si>
    <t>=NF($G119,"Posting Date")</t>
  </si>
  <si>
    <t>=NF($G119,"Entry No.")</t>
  </si>
  <si>
    <t>=NF(G119,"Source Type")</t>
  </si>
  <si>
    <t>=NF($G119,"Source No.")</t>
  </si>
  <si>
    <t>=IF($J119="Customer",NL("first",$J119,"Name","No.","@@"&amp;$K119),"")</t>
  </si>
  <si>
    <t>=IF(J119="vendor",NL("first",J119,"Name","No.","@@"&amp;K119),"")</t>
  </si>
  <si>
    <t>=IF($J119="Item",NL("first",$J119,"Description","No.","@@"&amp;$K119),"")</t>
  </si>
  <si>
    <t>=D119</t>
  </si>
  <si>
    <t>=NF($G120,"Posting Date")</t>
  </si>
  <si>
    <t>=NF($G120,"Entry No.")</t>
  </si>
  <si>
    <t>=NF(G120,"Source Type")</t>
  </si>
  <si>
    <t>=NF($G120,"Source No.")</t>
  </si>
  <si>
    <t>=IF($J120="Customer",NL("first",$J120,"Name","No.","@@"&amp;$K120),"")</t>
  </si>
  <si>
    <t>=IF(J120="vendor",NL("first",J120,"Name","No.","@@"&amp;K120),"")</t>
  </si>
  <si>
    <t>=IF($J120="Item",NL("first",$J120,"Description","No.","@@"&amp;$K120),"")</t>
  </si>
  <si>
    <t>=D120</t>
  </si>
  <si>
    <t>=NF($G121,"Posting Date")</t>
  </si>
  <si>
    <t>=NF($G121,"Entry No.")</t>
  </si>
  <si>
    <t>=NF(G121,"Source Type")</t>
  </si>
  <si>
    <t>=NF($G121,"Source No.")</t>
  </si>
  <si>
    <t>=IF($J121="Customer",NL("first",$J121,"Name","No.","@@"&amp;$K121),"")</t>
  </si>
  <si>
    <t>=IF(J121="vendor",NL("first",J121,"Name","No.","@@"&amp;K121),"")</t>
  </si>
  <si>
    <t>=IF($J121="Item",NL("first",$J121,"Description","No.","@@"&amp;$K121),"")</t>
  </si>
  <si>
    <t>=D121</t>
  </si>
  <si>
    <t>=NF($G122,"Posting Date")</t>
  </si>
  <si>
    <t>=NF($G122,"Entry No.")</t>
  </si>
  <si>
    <t>=NF(G122,"Source Type")</t>
  </si>
  <si>
    <t>=NF($G122,"Source No.")</t>
  </si>
  <si>
    <t>=IF($J122="Customer",NL("first",$J122,"Name","No.","@@"&amp;$K122),"")</t>
  </si>
  <si>
    <t>=IF(J122="vendor",NL("first",J122,"Name","No.","@@"&amp;K122),"")</t>
  </si>
  <si>
    <t>=IF($J122="Item",NL("first",$J122,"Description","No.","@@"&amp;$K122),"")</t>
  </si>
  <si>
    <t>=D122</t>
  </si>
  <si>
    <t>=NF($G123,"Posting Date")</t>
  </si>
  <si>
    <t>=NF($G123,"Entry No.")</t>
  </si>
  <si>
    <t>=NF(G123,"Source Type")</t>
  </si>
  <si>
    <t>=NF($G123,"Source No.")</t>
  </si>
  <si>
    <t>=IF($J123="Customer",NL("first",$J123,"Name","No.","@@"&amp;$K123),"")</t>
  </si>
  <si>
    <t>=IF(J123="vendor",NL("first",J123,"Name","No.","@@"&amp;K123),"")</t>
  </si>
  <si>
    <t>=IF($J123="Item",NL("first",$J123,"Description","No.","@@"&amp;$K123),"")</t>
  </si>
  <si>
    <t>=D123</t>
  </si>
  <si>
    <t>=NF($G124,"Posting Date")</t>
  </si>
  <si>
    <t>=NF($G124,"Entry No.")</t>
  </si>
  <si>
    <t>=NF(G124,"Source Type")</t>
  </si>
  <si>
    <t>=NF($G124,"Source No.")</t>
  </si>
  <si>
    <t>=IF($J124="Customer",NL("first",$J124,"Name","No.","@@"&amp;$K124),"")</t>
  </si>
  <si>
    <t>=IF(J124="vendor",NL("first",J124,"Name","No.","@@"&amp;K124),"")</t>
  </si>
  <si>
    <t>=IF($J124="Item",NL("first",$J124,"Description","No.","@@"&amp;$K124),"")</t>
  </si>
  <si>
    <t>=D124</t>
  </si>
  <si>
    <t>=NF($G125,"Posting Date")</t>
  </si>
  <si>
    <t>=NF($G125,"Entry No.")</t>
  </si>
  <si>
    <t>=NF(G125,"Source Type")</t>
  </si>
  <si>
    <t>=NF($G125,"Source No.")</t>
  </si>
  <si>
    <t>=IF($J125="Customer",NL("first",$J125,"Name","No.","@@"&amp;$K125),"")</t>
  </si>
  <si>
    <t>=IF(J125="vendor",NL("first",J125,"Name","No.","@@"&amp;K125),"")</t>
  </si>
  <si>
    <t>=IF($J125="Item",NL("first",$J125,"Description","No.","@@"&amp;$K125),"")</t>
  </si>
  <si>
    <t>=D129</t>
  </si>
  <si>
    <t>=NF($G130,"Posting Date")</t>
  </si>
  <si>
    <t>=NF($G130,"Entry No.")</t>
  </si>
  <si>
    <t>=NF(G130,"Source Type")</t>
  </si>
  <si>
    <t>=NF($G130,"Source No.")</t>
  </si>
  <si>
    <t>=IF($J130="Customer",NL("first",$J130,"Name","No.","@@"&amp;$K130),"")</t>
  </si>
  <si>
    <t>=IF(J130="vendor",NL("first",J130,"Name","No.","@@"&amp;K130),"")</t>
  </si>
  <si>
    <t>=IF($J130="Item",NL("first",$J130,"Description","No.","@@"&amp;$K130),"")</t>
  </si>
  <si>
    <t>=D130</t>
  </si>
  <si>
    <t>=NF($G131,"Posting Date")</t>
  </si>
  <si>
    <t>=NF($G131,"Entry No.")</t>
  </si>
  <si>
    <t>=NF(G131,"Source Type")</t>
  </si>
  <si>
    <t>=NF($G131,"Source No.")</t>
  </si>
  <si>
    <t>=IF($J131="Customer",NL("first",$J131,"Name","No.","@@"&amp;$K131),"")</t>
  </si>
  <si>
    <t>=IF(J131="vendor",NL("first",J131,"Name","No.","@@"&amp;K131),"")</t>
  </si>
  <si>
    <t>=IF($J131="Item",NL("first",$J131,"Description","No.","@@"&amp;$K131),"")</t>
  </si>
  <si>
    <t>=D131</t>
  </si>
  <si>
    <t>=NF($G132,"Posting Date")</t>
  </si>
  <si>
    <t>=NF($G132,"Entry No.")</t>
  </si>
  <si>
    <t>=NF(G132,"Source Type")</t>
  </si>
  <si>
    <t>=NF($G132,"Source No.")</t>
  </si>
  <si>
    <t>=IF($J132="Customer",NL("first",$J132,"Name","No.","@@"&amp;$K132),"")</t>
  </si>
  <si>
    <t>=IF(J132="vendor",NL("first",J132,"Name","No.","@@"&amp;K132),"")</t>
  </si>
  <si>
    <t>=IF($J132="Item",NL("first",$J132,"Description","No.","@@"&amp;$K132),"")</t>
  </si>
  <si>
    <t>=D135</t>
  </si>
  <si>
    <t>=NF($G136,"Posting Date")</t>
  </si>
  <si>
    <t>=NF($G136,"Entry No.")</t>
  </si>
  <si>
    <t>=NF(G136,"Source Type")</t>
  </si>
  <si>
    <t>=NF($G136,"Source No.")</t>
  </si>
  <si>
    <t>=IF($J136="Customer",NL("first",$J136,"Name","No.","@@"&amp;$K136),"")</t>
  </si>
  <si>
    <t>=IF(J136="vendor",NL("first",J136,"Name","No.","@@"&amp;K136),"")</t>
  </si>
  <si>
    <t>=IF($J136="Item",NL("first",$J136,"Description","No.","@@"&amp;$K136),"")</t>
  </si>
  <si>
    <t>=D136</t>
  </si>
  <si>
    <t>=NF($G137,"Posting Date")</t>
  </si>
  <si>
    <t>=NF($G137,"Entry No.")</t>
  </si>
  <si>
    <t>=NF(G137,"Source Type")</t>
  </si>
  <si>
    <t>=NF($G137,"Source No.")</t>
  </si>
  <si>
    <t>=IF($J137="Customer",NL("first",$J137,"Name","No.","@@"&amp;$K137),"")</t>
  </si>
  <si>
    <t>=IF(J137="vendor",NL("first",J137,"Name","No.","@@"&amp;K137),"")</t>
  </si>
  <si>
    <t>=IF($J137="Item",NL("first",$J137,"Description","No.","@@"&amp;$K137),"")</t>
  </si>
  <si>
    <t>=D137</t>
  </si>
  <si>
    <t>=NF($G138,"Posting Date")</t>
  </si>
  <si>
    <t>=NF($G138,"Entry No.")</t>
  </si>
  <si>
    <t>=NF(G138,"Source Type")</t>
  </si>
  <si>
    <t>=NF($G138,"Source No.")</t>
  </si>
  <si>
    <t>=IF($J138="Customer",NL("first",$J138,"Name","No.","@@"&amp;$K138),"")</t>
  </si>
  <si>
    <t>=IF(J138="vendor",NL("first",J138,"Name","No.","@@"&amp;K138),"")</t>
  </si>
  <si>
    <t>=IF($J138="Item",NL("first",$J138,"Description","No.","@@"&amp;$K138),"")</t>
  </si>
  <si>
    <t>=D144</t>
  </si>
  <si>
    <t>=NF($G145,"Posting Date")</t>
  </si>
  <si>
    <t>=NF($G145,"Entry No.")</t>
  </si>
  <si>
    <t>=NF(G145,"Source Type")</t>
  </si>
  <si>
    <t>=NF($G145,"Source No.")</t>
  </si>
  <si>
    <t>=IF($J145="Customer",NL("first",$J145,"Name","No.","@@"&amp;$K145),"")</t>
  </si>
  <si>
    <t>=IF(J145="vendor",NL("first",J145,"Name","No.","@@"&amp;K145),"")</t>
  </si>
  <si>
    <t>=IF($J145="Item",NL("first",$J145,"Description","No.","@@"&amp;$K145),"")</t>
  </si>
  <si>
    <t>=D145</t>
  </si>
  <si>
    <t>=NF($G146,"Posting Date")</t>
  </si>
  <si>
    <t>=NF($G146,"Entry No.")</t>
  </si>
  <si>
    <t>=NF(G146,"Source Type")</t>
  </si>
  <si>
    <t>=NF($G146,"Source No.")</t>
  </si>
  <si>
    <t>=IF($J146="Customer",NL("first",$J146,"Name","No.","@@"&amp;$K146),"")</t>
  </si>
  <si>
    <t>=IF(J146="vendor",NL("first",J146,"Name","No.","@@"&amp;K146),"")</t>
  </si>
  <si>
    <t>=IF($J146="Item",NL("first",$J146,"Description","No.","@@"&amp;$K146),"")</t>
  </si>
  <si>
    <t>=D147</t>
  </si>
  <si>
    <t>=NF($G148,"Posting Date")</t>
  </si>
  <si>
    <t>=NF($G148,"Entry No.")</t>
  </si>
  <si>
    <t>=NF(G148,"Source Type")</t>
  </si>
  <si>
    <t>=NF($G148,"Source No.")</t>
  </si>
  <si>
    <t>=IF($J148="Customer",NL("first",$J148,"Name","No.","@@"&amp;$K148),"")</t>
  </si>
  <si>
    <t>=IF(J148="vendor",NL("first",J148,"Name","No.","@@"&amp;K148),"")</t>
  </si>
  <si>
    <t>=IF($J148="Item",NL("first",$J148,"Description","No.","@@"&amp;$K148),"")</t>
  </si>
  <si>
    <t>=D148</t>
  </si>
  <si>
    <t>=NF($G149,"Posting Date")</t>
  </si>
  <si>
    <t>=NF($G149,"Entry No.")</t>
  </si>
  <si>
    <t>=NF(G149,"Source Type")</t>
  </si>
  <si>
    <t>=NF($G149,"Source No.")</t>
  </si>
  <si>
    <t>=IF($J149="Customer",NL("first",$J149,"Name","No.","@@"&amp;$K149),"")</t>
  </si>
  <si>
    <t>=IF(J149="vendor",NL("first",J149,"Name","No.","@@"&amp;K149),"")</t>
  </si>
  <si>
    <t>=IF($J149="Item",NL("first",$J149,"Description","No.","@@"&amp;$K149),"")</t>
  </si>
  <si>
    <t>=D149</t>
  </si>
  <si>
    <t>=NF($G150,"Posting Date")</t>
  </si>
  <si>
    <t>=NF($G150,"Entry No.")</t>
  </si>
  <si>
    <t>=NF(G150,"Source Type")</t>
  </si>
  <si>
    <t>=NF($G150,"Source No.")</t>
  </si>
  <si>
    <t>=IF($J150="Customer",NL("first",$J150,"Name","No.","@@"&amp;$K150),"")</t>
  </si>
  <si>
    <t>=IF(J150="vendor",NL("first",J150,"Name","No.","@@"&amp;K150),"")</t>
  </si>
  <si>
    <t>=IF($J150="Item",NL("first",$J150,"Description","No.","@@"&amp;$K150),"")</t>
  </si>
  <si>
    <t>=D150</t>
  </si>
  <si>
    <t>=NF($G151,"Posting Date")</t>
  </si>
  <si>
    <t>=NF($G151,"Entry No.")</t>
  </si>
  <si>
    <t>=NF(G151,"Source Type")</t>
  </si>
  <si>
    <t>=NF($G151,"Source No.")</t>
  </si>
  <si>
    <t>=IF($J151="Customer",NL("first",$J151,"Name","No.","@@"&amp;$K151),"")</t>
  </si>
  <si>
    <t>=IF(J151="vendor",NL("first",J151,"Name","No.","@@"&amp;K151),"")</t>
  </si>
  <si>
    <t>=IF($J151="Item",NL("first",$J151,"Description","No.","@@"&amp;$K151),"")</t>
  </si>
  <si>
    <t>=D151</t>
  </si>
  <si>
    <t>=NF($G152,"Posting Date")</t>
  </si>
  <si>
    <t>=NF($G152,"Entry No.")</t>
  </si>
  <si>
    <t>=NF(G152,"Source Type")</t>
  </si>
  <si>
    <t>=NF($G152,"Source No.")</t>
  </si>
  <si>
    <t>=IF($J152="Customer",NL("first",$J152,"Name","No.","@@"&amp;$K152),"")</t>
  </si>
  <si>
    <t>=IF(J152="vendor",NL("first",J152,"Name","No.","@@"&amp;K152),"")</t>
  </si>
  <si>
    <t>=IF($J152="Item",NL("first",$J152,"Description","No.","@@"&amp;$K152),"")</t>
  </si>
  <si>
    <t>=D152</t>
  </si>
  <si>
    <t>=NF($G153,"Posting Date")</t>
  </si>
  <si>
    <t>=NF($G153,"Entry No.")</t>
  </si>
  <si>
    <t>=NF(G153,"Source Type")</t>
  </si>
  <si>
    <t>=NF($G153,"Source No.")</t>
  </si>
  <si>
    <t>=IF($J153="Customer",NL("first",$J153,"Name","No.","@@"&amp;$K153),"")</t>
  </si>
  <si>
    <t>=IF(J153="vendor",NL("first",J153,"Name","No.","@@"&amp;K153),"")</t>
  </si>
  <si>
    <t>=IF($J153="Item",NL("first",$J153,"Description","No.","@@"&amp;$K153),"")</t>
  </si>
  <si>
    <t>=D153</t>
  </si>
  <si>
    <t>=NF($G154,"Posting Date")</t>
  </si>
  <si>
    <t>=NF($G154,"Entry No.")</t>
  </si>
  <si>
    <t>=NF(G154,"Source Type")</t>
  </si>
  <si>
    <t>=NF($G154,"Source No.")</t>
  </si>
  <si>
    <t>=IF($J154="Customer",NL("first",$J154,"Name","No.","@@"&amp;$K154),"")</t>
  </si>
  <si>
    <t>=IF(J154="vendor",NL("first",J154,"Name","No.","@@"&amp;K154),"")</t>
  </si>
  <si>
    <t>=IF($J154="Item",NL("first",$J154,"Description","No.","@@"&amp;$K154),"")</t>
  </si>
  <si>
    <t>=D154</t>
  </si>
  <si>
    <t>=NF($G155,"Posting Date")</t>
  </si>
  <si>
    <t>=NF($G155,"Entry No.")</t>
  </si>
  <si>
    <t>=NF(G155,"Source Type")</t>
  </si>
  <si>
    <t>=NF($G155,"Source No.")</t>
  </si>
  <si>
    <t>=IF($J155="Customer",NL("first",$J155,"Name","No.","@@"&amp;$K155),"")</t>
  </si>
  <si>
    <t>=IF(J155="vendor",NL("first",J155,"Name","No.","@@"&amp;K155),"")</t>
  </si>
  <si>
    <t>=IF($J155="Item",NL("first",$J155,"Description","No.","@@"&amp;$K155),"")</t>
  </si>
  <si>
    <t>=E158</t>
  </si>
  <si>
    <t>=NL("First","Item","Description","No.",$E158)</t>
  </si>
  <si>
    <t>=NL("First","Item","Base Unit of Measure","No.",$E158)</t>
  </si>
  <si>
    <t>=D158</t>
  </si>
  <si>
    <t>=NF($G159,"Posting Date")</t>
  </si>
  <si>
    <t>=NF($G159,"Entry No.")</t>
  </si>
  <si>
    <t>=NF(G159,"Source Type")</t>
  </si>
  <si>
    <t>=NF($G159,"Source No.")</t>
  </si>
  <si>
    <t>=IF($J159="Customer",NL("first",$J159,"Name","No.","@@"&amp;$K159),"")</t>
  </si>
  <si>
    <t>=IF(J159="vendor",NL("first",J159,"Name","No.","@@"&amp;K159),"")</t>
  </si>
  <si>
    <t>=IF($J159="Item",NL("first",$J159,"Description","No.","@@"&amp;$K159),"")</t>
  </si>
  <si>
    <t>=D159</t>
  </si>
  <si>
    <t>=NF($G160,"Posting Date")</t>
  </si>
  <si>
    <t>=NF($G160,"Entry No.")</t>
  </si>
  <si>
    <t>=NF(G160,"Source Type")</t>
  </si>
  <si>
    <t>=NF($G160,"Source No.")</t>
  </si>
  <si>
    <t>=IF($J160="Customer",NL("first",$J160,"Name","No.","@@"&amp;$K160),"")</t>
  </si>
  <si>
    <t>=IF(J160="vendor",NL("first",J160,"Name","No.","@@"&amp;K160),"")</t>
  </si>
  <si>
    <t>=IF($J160="Item",NL("first",$J160,"Description","No.","@@"&amp;$K160),"")</t>
  </si>
  <si>
    <t>=D160</t>
  </si>
  <si>
    <t>=NF($G161,"Posting Date")</t>
  </si>
  <si>
    <t>=NF($G161,"Entry No.")</t>
  </si>
  <si>
    <t>=NF(G161,"Source Type")</t>
  </si>
  <si>
    <t>=NF($G161,"Source No.")</t>
  </si>
  <si>
    <t>=IF($J161="Customer",NL("first",$J161,"Name","No.","@@"&amp;$K161),"")</t>
  </si>
  <si>
    <t>=IF(J161="vendor",NL("first",J161,"Name","No.","@@"&amp;K161),"")</t>
  </si>
  <si>
    <t>=IF($J161="Item",NL("first",$J161,"Description","No.","@@"&amp;$K161),"")</t>
  </si>
  <si>
    <t>=D162</t>
  </si>
  <si>
    <t>=NF($G163,"Posting Date")</t>
  </si>
  <si>
    <t>=NF($G163,"Entry No.")</t>
  </si>
  <si>
    <t>=NF(G163,"Source Type")</t>
  </si>
  <si>
    <t>=NF($G163,"Source No.")</t>
  </si>
  <si>
    <t>=IF($J163="Customer",NL("first",$J163,"Name","No.","@@"&amp;$K163),"")</t>
  </si>
  <si>
    <t>=IF(J163="vendor",NL("first",J163,"Name","No.","@@"&amp;K163),"")</t>
  </si>
  <si>
    <t>=IF($J163="Item",NL("first",$J163,"Description","No.","@@"&amp;$K163),"")</t>
  </si>
  <si>
    <t>=D168</t>
  </si>
  <si>
    <t>=NF($G169,"Posting Date")</t>
  </si>
  <si>
    <t>=NF($G169,"Entry No.")</t>
  </si>
  <si>
    <t>=NF(G169,"Source Type")</t>
  </si>
  <si>
    <t>=NF($G169,"Source No.")</t>
  </si>
  <si>
    <t>=IF($J169="Customer",NL("first",$J169,"Name","No.","@@"&amp;$K169),"")</t>
  </si>
  <si>
    <t>=IF(J169="vendor",NL("first",J169,"Name","No.","@@"&amp;K169),"")</t>
  </si>
  <si>
    <t>=IF($J169="Item",NL("first",$J169,"Description","No.","@@"&amp;$K169),"")</t>
  </si>
  <si>
    <t>=D169</t>
  </si>
  <si>
    <t>=NF($G170,"Posting Date")</t>
  </si>
  <si>
    <t>=NF($G170,"Entry No.")</t>
  </si>
  <si>
    <t>=NF(G170,"Source Type")</t>
  </si>
  <si>
    <t>=NF($G170,"Source No.")</t>
  </si>
  <si>
    <t>=IF($J170="Customer",NL("first",$J170,"Name","No.","@@"&amp;$K170),"")</t>
  </si>
  <si>
    <t>=IF(J170="vendor",NL("first",J170,"Name","No.","@@"&amp;K170),"")</t>
  </si>
  <si>
    <t>=IF($J170="Item",NL("first",$J170,"Description","No.","@@"&amp;$K170),"")</t>
  </si>
  <si>
    <t>=D175</t>
  </si>
  <si>
    <t>=NF($G176,"Posting Date")</t>
  </si>
  <si>
    <t>=NF($G176,"Entry No.")</t>
  </si>
  <si>
    <t>=NF(G176,"Source Type")</t>
  </si>
  <si>
    <t>=NF($G176,"Source No.")</t>
  </si>
  <si>
    <t>=IF($J176="Customer",NL("first",$J176,"Name","No.","@@"&amp;$K176),"")</t>
  </si>
  <si>
    <t>=IF(J176="vendor",NL("first",J176,"Name","No.","@@"&amp;K176),"")</t>
  </si>
  <si>
    <t>=IF($J176="Item",NL("first",$J176,"Description","No.","@@"&amp;$K176),"")</t>
  </si>
  <si>
    <t>=D176</t>
  </si>
  <si>
    <t>=NF($G177,"Posting Date")</t>
  </si>
  <si>
    <t>=NF($G177,"Entry No.")</t>
  </si>
  <si>
    <t>=NF(G177,"Source Type")</t>
  </si>
  <si>
    <t>=NF($G177,"Source No.")</t>
  </si>
  <si>
    <t>=IF($J177="Customer",NL("first",$J177,"Name","No.","@@"&amp;$K177),"")</t>
  </si>
  <si>
    <t>=IF(J177="vendor",NL("first",J177,"Name","No.","@@"&amp;K177),"")</t>
  </si>
  <si>
    <t>=IF($J177="Item",NL("first",$J177,"Description","No.","@@"&amp;$K177),"")</t>
  </si>
  <si>
    <t>=D177</t>
  </si>
  <si>
    <t>=NF($G178,"Posting Date")</t>
  </si>
  <si>
    <t>=NF($G178,"Entry No.")</t>
  </si>
  <si>
    <t>=NF(G178,"Source Type")</t>
  </si>
  <si>
    <t>=NF($G178,"Source No.")</t>
  </si>
  <si>
    <t>=IF($J178="Customer",NL("first",$J178,"Name","No.","@@"&amp;$K178),"")</t>
  </si>
  <si>
    <t>=IF(J178="vendor",NL("first",J178,"Name","No.","@@"&amp;K178),"")</t>
  </si>
  <si>
    <t>=IF($J178="Item",NL("first",$J178,"Description","No.","@@"&amp;$K178),"")</t>
  </si>
  <si>
    <t>=D178</t>
  </si>
  <si>
    <t>=NF($G179,"Posting Date")</t>
  </si>
  <si>
    <t>=NF($G179,"Entry No.")</t>
  </si>
  <si>
    <t>=NF(G179,"Source Type")</t>
  </si>
  <si>
    <t>=NF($G179,"Source No.")</t>
  </si>
  <si>
    <t>=IF($J179="Customer",NL("first",$J179,"Name","No.","@@"&amp;$K179),"")</t>
  </si>
  <si>
    <t>=IF(J179="vendor",NL("first",J179,"Name","No.","@@"&amp;K179),"")</t>
  </si>
  <si>
    <t>=IF($J179="Item",NL("first",$J179,"Description","No.","@@"&amp;$K179),"")</t>
  </si>
  <si>
    <t>=D179</t>
  </si>
  <si>
    <t>=NF($G180,"Posting Date")</t>
  </si>
  <si>
    <t>=NF($G180,"Entry No.")</t>
  </si>
  <si>
    <t>=NF(G180,"Source Type")</t>
  </si>
  <si>
    <t>=NF($G180,"Source No.")</t>
  </si>
  <si>
    <t>=IF($J180="Customer",NL("first",$J180,"Name","No.","@@"&amp;$K180),"")</t>
  </si>
  <si>
    <t>=IF(J180="vendor",NL("first",J180,"Name","No.","@@"&amp;K180),"")</t>
  </si>
  <si>
    <t>=IF($J180="Item",NL("first",$J180,"Description","No.","@@"&amp;$K180),"")</t>
  </si>
  <si>
    <t>=D181</t>
  </si>
  <si>
    <t>=NF($G182,"Posting Date")</t>
  </si>
  <si>
    <t>=NF($G182,"Entry No.")</t>
  </si>
  <si>
    <t>=NF(G182,"Source Type")</t>
  </si>
  <si>
    <t>=NF($G182,"Source No.")</t>
  </si>
  <si>
    <t>=IF($J182="Customer",NL("first",$J182,"Name","No.","@@"&amp;$K182),"")</t>
  </si>
  <si>
    <t>=IF(J182="vendor",NL("first",J182,"Name","No.","@@"&amp;K182),"")</t>
  </si>
  <si>
    <t>=IF($J182="Item",NL("first",$J182,"Description","No.","@@"&amp;$K182),"")</t>
  </si>
  <si>
    <t>=D182</t>
  </si>
  <si>
    <t>=NF($G183,"Posting Date")</t>
  </si>
  <si>
    <t>=NF($G183,"Entry No.")</t>
  </si>
  <si>
    <t>=NF(G183,"Source Type")</t>
  </si>
  <si>
    <t>=NF($G183,"Source No.")</t>
  </si>
  <si>
    <t>=IF($J183="Customer",NL("first",$J183,"Name","No.","@@"&amp;$K183),"")</t>
  </si>
  <si>
    <t>=IF(J183="vendor",NL("first",J183,"Name","No.","@@"&amp;K183),"")</t>
  </si>
  <si>
    <t>=IF($J183="Item",NL("first",$J183,"Description","No.","@@"&amp;$K183),"")</t>
  </si>
  <si>
    <t>=D187</t>
  </si>
  <si>
    <t>=NF($G188,"Posting Date")</t>
  </si>
  <si>
    <t>=NF($G188,"Entry No.")</t>
  </si>
  <si>
    <t>=NF(G188,"Source Type")</t>
  </si>
  <si>
    <t>=NF($G188,"Source No.")</t>
  </si>
  <si>
    <t>=IF($J188="Customer",NL("first",$J188,"Name","No.","@@"&amp;$K188),"")</t>
  </si>
  <si>
    <t>=IF(J188="vendor",NL("first",J188,"Name","No.","@@"&amp;K188),"")</t>
  </si>
  <si>
    <t>=IF($J188="Item",NL("first",$J188,"Description","No.","@@"&amp;$K188),"")</t>
  </si>
  <si>
    <t>=D191</t>
  </si>
  <si>
    <t>=NF($G192,"Posting Date")</t>
  </si>
  <si>
    <t>=NF($G192,"Entry No.")</t>
  </si>
  <si>
    <t>=NF(G192,"Source Type")</t>
  </si>
  <si>
    <t>=NF($G192,"Source No.")</t>
  </si>
  <si>
    <t>=IF($J192="Customer",NL("first",$J192,"Name","No.","@@"&amp;$K192),"")</t>
  </si>
  <si>
    <t>=IF(J192="vendor",NL("first",J192,"Name","No.","@@"&amp;K192),"")</t>
  </si>
  <si>
    <t>=IF($J192="Item",NL("first",$J192,"Description","No.","@@"&amp;$K192),"")</t>
  </si>
  <si>
    <t>=D195</t>
  </si>
  <si>
    <t>=NF($G196,"Posting Date")</t>
  </si>
  <si>
    <t>=NF($G196,"Entry No.")</t>
  </si>
  <si>
    <t>=NF(G196,"Source Type")</t>
  </si>
  <si>
    <t>=NF($G196,"Source No.")</t>
  </si>
  <si>
    <t>=IF($J196="Customer",NL("first",$J196,"Name","No.","@@"&amp;$K196),"")</t>
  </si>
  <si>
    <t>=IF(J196="vendor",NL("first",J196,"Name","No.","@@"&amp;K196),"")</t>
  </si>
  <si>
    <t>=IF($J196="Item",NL("first",$J196,"Description","No.","@@"&amp;$K196),"")</t>
  </si>
  <si>
    <t>=D196</t>
  </si>
  <si>
    <t>=NF($G197,"Posting Date")</t>
  </si>
  <si>
    <t>=NF($G197,"Entry No.")</t>
  </si>
  <si>
    <t>=NF(G197,"Source Type")</t>
  </si>
  <si>
    <t>=NF($G197,"Source No.")</t>
  </si>
  <si>
    <t>=IF($J197="Customer",NL("first",$J197,"Name","No.","@@"&amp;$K197),"")</t>
  </si>
  <si>
    <t>=IF(J197="vendor",NL("first",J197,"Name","No.","@@"&amp;K197),"")</t>
  </si>
  <si>
    <t>=IF($J197="Item",NL("first",$J197,"Description","No.","@@"&amp;$K197),"")</t>
  </si>
  <si>
    <t>=D197</t>
  </si>
  <si>
    <t>=NF($G198,"Posting Date")</t>
  </si>
  <si>
    <t>=NF($G198,"Entry No.")</t>
  </si>
  <si>
    <t>=NF(G198,"Source Type")</t>
  </si>
  <si>
    <t>=NF($G198,"Source No.")</t>
  </si>
  <si>
    <t>=IF($J198="Customer",NL("first",$J198,"Name","No.","@@"&amp;$K198),"")</t>
  </si>
  <si>
    <t>=IF(J198="vendor",NL("first",J198,"Name","No.","@@"&amp;K198),"")</t>
  </si>
  <si>
    <t>=IF($J198="Item",NL("first",$J198,"Description","No.","@@"&amp;$K198),"")</t>
  </si>
  <si>
    <t>=D201</t>
  </si>
  <si>
    <t>=NF($G202,"Posting Date")</t>
  </si>
  <si>
    <t>=NF($G202,"Entry No.")</t>
  </si>
  <si>
    <t>=NF(G202,"Source Type")</t>
  </si>
  <si>
    <t>=NF($G202,"Source No.")</t>
  </si>
  <si>
    <t>=IF($J202="Customer",NL("first",$J202,"Name","No.","@@"&amp;$K202),"")</t>
  </si>
  <si>
    <t>=IF(J202="vendor",NL("first",J202,"Name","No.","@@"&amp;K202),"")</t>
  </si>
  <si>
    <t>=IF($J202="Item",NL("first",$J202,"Description","No.","@@"&amp;$K202),"")</t>
  </si>
  <si>
    <t>=D202</t>
  </si>
  <si>
    <t>=NF($G203,"Posting Date")</t>
  </si>
  <si>
    <t>=NF($G203,"Entry No.")</t>
  </si>
  <si>
    <t>=NF(G203,"Source Type")</t>
  </si>
  <si>
    <t>=NF($G203,"Source No.")</t>
  </si>
  <si>
    <t>=IF($J203="Customer",NL("first",$J203,"Name","No.","@@"&amp;$K203),"")</t>
  </si>
  <si>
    <t>=IF(J203="vendor",NL("first",J203,"Name","No.","@@"&amp;K203),"")</t>
  </si>
  <si>
    <t>=IF($J203="Item",NL("first",$J203,"Description","No.","@@"&amp;$K203),"")</t>
  </si>
  <si>
    <t>=D204</t>
  </si>
  <si>
    <t>=NF($G205,"Posting Date")</t>
  </si>
  <si>
    <t>=NF($G205,"Entry No.")</t>
  </si>
  <si>
    <t>=NF(G205,"Source Type")</t>
  </si>
  <si>
    <t>=NF($G205,"Source No.")</t>
  </si>
  <si>
    <t>=IF($J205="Customer",NL("first",$J205,"Name","No.","@@"&amp;$K205),"")</t>
  </si>
  <si>
    <t>=IF(J205="vendor",NL("first",J205,"Name","No.","@@"&amp;K205),"")</t>
  </si>
  <si>
    <t>=IF($J205="Item",NL("first",$J205,"Description","No.","@@"&amp;$K205),"")</t>
  </si>
  <si>
    <t>=D205</t>
  </si>
  <si>
    <t>=NF($G206,"Posting Date")</t>
  </si>
  <si>
    <t>=NF($G206,"Entry No.")</t>
  </si>
  <si>
    <t>=NF(G206,"Source Type")</t>
  </si>
  <si>
    <t>=NF($G206,"Source No.")</t>
  </si>
  <si>
    <t>=IF($J206="Customer",NL("first",$J206,"Name","No.","@@"&amp;$K206),"")</t>
  </si>
  <si>
    <t>=IF(J206="vendor",NL("first",J206,"Name","No.","@@"&amp;K206),"")</t>
  </si>
  <si>
    <t>=IF($J206="Item",NL("first",$J206,"Description","No.","@@"&amp;$K206),"")</t>
  </si>
  <si>
    <t>=D206</t>
  </si>
  <si>
    <t>=NF($G207,"Posting Date")</t>
  </si>
  <si>
    <t>=NF($G207,"Entry No.")</t>
  </si>
  <si>
    <t>=NF(G207,"Source Type")</t>
  </si>
  <si>
    <t>=NF($G207,"Source No.")</t>
  </si>
  <si>
    <t>=IF($J207="Customer",NL("first",$J207,"Name","No.","@@"&amp;$K207),"")</t>
  </si>
  <si>
    <t>=IF(J207="vendor",NL("first",J207,"Name","No.","@@"&amp;K207),"")</t>
  </si>
  <si>
    <t>=IF($J207="Item",NL("first",$J207,"Description","No.","@@"&amp;$K207),"")</t>
  </si>
  <si>
    <t>=D213</t>
  </si>
  <si>
    <t>=NF($G214,"Posting Date")</t>
  </si>
  <si>
    <t>=NF($G214,"Entry No.")</t>
  </si>
  <si>
    <t>=NF(G214,"Source Type")</t>
  </si>
  <si>
    <t>=NF($G214,"Source No.")</t>
  </si>
  <si>
    <t>=IF($J214="Customer",NL("first",$J214,"Name","No.","@@"&amp;$K214),"")</t>
  </si>
  <si>
    <t>=IF(J214="vendor",NL("first",J214,"Name","No.","@@"&amp;K214),"")</t>
  </si>
  <si>
    <t>=IF($J214="Item",NL("first",$J214,"Description","No.","@@"&amp;$K214),"")</t>
  </si>
  <si>
    <t>=D214</t>
  </si>
  <si>
    <t>=NF($G215,"Posting Date")</t>
  </si>
  <si>
    <t>=NF($G215,"Entry No.")</t>
  </si>
  <si>
    <t>=NF(G215,"Source Type")</t>
  </si>
  <si>
    <t>=NF($G215,"Source No.")</t>
  </si>
  <si>
    <t>=IF($J215="Customer",NL("first",$J215,"Name","No.","@@"&amp;$K215),"")</t>
  </si>
  <si>
    <t>=IF(J215="vendor",NL("first",J215,"Name","No.","@@"&amp;K215),"")</t>
  </si>
  <si>
    <t>=IF($J215="Item",NL("first",$J215,"Description","No.","@@"&amp;$K215),"")</t>
  </si>
  <si>
    <t>=D217</t>
  </si>
  <si>
    <t>=NF($G218,"Posting Date")</t>
  </si>
  <si>
    <t>=NF($G218,"Entry No.")</t>
  </si>
  <si>
    <t>=NF(G218,"Source Type")</t>
  </si>
  <si>
    <t>=NF($G218,"Source No.")</t>
  </si>
  <si>
    <t>=IF($J218="Customer",NL("first",$J218,"Name","No.","@@"&amp;$K218),"")</t>
  </si>
  <si>
    <t>=IF(J218="vendor",NL("first",J218,"Name","No.","@@"&amp;K218),"")</t>
  </si>
  <si>
    <t>=IF($J218="Item",NL("first",$J218,"Description","No.","@@"&amp;$K218),"")</t>
  </si>
  <si>
    <t>=D218</t>
  </si>
  <si>
    <t>=NF($G219,"Posting Date")</t>
  </si>
  <si>
    <t>=NF($G219,"Entry No.")</t>
  </si>
  <si>
    <t>=NF(G219,"Source Type")</t>
  </si>
  <si>
    <t>=NF($G219,"Source No.")</t>
  </si>
  <si>
    <t>=IF($J219="Customer",NL("first",$J219,"Name","No.","@@"&amp;$K219),"")</t>
  </si>
  <si>
    <t>=IF(J219="vendor",NL("first",J219,"Name","No.","@@"&amp;K219),"")</t>
  </si>
  <si>
    <t>=IF($J219="Item",NL("first",$J219,"Description","No.","@@"&amp;$K219),"")</t>
  </si>
  <si>
    <t>=D222</t>
  </si>
  <si>
    <t>=NF($G223,"Posting Date")</t>
  </si>
  <si>
    <t>=NF($G223,"Entry No.")</t>
  </si>
  <si>
    <t>=NF(G223,"Source Type")</t>
  </si>
  <si>
    <t>=NF($G223,"Source No.")</t>
  </si>
  <si>
    <t>=IF($J223="Customer",NL("first",$J223,"Name","No.","@@"&amp;$K223),"")</t>
  </si>
  <si>
    <t>=IF(J223="vendor",NL("first",J223,"Name","No.","@@"&amp;K223),"")</t>
  </si>
  <si>
    <t>=IF($J223="Item",NL("first",$J223,"Description","No.","@@"&amp;$K223),"")</t>
  </si>
  <si>
    <t>=D228</t>
  </si>
  <si>
    <t>=NF($G229,"Posting Date")</t>
  </si>
  <si>
    <t>=NF($G229,"Entry No.")</t>
  </si>
  <si>
    <t>=NF(G229,"Source Type")</t>
  </si>
  <si>
    <t>=NF($G229,"Source No.")</t>
  </si>
  <si>
    <t>=IF($J229="Customer",NL("first",$J229,"Name","No.","@@"&amp;$K229),"")</t>
  </si>
  <si>
    <t>=IF(J229="vendor",NL("first",J229,"Name","No.","@@"&amp;K229),"")</t>
  </si>
  <si>
    <t>=IF($J229="Item",NL("first",$J229,"Description","No.","@@"&amp;$K229),"")</t>
  </si>
  <si>
    <t>=D229</t>
  </si>
  <si>
    <t>=NF($G230,"Posting Date")</t>
  </si>
  <si>
    <t>=NF($G230,"Entry No.")</t>
  </si>
  <si>
    <t>=NF(G230,"Source Type")</t>
  </si>
  <si>
    <t>=NF($G230,"Source No.")</t>
  </si>
  <si>
    <t>=IF($J230="Customer",NL("first",$J230,"Name","No.","@@"&amp;$K230),"")</t>
  </si>
  <si>
    <t>=IF(J230="vendor",NL("first",J230,"Name","No.","@@"&amp;K230),"")</t>
  </si>
  <si>
    <t>=IF($J230="Item",NL("first",$J230,"Description","No.","@@"&amp;$K230),"")</t>
  </si>
  <si>
    <t>=D233</t>
  </si>
  <si>
    <t>=NF($G234,"Posting Date")</t>
  </si>
  <si>
    <t>=NF($G234,"Entry No.")</t>
  </si>
  <si>
    <t>=NF(G234,"Source Type")</t>
  </si>
  <si>
    <t>=NF($G234,"Source No.")</t>
  </si>
  <si>
    <t>=IF($J234="Customer",NL("first",$J234,"Name","No.","@@"&amp;$K234),"")</t>
  </si>
  <si>
    <t>=IF(J234="vendor",NL("first",J234,"Name","No.","@@"&amp;K234),"")</t>
  </si>
  <si>
    <t>=IF($J234="Item",NL("first",$J234,"Description","No.","@@"&amp;$K234),"")</t>
  </si>
  <si>
    <t>=D238</t>
  </si>
  <si>
    <t>=NF($G239,"Posting Date")</t>
  </si>
  <si>
    <t>=NF($G239,"Entry No.")</t>
  </si>
  <si>
    <t>=NF(G239,"Source Type")</t>
  </si>
  <si>
    <t>=NF($G239,"Source No.")</t>
  </si>
  <si>
    <t>=IF($J239="Customer",NL("first",$J239,"Name","No.","@@"&amp;$K239),"")</t>
  </si>
  <si>
    <t>=IF(J239="vendor",NL("first",J239,"Name","No.","@@"&amp;K239),"")</t>
  </si>
  <si>
    <t>=IF($J239="Item",NL("first",$J239,"Description","No.","@@"&amp;$K239),"")</t>
  </si>
  <si>
    <t>=D242</t>
  </si>
  <si>
    <t>=NF($G243,"Posting Date")</t>
  </si>
  <si>
    <t>=NF($G243,"Entry No.")</t>
  </si>
  <si>
    <t>=NF(G243,"Source Type")</t>
  </si>
  <si>
    <t>=NF($G243,"Source No.")</t>
  </si>
  <si>
    <t>=IF($J243="Customer",NL("first",$J243,"Name","No.","@@"&amp;$K243),"")</t>
  </si>
  <si>
    <t>=IF(J243="vendor",NL("first",J243,"Name","No.","@@"&amp;K243),"")</t>
  </si>
  <si>
    <t>=IF($J243="Item",NL("first",$J243,"Description","No.","@@"&amp;$K243),"")</t>
  </si>
  <si>
    <t>=D246</t>
  </si>
  <si>
    <t>=NF($G247,"Posting Date")</t>
  </si>
  <si>
    <t>=NF($G247,"Entry No.")</t>
  </si>
  <si>
    <t>=NF(G247,"Source Type")</t>
  </si>
  <si>
    <t>=NF($G247,"Source No.")</t>
  </si>
  <si>
    <t>=IF($J247="Customer",NL("first",$J247,"Name","No.","@@"&amp;$K247),"")</t>
  </si>
  <si>
    <t>=IF(J247="vendor",NL("first",J247,"Name","No.","@@"&amp;K247),"")</t>
  </si>
  <si>
    <t>=IF($J247="Item",NL("first",$J247,"Description","No.","@@"&amp;$K247),"")</t>
  </si>
  <si>
    <t>=D250</t>
  </si>
  <si>
    <t>=NF($G251,"Posting Date")</t>
  </si>
  <si>
    <t>=NF($G251,"Entry No.")</t>
  </si>
  <si>
    <t>=NF(G251,"Source Type")</t>
  </si>
  <si>
    <t>=NF($G251,"Source No.")</t>
  </si>
  <si>
    <t>=IF($J251="Customer",NL("first",$J251,"Name","No.","@@"&amp;$K251),"")</t>
  </si>
  <si>
    <t>=IF(J251="vendor",NL("first",J251,"Name","No.","@@"&amp;K251),"")</t>
  </si>
  <si>
    <t>=IF($J251="Item",NL("first",$J251,"Description","No.","@@"&amp;$K251),"")</t>
  </si>
  <si>
    <t>=D251</t>
  </si>
  <si>
    <t>=NF($G252,"Posting Date")</t>
  </si>
  <si>
    <t>=NF($G252,"Entry No.")</t>
  </si>
  <si>
    <t>=NF(G252,"Source Type")</t>
  </si>
  <si>
    <t>=NF($G252,"Source No.")</t>
  </si>
  <si>
    <t>=IF($J252="Customer",NL("first",$J252,"Name","No.","@@"&amp;$K252),"")</t>
  </si>
  <si>
    <t>=IF(J252="vendor",NL("first",J252,"Name","No.","@@"&amp;K252),"")</t>
  </si>
  <si>
    <t>=IF($J252="Item",NL("first",$J252,"Description","No.","@@"&amp;$K252),"")</t>
  </si>
  <si>
    <t>=D256</t>
  </si>
  <si>
    <t>=NF($G257,"Posting Date")</t>
  </si>
  <si>
    <t>=NF($G257,"Entry No.")</t>
  </si>
  <si>
    <t>=NF(G257,"Source Type")</t>
  </si>
  <si>
    <t>=NF($G257,"Source No.")</t>
  </si>
  <si>
    <t>=IF($J257="Customer",NL("first",$J257,"Name","No.","@@"&amp;$K257),"")</t>
  </si>
  <si>
    <t>=IF(J257="vendor",NL("first",J257,"Name","No.","@@"&amp;K257),"")</t>
  </si>
  <si>
    <t>=IF($J257="Item",NL("first",$J257,"Description","No.","@@"&amp;$K257),"")</t>
  </si>
  <si>
    <t>=D257</t>
  </si>
  <si>
    <t>=NF($G258,"Posting Date")</t>
  </si>
  <si>
    <t>=NF($G258,"Entry No.")</t>
  </si>
  <si>
    <t>=NF(G258,"Source Type")</t>
  </si>
  <si>
    <t>=NF($G258,"Source No.")</t>
  </si>
  <si>
    <t>=IF($J258="Customer",NL("first",$J258,"Name","No.","@@"&amp;$K258),"")</t>
  </si>
  <si>
    <t>=IF(J258="vendor",NL("first",J258,"Name","No.","@@"&amp;K258),"")</t>
  </si>
  <si>
    <t>=IF($J258="Item",NL("first",$J258,"Description","No.","@@"&amp;$K258),"")</t>
  </si>
  <si>
    <t>=D258</t>
  </si>
  <si>
    <t>=NF($G259,"Posting Date")</t>
  </si>
  <si>
    <t>=NF($G259,"Entry No.")</t>
  </si>
  <si>
    <t>=NF(G259,"Source Type")</t>
  </si>
  <si>
    <t>=NF($G259,"Source No.")</t>
  </si>
  <si>
    <t>=IF($J259="Customer",NL("first",$J259,"Name","No.","@@"&amp;$K259),"")</t>
  </si>
  <si>
    <t>=IF(J259="vendor",NL("first",J259,"Name","No.","@@"&amp;K259),"")</t>
  </si>
  <si>
    <t>=IF($J259="Item",NL("first",$J259,"Description","No.","@@"&amp;$K259),"")</t>
  </si>
  <si>
    <t>=D262</t>
  </si>
  <si>
    <t>=NF($G263,"Posting Date")</t>
  </si>
  <si>
    <t>=NF($G263,"Entry No.")</t>
  </si>
  <si>
    <t>=NF(G263,"Source Type")</t>
  </si>
  <si>
    <t>=NF($G263,"Source No.")</t>
  </si>
  <si>
    <t>=IF($J263="Customer",NL("first",$J263,"Name","No.","@@"&amp;$K263),"")</t>
  </si>
  <si>
    <t>=IF(J263="vendor",NL("first",J263,"Name","No.","@@"&amp;K263),"")</t>
  </si>
  <si>
    <t>=IF($J263="Item",NL("first",$J263,"Description","No.","@@"&amp;$K263),"")</t>
  </si>
  <si>
    <t>=D271</t>
  </si>
  <si>
    <t>=NF($G272,"Posting Date")</t>
  </si>
  <si>
    <t>=NF($G272,"Entry No.")</t>
  </si>
  <si>
    <t>=NF(G272,"Source Type")</t>
  </si>
  <si>
    <t>=NF($G272,"Source No.")</t>
  </si>
  <si>
    <t>=IF($J272="Customer",NL("first",$J272,"Name","No.","@@"&amp;$K272),"")</t>
  </si>
  <si>
    <t>=IF(J272="vendor",NL("first",J272,"Name","No.","@@"&amp;K272),"")</t>
  </si>
  <si>
    <t>=IF($J272="Item",NL("first",$J272,"Description","No.","@@"&amp;$K272),"")</t>
  </si>
  <si>
    <t>=D272</t>
  </si>
  <si>
    <t>=NF($G273,"Posting Date")</t>
  </si>
  <si>
    <t>=NF($G273,"Entry No.")</t>
  </si>
  <si>
    <t>=NF(G273,"Source Type")</t>
  </si>
  <si>
    <t>=NF($G273,"Source No.")</t>
  </si>
  <si>
    <t>=IF($J273="Customer",NL("first",$J273,"Name","No.","@@"&amp;$K273),"")</t>
  </si>
  <si>
    <t>=IF(J273="vendor",NL("first",J273,"Name","No.","@@"&amp;K273),"")</t>
  </si>
  <si>
    <t>=IF($J273="Item",NL("first",$J273,"Description","No.","@@"&amp;$K273),"")</t>
  </si>
  <si>
    <t>=D274</t>
  </si>
  <si>
    <t>=NF($G275,"Posting Date")</t>
  </si>
  <si>
    <t>=NF($G275,"Entry No.")</t>
  </si>
  <si>
    <t>=NF(G275,"Source Type")</t>
  </si>
  <si>
    <t>=NF($G275,"Source No.")</t>
  </si>
  <si>
    <t>=IF($J275="Customer",NL("first",$J275,"Name","No.","@@"&amp;$K275),"")</t>
  </si>
  <si>
    <t>=IF(J275="vendor",NL("first",J275,"Name","No.","@@"&amp;K275),"")</t>
  </si>
  <si>
    <t>=IF($J275="Item",NL("first",$J275,"Description","No.","@@"&amp;$K275),"")</t>
  </si>
  <si>
    <t>=D275</t>
  </si>
  <si>
    <t>=NF($G276,"Posting Date")</t>
  </si>
  <si>
    <t>=NF($G276,"Entry No.")</t>
  </si>
  <si>
    <t>=NF(G276,"Source Type")</t>
  </si>
  <si>
    <t>=NF($G276,"Source No.")</t>
  </si>
  <si>
    <t>=IF($J276="Customer",NL("first",$J276,"Name","No.","@@"&amp;$K276),"")</t>
  </si>
  <si>
    <t>=IF(J276="vendor",NL("first",J276,"Name","No.","@@"&amp;K276),"")</t>
  </si>
  <si>
    <t>=IF($J276="Item",NL("first",$J276,"Description","No.","@@"&amp;$K276),"")</t>
  </si>
  <si>
    <t>=D276</t>
  </si>
  <si>
    <t>=NF($G277,"Posting Date")</t>
  </si>
  <si>
    <t>=NF($G277,"Entry No.")</t>
  </si>
  <si>
    <t>=NF(G277,"Source Type")</t>
  </si>
  <si>
    <t>=NF($G277,"Source No.")</t>
  </si>
  <si>
    <t>=IF($J277="Customer",NL("first",$J277,"Name","No.","@@"&amp;$K277),"")</t>
  </si>
  <si>
    <t>=IF(J277="vendor",NL("first",J277,"Name","No.","@@"&amp;K277),"")</t>
  </si>
  <si>
    <t>=IF($J277="Item",NL("first",$J277,"Description","No.","@@"&amp;$K277),"")</t>
  </si>
  <si>
    <t>=D286</t>
  </si>
  <si>
    <t>=NF($G287,"Posting Date")</t>
  </si>
  <si>
    <t>=NF($G287,"Entry No.")</t>
  </si>
  <si>
    <t>=NF(G287,"Source Type")</t>
  </si>
  <si>
    <t>=NF($G287,"Source No.")</t>
  </si>
  <si>
    <t>=IF($J287="Customer",NL("first",$J287,"Name","No.","@@"&amp;$K287),"")</t>
  </si>
  <si>
    <t>=IF(J287="vendor",NL("first",J287,"Name","No.","@@"&amp;K287),"")</t>
  </si>
  <si>
    <t>=IF($J287="Item",NL("first",$J287,"Description","No.","@@"&amp;$K287),"")</t>
  </si>
  <si>
    <t>=D287</t>
  </si>
  <si>
    <t>=NF($G288,"Posting Date")</t>
  </si>
  <si>
    <t>=NF($G288,"Entry No.")</t>
  </si>
  <si>
    <t>=NF(G288,"Source Type")</t>
  </si>
  <si>
    <t>=NF($G288,"Source No.")</t>
  </si>
  <si>
    <t>=IF($J288="Customer",NL("first",$J288,"Name","No.","@@"&amp;$K288),"")</t>
  </si>
  <si>
    <t>=IF(J288="vendor",NL("first",J288,"Name","No.","@@"&amp;K288),"")</t>
  </si>
  <si>
    <t>=IF($J288="Item",NL("first",$J288,"Description","No.","@@"&amp;$K288),"")</t>
  </si>
  <si>
    <t>=D297</t>
  </si>
  <si>
    <t>=NF($G298,"Posting Date")</t>
  </si>
  <si>
    <t>=NF($G298,"Entry No.")</t>
  </si>
  <si>
    <t>=NF(G298,"Source Type")</t>
  </si>
  <si>
    <t>=NF($G298,"Source No.")</t>
  </si>
  <si>
    <t>=IF($J298="Customer",NL("first",$J298,"Name","No.","@@"&amp;$K298),"")</t>
  </si>
  <si>
    <t>=IF(J298="vendor",NL("first",J298,"Name","No.","@@"&amp;K298),"")</t>
  </si>
  <si>
    <t>=IF($J298="Item",NL("first",$J298,"Description","No.","@@"&amp;$K298),"")</t>
  </si>
  <si>
    <t>=D303</t>
  </si>
  <si>
    <t>=NF($G304,"Posting Date")</t>
  </si>
  <si>
    <t>=NF($G304,"Entry No.")</t>
  </si>
  <si>
    <t>=NF(G304,"Source Type")</t>
  </si>
  <si>
    <t>=NF($G304,"Source No.")</t>
  </si>
  <si>
    <t>=IF($J304="Customer",NL("first",$J304,"Name","No.","@@"&amp;$K304),"")</t>
  </si>
  <si>
    <t>=IF(J304="vendor",NL("first",J304,"Name","No.","@@"&amp;K304),"")</t>
  </si>
  <si>
    <t>=IF($J304="Item",NL("first",$J304,"Description","No.","@@"&amp;$K304),"")</t>
  </si>
  <si>
    <t>=D304</t>
  </si>
  <si>
    <t>=NF($G305,"Posting Date")</t>
  </si>
  <si>
    <t>=NF($G305,"Entry No.")</t>
  </si>
  <si>
    <t>=NF(G305,"Source Type")</t>
  </si>
  <si>
    <t>=NF($G305,"Source No.")</t>
  </si>
  <si>
    <t>=IF($J305="Customer",NL("first",$J305,"Name","No.","@@"&amp;$K305),"")</t>
  </si>
  <si>
    <t>=IF(J305="vendor",NL("first",J305,"Name","No.","@@"&amp;K305),"")</t>
  </si>
  <si>
    <t>=IF($J305="Item",NL("first",$J305,"Description","No.","@@"&amp;$K305),"")</t>
  </si>
  <si>
    <t>=D308</t>
  </si>
  <si>
    <t>=NF($G309,"Posting Date")</t>
  </si>
  <si>
    <t>=NF($G309,"Entry No.")</t>
  </si>
  <si>
    <t>=NF(G309,"Source Type")</t>
  </si>
  <si>
    <t>=NF($G309,"Source No.")</t>
  </si>
  <si>
    <t>=IF($J309="Customer",NL("first",$J309,"Name","No.","@@"&amp;$K309),"")</t>
  </si>
  <si>
    <t>=IF(J309="vendor",NL("first",J309,"Name","No.","@@"&amp;K309),"")</t>
  </si>
  <si>
    <t>=IF($J309="Item",NL("first",$J309,"Description","No.","@@"&amp;$K309),"")</t>
  </si>
  <si>
    <t>=D315</t>
  </si>
  <si>
    <t>=NF($G316,"Posting Date")</t>
  </si>
  <si>
    <t>=NF($G316,"Entry No.")</t>
  </si>
  <si>
    <t>=NF(G316,"Source Type")</t>
  </si>
  <si>
    <t>=NF($G316,"Source No.")</t>
  </si>
  <si>
    <t>=IF($J316="Customer",NL("first",$J316,"Name","No.","@@"&amp;$K316),"")</t>
  </si>
  <si>
    <t>=IF(J316="vendor",NL("first",J316,"Name","No.","@@"&amp;K316),"")</t>
  </si>
  <si>
    <t>=IF($J316="Item",NL("first",$J316,"Description","No.","@@"&amp;$K316),"")</t>
  </si>
  <si>
    <t>=D316</t>
  </si>
  <si>
    <t>=NF($G317,"Posting Date")</t>
  </si>
  <si>
    <t>=NF($G317,"Entry No.")</t>
  </si>
  <si>
    <t>=NF(G317,"Source Type")</t>
  </si>
  <si>
    <t>=NF($G317,"Source No.")</t>
  </si>
  <si>
    <t>=IF($J317="Customer",NL("first",$J317,"Name","No.","@@"&amp;$K317),"")</t>
  </si>
  <si>
    <t>=IF(J317="vendor",NL("first",J317,"Name","No.","@@"&amp;K317),"")</t>
  </si>
  <si>
    <t>=IF($J317="Item",NL("first",$J317,"Description","No.","@@"&amp;$K317),"")</t>
  </si>
  <si>
    <t>=D321</t>
  </si>
  <si>
    <t>=NF($G322,"Posting Date")</t>
  </si>
  <si>
    <t>=NF($G322,"Entry No.")</t>
  </si>
  <si>
    <t>=NF(G322,"Source Type")</t>
  </si>
  <si>
    <t>=NF($G322,"Source No.")</t>
  </si>
  <si>
    <t>=IF($J322="Customer",NL("first",$J322,"Name","No.","@@"&amp;$K322),"")</t>
  </si>
  <si>
    <t>=IF(J322="vendor",NL("first",J322,"Name","No.","@@"&amp;K322),"")</t>
  </si>
  <si>
    <t>=IF($J322="Item",NL("first",$J322,"Description","No.","@@"&amp;$K322),"")</t>
  </si>
  <si>
    <t>=D331</t>
  </si>
  <si>
    <t>=NF($G332,"Posting Date")</t>
  </si>
  <si>
    <t>=NF($G332,"Entry No.")</t>
  </si>
  <si>
    <t>=NF(G332,"Source Type")</t>
  </si>
  <si>
    <t>=NF($G332,"Source No.")</t>
  </si>
  <si>
    <t>=IF($J332="Customer",NL("first",$J332,"Name","No.","@@"&amp;$K332),"")</t>
  </si>
  <si>
    <t>=IF(J332="vendor",NL("first",J332,"Name","No.","@@"&amp;K332),"")</t>
  </si>
  <si>
    <t>=IF($J332="Item",NL("first",$J332,"Description","No.","@@"&amp;$K332),"")</t>
  </si>
  <si>
    <t>=D332</t>
  </si>
  <si>
    <t>=NF($G333,"Posting Date")</t>
  </si>
  <si>
    <t>=NF($G333,"Entry No.")</t>
  </si>
  <si>
    <t>=NF(G333,"Source Type")</t>
  </si>
  <si>
    <t>=NF($G333,"Source No.")</t>
  </si>
  <si>
    <t>=IF($J333="Customer",NL("first",$J333,"Name","No.","@@"&amp;$K333),"")</t>
  </si>
  <si>
    <t>=IF(J333="vendor",NL("first",J333,"Name","No.","@@"&amp;K333),"")</t>
  </si>
  <si>
    <t>=IF($J333="Item",NL("first",$J333,"Description","No.","@@"&amp;$K333),"")</t>
  </si>
  <si>
    <t>=D333</t>
  </si>
  <si>
    <t>=NF($G334,"Posting Date")</t>
  </si>
  <si>
    <t>=NF($G334,"Entry No.")</t>
  </si>
  <si>
    <t>=NF(G334,"Source Type")</t>
  </si>
  <si>
    <t>=NF($G334,"Source No.")</t>
  </si>
  <si>
    <t>=IF($J334="Customer",NL("first",$J334,"Name","No.","@@"&amp;$K334),"")</t>
  </si>
  <si>
    <t>=IF(J334="vendor",NL("first",J334,"Name","No.","@@"&amp;K334),"")</t>
  </si>
  <si>
    <t>=IF($J334="Item",NL("first",$J334,"Description","No.","@@"&amp;$K334),"")</t>
  </si>
  <si>
    <t>=D339</t>
  </si>
  <si>
    <t>=NF($G340,"Posting Date")</t>
  </si>
  <si>
    <t>=NF($G340,"Entry No.")</t>
  </si>
  <si>
    <t>=NF(G340,"Source Type")</t>
  </si>
  <si>
    <t>=NF($G340,"Source No.")</t>
  </si>
  <si>
    <t>=IF($J340="Customer",NL("first",$J340,"Name","No.","@@"&amp;$K340),"")</t>
  </si>
  <si>
    <t>=IF(J340="vendor",NL("first",J340,"Name","No.","@@"&amp;K340),"")</t>
  </si>
  <si>
    <t>=IF($J340="Item",NL("first",$J340,"Description","No.","@@"&amp;$K340),"")</t>
  </si>
  <si>
    <t>=D340</t>
  </si>
  <si>
    <t>=NF($G341,"Posting Date")</t>
  </si>
  <si>
    <t>=NF($G341,"Entry No.")</t>
  </si>
  <si>
    <t>=NF(G341,"Source Type")</t>
  </si>
  <si>
    <t>=NF($G341,"Source No.")</t>
  </si>
  <si>
    <t>=IF($J341="Customer",NL("first",$J341,"Name","No.","@@"&amp;$K341),"")</t>
  </si>
  <si>
    <t>=IF(J341="vendor",NL("first",J341,"Name","No.","@@"&amp;K341),"")</t>
  </si>
  <si>
    <t>=IF($J341="Item",NL("first",$J341,"Description","No.","@@"&amp;$K341),"")</t>
  </si>
  <si>
    <t>=D343</t>
  </si>
  <si>
    <t>=NF($G344,"Posting Date")</t>
  </si>
  <si>
    <t>=NF($G344,"Entry No.")</t>
  </si>
  <si>
    <t>=NF(G344,"Source Type")</t>
  </si>
  <si>
    <t>=NF($G344,"Source No.")</t>
  </si>
  <si>
    <t>=IF($J344="Customer",NL("first",$J344,"Name","No.","@@"&amp;$K344),"")</t>
  </si>
  <si>
    <t>=IF(J344="vendor",NL("first",J344,"Name","No.","@@"&amp;K344),"")</t>
  </si>
  <si>
    <t>=IF($J344="Item",NL("first",$J344,"Description","No.","@@"&amp;$K344),"")</t>
  </si>
  <si>
    <t>=D349</t>
  </si>
  <si>
    <t>=NF($G350,"Posting Date")</t>
  </si>
  <si>
    <t>=NF($G350,"Entry No.")</t>
  </si>
  <si>
    <t>=NF(G350,"Source Type")</t>
  </si>
  <si>
    <t>=NF($G350,"Source No.")</t>
  </si>
  <si>
    <t>=IF($J350="Customer",NL("first",$J350,"Name","No.","@@"&amp;$K350),"")</t>
  </si>
  <si>
    <t>=IF(J350="vendor",NL("first",J350,"Name","No.","@@"&amp;K350),"")</t>
  </si>
  <si>
    <t>=IF($J350="Item",NL("first",$J350,"Description","No.","@@"&amp;$K350),"")</t>
  </si>
  <si>
    <t>=D350</t>
  </si>
  <si>
    <t>=NF($G351,"Posting Date")</t>
  </si>
  <si>
    <t>=NF($G351,"Entry No.")</t>
  </si>
  <si>
    <t>=NF(G351,"Source Type")</t>
  </si>
  <si>
    <t>=NF($G351,"Source No.")</t>
  </si>
  <si>
    <t>=IF($J351="Customer",NL("first",$J351,"Name","No.","@@"&amp;$K351),"")</t>
  </si>
  <si>
    <t>=IF(J351="vendor",NL("first",J351,"Name","No.","@@"&amp;K351),"")</t>
  </si>
  <si>
    <t>=IF($J351="Item",NL("first",$J351,"Description","No.","@@"&amp;$K351),"")</t>
  </si>
  <si>
    <t>=D354</t>
  </si>
  <si>
    <t>=NF($G355,"Posting Date")</t>
  </si>
  <si>
    <t>=NF($G355,"Entry No.")</t>
  </si>
  <si>
    <t>=NF(G355,"Source Type")</t>
  </si>
  <si>
    <t>=NF($G355,"Source No.")</t>
  </si>
  <si>
    <t>=IF($J355="Customer",NL("first",$J355,"Name","No.","@@"&amp;$K355),"")</t>
  </si>
  <si>
    <t>=IF(J355="vendor",NL("first",J355,"Name","No.","@@"&amp;K355),"")</t>
  </si>
  <si>
    <t>=IF($J355="Item",NL("first",$J355,"Description","No.","@@"&amp;$K355),"")</t>
  </si>
  <si>
    <t>=D355</t>
  </si>
  <si>
    <t>=NF($G356,"Posting Date")</t>
  </si>
  <si>
    <t>=NF($G356,"Entry No.")</t>
  </si>
  <si>
    <t>=NF(G356,"Source Type")</t>
  </si>
  <si>
    <t>=NF($G356,"Source No.")</t>
  </si>
  <si>
    <t>=IF($J356="Customer",NL("first",$J356,"Name","No.","@@"&amp;$K356),"")</t>
  </si>
  <si>
    <t>=IF(J356="vendor",NL("first",J356,"Name","No.","@@"&amp;K356),"")</t>
  </si>
  <si>
    <t>=IF($J356="Item",NL("first",$J356,"Description","No.","@@"&amp;$K356),"")</t>
  </si>
  <si>
    <t>=D363</t>
  </si>
  <si>
    <t>=NF($G364,"Posting Date")</t>
  </si>
  <si>
    <t>=NF($G364,"Entry No.")</t>
  </si>
  <si>
    <t>=NF(G364,"Source Type")</t>
  </si>
  <si>
    <t>=NF($G364,"Source No.")</t>
  </si>
  <si>
    <t>=IF($J364="Customer",NL("first",$J364,"Name","No.","@@"&amp;$K364),"")</t>
  </si>
  <si>
    <t>=IF(J364="vendor",NL("first",J364,"Name","No.","@@"&amp;K364),"")</t>
  </si>
  <si>
    <t>=IF($J364="Item",NL("first",$J364,"Description","No.","@@"&amp;$K364),"")</t>
  </si>
  <si>
    <t>=D364</t>
  </si>
  <si>
    <t>=NF($G365,"Posting Date")</t>
  </si>
  <si>
    <t>=NF($G365,"Entry No.")</t>
  </si>
  <si>
    <t>=NF(G365,"Source Type")</t>
  </si>
  <si>
    <t>=NF($G365,"Source No.")</t>
  </si>
  <si>
    <t>=IF($J365="Customer",NL("first",$J365,"Name","No.","@@"&amp;$K365),"")</t>
  </si>
  <si>
    <t>=IF(J365="vendor",NL("first",J365,"Name","No.","@@"&amp;K365),"")</t>
  </si>
  <si>
    <t>=IF($J365="Item",NL("first",$J365,"Description","No.","@@"&amp;$K365),"")</t>
  </si>
  <si>
    <t>=D365</t>
  </si>
  <si>
    <t>=NF($G366,"Posting Date")</t>
  </si>
  <si>
    <t>=NF($G366,"Entry No.")</t>
  </si>
  <si>
    <t>=NF(G366,"Source Type")</t>
  </si>
  <si>
    <t>=NF($G366,"Source No.")</t>
  </si>
  <si>
    <t>=IF($J366="Customer",NL("first",$J366,"Name","No.","@@"&amp;$K366),"")</t>
  </si>
  <si>
    <t>=IF(J366="vendor",NL("first",J366,"Name","No.","@@"&amp;K366),"")</t>
  </si>
  <si>
    <t>=IF($J366="Item",NL("first",$J366,"Description","No.","@@"&amp;$K366),"")</t>
  </si>
  <si>
    <t>=D370</t>
  </si>
  <si>
    <t>=NF($G371,"Posting Date")</t>
  </si>
  <si>
    <t>=NF($G371,"Entry No.")</t>
  </si>
  <si>
    <t>=NF(G371,"Source Type")</t>
  </si>
  <si>
    <t>=NF($G371,"Source No.")</t>
  </si>
  <si>
    <t>=IF($J371="Customer",NL("first",$J371,"Name","No.","@@"&amp;$K371),"")</t>
  </si>
  <si>
    <t>=IF(J371="vendor",NL("first",J371,"Name","No.","@@"&amp;K371),"")</t>
  </si>
  <si>
    <t>=IF($J371="Item",NL("first",$J371,"Description","No.","@@"&amp;$K371),"")</t>
  </si>
  <si>
    <t>=D380</t>
  </si>
  <si>
    <t>=NF($G381,"Posting Date")</t>
  </si>
  <si>
    <t>=NF($G381,"Entry No.")</t>
  </si>
  <si>
    <t>=NF(G381,"Source Type")</t>
  </si>
  <si>
    <t>=NF($G381,"Source No.")</t>
  </si>
  <si>
    <t>=IF($J381="Customer",NL("first",$J381,"Name","No.","@@"&amp;$K381),"")</t>
  </si>
  <si>
    <t>=IF(J381="vendor",NL("first",J381,"Name","No.","@@"&amp;K381),"")</t>
  </si>
  <si>
    <t>=IF($J381="Item",NL("first",$J381,"Description","No.","@@"&amp;$K381),"")</t>
  </si>
  <si>
    <t>=D381</t>
  </si>
  <si>
    <t>=NF($G382,"Posting Date")</t>
  </si>
  <si>
    <t>=NF($G382,"Entry No.")</t>
  </si>
  <si>
    <t>=NF(G382,"Source Type")</t>
  </si>
  <si>
    <t>=NF($G382,"Source No.")</t>
  </si>
  <si>
    <t>=IF($J382="Customer",NL("first",$J382,"Name","No.","@@"&amp;$K382),"")</t>
  </si>
  <si>
    <t>=IF(J382="vendor",NL("first",J382,"Name","No.","@@"&amp;K382),"")</t>
  </si>
  <si>
    <t>=IF($J382="Item",NL("first",$J382,"Description","No.","@@"&amp;$K382),"")</t>
  </si>
  <si>
    <t>=D382</t>
  </si>
  <si>
    <t>=NF($G383,"Posting Date")</t>
  </si>
  <si>
    <t>=NF($G383,"Entry No.")</t>
  </si>
  <si>
    <t>=NF(G383,"Source Type")</t>
  </si>
  <si>
    <t>=NF($G383,"Source No.")</t>
  </si>
  <si>
    <t>=IF($J383="Customer",NL("first",$J383,"Name","No.","@@"&amp;$K383),"")</t>
  </si>
  <si>
    <t>=IF(J383="vendor",NL("first",J383,"Name","No.","@@"&amp;K383),"")</t>
  </si>
  <si>
    <t>=IF($J383="Item",NL("first",$J383,"Description","No.","@@"&amp;$K383),"")</t>
  </si>
  <si>
    <t>=D383</t>
  </si>
  <si>
    <t>=NF($G384,"Posting Date")</t>
  </si>
  <si>
    <t>=NF($G384,"Entry No.")</t>
  </si>
  <si>
    <t>=NF(G384,"Source Type")</t>
  </si>
  <si>
    <t>=NF($G384,"Source No.")</t>
  </si>
  <si>
    <t>=IF($J384="Customer",NL("first",$J384,"Name","No.","@@"&amp;$K384),"")</t>
  </si>
  <si>
    <t>=IF(J384="vendor",NL("first",J384,"Name","No.","@@"&amp;K384),"")</t>
  </si>
  <si>
    <t>=IF($J384="Item",NL("first",$J384,"Description","No.","@@"&amp;$K384),"")</t>
  </si>
  <si>
    <t>=D384</t>
  </si>
  <si>
    <t>=NF($G385,"Posting Date")</t>
  </si>
  <si>
    <t>=NF($G385,"Entry No.")</t>
  </si>
  <si>
    <t>=NF(G385,"Source Type")</t>
  </si>
  <si>
    <t>=NF($G385,"Source No.")</t>
  </si>
  <si>
    <t>=IF($J385="Customer",NL("first",$J385,"Name","No.","@@"&amp;$K385),"")</t>
  </si>
  <si>
    <t>=IF(J385="vendor",NL("first",J385,"Name","No.","@@"&amp;K385),"")</t>
  </si>
  <si>
    <t>=IF($J385="Item",NL("first",$J385,"Description","No.","@@"&amp;$K385),"")</t>
  </si>
  <si>
    <t>=D385</t>
  </si>
  <si>
    <t>=NF($G386,"Posting Date")</t>
  </si>
  <si>
    <t>=NF($G386,"Entry No.")</t>
  </si>
  <si>
    <t>=NF(G386,"Source Type")</t>
  </si>
  <si>
    <t>=NF($G386,"Source No.")</t>
  </si>
  <si>
    <t>=IF($J386="Customer",NL("first",$J386,"Name","No.","@@"&amp;$K386),"")</t>
  </si>
  <si>
    <t>=IF(J386="vendor",NL("first",J386,"Name","No.","@@"&amp;K386),"")</t>
  </si>
  <si>
    <t>=IF($J386="Item",NL("first",$J386,"Description","No.","@@"&amp;$K386),"")</t>
  </si>
  <si>
    <t>=D390</t>
  </si>
  <si>
    <t>=NF($G391,"Posting Date")</t>
  </si>
  <si>
    <t>=NF($G391,"Entry No.")</t>
  </si>
  <si>
    <t>=NF(G391,"Source Type")</t>
  </si>
  <si>
    <t>=NF($G391,"Source No.")</t>
  </si>
  <si>
    <t>=IF($J391="Customer",NL("first",$J391,"Name","No.","@@"&amp;$K391),"")</t>
  </si>
  <si>
    <t>=IF(J391="vendor",NL("first",J391,"Name","No.","@@"&amp;K391),"")</t>
  </si>
  <si>
    <t>=IF($J391="Item",NL("first",$J391,"Description","No.","@@"&amp;$K391),"")</t>
  </si>
  <si>
    <t>=D402</t>
  </si>
  <si>
    <t>=NF($G403,"Posting Date")</t>
  </si>
  <si>
    <t>=NF($G403,"Entry No.")</t>
  </si>
  <si>
    <t>=NF(G403,"Source Type")</t>
  </si>
  <si>
    <t>=NF($G403,"Source No.")</t>
  </si>
  <si>
    <t>=IF($J403="Customer",NL("first",$J403,"Name","No.","@@"&amp;$K403),"")</t>
  </si>
  <si>
    <t>=IF(J403="vendor",NL("first",J403,"Name","No.","@@"&amp;K403),"")</t>
  </si>
  <si>
    <t>=IF($J403="Item",NL("first",$J403,"Description","No.","@@"&amp;$K403),"")</t>
  </si>
  <si>
    <t>=D414</t>
  </si>
  <si>
    <t>=NF($G415,"Posting Date")</t>
  </si>
  <si>
    <t>=NF($G415,"Entry No.")</t>
  </si>
  <si>
    <t>=NF(G415,"Source Type")</t>
  </si>
  <si>
    <t>=NF($G415,"Source No.")</t>
  </si>
  <si>
    <t>=IF($J415="Customer",NL("first",$J415,"Name","No.","@@"&amp;$K415),"")</t>
  </si>
  <si>
    <t>=IF(J415="vendor",NL("first",J415,"Name","No.","@@"&amp;K415),"")</t>
  </si>
  <si>
    <t>=IF($J415="Item",NL("first",$J415,"Description","No.","@@"&amp;$K415),"")</t>
  </si>
  <si>
    <t>=D424</t>
  </si>
  <si>
    <t>=NF($G425,"Posting Date")</t>
  </si>
  <si>
    <t>=NF($G425,"Entry No.")</t>
  </si>
  <si>
    <t>=NF(G425,"Source Type")</t>
  </si>
  <si>
    <t>=NF($G425,"Source No.")</t>
  </si>
  <si>
    <t>=IF($J425="Customer",NL("first",$J425,"Name","No.","@@"&amp;$K425),"")</t>
  </si>
  <si>
    <t>=IF(J425="vendor",NL("first",J425,"Name","No.","@@"&amp;K425),"")</t>
  </si>
  <si>
    <t>=IF($J425="Item",NL("first",$J425,"Description","No.","@@"&amp;$K425),"")</t>
  </si>
  <si>
    <t>=D426</t>
  </si>
  <si>
    <t>=NF($G427,"Posting Date")</t>
  </si>
  <si>
    <t>=NF($G427,"Entry No.")</t>
  </si>
  <si>
    <t>=NF(G427,"Source Type")</t>
  </si>
  <si>
    <t>=NF($G427,"Source No.")</t>
  </si>
  <si>
    <t>=IF($J427="Customer",NL("first",$J427,"Name","No.","@@"&amp;$K427),"")</t>
  </si>
  <si>
    <t>=IF(J427="vendor",NL("first",J427,"Name","No.","@@"&amp;K427),"")</t>
  </si>
  <si>
    <t>=IF($J427="Item",NL("first",$J427,"Description","No.","@@"&amp;$K427),"")</t>
  </si>
  <si>
    <t>=D435</t>
  </si>
  <si>
    <t>=NF($G436,"Posting Date")</t>
  </si>
  <si>
    <t>=NF($G436,"Entry No.")</t>
  </si>
  <si>
    <t>=NF(G436,"Source Type")</t>
  </si>
  <si>
    <t>=NF($G436,"Source No.")</t>
  </si>
  <si>
    <t>=IF($J436="Customer",NL("first",$J436,"Name","No.","@@"&amp;$K436),"")</t>
  </si>
  <si>
    <t>=IF(J436="vendor",NL("first",J436,"Name","No.","@@"&amp;K436),"")</t>
  </si>
  <si>
    <t>=IF($J436="Item",NL("first",$J436,"Description","No.","@@"&amp;$K436),"")</t>
  </si>
  <si>
    <t>=D438</t>
  </si>
  <si>
    <t>=NF($G439,"Posting Date")</t>
  </si>
  <si>
    <t>=NF($G439,"Entry No.")</t>
  </si>
  <si>
    <t>=NF(G439,"Source Type")</t>
  </si>
  <si>
    <t>=NF($G439,"Source No.")</t>
  </si>
  <si>
    <t>=IF($J439="Customer",NL("first",$J439,"Name","No.","@@"&amp;$K439),"")</t>
  </si>
  <si>
    <t>=IF(J439="vendor",NL("first",J439,"Name","No.","@@"&amp;K439),"")</t>
  </si>
  <si>
    <t>=IF($J439="Item",NL("first",$J439,"Description","No.","@@"&amp;$K439),"")</t>
  </si>
  <si>
    <t>=D451</t>
  </si>
  <si>
    <t>=NF($G452,"Posting Date")</t>
  </si>
  <si>
    <t>=NF($G452,"Entry No.")</t>
  </si>
  <si>
    <t>=NF(G452,"Source Type")</t>
  </si>
  <si>
    <t>=NF($G452,"Source No.")</t>
  </si>
  <si>
    <t>=IF($J452="Customer",NL("first",$J452,"Name","No.","@@"&amp;$K452),"")</t>
  </si>
  <si>
    <t>=IF(J452="vendor",NL("first",J452,"Name","No.","@@"&amp;K452),"")</t>
  </si>
  <si>
    <t>=IF($J452="Item",NL("first",$J452,"Description","No.","@@"&amp;$K452),"")</t>
  </si>
  <si>
    <t>=E22</t>
  </si>
  <si>
    <t>=NL("First","Item","Description","No.",$E22)</t>
  </si>
  <si>
    <t>=NL("First","Item","Base Unit of Measure","No.",$E22)</t>
  </si>
  <si>
    <t>=D22</t>
  </si>
  <si>
    <t>=NF($G23,"Posting Date")</t>
  </si>
  <si>
    <t>=NF($G23,"Entry No.")</t>
  </si>
  <si>
    <t>=NF(G23,"Source Type")</t>
  </si>
  <si>
    <t>=NF($G23,"Source No.")</t>
  </si>
  <si>
    <t>=IF($J23="Customer",NL("first",$J23,"Name","No.","@@"&amp;$K23),"")</t>
  </si>
  <si>
    <t>=IF(J23="vendor",NL("first",J23,"Name","No.","@@"&amp;K23),"")</t>
  </si>
  <si>
    <t>=IF($J23="Item",NL("first",$J23,"Description","No.","@@"&amp;$K23),"")</t>
  </si>
  <si>
    <t>=E26</t>
  </si>
  <si>
    <t>=NL("First","Item","Description","No.",$E26)</t>
  </si>
  <si>
    <t>=NL("First","Item","Base Unit of Measure","No.",$E26)</t>
  </si>
  <si>
    <t>=D30</t>
  </si>
  <si>
    <t>=NF($G31,"Posting Date")</t>
  </si>
  <si>
    <t>=NF($G31,"Entry No.")</t>
  </si>
  <si>
    <t>=NF(G31,"Source Type")</t>
  </si>
  <si>
    <t>=NF($G31,"Source No.")</t>
  </si>
  <si>
    <t>=IF($J31="Customer",NL("first",$J31,"Name","No.","@@"&amp;$K31),"")</t>
  </si>
  <si>
    <t>=IF(J31="vendor",NL("first",J31,"Name","No.","@@"&amp;K31),"")</t>
  </si>
  <si>
    <t>=IF($J31="Item",NL("first",$J31,"Description","No.","@@"&amp;$K31),"")</t>
  </si>
  <si>
    <t>=D66</t>
  </si>
  <si>
    <t>=NF($G67,"Posting Date")</t>
  </si>
  <si>
    <t>=NF($G67,"Entry No.")</t>
  </si>
  <si>
    <t>=NF(G67,"Source Type")</t>
  </si>
  <si>
    <t>=NF($G67,"Source No.")</t>
  </si>
  <si>
    <t>=IF($J67="Customer",NL("first",$J67,"Name","No.","@@"&amp;$K67),"")</t>
  </si>
  <si>
    <t>=IF(J67="vendor",NL("first",J67,"Name","No.","@@"&amp;K67),"")</t>
  </si>
  <si>
    <t>=IF($J67="Item",NL("first",$J67,"Description","No.","@@"&amp;$K67),"")</t>
  </si>
  <si>
    <t>=D79</t>
  </si>
  <si>
    <t>=NF($G80,"Posting Date")</t>
  </si>
  <si>
    <t>=NF($G80,"Entry No.")</t>
  </si>
  <si>
    <t>=NF(G80,"Source Type")</t>
  </si>
  <si>
    <t>=NF($G80,"Source No.")</t>
  </si>
  <si>
    <t>=IF($J80="Customer",NL("first",$J80,"Name","No.","@@"&amp;$K80),"")</t>
  </si>
  <si>
    <t>=IF(J80="vendor",NL("first",J80,"Name","No.","@@"&amp;K80),"")</t>
  </si>
  <si>
    <t>=IF($J80="Item",NL("first",$J80,"Description","No.","@@"&amp;$K80),"")</t>
  </si>
  <si>
    <t>=D91</t>
  </si>
  <si>
    <t>=NF($G92,"Posting Date")</t>
  </si>
  <si>
    <t>=NF($G92,"Entry No.")</t>
  </si>
  <si>
    <t>=NF(G92,"Source Type")</t>
  </si>
  <si>
    <t>=NF($G92,"Source No.")</t>
  </si>
  <si>
    <t>=IF($J92="Customer",NL("first",$J92,"Name","No.","@@"&amp;$K92),"")</t>
  </si>
  <si>
    <t>=IF(J92="vendor",NL("first",J92,"Name","No.","@@"&amp;K92),"")</t>
  </si>
  <si>
    <t>=IF($J92="Item",NL("first",$J92,"Description","No.","@@"&amp;$K92),"")</t>
  </si>
  <si>
    <t>=E100</t>
  </si>
  <si>
    <t>=NL("First","Item","Description","No.",$E100)</t>
  </si>
  <si>
    <t>=NL("First","Item","Base Unit of Measure","No.",$E100)</t>
  </si>
  <si>
    <t>=D100</t>
  </si>
  <si>
    <t>=NF($G101,"Posting Date")</t>
  </si>
  <si>
    <t>=NF($G101,"Entry No.")</t>
  </si>
  <si>
    <t>=NF(G101,"Source Type")</t>
  </si>
  <si>
    <t>=NF($G101,"Source No.")</t>
  </si>
  <si>
    <t>=IF($J101="Customer",NL("first",$J101,"Name","No.","@@"&amp;$K101),"")</t>
  </si>
  <si>
    <t>=IF(J101="vendor",NL("first",J101,"Name","No.","@@"&amp;K101),"")</t>
  </si>
  <si>
    <t>=IF($J101="Item",NL("first",$J101,"Description","No.","@@"&amp;$K101),"")</t>
  </si>
  <si>
    <t>=D116</t>
  </si>
  <si>
    <t>=NF($G117,"Posting Date")</t>
  </si>
  <si>
    <t>=NF($G117,"Entry No.")</t>
  </si>
  <si>
    <t>=NF(G117,"Source Type")</t>
  </si>
  <si>
    <t>=NF($G117,"Source No.")</t>
  </si>
  <si>
    <t>=IF($J117="Customer",NL("first",$J117,"Name","No.","@@"&amp;$K117),"")</t>
  </si>
  <si>
    <t>=IF(J117="vendor",NL("first",J117,"Name","No.","@@"&amp;K117),"")</t>
  </si>
  <si>
    <t>=IF($J117="Item",NL("first",$J117,"Description","No.","@@"&amp;$K117),"")</t>
  </si>
  <si>
    <t>=D132</t>
  </si>
  <si>
    <t>=NF($G133,"Posting Date")</t>
  </si>
  <si>
    <t>=NF($G133,"Entry No.")</t>
  </si>
  <si>
    <t>=NF(G133,"Source Type")</t>
  </si>
  <si>
    <t>=NF($G133,"Source No.")</t>
  </si>
  <si>
    <t>=IF($J133="Customer",NL("first",$J133,"Name","No.","@@"&amp;$K133),"")</t>
  </si>
  <si>
    <t>=IF(J133="vendor",NL("first",J133,"Name","No.","@@"&amp;K133),"")</t>
  </si>
  <si>
    <t>=IF($J133="Item",NL("first",$J133,"Description","No.","@@"&amp;$K133),"")</t>
  </si>
  <si>
    <t>=D141</t>
  </si>
  <si>
    <t>=NF($G142,"Posting Date")</t>
  </si>
  <si>
    <t>=NF($G142,"Entry No.")</t>
  </si>
  <si>
    <t>=NF(G142,"Source Type")</t>
  </si>
  <si>
    <t>=NF($G142,"Source No.")</t>
  </si>
  <si>
    <t>=IF($J142="Customer",NL("first",$J142,"Name","No.","@@"&amp;$K142),"")</t>
  </si>
  <si>
    <t>=IF(J142="vendor",NL("first",J142,"Name","No.","@@"&amp;K142),"")</t>
  </si>
  <si>
    <t>=IF($J142="Item",NL("first",$J142,"Description","No.","@@"&amp;$K142),"")</t>
  </si>
  <si>
    <t>=D174</t>
  </si>
  <si>
    <t>=NF($G175,"Posting Date")</t>
  </si>
  <si>
    <t>=NF($G175,"Entry No.")</t>
  </si>
  <si>
    <t>=NF(G175,"Source Type")</t>
  </si>
  <si>
    <t>=NF($G175,"Source No.")</t>
  </si>
  <si>
    <t>=IF($J175="Customer",NL("first",$J175,"Name","No.","@@"&amp;$K175),"")</t>
  </si>
  <si>
    <t>=IF(J175="vendor",NL("first",J175,"Name","No.","@@"&amp;K175),"")</t>
  </si>
  <si>
    <t>=IF($J175="Item",NL("first",$J175,"Description","No.","@@"&amp;$K175),"")</t>
  </si>
  <si>
    <t>=E182</t>
  </si>
  <si>
    <t>=NL("First","Item","Description","No.",$E182)</t>
  </si>
  <si>
    <t>=NL("First","Item","Base Unit of Measure","No.",$E182)</t>
  </si>
  <si>
    <t>=D186</t>
  </si>
  <si>
    <t>=NF($G187,"Posting Date")</t>
  </si>
  <si>
    <t>=NF($G187,"Entry No.")</t>
  </si>
  <si>
    <t>=NF(G187,"Source Type")</t>
  </si>
  <si>
    <t>=NF($G187,"Source No.")</t>
  </si>
  <si>
    <t>=IF($J187="Customer",NL("first",$J187,"Name","No.","@@"&amp;$K187),"")</t>
  </si>
  <si>
    <t>=IF(J187="vendor",NL("first",J187,"Name","No.","@@"&amp;K187),"")</t>
  </si>
  <si>
    <t>=IF($J187="Item",NL("first",$J187,"Description","No.","@@"&amp;$K187),"")</t>
  </si>
  <si>
    <t>=D31</t>
  </si>
  <si>
    <t>=NF($G32,"Posting Date")</t>
  </si>
  <si>
    <t>=NF($G32,"Entry No.")</t>
  </si>
  <si>
    <t>=NF(G32,"Source Type")</t>
  </si>
  <si>
    <t>=NF($G32,"Source No.")</t>
  </si>
  <si>
    <t>=IF($J32="Customer",NL("first",$J32,"Name","No.","@@"&amp;$K32),"")</t>
  </si>
  <si>
    <t>=IF(J32="vendor",NL("first",J32,"Name","No.","@@"&amp;K32),"")</t>
  </si>
  <si>
    <t>=IF($J32="Item",NL("first",$J32,"Description","No.","@@"&amp;$K32),"")</t>
  </si>
  <si>
    <t>=E35</t>
  </si>
  <si>
    <t>=NL("First","Item","Description","No.",$E35)</t>
  </si>
  <si>
    <t>=NL("First","Item","Base Unit of Measure","No.",$E35)</t>
  </si>
  <si>
    <t>=D43</t>
  </si>
  <si>
    <t>=NF($G44,"Posting Date")</t>
  </si>
  <si>
    <t>=NF($G44,"Entry No.")</t>
  </si>
  <si>
    <t>=NF(G44,"Source Type")</t>
  </si>
  <si>
    <t>=NF($G44,"Source No.")</t>
  </si>
  <si>
    <t>=IF($J44="Customer",NL("first",$J44,"Name","No.","@@"&amp;$K44),"")</t>
  </si>
  <si>
    <t>=IF(J44="vendor",NL("first",J44,"Name","No.","@@"&amp;K44),"")</t>
  </si>
  <si>
    <t>=IF($J44="Item",NL("first",$J44,"Description","No.","@@"&amp;$K44),"")</t>
  </si>
  <si>
    <t>=D44</t>
  </si>
  <si>
    <t>=NF($G45,"Posting Date")</t>
  </si>
  <si>
    <t>=NF($G45,"Entry No.")</t>
  </si>
  <si>
    <t>=NF(G45,"Source Type")</t>
  </si>
  <si>
    <t>=NF($G45,"Source No.")</t>
  </si>
  <si>
    <t>=IF($J45="Customer",NL("first",$J45,"Name","No.","@@"&amp;$K45),"")</t>
  </si>
  <si>
    <t>=IF(J45="vendor",NL("first",J45,"Name","No.","@@"&amp;K45),"")</t>
  </si>
  <si>
    <t>=IF($J45="Item",NL("first",$J45,"Description","No.","@@"&amp;$K45),"")</t>
  </si>
  <si>
    <t>=E48</t>
  </si>
  <si>
    <t>=NL("First","Item","Description","No.",$E48)</t>
  </si>
  <si>
    <t>=NL("First","Item","Base Unit of Measure","No.",$E48)</t>
  </si>
  <si>
    <t>=D53</t>
  </si>
  <si>
    <t>=NF($G54,"Posting Date")</t>
  </si>
  <si>
    <t>=NF($G54,"Entry No.")</t>
  </si>
  <si>
    <t>=NF(G54,"Source Type")</t>
  </si>
  <si>
    <t>=NF($G54,"Source No.")</t>
  </si>
  <si>
    <t>=IF($J54="Customer",NL("first",$J54,"Name","No.","@@"&amp;$K54),"")</t>
  </si>
  <si>
    <t>=IF(J54="vendor",NL("first",J54,"Name","No.","@@"&amp;K54),"")</t>
  </si>
  <si>
    <t>=IF($J54="Item",NL("first",$J54,"Description","No.","@@"&amp;$K54),"")</t>
  </si>
  <si>
    <t>=D68</t>
  </si>
  <si>
    <t>=NF($G69,"Posting Date")</t>
  </si>
  <si>
    <t>=NF($G69,"Entry No.")</t>
  </si>
  <si>
    <t>=NF(G69,"Source Type")</t>
  </si>
  <si>
    <t>=NF($G69,"Source No.")</t>
  </si>
  <si>
    <t>=IF($J69="Customer",NL("first",$J69,"Name","No.","@@"&amp;$K69),"")</t>
  </si>
  <si>
    <t>=IF(J69="vendor",NL("first",J69,"Name","No.","@@"&amp;K69),"")</t>
  </si>
  <si>
    <t>=IF($J69="Item",NL("first",$J69,"Description","No.","@@"&amp;$K69),"")</t>
  </si>
  <si>
    <t>=D72</t>
  </si>
  <si>
    <t>=NF($G73,"Posting Date")</t>
  </si>
  <si>
    <t>=NF($G73,"Entry No.")</t>
  </si>
  <si>
    <t>=NF(G73,"Source Type")</t>
  </si>
  <si>
    <t>=NF($G73,"Source No.")</t>
  </si>
  <si>
    <t>=IF($J73="Customer",NL("first",$J73,"Name","No.","@@"&amp;$K73),"")</t>
  </si>
  <si>
    <t>=IF(J73="vendor",NL("first",J73,"Name","No.","@@"&amp;K73),"")</t>
  </si>
  <si>
    <t>=IF($J73="Item",NL("first",$J73,"Description","No.","@@"&amp;$K73),"")</t>
  </si>
  <si>
    <t>=D74</t>
  </si>
  <si>
    <t>=NF($G75,"Posting Date")</t>
  </si>
  <si>
    <t>=NF($G75,"Entry No.")</t>
  </si>
  <si>
    <t>=NF(G75,"Source Type")</t>
  </si>
  <si>
    <t>=NF($G75,"Source No.")</t>
  </si>
  <si>
    <t>=IF($J75="Customer",NL("first",$J75,"Name","No.","@@"&amp;$K75),"")</t>
  </si>
  <si>
    <t>=IF(J75="vendor",NL("first",J75,"Name","No.","@@"&amp;K75),"")</t>
  </si>
  <si>
    <t>=IF($J75="Item",NL("first",$J75,"Description","No.","@@"&amp;$K75),"")</t>
  </si>
  <si>
    <t>=D80</t>
  </si>
  <si>
    <t>=NF($G81,"Posting Date")</t>
  </si>
  <si>
    <t>=NF($G81,"Entry No.")</t>
  </si>
  <si>
    <t>=NF(G81,"Source Type")</t>
  </si>
  <si>
    <t>=NF($G81,"Source No.")</t>
  </si>
  <si>
    <t>=IF($J81="Customer",NL("first",$J81,"Name","No.","@@"&amp;$K81),"")</t>
  </si>
  <si>
    <t>=IF(J81="vendor",NL("first",J81,"Name","No.","@@"&amp;K81),"")</t>
  </si>
  <si>
    <t>=IF($J81="Item",NL("first",$J81,"Description","No.","@@"&amp;$K81),"")</t>
  </si>
  <si>
    <t>=D84</t>
  </si>
  <si>
    <t>=NF($G85,"Posting Date")</t>
  </si>
  <si>
    <t>=NF($G85,"Entry No.")</t>
  </si>
  <si>
    <t>=NF(G85,"Source Type")</t>
  </si>
  <si>
    <t>=NF($G85,"Source No.")</t>
  </si>
  <si>
    <t>=IF($J85="Customer",NL("first",$J85,"Name","No.","@@"&amp;$K85),"")</t>
  </si>
  <si>
    <t>=IF(J85="vendor",NL("first",J85,"Name","No.","@@"&amp;K85),"")</t>
  </si>
  <si>
    <t>=IF($J85="Item",NL("first",$J85,"Description","No.","@@"&amp;$K85),"")</t>
  </si>
  <si>
    <t>=E104</t>
  </si>
  <si>
    <t>=NL("First","Item","Description","No.",$E104)</t>
  </si>
  <si>
    <t>=NL("First","Item","Base Unit of Measure","No.",$E104)</t>
  </si>
  <si>
    <t>=D104</t>
  </si>
  <si>
    <t>=NF($G105,"Posting Date")</t>
  </si>
  <si>
    <t>=NF($G105,"Entry No.")</t>
  </si>
  <si>
    <t>=NF(G105,"Source Type")</t>
  </si>
  <si>
    <t>=NF($G105,"Source No.")</t>
  </si>
  <si>
    <t>=IF($J105="Customer",NL("first",$J105,"Name","No.","@@"&amp;$K105),"")</t>
  </si>
  <si>
    <t>=IF(J105="vendor",NL("first",J105,"Name","No.","@@"&amp;K105),"")</t>
  </si>
  <si>
    <t>=IF($J105="Item",NL("first",$J105,"Description","No.","@@"&amp;$K105),"")</t>
  </si>
  <si>
    <t>=D105</t>
  </si>
  <si>
    <t>=NF($G106,"Posting Date")</t>
  </si>
  <si>
    <t>=NF($G106,"Entry No.")</t>
  </si>
  <si>
    <t>=NF(G106,"Source Type")</t>
  </si>
  <si>
    <t>=NF($G106,"Source No.")</t>
  </si>
  <si>
    <t>=IF($J106="Customer",NL("first",$J106,"Name","No.","@@"&amp;$K106),"")</t>
  </si>
  <si>
    <t>=IF(J106="vendor",NL("first",J106,"Name","No.","@@"&amp;K106),"")</t>
  </si>
  <si>
    <t>=IF($J106="Item",NL("first",$J106,"Description","No.","@@"&amp;$K106),"")</t>
  </si>
  <si>
    <t>=D109</t>
  </si>
  <si>
    <t>=NF($G110,"Posting Date")</t>
  </si>
  <si>
    <t>=NF($G110,"Entry No.")</t>
  </si>
  <si>
    <t>=NF(G110,"Source Type")</t>
  </si>
  <si>
    <t>=NF($G110,"Source No.")</t>
  </si>
  <si>
    <t>=IF($J110="Customer",NL("first",$J110,"Name","No.","@@"&amp;$K110),"")</t>
  </si>
  <si>
    <t>=IF(J110="vendor",NL("first",J110,"Name","No.","@@"&amp;K110),"")</t>
  </si>
  <si>
    <t>=IF($J110="Item",NL("first",$J110,"Description","No.","@@"&amp;$K110),"")</t>
  </si>
  <si>
    <t>=D117</t>
  </si>
  <si>
    <t>=NF($G118,"Posting Date")</t>
  </si>
  <si>
    <t>=NF($G118,"Entry No.")</t>
  </si>
  <si>
    <t>=NF(G118,"Source Type")</t>
  </si>
  <si>
    <t>=NF($G118,"Source No.")</t>
  </si>
  <si>
    <t>=IF($J118="Customer",NL("first",$J118,"Name","No.","@@"&amp;$K118),"")</t>
  </si>
  <si>
    <t>=IF(J118="vendor",NL("first",J118,"Name","No.","@@"&amp;K118),"")</t>
  </si>
  <si>
    <t>=IF($J118="Item",NL("first",$J118,"Description","No.","@@"&amp;$K118),"")</t>
  </si>
  <si>
    <t>=E121</t>
  </si>
  <si>
    <t>=NL("First","Item","Description","No.",$E121)</t>
  </si>
  <si>
    <t>=NL("First","Item","Base Unit of Measure","No.",$E121)</t>
  </si>
  <si>
    <t>=D125</t>
  </si>
  <si>
    <t>=NF($G126,"Posting Date")</t>
  </si>
  <si>
    <t>=NF($G126,"Entry No.")</t>
  </si>
  <si>
    <t>=NF(G126,"Source Type")</t>
  </si>
  <si>
    <t>=NF($G126,"Source No.")</t>
  </si>
  <si>
    <t>=IF($J126="Customer",NL("first",$J126,"Name","No.","@@"&amp;$K126),"")</t>
  </si>
  <si>
    <t>=IF(J126="vendor",NL("first",J126,"Name","No.","@@"&amp;K126),"")</t>
  </si>
  <si>
    <t>=IF($J126="Item",NL("first",$J126,"Description","No.","@@"&amp;$K126),"")</t>
  </si>
  <si>
    <t>=D126</t>
  </si>
  <si>
    <t>=NF($G127,"Posting Date")</t>
  </si>
  <si>
    <t>=NF($G127,"Entry No.")</t>
  </si>
  <si>
    <t>=NF(G127,"Source Type")</t>
  </si>
  <si>
    <t>=NF($G127,"Source No.")</t>
  </si>
  <si>
    <t>=IF($J127="Customer",NL("first",$J127,"Name","No.","@@"&amp;$K127),"")</t>
  </si>
  <si>
    <t>=IF(J127="vendor",NL("first",J127,"Name","No.","@@"&amp;K127),"")</t>
  </si>
  <si>
    <t>=IF($J127="Item",NL("first",$J127,"Description","No.","@@"&amp;$K127),"")</t>
  </si>
  <si>
    <t>=D127</t>
  </si>
  <si>
    <t>=NF($G128,"Posting Date")</t>
  </si>
  <si>
    <t>=NF($G128,"Entry No.")</t>
  </si>
  <si>
    <t>=NF(G128,"Source Type")</t>
  </si>
  <si>
    <t>=NF($G128,"Source No.")</t>
  </si>
  <si>
    <t>=IF($J128="Customer",NL("first",$J128,"Name","No.","@@"&amp;$K128),"")</t>
  </si>
  <si>
    <t>=IF(J128="vendor",NL("first",J128,"Name","No.","@@"&amp;K128),"")</t>
  </si>
  <si>
    <t>=IF($J128="Item",NL("first",$J128,"Description","No.","@@"&amp;$K128),"")</t>
  </si>
  <si>
    <t>=D140</t>
  </si>
  <si>
    <t>=NF($G141,"Posting Date")</t>
  </si>
  <si>
    <t>=NF($G141,"Entry No.")</t>
  </si>
  <si>
    <t>=NF(G141,"Source Type")</t>
  </si>
  <si>
    <t>=NF($G141,"Source No.")</t>
  </si>
  <si>
    <t>=IF($J141="Customer",NL("first",$J141,"Name","No.","@@"&amp;$K141),"")</t>
  </si>
  <si>
    <t>=IF(J141="vendor",NL("first",J141,"Name","No.","@@"&amp;K141),"")</t>
  </si>
  <si>
    <t>=IF($J141="Item",NL("first",$J141,"Description","No.","@@"&amp;$K141),"")</t>
  </si>
  <si>
    <t>=D156</t>
  </si>
  <si>
    <t>=NF($G157,"Posting Date")</t>
  </si>
  <si>
    <t>=NF($G157,"Entry No.")</t>
  </si>
  <si>
    <t>=NF(G157,"Source Type")</t>
  </si>
  <si>
    <t>=NF($G157,"Source No.")</t>
  </si>
  <si>
    <t>=IF($J157="Customer",NL("first",$J157,"Name","No.","@@"&amp;$K157),"")</t>
  </si>
  <si>
    <t>=IF(J157="vendor",NL("first",J157,"Name","No.","@@"&amp;K157),"")</t>
  </si>
  <si>
    <t>=IF($J157="Item",NL("first",$J157,"Description","No.","@@"&amp;$K157),"")</t>
  </si>
  <si>
    <t>=D157</t>
  </si>
  <si>
    <t>=NF($G158,"Posting Date")</t>
  </si>
  <si>
    <t>=NF($G158,"Entry No.")</t>
  </si>
  <si>
    <t>=NF(G158,"Source Type")</t>
  </si>
  <si>
    <t>=NF($G158,"Source No.")</t>
  </si>
  <si>
    <t>=IF($J158="Customer",NL("first",$J158,"Name","No.","@@"&amp;$K158),"")</t>
  </si>
  <si>
    <t>=IF(J158="vendor",NL("first",J158,"Name","No.","@@"&amp;K158),"")</t>
  </si>
  <si>
    <t>=IF($J158="Item",NL("first",$J158,"Description","No.","@@"&amp;$K158),"")</t>
  </si>
  <si>
    <t>=D163</t>
  </si>
  <si>
    <t>=NF($G164,"Posting Date")</t>
  </si>
  <si>
    <t>=NF($G164,"Entry No.")</t>
  </si>
  <si>
    <t>=NF(G164,"Source Type")</t>
  </si>
  <si>
    <t>=NF($G164,"Source No.")</t>
  </si>
  <si>
    <t>=IF($J164="Customer",NL("first",$J164,"Name","No.","@@"&amp;$K164),"")</t>
  </si>
  <si>
    <t>=IF(J164="vendor",NL("first",J164,"Name","No.","@@"&amp;K164),"")</t>
  </si>
  <si>
    <t>=IF($J164="Item",NL("first",$J164,"Description","No.","@@"&amp;$K164),"")</t>
  </si>
  <si>
    <t>=D199</t>
  </si>
  <si>
    <t>=NF($G200,"Posting Date")</t>
  </si>
  <si>
    <t>=NF($G200,"Entry No.")</t>
  </si>
  <si>
    <t>=NF(G200,"Source Type")</t>
  </si>
  <si>
    <t>=NF($G200,"Source No.")</t>
  </si>
  <si>
    <t>=IF($J200="Customer",NL("first",$J200,"Name","No.","@@"&amp;$K200),"")</t>
  </si>
  <si>
    <t>=IF(J200="vendor",NL("first",J200,"Name","No.","@@"&amp;K200),"")</t>
  </si>
  <si>
    <t>=IF($J200="Item",NL("first",$J200,"Description","No.","@@"&amp;$K200),"")</t>
  </si>
  <si>
    <t>=D200</t>
  </si>
  <si>
    <t>=NF($G201,"Posting Date")</t>
  </si>
  <si>
    <t>=NF($G201,"Entry No.")</t>
  </si>
  <si>
    <t>=NF(G201,"Source Type")</t>
  </si>
  <si>
    <t>=NF($G201,"Source No.")</t>
  </si>
  <si>
    <t>=IF($J201="Customer",NL("first",$J201,"Name","No.","@@"&amp;$K201),"")</t>
  </si>
  <si>
    <t>=IF(J201="vendor",NL("first",J201,"Name","No.","@@"&amp;K201),"")</t>
  </si>
  <si>
    <t>=IF($J201="Item",NL("first",$J201,"Description","No.","@@"&amp;$K201),"")</t>
  </si>
  <si>
    <t>=D209</t>
  </si>
  <si>
    <t>=NF($G210,"Posting Date")</t>
  </si>
  <si>
    <t>=NF($G210,"Entry No.")</t>
  </si>
  <si>
    <t>=NF(G210,"Source Type")</t>
  </si>
  <si>
    <t>=NF($G210,"Source No.")</t>
  </si>
  <si>
    <t>=IF($J210="Customer",NL("first",$J210,"Name","No.","@@"&amp;$K210),"")</t>
  </si>
  <si>
    <t>=IF(J210="vendor",NL("first",J210,"Name","No.","@@"&amp;K210),"")</t>
  </si>
  <si>
    <t>=IF($J210="Item",NL("first",$J210,"Description","No.","@@"&amp;$K210),"")</t>
  </si>
  <si>
    <t>=D210</t>
  </si>
  <si>
    <t>=NF($G211,"Posting Date")</t>
  </si>
  <si>
    <t>=NF($G211,"Entry No.")</t>
  </si>
  <si>
    <t>=NF(G211,"Source Type")</t>
  </si>
  <si>
    <t>=NF($G211,"Source No.")</t>
  </si>
  <si>
    <t>=IF($J211="Customer",NL("first",$J211,"Name","No.","@@"&amp;$K211),"")</t>
  </si>
  <si>
    <t>=IF(J211="vendor",NL("first",J211,"Name","No.","@@"&amp;K211),"")</t>
  </si>
  <si>
    <t>=IF($J211="Item",NL("first",$J211,"Description","No.","@@"&amp;$K211),"")</t>
  </si>
  <si>
    <t>=D224</t>
  </si>
  <si>
    <t>=NF($G225,"Posting Date")</t>
  </si>
  <si>
    <t>=NF($G225,"Entry No.")</t>
  </si>
  <si>
    <t>=NF(G225,"Source Type")</t>
  </si>
  <si>
    <t>=NF($G225,"Source No.")</t>
  </si>
  <si>
    <t>=IF($J225="Customer",NL("first",$J225,"Name","No.","@@"&amp;$K225),"")</t>
  </si>
  <si>
    <t>=IF(J225="vendor",NL("first",J225,"Name","No.","@@"&amp;K225),"")</t>
  </si>
  <si>
    <t>=IF($J225="Item",NL("first",$J225,"Description","No.","@@"&amp;$K225),"")</t>
  </si>
  <si>
    <t>=D244</t>
  </si>
  <si>
    <t>=NF($G245,"Posting Date")</t>
  </si>
  <si>
    <t>=NF($G245,"Entry No.")</t>
  </si>
  <si>
    <t>=NF(G245,"Source Type")</t>
  </si>
  <si>
    <t>=NF($G245,"Source No.")</t>
  </si>
  <si>
    <t>=IF($J245="Customer",NL("first",$J245,"Name","No.","@@"&amp;$K245),"")</t>
  </si>
  <si>
    <t>=IF(J245="vendor",NL("first",J245,"Name","No.","@@"&amp;K245),"")</t>
  </si>
  <si>
    <t>=IF($J245="Item",NL("first",$J245,"Description","No.","@@"&amp;$K245),"")</t>
  </si>
  <si>
    <t>=D248</t>
  </si>
  <si>
    <t>=NF($G249,"Posting Date")</t>
  </si>
  <si>
    <t>=NF($G249,"Entry No.")</t>
  </si>
  <si>
    <t>=NF(G249,"Source Type")</t>
  </si>
  <si>
    <t>=NF($G249,"Source No.")</t>
  </si>
  <si>
    <t>=IF($J249="Customer",NL("first",$J249,"Name","No.","@@"&amp;$K249),"")</t>
  </si>
  <si>
    <t>=IF(J249="vendor",NL("first",J249,"Name","No.","@@"&amp;K249),"")</t>
  </si>
  <si>
    <t>=IF($J249="Item",NL("first",$J249,"Description","No.","@@"&amp;$K249),"")</t>
  </si>
  <si>
    <t>=D249</t>
  </si>
  <si>
    <t>=NF($G250,"Posting Date")</t>
  </si>
  <si>
    <t>=NF($G250,"Entry No.")</t>
  </si>
  <si>
    <t>=NF(G250,"Source Type")</t>
  </si>
  <si>
    <t>=NF($G250,"Source No.")</t>
  </si>
  <si>
    <t>=IF($J250="Customer",NL("first",$J250,"Name","No.","@@"&amp;$K250),"")</t>
  </si>
  <si>
    <t>=IF(J250="vendor",NL("first",J250,"Name","No.","@@"&amp;K250),"")</t>
  </si>
  <si>
    <t>=IF($J250="Item",NL("first",$J250,"Description","No.","@@"&amp;$K250),"")</t>
  </si>
  <si>
    <t>=D301</t>
  </si>
  <si>
    <t>=NF($G302,"Posting Date")</t>
  </si>
  <si>
    <t>=NF($G302,"Entry No.")</t>
  </si>
  <si>
    <t>=NF(G302,"Source Type")</t>
  </si>
  <si>
    <t>=NF($G302,"Source No.")</t>
  </si>
  <si>
    <t>=IF($J302="Customer",NL("first",$J302,"Name","No.","@@"&amp;$K302),"")</t>
  </si>
  <si>
    <t>=IF(J302="vendor",NL("first",J302,"Name","No.","@@"&amp;K302),"")</t>
  </si>
  <si>
    <t>=IF($J302="Item",NL("first",$J302,"Description","No.","@@"&amp;$K302),"")</t>
  </si>
  <si>
    <t>=D305</t>
  </si>
  <si>
    <t>=NF($G306,"Posting Date")</t>
  </si>
  <si>
    <t>=NF($G306,"Entry No.")</t>
  </si>
  <si>
    <t>=NF(G306,"Source Type")</t>
  </si>
  <si>
    <t>=NF($G306,"Source No.")</t>
  </si>
  <si>
    <t>=IF($J306="Customer",NL("first",$J306,"Name","No.","@@"&amp;$K306),"")</t>
  </si>
  <si>
    <t>=IF(J306="vendor",NL("first",J306,"Name","No.","@@"&amp;K306),"")</t>
  </si>
  <si>
    <t>=IF($J306="Item",NL("first",$J306,"Description","No.","@@"&amp;$K306),"")</t>
  </si>
  <si>
    <t>=D310</t>
  </si>
  <si>
    <t>=NF($G311,"Posting Date")</t>
  </si>
  <si>
    <t>=NF($G311,"Entry No.")</t>
  </si>
  <si>
    <t>=NF(G311,"Source Type")</t>
  </si>
  <si>
    <t>=NF($G311,"Source No.")</t>
  </si>
  <si>
    <t>=IF($J311="Customer",NL("first",$J311,"Name","No.","@@"&amp;$K311),"")</t>
  </si>
  <si>
    <t>=IF(J311="vendor",NL("first",J311,"Name","No.","@@"&amp;K311),"")</t>
  </si>
  <si>
    <t>=IF($J311="Item",NL("first",$J311,"Description","No.","@@"&amp;$K311),"")</t>
  </si>
  <si>
    <t>=D324</t>
  </si>
  <si>
    <t>=NF($G325,"Posting Date")</t>
  </si>
  <si>
    <t>=NF($G325,"Entry No.")</t>
  </si>
  <si>
    <t>=NF(G325,"Source Type")</t>
  </si>
  <si>
    <t>=NF($G325,"Source No.")</t>
  </si>
  <si>
    <t>=IF($J325="Customer",NL("first",$J325,"Name","No.","@@"&amp;$K325),"")</t>
  </si>
  <si>
    <t>=IF(J325="vendor",NL("first",J325,"Name","No.","@@"&amp;K325),"")</t>
  </si>
  <si>
    <t>=IF($J325="Item",NL("first",$J325,"Description","No.","@@"&amp;$K325),"")</t>
  </si>
  <si>
    <t>=D328</t>
  </si>
  <si>
    <t>=NF($G329,"Posting Date")</t>
  </si>
  <si>
    <t>=NF($G329,"Entry No.")</t>
  </si>
  <si>
    <t>=NF(G329,"Source Type")</t>
  </si>
  <si>
    <t>=NF($G329,"Source No.")</t>
  </si>
  <si>
    <t>=IF($J329="Customer",NL("first",$J329,"Name","No.","@@"&amp;$K329),"")</t>
  </si>
  <si>
    <t>=IF(J329="vendor",NL("first",J329,"Name","No.","@@"&amp;K329),"")</t>
  </si>
  <si>
    <t>=IF($J329="Item",NL("first",$J329,"Description","No.","@@"&amp;$K329),"")</t>
  </si>
  <si>
    <t>=D368</t>
  </si>
  <si>
    <t>=NF($G369,"Posting Date")</t>
  </si>
  <si>
    <t>=NF($G369,"Entry No.")</t>
  </si>
  <si>
    <t>=NF(G369,"Source Type")</t>
  </si>
  <si>
    <t>=NF($G369,"Source No.")</t>
  </si>
  <si>
    <t>=IF($J369="Customer",NL("first",$J369,"Name","No.","@@"&amp;$K369),"")</t>
  </si>
  <si>
    <t>=IF(J369="vendor",NL("first",J369,"Name","No.","@@"&amp;K369),"")</t>
  </si>
  <si>
    <t>=IF($J369="Item",NL("first",$J369,"Description","No.","@@"&amp;$K369),"")</t>
  </si>
  <si>
    <t>=D369</t>
  </si>
  <si>
    <t>=NF($G370,"Posting Date")</t>
  </si>
  <si>
    <t>=NF($G370,"Entry No.")</t>
  </si>
  <si>
    <t>=NF(G370,"Source Type")</t>
  </si>
  <si>
    <t>=NF($G370,"Source No.")</t>
  </si>
  <si>
    <t>=IF($J370="Customer",NL("first",$J370,"Name","No.","@@"&amp;$K370),"")</t>
  </si>
  <si>
    <t>=IF(J370="vendor",NL("first",J370,"Name","No.","@@"&amp;K370),"")</t>
  </si>
  <si>
    <t>=IF($J370="Item",NL("first",$J370,"Description","No.","@@"&amp;$K370),"")</t>
  </si>
  <si>
    <t>=D388</t>
  </si>
  <si>
    <t>=NF($G389,"Posting Date")</t>
  </si>
  <si>
    <t>=NF($G389,"Entry No.")</t>
  </si>
  <si>
    <t>=NF(G389,"Source Type")</t>
  </si>
  <si>
    <t>=NF($G389,"Source No.")</t>
  </si>
  <si>
    <t>=IF($J389="Customer",NL("first",$J389,"Name","No.","@@"&amp;$K389),"")</t>
  </si>
  <si>
    <t>=IF(J389="vendor",NL("first",J389,"Name","No.","@@"&amp;K389),"")</t>
  </si>
  <si>
    <t>=IF($J389="Item",NL("first",$J389,"Description","No.","@@"&amp;$K389),"")</t>
  </si>
  <si>
    <t>=D389</t>
  </si>
  <si>
    <t>=NF($G390,"Posting Date")</t>
  </si>
  <si>
    <t>=NF($G390,"Entry No.")</t>
  </si>
  <si>
    <t>=NF(G390,"Source Type")</t>
  </si>
  <si>
    <t>=NF($G390,"Source No.")</t>
  </si>
  <si>
    <t>=IF($J390="Customer",NL("first",$J390,"Name","No.","@@"&amp;$K390),"")</t>
  </si>
  <si>
    <t>=IF(J390="vendor",NL("first",J390,"Name","No.","@@"&amp;K390),"")</t>
  </si>
  <si>
    <t>=IF($J390="Item",NL("first",$J390,"Description","No.","@@"&amp;$K390),"")</t>
  </si>
  <si>
    <t>=D23</t>
  </si>
  <si>
    <t>=NF($G24,"Posting Date")</t>
  </si>
  <si>
    <t>=NF($G24,"Entry No.")</t>
  </si>
  <si>
    <t>=NF(G24,"Source Type")</t>
  </si>
  <si>
    <t>=NF($G24,"Source No.")</t>
  </si>
  <si>
    <t>=IF($J24="Customer",NL("first",$J24,"Name","No.","@@"&amp;$K24),"")</t>
  </si>
  <si>
    <t>=IF(J24="vendor",NL("first",J24,"Name","No.","@@"&amp;K24),"")</t>
  </si>
  <si>
    <t>=IF($J24="Item",NL("first",$J24,"Description","No.","@@"&amp;$K24),"")</t>
  </si>
  <si>
    <t>=E51</t>
  </si>
  <si>
    <t>=NL("First","Item","Description","No.",$E51)</t>
  </si>
  <si>
    <t>=NL("First","Item","Base Unit of Measure","No.",$E51)</t>
  </si>
  <si>
    <t>=D51</t>
  </si>
  <si>
    <t>=NF($G52,"Posting Date")</t>
  </si>
  <si>
    <t>=NF($G52,"Entry No.")</t>
  </si>
  <si>
    <t>=NF(G52,"Source Type")</t>
  </si>
  <si>
    <t>=NF($G52,"Source No.")</t>
  </si>
  <si>
    <t>=IF($J52="Customer",NL("first",$J52,"Name","No.","@@"&amp;$K52),"")</t>
  </si>
  <si>
    <t>=IF(J52="vendor",NL("first",J52,"Name","No.","@@"&amp;K52),"")</t>
  </si>
  <si>
    <t>=IF($J52="Item",NL("first",$J52,"Description","No.","@@"&amp;$K52),"")</t>
  </si>
  <si>
    <t>=D52</t>
  </si>
  <si>
    <t>=NF($G53,"Posting Date")</t>
  </si>
  <si>
    <t>=NF($G53,"Entry No.")</t>
  </si>
  <si>
    <t>=NF(G53,"Source Type")</t>
  </si>
  <si>
    <t>=NF($G53,"Source No.")</t>
  </si>
  <si>
    <t>=IF($J53="Customer",NL("first",$J53,"Name","No.","@@"&amp;$K53),"")</t>
  </si>
  <si>
    <t>=IF(J53="vendor",NL("first",J53,"Name","No.","@@"&amp;K53),"")</t>
  </si>
  <si>
    <t>=IF($J53="Item",NL("first",$J53,"Description","No.","@@"&amp;$K53),"")</t>
  </si>
  <si>
    <t>=E56</t>
  </si>
  <si>
    <t>=NL("First","Item","Description","No.",$E56)</t>
  </si>
  <si>
    <t>=NL("First","Item","Base Unit of Measure","No.",$E56)</t>
  </si>
  <si>
    <t>=E60</t>
  </si>
  <si>
    <t>=NL("First","Item","Description","No.",$E60)</t>
  </si>
  <si>
    <t>=NL("First","Item","Base Unit of Measure","No.",$E60)</t>
  </si>
  <si>
    <t>=D60</t>
  </si>
  <si>
    <t>=NF($G61,"Posting Date")</t>
  </si>
  <si>
    <t>=NF($G61,"Entry No.")</t>
  </si>
  <si>
    <t>=NF(G61,"Source Type")</t>
  </si>
  <si>
    <t>=NF($G61,"Source No.")</t>
  </si>
  <si>
    <t>=IF($J61="Customer",NL("first",$J61,"Name","No.","@@"&amp;$K61),"")</t>
  </si>
  <si>
    <t>=IF(J61="vendor",NL("first",J61,"Name","No.","@@"&amp;K61),"")</t>
  </si>
  <si>
    <t>=IF($J61="Item",NL("first",$J61,"Description","No.","@@"&amp;$K61),"")</t>
  </si>
  <si>
    <t>=D16</t>
  </si>
  <si>
    <t>=NF($G17,"Posting Date")</t>
  </si>
  <si>
    <t>=NF($G17,"Entry No.")</t>
  </si>
  <si>
    <t>=NF(G17,"Source Type")</t>
  </si>
  <si>
    <t>=NF($G17,"Source No.")</t>
  </si>
  <si>
    <t>=IF($J17="Customer",NL("first",$J17,"Name","No.","@@"&amp;$K17),"")</t>
  </si>
  <si>
    <t>=IF(J17="vendor",NL("first",J17,"Name","No.","@@"&amp;K17),"")</t>
  </si>
  <si>
    <t>=IF($J17="Item",NL("first",$J17,"Description","No.","@@"&amp;$K17),"")</t>
  </si>
  <si>
    <t>=D70</t>
  </si>
  <si>
    <t>=NF($G71,"Posting Date")</t>
  </si>
  <si>
    <t>=NF($G71,"Entry No.")</t>
  </si>
  <si>
    <t>=NF(G71,"Source Type")</t>
  </si>
  <si>
    <t>=NF($G71,"Source No.")</t>
  </si>
  <si>
    <t>=IF($J71="Customer",NL("first",$J71,"Name","No.","@@"&amp;$K71),"")</t>
  </si>
  <si>
    <t>=IF(J71="vendor",NL("first",J71,"Name","No.","@@"&amp;K71),"")</t>
  </si>
  <si>
    <t>=IF($J71="Item",NL("first",$J71,"Description","No.","@@"&amp;$K71),"")</t>
  </si>
  <si>
    <t>=D85</t>
  </si>
  <si>
    <t>=NF($G86,"Posting Date")</t>
  </si>
  <si>
    <t>=NF($G86,"Entry No.")</t>
  </si>
  <si>
    <t>=NF(G86,"Source Type")</t>
  </si>
  <si>
    <t>=NF($G86,"Source No.")</t>
  </si>
  <si>
    <t>=IF($J86="Customer",NL("first",$J86,"Name","No.","@@"&amp;$K86),"")</t>
  </si>
  <si>
    <t>=IF(J86="vendor",NL("first",J86,"Name","No.","@@"&amp;K86),"")</t>
  </si>
  <si>
    <t>=IF($J86="Item",NL("first",$J86,"Description","No.","@@"&amp;$K86),"")</t>
  </si>
  <si>
    <t>=D98</t>
  </si>
  <si>
    <t>=NF($G99,"Posting Date")</t>
  </si>
  <si>
    <t>=NF($G99,"Entry No.")</t>
  </si>
  <si>
    <t>=NF(G99,"Source Type")</t>
  </si>
  <si>
    <t>=NF($G99,"Source No.")</t>
  </si>
  <si>
    <t>=IF($J99="Customer",NL("first",$J99,"Name","No.","@@"&amp;$K99),"")</t>
  </si>
  <si>
    <t>=IF(J99="vendor",NL("first",J99,"Name","No.","@@"&amp;K99),"")</t>
  </si>
  <si>
    <t>=IF($J99="Item",NL("first",$J99,"Description","No.","@@"&amp;$K99),"")</t>
  </si>
  <si>
    <t>=D103</t>
  </si>
  <si>
    <t>=NF($G104,"Posting Date")</t>
  </si>
  <si>
    <t>=NF($G104,"Entry No.")</t>
  </si>
  <si>
    <t>=NF(G104,"Source Type")</t>
  </si>
  <si>
    <t>=NF($G104,"Source No.")</t>
  </si>
  <si>
    <t>=IF($J104="Customer",NL("first",$J104,"Name","No.","@@"&amp;$K104),"")</t>
  </si>
  <si>
    <t>=IF(J104="vendor",NL("first",J104,"Name","No.","@@"&amp;K104),"")</t>
  </si>
  <si>
    <t>=IF($J104="Item",NL("first",$J104,"Description","No.","@@"&amp;$K104),"")</t>
  </si>
  <si>
    <t>=D142</t>
  </si>
  <si>
    <t>=NF($G143,"Posting Date")</t>
  </si>
  <si>
    <t>=NF($G143,"Entry No.")</t>
  </si>
  <si>
    <t>=NF(G143,"Source Type")</t>
  </si>
  <si>
    <t>=NF($G143,"Source No.")</t>
  </si>
  <si>
    <t>=IF($J143="Customer",NL("first",$J143,"Name","No.","@@"&amp;$K143),"")</t>
  </si>
  <si>
    <t>=IF(J143="vendor",NL("first",J143,"Name","No.","@@"&amp;K143),"")</t>
  </si>
  <si>
    <t>=IF($J143="Item",NL("first",$J143,"Description","No.","@@"&amp;$K143),"")</t>
  </si>
  <si>
    <t>=D192</t>
  </si>
  <si>
    <t>=NF($G193,"Posting Date")</t>
  </si>
  <si>
    <t>=NF($G193,"Entry No.")</t>
  </si>
  <si>
    <t>=NF(G193,"Source Type")</t>
  </si>
  <si>
    <t>=NF($G193,"Source No.")</t>
  </si>
  <si>
    <t>=IF($J193="Customer",NL("first",$J193,"Name","No.","@@"&amp;$K193),"")</t>
  </si>
  <si>
    <t>=IF(J193="vendor",NL("first",J193,"Name","No.","@@"&amp;K193),"")</t>
  </si>
  <si>
    <t>=IF($J193="Item",NL("first",$J193,"Description","No.","@@"&amp;$K193),"")</t>
  </si>
  <si>
    <t>=D237</t>
  </si>
  <si>
    <t>=NF($G238,"Posting Date")</t>
  </si>
  <si>
    <t>=NF($G238,"Entry No.")</t>
  </si>
  <si>
    <t>=NF(G238,"Source Type")</t>
  </si>
  <si>
    <t>=NF($G238,"Source No.")</t>
  </si>
  <si>
    <t>=IF($J238="Customer",NL("first",$J238,"Name","No.","@@"&amp;$K238),"")</t>
  </si>
  <si>
    <t>=IF(J238="vendor",NL("first",J238,"Name","No.","@@"&amp;K238),"")</t>
  </si>
  <si>
    <t>=IF($J238="Item",NL("first",$J238,"Description","No.","@@"&amp;$K238),"")</t>
  </si>
  <si>
    <t>=D243</t>
  </si>
  <si>
    <t>=NF($G244,"Posting Date")</t>
  </si>
  <si>
    <t>=NF($G244,"Entry No.")</t>
  </si>
  <si>
    <t>=NF(G244,"Source Type")</t>
  </si>
  <si>
    <t>=NF($G244,"Source No.")</t>
  </si>
  <si>
    <t>=IF($J244="Customer",NL("first",$J244,"Name","No.","@@"&amp;$K244),"")</t>
  </si>
  <si>
    <t>=IF(J244="vendor",NL("first",J244,"Name","No.","@@"&amp;K244),"")</t>
  </si>
  <si>
    <t>=IF($J244="Item",NL("first",$J244,"Description","No.","@@"&amp;$K244),"")</t>
  </si>
  <si>
    <t>=D265</t>
  </si>
  <si>
    <t>=NF($G266,"Posting Date")</t>
  </si>
  <si>
    <t>=NF($G266,"Entry No.")</t>
  </si>
  <si>
    <t>=NF(G266,"Source Type")</t>
  </si>
  <si>
    <t>=NF($G266,"Source No.")</t>
  </si>
  <si>
    <t>=IF($J266="Customer",NL("first",$J266,"Name","No.","@@"&amp;$K266),"")</t>
  </si>
  <si>
    <t>=IF(J266="vendor",NL("first",J266,"Name","No.","@@"&amp;K266),"")</t>
  </si>
  <si>
    <t>=IF($J266="Item",NL("first",$J266,"Description","No.","@@"&amp;$K266),"")</t>
  </si>
  <si>
    <t>=D277</t>
  </si>
  <si>
    <t>=NF($G278,"Posting Date")</t>
  </si>
  <si>
    <t>=NF($G278,"Entry No.")</t>
  </si>
  <si>
    <t>=NF(G278,"Source Type")</t>
  </si>
  <si>
    <t>=NF($G278,"Source No.")</t>
  </si>
  <si>
    <t>=IF($J278="Customer",NL("first",$J278,"Name","No.","@@"&amp;$K278),"")</t>
  </si>
  <si>
    <t>=IF(J278="vendor",NL("first",J278,"Name","No.","@@"&amp;K278),"")</t>
  </si>
  <si>
    <t>=IF($J278="Item",NL("first",$J278,"Description","No.","@@"&amp;$K278),"")</t>
  </si>
  <si>
    <t>=D278</t>
  </si>
  <si>
    <t>=NF($G279,"Posting Date")</t>
  </si>
  <si>
    <t>=NF($G279,"Entry No.")</t>
  </si>
  <si>
    <t>=NF(G279,"Source Type")</t>
  </si>
  <si>
    <t>=NF($G279,"Source No.")</t>
  </si>
  <si>
    <t>=IF($J279="Customer",NL("first",$J279,"Name","No.","@@"&amp;$K279),"")</t>
  </si>
  <si>
    <t>=IF(J279="vendor",NL("first",J279,"Name","No.","@@"&amp;K279),"")</t>
  </si>
  <si>
    <t>=IF($J279="Item",NL("first",$J279,"Description","No.","@@"&amp;$K279),"")</t>
  </si>
  <si>
    <t>=D296</t>
  </si>
  <si>
    <t>=NF($G297,"Posting Date")</t>
  </si>
  <si>
    <t>=NF($G297,"Entry No.")</t>
  </si>
  <si>
    <t>=NF(G297,"Source Type")</t>
  </si>
  <si>
    <t>=NF($G297,"Source No.")</t>
  </si>
  <si>
    <t>=IF($J297="Customer",NL("first",$J297,"Name","No.","@@"&amp;$K297),"")</t>
  </si>
  <si>
    <t>=IF(J297="vendor",NL("first",J297,"Name","No.","@@"&amp;K297),"")</t>
  </si>
  <si>
    <t>=IF($J297="Item",NL("first",$J297,"Description","No.","@@"&amp;$K297),"")</t>
  </si>
  <si>
    <t>=D300</t>
  </si>
  <si>
    <t>=NF($G301,"Posting Date")</t>
  </si>
  <si>
    <t>=NF($G301,"Entry No.")</t>
  </si>
  <si>
    <t>=NF(G301,"Source Type")</t>
  </si>
  <si>
    <t>=NF($G301,"Source No.")</t>
  </si>
  <si>
    <t>=IF($J301="Customer",NL("first",$J301,"Name","No.","@@"&amp;$K301),"")</t>
  </si>
  <si>
    <t>=IF(J301="vendor",NL("first",J301,"Name","No.","@@"&amp;K301),"")</t>
  </si>
  <si>
    <t>=IF($J301="Item",NL("first",$J301,"Description","No.","@@"&amp;$K301),"")</t>
  </si>
  <si>
    <t>=D319</t>
  </si>
  <si>
    <t>=NF($G320,"Posting Date")</t>
  </si>
  <si>
    <t>=NF($G320,"Entry No.")</t>
  </si>
  <si>
    <t>=NF(G320,"Source Type")</t>
  </si>
  <si>
    <t>=NF($G320,"Source No.")</t>
  </si>
  <si>
    <t>=IF($J320="Customer",NL("first",$J320,"Name","No.","@@"&amp;$K320),"")</t>
  </si>
  <si>
    <t>=IF(J320="vendor",NL("first",J320,"Name","No.","@@"&amp;K320),"")</t>
  </si>
  <si>
    <t>=IF($J320="Item",NL("first",$J320,"Description","No.","@@"&amp;$K320),"")</t>
  </si>
  <si>
    <t>=D323</t>
  </si>
  <si>
    <t>=NF($G324,"Posting Date")</t>
  </si>
  <si>
    <t>=NF($G324,"Entry No.")</t>
  </si>
  <si>
    <t>=NF(G324,"Source Type")</t>
  </si>
  <si>
    <t>=NF($G324,"Source No.")</t>
  </si>
  <si>
    <t>=IF($J324="Customer",NL("first",$J324,"Name","No.","@@"&amp;$K324),"")</t>
  </si>
  <si>
    <t>=IF(J324="vendor",NL("first",J324,"Name","No.","@@"&amp;K324),"")</t>
  </si>
  <si>
    <t>=IF($J324="Item",NL("first",$J324,"Description","No.","@@"&amp;$K324),"")</t>
  </si>
  <si>
    <t>=D338</t>
  </si>
  <si>
    <t>=NF($G339,"Posting Date")</t>
  </si>
  <si>
    <t>=NF($G339,"Entry No.")</t>
  </si>
  <si>
    <t>=NF(G339,"Source Type")</t>
  </si>
  <si>
    <t>=NF($G339,"Source No.")</t>
  </si>
  <si>
    <t>=IF($J339="Customer",NL("first",$J339,"Name","No.","@@"&amp;$K339),"")</t>
  </si>
  <si>
    <t>=IF(J339="vendor",NL("first",J339,"Name","No.","@@"&amp;K339),"")</t>
  </si>
  <si>
    <t>=IF($J339="Item",NL("first",$J339,"Description","No.","@@"&amp;$K339),"")</t>
  </si>
  <si>
    <t>=D352</t>
  </si>
  <si>
    <t>=NF($G353,"Posting Date")</t>
  </si>
  <si>
    <t>=NF($G353,"Entry No.")</t>
  </si>
  <si>
    <t>=NF(G353,"Source Type")</t>
  </si>
  <si>
    <t>=NF($G353,"Source No.")</t>
  </si>
  <si>
    <t>=IF($J353="Customer",NL("first",$J353,"Name","No.","@@"&amp;$K353),"")</t>
  </si>
  <si>
    <t>=IF(J353="vendor",NL("first",J353,"Name","No.","@@"&amp;K353),"")</t>
  </si>
  <si>
    <t>=IF($J353="Item",NL("first",$J353,"Description","No.","@@"&amp;$K353),"")</t>
  </si>
  <si>
    <t>=D410</t>
  </si>
  <si>
    <t>=NF($G411,"Posting Date")</t>
  </si>
  <si>
    <t>=NF($G411,"Entry No.")</t>
  </si>
  <si>
    <t>=NF(G411,"Source Type")</t>
  </si>
  <si>
    <t>=NF($G411,"Source No.")</t>
  </si>
  <si>
    <t>=IF($J411="Customer",NL("first",$J411,"Name","No.","@@"&amp;$K411),"")</t>
  </si>
  <si>
    <t>=IF(J411="vendor",NL("first",J411,"Name","No.","@@"&amp;K411),"")</t>
  </si>
  <si>
    <t>=IF($J411="Item",NL("first",$J411,"Description","No.","@@"&amp;$K411),"")</t>
  </si>
  <si>
    <t>=E74</t>
  </si>
  <si>
    <t>=NL("First","Item","Description","No.",$E74)</t>
  </si>
  <si>
    <t>=NL("First","Item","Base Unit of Measure","No.",$E74)</t>
  </si>
  <si>
    <t>=D65</t>
  </si>
  <si>
    <t>=NF($G66,"Posting Date")</t>
  </si>
  <si>
    <t>=NF($G66,"Entry No.")</t>
  </si>
  <si>
    <t>=NF(G66,"Source Type")</t>
  </si>
  <si>
    <t>=NF($G66,"Source No.")</t>
  </si>
  <si>
    <t>=IF($J66="Customer",NL("first",$J66,"Name","No.","@@"&amp;$K66),"")</t>
  </si>
  <si>
    <t>=IF(J66="vendor",NL("first",J66,"Name","No.","@@"&amp;K66),"")</t>
  </si>
  <si>
    <t>=IF($J66="Item",NL("first",$J66,"Description","No.","@@"&amp;$K66),"")</t>
  </si>
  <si>
    <t>=E85</t>
  </si>
  <si>
    <t>=NL("First","Item","Description","No.",$E85)</t>
  </si>
  <si>
    <t>=NL("First","Item","Base Unit of Measure","No.",$E85)</t>
  </si>
  <si>
    <t>=D86</t>
  </si>
  <si>
    <t>=NF($G87,"Posting Date")</t>
  </si>
  <si>
    <t>=NF($G87,"Entry No.")</t>
  </si>
  <si>
    <t>=NF(G87,"Source Type")</t>
  </si>
  <si>
    <t>=NF($G87,"Source No.")</t>
  </si>
  <si>
    <t>=IF($J87="Customer",NL("first",$J87,"Name","No.","@@"&amp;$K87),"")</t>
  </si>
  <si>
    <t>=IF(J87="vendor",NL("first",J87,"Name","No.","@@"&amp;K87),"")</t>
  </si>
  <si>
    <t>=IF($J87="Item",NL("first",$J87,"Description","No.","@@"&amp;$K87),"")</t>
  </si>
  <si>
    <t>=D110</t>
  </si>
  <si>
    <t>=NF($G111,"Posting Date")</t>
  </si>
  <si>
    <t>=NF($G111,"Entry No.")</t>
  </si>
  <si>
    <t>=NF(G111,"Source Type")</t>
  </si>
  <si>
    <t>=NF($G111,"Source No.")</t>
  </si>
  <si>
    <t>=IF($J111="Customer",NL("first",$J111,"Name","No.","@@"&amp;$K111),"")</t>
  </si>
  <si>
    <t>=IF(J111="vendor",NL("first",J111,"Name","No.","@@"&amp;K111),"")</t>
  </si>
  <si>
    <t>=IF($J111="Item",NL("first",$J111,"Description","No.","@@"&amp;$K111),"")</t>
  </si>
  <si>
    <t>=E130</t>
  </si>
  <si>
    <t>=NL("First","Item","Description","No.",$E130)</t>
  </si>
  <si>
    <t>=NL("First","Item","Base Unit of Measure","No.",$E130)</t>
  </si>
  <si>
    <t>=D165</t>
  </si>
  <si>
    <t>=NF($G166,"Posting Date")</t>
  </si>
  <si>
    <t>=NF($G166,"Entry No.")</t>
  </si>
  <si>
    <t>=NF(G166,"Source Type")</t>
  </si>
  <si>
    <t>=NF($G166,"Source No.")</t>
  </si>
  <si>
    <t>=IF($J166="Customer",NL("first",$J166,"Name","No.","@@"&amp;$K166),"")</t>
  </si>
  <si>
    <t>=IF(J166="vendor",NL("first",J166,"Name","No.","@@"&amp;K166),"")</t>
  </si>
  <si>
    <t>=IF($J166="Item",NL("first",$J166,"Description","No.","@@"&amp;$K166),"")</t>
  </si>
  <si>
    <t>=D245</t>
  </si>
  <si>
    <t>=NF($G246,"Posting Date")</t>
  </si>
  <si>
    <t>=NF($G246,"Entry No.")</t>
  </si>
  <si>
    <t>=NF(G246,"Source Type")</t>
  </si>
  <si>
    <t>=NF($G246,"Source No.")</t>
  </si>
  <si>
    <t>=IF($J246="Customer",NL("first",$J246,"Name","No.","@@"&amp;$K246),"")</t>
  </si>
  <si>
    <t>=IF(J246="vendor",NL("first",J246,"Name","No.","@@"&amp;K246),"")</t>
  </si>
  <si>
    <t>=IF($J246="Item",NL("first",$J246,"Description","No.","@@"&amp;$K246),"")</t>
  </si>
  <si>
    <t>=D253</t>
  </si>
  <si>
    <t>=NF($G254,"Posting Date")</t>
  </si>
  <si>
    <t>=NF($G254,"Entry No.")</t>
  </si>
  <si>
    <t>=NF(G254,"Source Type")</t>
  </si>
  <si>
    <t>=NF($G254,"Source No.")</t>
  </si>
  <si>
    <t>=IF($J254="Customer",NL("first",$J254,"Name","No.","@@"&amp;$K254),"")</t>
  </si>
  <si>
    <t>=IF(J254="vendor",NL("first",J254,"Name","No.","@@"&amp;K254),"")</t>
  </si>
  <si>
    <t>=IF($J254="Item",NL("first",$J254,"Description","No.","@@"&amp;$K254),"")</t>
  </si>
  <si>
    <t>=D299</t>
  </si>
  <si>
    <t>=NF($G300,"Posting Date")</t>
  </si>
  <si>
    <t>=NF($G300,"Entry No.")</t>
  </si>
  <si>
    <t>=NF(G300,"Source Type")</t>
  </si>
  <si>
    <t>=NF($G300,"Source No.")</t>
  </si>
  <si>
    <t>=IF($J300="Customer",NL("first",$J300,"Name","No.","@@"&amp;$K300),"")</t>
  </si>
  <si>
    <t>=IF(J300="vendor",NL("first",J300,"Name","No.","@@"&amp;K300),"")</t>
  </si>
  <si>
    <t>=IF($J300="Item",NL("first",$J300,"Description","No.","@@"&amp;$K300),"")</t>
  </si>
  <si>
    <t>=D322</t>
  </si>
  <si>
    <t>=NF($G323,"Posting Date")</t>
  </si>
  <si>
    <t>=NF($G323,"Entry No.")</t>
  </si>
  <si>
    <t>=NF(G323,"Source Type")</t>
  </si>
  <si>
    <t>=NF($G323,"Source No.")</t>
  </si>
  <si>
    <t>=IF($J323="Customer",NL("first",$J323,"Name","No.","@@"&amp;$K323),"")</t>
  </si>
  <si>
    <t>=IF(J323="vendor",NL("first",J323,"Name","No.","@@"&amp;K323),"")</t>
  </si>
  <si>
    <t>=IF($J323="Item",NL("first",$J323,"Description","No.","@@"&amp;$K323),"")</t>
  </si>
  <si>
    <t>=D327</t>
  </si>
  <si>
    <t>=NF($G328,"Posting Date")</t>
  </si>
  <si>
    <t>=NF($G328,"Entry No.")</t>
  </si>
  <si>
    <t>=NF(G328,"Source Type")</t>
  </si>
  <si>
    <t>=NF($G328,"Source No.")</t>
  </si>
  <si>
    <t>=IF($J328="Customer",NL("first",$J328,"Name","No.","@@"&amp;$K328),"")</t>
  </si>
  <si>
    <t>=IF(J328="vendor",NL("first",J328,"Name","No.","@@"&amp;K328),"")</t>
  </si>
  <si>
    <t>=IF($J328="Item",NL("first",$J328,"Description","No.","@@"&amp;$K328),"")</t>
  </si>
  <si>
    <t>=D344</t>
  </si>
  <si>
    <t>=NF($G345,"Posting Date")</t>
  </si>
  <si>
    <t>=NF($G345,"Entry No.")</t>
  </si>
  <si>
    <t>=NF(G345,"Source Type")</t>
  </si>
  <si>
    <t>=NF($G345,"Source No.")</t>
  </si>
  <si>
    <t>=IF($J345="Customer",NL("first",$J345,"Name","No.","@@"&amp;$K345),"")</t>
  </si>
  <si>
    <t>=IF(J345="vendor",NL("first",J345,"Name","No.","@@"&amp;K345),"")</t>
  </si>
  <si>
    <t>=IF($J345="Item",NL("first",$J345,"Description","No.","@@"&amp;$K345),"")</t>
  </si>
  <si>
    <t>=D21</t>
  </si>
  <si>
    <t>=NF($G22,"Posting Date")</t>
  </si>
  <si>
    <t>=NF($G22,"Entry No.")</t>
  </si>
  <si>
    <t>=NF(G22,"Source Type")</t>
  </si>
  <si>
    <t>=NF($G22,"Source No.")</t>
  </si>
  <si>
    <t>=IF($J22="Customer",NL("first",$J22,"Name","No.","@@"&amp;$K22),"")</t>
  </si>
  <si>
    <t>=IF(J22="vendor",NL("first",J22,"Name","No.","@@"&amp;K22),"")</t>
  </si>
  <si>
    <t>=IF($J22="Item",NL("first",$J22,"Description","No.","@@"&amp;$K22),"")</t>
  </si>
  <si>
    <t>=E129</t>
  </si>
  <si>
    <t>=NL("First","Item","Description","No.",$E129)</t>
  </si>
  <si>
    <t>=NL("First","Item","Base Unit of Measure","No.",$E129)</t>
  </si>
  <si>
    <t>=D133</t>
  </si>
  <si>
    <t>=NF($G134,"Posting Date")</t>
  </si>
  <si>
    <t>=NF($G134,"Entry No.")</t>
  </si>
  <si>
    <t>=NF(G134,"Source Type")</t>
  </si>
  <si>
    <t>=NF($G134,"Source No.")</t>
  </si>
  <si>
    <t>=IF($J134="Customer",NL("first",$J134,"Name","No.","@@"&amp;$K134),"")</t>
  </si>
  <si>
    <t>=IF(J134="vendor",NL("first",J134,"Name","No.","@@"&amp;K134),"")</t>
  </si>
  <si>
    <t>=IF($J134="Item",NL("first",$J134,"Description","No.","@@"&amp;$K134),"")</t>
  </si>
  <si>
    <t>=D134</t>
  </si>
  <si>
    <t>=NF($G135,"Posting Date")</t>
  </si>
  <si>
    <t>=NF($G135,"Entry No.")</t>
  </si>
  <si>
    <t>=NF(G135,"Source Type")</t>
  </si>
  <si>
    <t>=NF($G135,"Source No.")</t>
  </si>
  <si>
    <t>=IF($J135="Customer",NL("first",$J135,"Name","No.","@@"&amp;$K135),"")</t>
  </si>
  <si>
    <t>=IF(J135="vendor",NL("first",J135,"Name","No.","@@"&amp;K135),"")</t>
  </si>
  <si>
    <t>=IF($J135="Item",NL("first",$J135,"Description","No.","@@"&amp;$K135),"")</t>
  </si>
  <si>
    <t>=D172</t>
  </si>
  <si>
    <t>=NF($G173,"Posting Date")</t>
  </si>
  <si>
    <t>=NF($G173,"Entry No.")</t>
  </si>
  <si>
    <t>=NF(G173,"Source Type")</t>
  </si>
  <si>
    <t>=NF($G173,"Source No.")</t>
  </si>
  <si>
    <t>=IF($J173="Customer",NL("first",$J173,"Name","No.","@@"&amp;$K173),"")</t>
  </si>
  <si>
    <t>=IF(J173="vendor",NL("first",J173,"Name","No.","@@"&amp;K173),"")</t>
  </si>
  <si>
    <t>=IF($J173="Item",NL("first",$J173,"Description","No.","@@"&amp;$K173),"")</t>
  </si>
  <si>
    <t>=E185</t>
  </si>
  <si>
    <t>=NL("First","Item","Description","No.",$E185)</t>
  </si>
  <si>
    <t>=NL("First","Item","Base Unit of Measure","No.",$E185)</t>
  </si>
  <si>
    <t>=D185</t>
  </si>
  <si>
    <t>=NF($G186,"Posting Date")</t>
  </si>
  <si>
    <t>=NF($G186,"Entry No.")</t>
  </si>
  <si>
    <t>=NF(G186,"Source Type")</t>
  </si>
  <si>
    <t>=NF($G186,"Source No.")</t>
  </si>
  <si>
    <t>=IF($J186="Customer",NL("first",$J186,"Name","No.","@@"&amp;$K186),"")</t>
  </si>
  <si>
    <t>=IF(J186="vendor",NL("first",J186,"Name","No.","@@"&amp;K186),"")</t>
  </si>
  <si>
    <t>=IF($J186="Item",NL("first",$J186,"Description","No.","@@"&amp;$K186),"")</t>
  </si>
  <si>
    <t>=D241</t>
  </si>
  <si>
    <t>=NF($G242,"Posting Date")</t>
  </si>
  <si>
    <t>=NF($G242,"Entry No.")</t>
  </si>
  <si>
    <t>=NF(G242,"Source Type")</t>
  </si>
  <si>
    <t>=NF($G242,"Source No.")</t>
  </si>
  <si>
    <t>=IF($J242="Customer",NL("first",$J242,"Name","No.","@@"&amp;$K242),"")</t>
  </si>
  <si>
    <t>=IF(J242="vendor",NL("first",J242,"Name","No.","@@"&amp;K242),"")</t>
  </si>
  <si>
    <t>=IF($J242="Item",NL("first",$J242,"Description","No.","@@"&amp;$K242),"")</t>
  </si>
  <si>
    <t>=D255</t>
  </si>
  <si>
    <t>=NF($G256,"Posting Date")</t>
  </si>
  <si>
    <t>=NF($G256,"Entry No.")</t>
  </si>
  <si>
    <t>=NF(G256,"Source Type")</t>
  </si>
  <si>
    <t>=NF($G256,"Source No.")</t>
  </si>
  <si>
    <t>=IF($J256="Customer",NL("first",$J256,"Name","No.","@@"&amp;$K256),"")</t>
  </si>
  <si>
    <t>=IF(J256="vendor",NL("first",J256,"Name","No.","@@"&amp;K256),"")</t>
  </si>
  <si>
    <t>=IF($J256="Item",NL("first",$J256,"Description","No.","@@"&amp;$K256),"")</t>
  </si>
  <si>
    <t>=D261</t>
  </si>
  <si>
    <t>=NF($G262,"Posting Date")</t>
  </si>
  <si>
    <t>=NF($G262,"Entry No.")</t>
  </si>
  <si>
    <t>=NF(G262,"Source Type")</t>
  </si>
  <si>
    <t>=NF($G262,"Source No.")</t>
  </si>
  <si>
    <t>=IF($J262="Customer",NL("first",$J262,"Name","No.","@@"&amp;$K262),"")</t>
  </si>
  <si>
    <t>=IF(J262="vendor",NL("first",J262,"Name","No.","@@"&amp;K262),"")</t>
  </si>
  <si>
    <t>=IF($J262="Item",NL("first",$J262,"Description","No.","@@"&amp;$K262),"")</t>
  </si>
  <si>
    <t>=D284</t>
  </si>
  <si>
    <t>=NF($G285,"Posting Date")</t>
  </si>
  <si>
    <t>=NF($G285,"Entry No.")</t>
  </si>
  <si>
    <t>=NF(G285,"Source Type")</t>
  </si>
  <si>
    <t>=NF($G285,"Source No.")</t>
  </si>
  <si>
    <t>=IF($J285="Customer",NL("first",$J285,"Name","No.","@@"&amp;$K285),"")</t>
  </si>
  <si>
    <t>=IF(J285="vendor",NL("first",J285,"Name","No.","@@"&amp;K285),"")</t>
  </si>
  <si>
    <t>=IF($J285="Item",NL("first",$J285,"Description","No.","@@"&amp;$K285),"")</t>
  </si>
  <si>
    <t>=D290</t>
  </si>
  <si>
    <t>=NF($G291,"Posting Date")</t>
  </si>
  <si>
    <t>=NF($G291,"Entry No.")</t>
  </si>
  <si>
    <t>=NF(G291,"Source Type")</t>
  </si>
  <si>
    <t>=NF($G291,"Source No.")</t>
  </si>
  <si>
    <t>=IF($J291="Customer",NL("first",$J291,"Name","No.","@@"&amp;$K291),"")</t>
  </si>
  <si>
    <t>=IF(J291="vendor",NL("first",J291,"Name","No.","@@"&amp;K291),"")</t>
  </si>
  <si>
    <t>=IF($J291="Item",NL("first",$J291,"Description","No.","@@"&amp;$K291),"")</t>
  </si>
  <si>
    <t>=D295</t>
  </si>
  <si>
    <t>=NF($G296,"Posting Date")</t>
  </si>
  <si>
    <t>=NF($G296,"Entry No.")</t>
  </si>
  <si>
    <t>=NF(G296,"Source Type")</t>
  </si>
  <si>
    <t>=NF($G296,"Source No.")</t>
  </si>
  <si>
    <t>=IF($J296="Customer",NL("first",$J296,"Name","No.","@@"&amp;$K296),"")</t>
  </si>
  <si>
    <t>=IF(J296="vendor",NL("first",J296,"Name","No.","@@"&amp;K296),"")</t>
  </si>
  <si>
    <t>=IF($J296="Item",NL("first",$J296,"Description","No.","@@"&amp;$K296),"")</t>
  </si>
  <si>
    <t>=D306</t>
  </si>
  <si>
    <t>=NF($G307,"Posting Date")</t>
  </si>
  <si>
    <t>=NF($G307,"Entry No.")</t>
  </si>
  <si>
    <t>=NF(G307,"Source Type")</t>
  </si>
  <si>
    <t>=NF($G307,"Source No.")</t>
  </si>
  <si>
    <t>=IF($J307="Customer",NL("first",$J307,"Name","No.","@@"&amp;$K307),"")</t>
  </si>
  <si>
    <t>=IF(J307="vendor",NL("first",J307,"Name","No.","@@"&amp;K307),"")</t>
  </si>
  <si>
    <t>=IF($J307="Item",NL("first",$J307,"Description","No.","@@"&amp;$K307),"")</t>
  </si>
  <si>
    <t>=D353</t>
  </si>
  <si>
    <t>=NF($G354,"Posting Date")</t>
  </si>
  <si>
    <t>=NF($G354,"Entry No.")</t>
  </si>
  <si>
    <t>=NF(G354,"Source Type")</t>
  </si>
  <si>
    <t>=NF($G354,"Source No.")</t>
  </si>
  <si>
    <t>=IF($J354="Customer",NL("first",$J354,"Name","No.","@@"&amp;$K354),"")</t>
  </si>
  <si>
    <t>=IF(J354="vendor",NL("first",J354,"Name","No.","@@"&amp;K354),"")</t>
  </si>
  <si>
    <t>=IF($J354="Item",NL("first",$J354,"Description","No.","@@"&amp;$K354),"")</t>
  </si>
  <si>
    <t>=D115</t>
  </si>
  <si>
    <t>=NF($G116,"Posting Date")</t>
  </si>
  <si>
    <t>=NF($G116,"Entry No.")</t>
  </si>
  <si>
    <t>=NF(G116,"Source Type")</t>
  </si>
  <si>
    <t>=NF($G116,"Source No.")</t>
  </si>
  <si>
    <t>=IF($J116="Customer",NL("first",$J116,"Name","No.","@@"&amp;$K116),"")</t>
  </si>
  <si>
    <t>=IF(J116="vendor",NL("first",J116,"Name","No.","@@"&amp;K116),"")</t>
  </si>
  <si>
    <t>=IF($J116="Item",NL("first",$J116,"Description","No.","@@"&amp;$K116),"")</t>
  </si>
  <si>
    <t>=E127</t>
  </si>
  <si>
    <t>=NL("First","Item","Description","No.",$E127)</t>
  </si>
  <si>
    <t>=NL("First","Item","Base Unit of Measure","No.",$E127)</t>
  </si>
  <si>
    <t>=E137</t>
  </si>
  <si>
    <t>=NL("First","Item","Description","No.",$E137)</t>
  </si>
  <si>
    <t>=NL("First","Item","Base Unit of Measure","No.",$E137)</t>
  </si>
  <si>
    <t>=D173</t>
  </si>
  <si>
    <t>=NF($G174,"Posting Date")</t>
  </si>
  <si>
    <t>=NF($G174,"Entry No.")</t>
  </si>
  <si>
    <t>=NF(G174,"Source Type")</t>
  </si>
  <si>
    <t>=NF($G174,"Source No.")</t>
  </si>
  <si>
    <t>=IF($J174="Customer",NL("first",$J174,"Name","No.","@@"&amp;$K174),"")</t>
  </si>
  <si>
    <t>=IF(J174="vendor",NL("first",J174,"Name","No.","@@"&amp;K174),"")</t>
  </si>
  <si>
    <t>=IF($J174="Item",NL("first",$J174,"Description","No.","@@"&amp;$K174),"")</t>
  </si>
  <si>
    <t>=D99</t>
  </si>
  <si>
    <t>=NF($G100,"Posting Date")</t>
  </si>
  <si>
    <t>=NF($G100,"Entry No.")</t>
  </si>
  <si>
    <t>=NF(G100,"Source Type")</t>
  </si>
  <si>
    <t>=NF($G100,"Source No.")</t>
  </si>
  <si>
    <t>=IF($J100="Customer",NL("first",$J100,"Name","No.","@@"&amp;$K100),"")</t>
  </si>
  <si>
    <t>=IF(J100="vendor",NL("first",J100,"Name","No.","@@"&amp;K100),"")</t>
  </si>
  <si>
    <t>=IF($J100="Item",NL("first",$J100,"Description","No.","@@"&amp;$K100),"")</t>
  </si>
  <si>
    <t>=E115</t>
  </si>
  <si>
    <t>=NL("First","Item","Description","No.",$E115)</t>
  </si>
  <si>
    <t>=NL("First","Item","Base Unit of Measure","No.",$E115)</t>
  </si>
  <si>
    <t>=E40</t>
  </si>
  <si>
    <t>=NL("First","Item","Description","No.",$E40)</t>
  </si>
  <si>
    <t>=NL("First","Item","Base Unit of Measure","No.",$E40)</t>
  </si>
  <si>
    <t>=D40</t>
  </si>
  <si>
    <t>=NF($G41,"Posting Date")</t>
  </si>
  <si>
    <t>=NF($G41,"Entry No.")</t>
  </si>
  <si>
    <t>=NF(G41,"Source Type")</t>
  </si>
  <si>
    <t>=NF($G41,"Source No.")</t>
  </si>
  <si>
    <t>=IF($J41="Customer",NL("first",$J41,"Name","No.","@@"&amp;$K41),"")</t>
  </si>
  <si>
    <t>=IF(J41="vendor",NL("first",J41,"Name","No.","@@"&amp;K41),"")</t>
  </si>
  <si>
    <t>=IF($J41="Item",NL("first",$J41,"Description","No.","@@"&amp;$K41),"")</t>
  </si>
  <si>
    <t>=D164</t>
  </si>
  <si>
    <t>=NF($G165,"Posting Date")</t>
  </si>
  <si>
    <t>=NF($G165,"Entry No.")</t>
  </si>
  <si>
    <t>=NF(G165,"Source Type")</t>
  </si>
  <si>
    <t>=NF($G165,"Source No.")</t>
  </si>
  <si>
    <t>=IF($J165="Customer",NL("first",$J165,"Name","No.","@@"&amp;$K165),"")</t>
  </si>
  <si>
    <t>=IF(J165="vendor",NL("first",J165,"Name","No.","@@"&amp;K165),"")</t>
  </si>
  <si>
    <t>=IF($J165="Item",NL("first",$J165,"Description","No.","@@"&amp;$K165),"")</t>
  </si>
  <si>
    <t>=E168</t>
  </si>
  <si>
    <t>=NL("First","Item","Description","No.",$E168)</t>
  </si>
  <si>
    <t>=NL("First","Item","Base Unit of Measure","No.",$E168)</t>
  </si>
  <si>
    <t>=(SUBTOTAL(9,O169:O170))</t>
  </si>
  <si>
    <t>=(SUBTOTAL(9,P169:P170))</t>
  </si>
  <si>
    <t>=(SUBTOTAL(9,Q169:Q170))</t>
  </si>
  <si>
    <t>=(SUBTOTAL(9,R169:R170))</t>
  </si>
  <si>
    <t>=(SUBTOTAL(9,S169:S170))</t>
  </si>
  <si>
    <t>=(SUBTOTAL(9,T169:T170))</t>
  </si>
  <si>
    <t>=SUBTOTAL(9,O169:T170)</t>
  </si>
  <si>
    <t>=E172</t>
  </si>
  <si>
    <t>=NL("First","Item","Description","No.",$E172)</t>
  </si>
  <si>
    <t>=NL("First","Item","Base Unit of Measure","No.",$E172)</t>
  </si>
  <si>
    <t>Report Created</t>
  </si>
  <si>
    <t>=E12</t>
  </si>
  <si>
    <t>=NL("Rows=4","Item Ledger Entry","Item No.","Posting Date",$L$5,"Location Code",$L$7,"Item No.",$L$6)</t>
  </si>
  <si>
    <t>=NL("First","Item","Description","No.",$E12)</t>
  </si>
  <si>
    <t>=NL("First","Item","Base Unit of Measure","No.",$E12)</t>
  </si>
  <si>
    <t>=(SUBTOTAL(9,O13:O14))</t>
  </si>
  <si>
    <t>=(SUBTOTAL(9,P13:P14))</t>
  </si>
  <si>
    <t>=(SUBTOTAL(9,Q13:Q14))</t>
  </si>
  <si>
    <t>=(SUBTOTAL(9,R13:R14))</t>
  </si>
  <si>
    <t>=(SUBTOTAL(9,S13:S14))</t>
  </si>
  <si>
    <t>=(SUBTOTAL(9,T13:T14))</t>
  </si>
  <si>
    <t>=SUBTOTAL(9,O13:T14)</t>
  </si>
  <si>
    <t>=D12</t>
  </si>
  <si>
    <t>=NL("Rows","Item Ledger Entry",,"+Posting Date",$L$5,"Item No.","@@"&amp;$D13,"Location Code",$L$7)</t>
  </si>
  <si>
    <t>=NF($G13,"Posting Date")</t>
  </si>
  <si>
    <t>=NF($G13,"Entry No.")</t>
  </si>
  <si>
    <t>=NF(G13,"Source Type")</t>
  </si>
  <si>
    <t>=NF($G13,"Source No.")</t>
  </si>
  <si>
    <t>=IF($J13="Customer",NL("first",$J13,"Name","No.","@@"&amp;$K13),"")</t>
  </si>
  <si>
    <t>=IF(J13="vendor",NL("first",J13,"Name","No.","@@"&amp;K13),"")</t>
  </si>
  <si>
    <t>=IF($J13="Item",NL("first",$J13,"Description","No.","@@"&amp;$K13),"")</t>
  </si>
  <si>
    <t>=NL("Sum","Item Ledger Entry","Quantity","Entry Type","Purchase","Entry No.",I13,"Location Code",$L$7)</t>
  </si>
  <si>
    <t>=NL("Sum","Item Ledger Entry","Quantity","Entry Type","Sale","Entry No.",I13,"Location Code",$L$7)</t>
  </si>
  <si>
    <t>=NL("Sum","Item Ledger Entry","Quantity","Entry Type","Positive Adjmt.|Negative Adjmt.","Entry No.",I13,"Location Code",$L$7)</t>
  </si>
  <si>
    <t>=NL("Sum","Item Ledger Entry","Quantity","Entry Type","Transfer","Entry No.",I13,"Location Code",$L$7)</t>
  </si>
  <si>
    <t>=NL("Sum","Item Ledger Entry","Quantity","Entry Type","Consumption","Entry No.",I13,"Location Code",$L$7)</t>
  </si>
  <si>
    <t>=NL("Sum","Item Ledger Entry","Quantity","Entry Type","Output","Entry No.",I13,"Location Code",$L$7)</t>
  </si>
  <si>
    <t>=SUBTOTAL(9,O13:O16)</t>
  </si>
  <si>
    <t>=SUBTOTAL(9,P13:P16)</t>
  </si>
  <si>
    <t>=SUBTOTAL(9,Q13:Q16)</t>
  </si>
  <si>
    <t>=SUBTOTAL(9,R13:R16)</t>
  </si>
  <si>
    <t>=SUBTOTAL(9,S13:S16)</t>
  </si>
  <si>
    <t>=SUBTOTAL(9,T13:T16)</t>
  </si>
  <si>
    <t>=SUM(U12:U16)</t>
  </si>
  <si>
    <t>=NL("Sheets","Item Ledger Entry","Location Code","Item No.",$L$6,"Location Code",$L$7,"Posting Date",$L$5)</t>
  </si>
  <si>
    <t>=NL("Rows=4","Item Ledger Entry","Item No.","Posting Date",$L$5,"Location Code","@@"&amp;$E$6,"Item No.",$L$6)</t>
  </si>
  <si>
    <t>=NL("Rows","Item Ledger Entry",,"+Posting Date",$L$5,"Item No.","@@"&amp;$D13,"Location Code","@@"&amp;$E$6)</t>
  </si>
  <si>
    <t>=NL("Sum","Item Ledger Entry","Quantity","Entry Type","Purchase","Entry No.",I13,"Location Code","@@"&amp;$E$6)</t>
  </si>
  <si>
    <t>=NL("Sum","Item Ledger Entry","Quantity","Entry Type","Sale","Entry No.",I13,"Location Code","@@"&amp;$E$6)</t>
  </si>
  <si>
    <t>=NL("Sum","Item Ledger Entry","Quantity","Entry Type","Positive Adjmt.|Negative Adjmt.","Entry No.",I13,"Location Code","@@"&amp;$E$6)</t>
  </si>
  <si>
    <t>=NL("Sum","Item Ledger Entry","Quantity","Entry Type","Transfer","Entry No.",I13,"Location Code","@@"&amp;$E$6)</t>
  </si>
  <si>
    <t>=NL("Sum","Item Ledger Entry","Quantity","Entry Type","Consumption","Entry No.",I13,"Location Code","@@"&amp;$E$6)</t>
  </si>
  <si>
    <t>=NL("Sum","Item Ledger Entry","Quantity","Entry Type","Output","Entry No.",I13,"Location Code","@@"&amp;$E$6)</t>
  </si>
  <si>
    <t>=NL("Sum","Item Ledger Entry","Quantity","Entry Type","Purchase","Entry No.",I14,"Location Code",$L$7)</t>
  </si>
  <si>
    <t>=NL("Sum","Item Ledger Entry","Quantity","Entry Type","Sale","Entry No.",I14,"Location Code",$L$7)</t>
  </si>
  <si>
    <t>=NL("Sum","Item Ledger Entry","Quantity","Entry Type","Positive Adjmt.|Negative Adjmt.","Entry No.",I14,"Location Code",$L$7)</t>
  </si>
  <si>
    <t>=NL("Sum","Item Ledger Entry","Quantity","Entry Type","Transfer","Entry No.",I14,"Location Code",$L$7)</t>
  </si>
  <si>
    <t>=NL("Sum","Item Ledger Entry","Quantity","Entry Type","Consumption","Entry No.",I14,"Location Code",$L$7)</t>
  </si>
  <si>
    <t>=NL("Sum","Item Ledger Entry","Quantity","Entry Type","Output","Entry No.",I14,"Location Code",$L$7)</t>
  </si>
  <si>
    <t>=NL("Sum","Item Ledger Entry","Quantity","Entry Type","Purchase","Entry No.",I29,"Location Code",$L$7)</t>
  </si>
  <si>
    <t>=NL("Sum","Item Ledger Entry","Quantity","Entry Type","Sale","Entry No.",I29,"Location Code",$L$7)</t>
  </si>
  <si>
    <t>=NL("Sum","Item Ledger Entry","Quantity","Entry Type","Positive Adjmt.|Negative Adjmt.","Entry No.",I29,"Location Code",$L$7)</t>
  </si>
  <si>
    <t>=NL("Sum","Item Ledger Entry","Quantity","Entry Type","Transfer","Entry No.",I29,"Location Code",$L$7)</t>
  </si>
  <si>
    <t>=NL("Sum","Item Ledger Entry","Quantity","Entry Type","Consumption","Entry No.",I29,"Location Code",$L$7)</t>
  </si>
  <si>
    <t>=NL("Sum","Item Ledger Entry","Quantity","Entry Type","Output","Entry No.",I29,"Location Code",$L$7)</t>
  </si>
  <si>
    <t>=NL("Sum","Item Ledger Entry","Quantity","Entry Type","Purchase","Entry No.",I30,"Location Code",$L$7)</t>
  </si>
  <si>
    <t>=NL("Sum","Item Ledger Entry","Quantity","Entry Type","Sale","Entry No.",I30,"Location Code",$L$7)</t>
  </si>
  <si>
    <t>=NL("Sum","Item Ledger Entry","Quantity","Entry Type","Positive Adjmt.|Negative Adjmt.","Entry No.",I30,"Location Code",$L$7)</t>
  </si>
  <si>
    <t>=NL("Sum","Item Ledger Entry","Quantity","Entry Type","Transfer","Entry No.",I30,"Location Code",$L$7)</t>
  </si>
  <si>
    <t>=NL("Sum","Item Ledger Entry","Quantity","Entry Type","Consumption","Entry No.",I30,"Location Code",$L$7)</t>
  </si>
  <si>
    <t>=NL("Sum","Item Ledger Entry","Quantity","Entry Type","Output","Entry No.",I30,"Location Code",$L$7)</t>
  </si>
  <si>
    <t>=NL("Sum","Item Ledger Entry","Quantity","Entry Type","Purchase","Entry No.",I34,"Location Code",$L$7)</t>
  </si>
  <si>
    <t>=NL("Sum","Item Ledger Entry","Quantity","Entry Type","Sale","Entry No.",I34,"Location Code",$L$7)</t>
  </si>
  <si>
    <t>=NL("Sum","Item Ledger Entry","Quantity","Entry Type","Positive Adjmt.|Negative Adjmt.","Entry No.",I34,"Location Code",$L$7)</t>
  </si>
  <si>
    <t>=NL("Sum","Item Ledger Entry","Quantity","Entry Type","Transfer","Entry No.",I34,"Location Code",$L$7)</t>
  </si>
  <si>
    <t>=NL("Sum","Item Ledger Entry","Quantity","Entry Type","Consumption","Entry No.",I34,"Location Code",$L$7)</t>
  </si>
  <si>
    <t>=NL("Sum","Item Ledger Entry","Quantity","Entry Type","Output","Entry No.",I34,"Location Code",$L$7)</t>
  </si>
  <si>
    <t>=NL("Sum","Item Ledger Entry","Quantity","Entry Type","Purchase","Entry No.",I54,"Location Code",$L$7)</t>
  </si>
  <si>
    <t>=NL("Sum","Item Ledger Entry","Quantity","Entry Type","Sale","Entry No.",I54,"Location Code",$L$7)</t>
  </si>
  <si>
    <t>=NL("Sum","Item Ledger Entry","Quantity","Entry Type","Positive Adjmt.|Negative Adjmt.","Entry No.",I54,"Location Code",$L$7)</t>
  </si>
  <si>
    <t>=NL("Sum","Item Ledger Entry","Quantity","Entry Type","Transfer","Entry No.",I54,"Location Code",$L$7)</t>
  </si>
  <si>
    <t>=NL("Sum","Item Ledger Entry","Quantity","Entry Type","Consumption","Entry No.",I54,"Location Code",$L$7)</t>
  </si>
  <si>
    <t>=NL("Sum","Item Ledger Entry","Quantity","Entry Type","Output","Entry No.",I54,"Location Code",$L$7)</t>
  </si>
  <si>
    <t>=NL("Sum","Item Ledger Entry","Quantity","Entry Type","Purchase","Entry No.",I73,"Location Code",$L$7)</t>
  </si>
  <si>
    <t>=NL("Sum","Item Ledger Entry","Quantity","Entry Type","Sale","Entry No.",I73,"Location Code",$L$7)</t>
  </si>
  <si>
    <t>=NL("Sum","Item Ledger Entry","Quantity","Entry Type","Positive Adjmt.|Negative Adjmt.","Entry No.",I73,"Location Code",$L$7)</t>
  </si>
  <si>
    <t>=NL("Sum","Item Ledger Entry","Quantity","Entry Type","Transfer","Entry No.",I73,"Location Code",$L$7)</t>
  </si>
  <si>
    <t>=NL("Sum","Item Ledger Entry","Quantity","Entry Type","Consumption","Entry No.",I73,"Location Code",$L$7)</t>
  </si>
  <si>
    <t>=NL("Sum","Item Ledger Entry","Quantity","Entry Type","Output","Entry No.",I73,"Location Code",$L$7)</t>
  </si>
  <si>
    <t>=NL("Sum","Item Ledger Entry","Quantity","Entry Type","Purchase","Entry No.",I106,"Location Code",$L$7)</t>
  </si>
  <si>
    <t>=NL("Sum","Item Ledger Entry","Quantity","Entry Type","Sale","Entry No.",I106,"Location Code",$L$7)</t>
  </si>
  <si>
    <t>=NL("Sum","Item Ledger Entry","Quantity","Entry Type","Positive Adjmt.|Negative Adjmt.","Entry No.",I106,"Location Code",$L$7)</t>
  </si>
  <si>
    <t>=NL("Sum","Item Ledger Entry","Quantity","Entry Type","Transfer","Entry No.",I106,"Location Code",$L$7)</t>
  </si>
  <si>
    <t>=NL("Sum","Item Ledger Entry","Quantity","Entry Type","Consumption","Entry No.",I106,"Location Code",$L$7)</t>
  </si>
  <si>
    <t>=NL("Sum","Item Ledger Entry","Quantity","Entry Type","Output","Entry No.",I106,"Location Code",$L$7)</t>
  </si>
  <si>
    <t>=NL("Sum","Item Ledger Entry","Quantity","Entry Type","Purchase","Entry No.",I116,"Location Code",$L$7)</t>
  </si>
  <si>
    <t>=NL("Sum","Item Ledger Entry","Quantity","Entry Type","Sale","Entry No.",I116,"Location Code",$L$7)</t>
  </si>
  <si>
    <t>=NL("Sum","Item Ledger Entry","Quantity","Entry Type","Positive Adjmt.|Negative Adjmt.","Entry No.",I116,"Location Code",$L$7)</t>
  </si>
  <si>
    <t>=NL("Sum","Item Ledger Entry","Quantity","Entry Type","Transfer","Entry No.",I116,"Location Code",$L$7)</t>
  </si>
  <si>
    <t>=NL("Sum","Item Ledger Entry","Quantity","Entry Type","Consumption","Entry No.",I116,"Location Code",$L$7)</t>
  </si>
  <si>
    <t>=NL("Sum","Item Ledger Entry","Quantity","Entry Type","Output","Entry No.",I116,"Location Code",$L$7)</t>
  </si>
  <si>
    <t>=NL("Sum","Item Ledger Entry","Quantity","Entry Type","Purchase","Entry No.",I117,"Location Code",$L$7)</t>
  </si>
  <si>
    <t>=NL("Sum","Item Ledger Entry","Quantity","Entry Type","Sale","Entry No.",I117,"Location Code",$L$7)</t>
  </si>
  <si>
    <t>=NL("Sum","Item Ledger Entry","Quantity","Entry Type","Positive Adjmt.|Negative Adjmt.","Entry No.",I117,"Location Code",$L$7)</t>
  </si>
  <si>
    <t>=NL("Sum","Item Ledger Entry","Quantity","Entry Type","Transfer","Entry No.",I117,"Location Code",$L$7)</t>
  </si>
  <si>
    <t>=NL("Sum","Item Ledger Entry","Quantity","Entry Type","Consumption","Entry No.",I117,"Location Code",$L$7)</t>
  </si>
  <si>
    <t>=NL("Sum","Item Ledger Entry","Quantity","Entry Type","Output","Entry No.",I117,"Location Code",$L$7)</t>
  </si>
  <si>
    <t>=NL("Sum","Item Ledger Entry","Quantity","Entry Type","Purchase","Entry No.",I124,"Location Code",$L$7)</t>
  </si>
  <si>
    <t>=NL("Sum","Item Ledger Entry","Quantity","Entry Type","Sale","Entry No.",I124,"Location Code",$L$7)</t>
  </si>
  <si>
    <t>=NL("Sum","Item Ledger Entry","Quantity","Entry Type","Positive Adjmt.|Negative Adjmt.","Entry No.",I124,"Location Code",$L$7)</t>
  </si>
  <si>
    <t>=NL("Sum","Item Ledger Entry","Quantity","Entry Type","Transfer","Entry No.",I124,"Location Code",$L$7)</t>
  </si>
  <si>
    <t>=NL("Sum","Item Ledger Entry","Quantity","Entry Type","Consumption","Entry No.",I124,"Location Code",$L$7)</t>
  </si>
  <si>
    <t>=NL("Sum","Item Ledger Entry","Quantity","Entry Type","Output","Entry No.",I124,"Location Code",$L$7)</t>
  </si>
  <si>
    <t>=NL("Sum","Item Ledger Entry","Quantity","Entry Type","Purchase","Entry No.",I159,"Location Code",$L$7)</t>
  </si>
  <si>
    <t>=NL("Sum","Item Ledger Entry","Quantity","Entry Type","Sale","Entry No.",I159,"Location Code",$L$7)</t>
  </si>
  <si>
    <t>=NL("Sum","Item Ledger Entry","Quantity","Entry Type","Positive Adjmt.|Negative Adjmt.","Entry No.",I159,"Location Code",$L$7)</t>
  </si>
  <si>
    <t>=NL("Sum","Item Ledger Entry","Quantity","Entry Type","Transfer","Entry No.",I159,"Location Code",$L$7)</t>
  </si>
  <si>
    <t>=NL("Sum","Item Ledger Entry","Quantity","Entry Type","Consumption","Entry No.",I159,"Location Code",$L$7)</t>
  </si>
  <si>
    <t>=NL("Sum","Item Ledger Entry","Quantity","Entry Type","Output","Entry No.",I159,"Location Code",$L$7)</t>
  </si>
  <si>
    <t>=NL("Sum","Item Ledger Entry","Quantity","Entry Type","Purchase","Entry No.",I178,"Location Code",$L$7)</t>
  </si>
  <si>
    <t>=NL("Sum","Item Ledger Entry","Quantity","Entry Type","Sale","Entry No.",I178,"Location Code",$L$7)</t>
  </si>
  <si>
    <t>=NL("Sum","Item Ledger Entry","Quantity","Entry Type","Positive Adjmt.|Negative Adjmt.","Entry No.",I178,"Location Code",$L$7)</t>
  </si>
  <si>
    <t>=NL("Sum","Item Ledger Entry","Quantity","Entry Type","Transfer","Entry No.",I178,"Location Code",$L$7)</t>
  </si>
  <si>
    <t>=NL("Sum","Item Ledger Entry","Quantity","Entry Type","Consumption","Entry No.",I178,"Location Code",$L$7)</t>
  </si>
  <si>
    <t>=NL("Sum","Item Ledger Entry","Quantity","Entry Type","Output","Entry No.",I178,"Location Code",$L$7)</t>
  </si>
  <si>
    <t>=NL("Sum","Item Ledger Entry","Quantity","Entry Type","Purchase","Entry No.",I193,"Location Code",$L$7)</t>
  </si>
  <si>
    <t>=NL("Sum","Item Ledger Entry","Quantity","Entry Type","Sale","Entry No.",I193,"Location Code",$L$7)</t>
  </si>
  <si>
    <t>=NL("Sum","Item Ledger Entry","Quantity","Entry Type","Positive Adjmt.|Negative Adjmt.","Entry No.",I193,"Location Code",$L$7)</t>
  </si>
  <si>
    <t>=NL("Sum","Item Ledger Entry","Quantity","Entry Type","Transfer","Entry No.",I193,"Location Code",$L$7)</t>
  </si>
  <si>
    <t>=NL("Sum","Item Ledger Entry","Quantity","Entry Type","Consumption","Entry No.",I193,"Location Code",$L$7)</t>
  </si>
  <si>
    <t>=NL("Sum","Item Ledger Entry","Quantity","Entry Type","Output","Entry No.",I193,"Location Code",$L$7)</t>
  </si>
  <si>
    <t>=NL("Sum","Item Ledger Entry","Quantity","Entry Type","Purchase","Entry No.",I197,"Location Code",$L$7)</t>
  </si>
  <si>
    <t>=NL("Sum","Item Ledger Entry","Quantity","Entry Type","Sale","Entry No.",I197,"Location Code",$L$7)</t>
  </si>
  <si>
    <t>=NL("Sum","Item Ledger Entry","Quantity","Entry Type","Positive Adjmt.|Negative Adjmt.","Entry No.",I197,"Location Code",$L$7)</t>
  </si>
  <si>
    <t>=NL("Sum","Item Ledger Entry","Quantity","Entry Type","Transfer","Entry No.",I197,"Location Code",$L$7)</t>
  </si>
  <si>
    <t>=NL("Sum","Item Ledger Entry","Quantity","Entry Type","Consumption","Entry No.",I197,"Location Code",$L$7)</t>
  </si>
  <si>
    <t>=NL("Sum","Item Ledger Entry","Quantity","Entry Type","Output","Entry No.",I197,"Location Code",$L$7)</t>
  </si>
  <si>
    <t>=NL("Sum","Item Ledger Entry","Quantity","Entry Type","Purchase","Entry No.",I215,"Location Code",$L$7)</t>
  </si>
  <si>
    <t>=NL("Sum","Item Ledger Entry","Quantity","Entry Type","Sale","Entry No.",I215,"Location Code",$L$7)</t>
  </si>
  <si>
    <t>=NL("Sum","Item Ledger Entry","Quantity","Entry Type","Positive Adjmt.|Negative Adjmt.","Entry No.",I215,"Location Code",$L$7)</t>
  </si>
  <si>
    <t>=NL("Sum","Item Ledger Entry","Quantity","Entry Type","Transfer","Entry No.",I215,"Location Code",$L$7)</t>
  </si>
  <si>
    <t>=NL("Sum","Item Ledger Entry","Quantity","Entry Type","Consumption","Entry No.",I215,"Location Code",$L$7)</t>
  </si>
  <si>
    <t>=NL("Sum","Item Ledger Entry","Quantity","Entry Type","Output","Entry No.",I215,"Location Code",$L$7)</t>
  </si>
  <si>
    <t>=NL("Sum","Item Ledger Entry","Quantity","Entry Type","Purchase","Entry No.",I219,"Location Code",$L$7)</t>
  </si>
  <si>
    <t>=NL("Sum","Item Ledger Entry","Quantity","Entry Type","Sale","Entry No.",I219,"Location Code",$L$7)</t>
  </si>
  <si>
    <t>=NL("Sum","Item Ledger Entry","Quantity","Entry Type","Positive Adjmt.|Negative Adjmt.","Entry No.",I219,"Location Code",$L$7)</t>
  </si>
  <si>
    <t>=NL("Sum","Item Ledger Entry","Quantity","Entry Type","Transfer","Entry No.",I219,"Location Code",$L$7)</t>
  </si>
  <si>
    <t>=NL("Sum","Item Ledger Entry","Quantity","Entry Type","Consumption","Entry No.",I219,"Location Code",$L$7)</t>
  </si>
  <si>
    <t>=NL("Sum","Item Ledger Entry","Quantity","Entry Type","Output","Entry No.",I219,"Location Code",$L$7)</t>
  </si>
  <si>
    <t>=NL("Sum","Item Ledger Entry","Quantity","Entry Type","Purchase","Entry No.",I242,"Location Code",$L$7)</t>
  </si>
  <si>
    <t>=NL("Sum","Item Ledger Entry","Quantity","Entry Type","Sale","Entry No.",I242,"Location Code",$L$7)</t>
  </si>
  <si>
    <t>=NL("Sum","Item Ledger Entry","Quantity","Entry Type","Positive Adjmt.|Negative Adjmt.","Entry No.",I242,"Location Code",$L$7)</t>
  </si>
  <si>
    <t>=NL("Sum","Item Ledger Entry","Quantity","Entry Type","Transfer","Entry No.",I242,"Location Code",$L$7)</t>
  </si>
  <si>
    <t>=NL("Sum","Item Ledger Entry","Quantity","Entry Type","Consumption","Entry No.",I242,"Location Code",$L$7)</t>
  </si>
  <si>
    <t>=NL("Sum","Item Ledger Entry","Quantity","Entry Type","Output","Entry No.",I242,"Location Code",$L$7)</t>
  </si>
  <si>
    <t>=NL("Sum","Item Ledger Entry","Quantity","Entry Type","Purchase","Entry No.",I251,"Location Code",$L$7)</t>
  </si>
  <si>
    <t>=NL("Sum","Item Ledger Entry","Quantity","Entry Type","Sale","Entry No.",I251,"Location Code",$L$7)</t>
  </si>
  <si>
    <t>=NL("Sum","Item Ledger Entry","Quantity","Entry Type","Positive Adjmt.|Negative Adjmt.","Entry No.",I251,"Location Code",$L$7)</t>
  </si>
  <si>
    <t>=NL("Sum","Item Ledger Entry","Quantity","Entry Type","Transfer","Entry No.",I251,"Location Code",$L$7)</t>
  </si>
  <si>
    <t>=NL("Sum","Item Ledger Entry","Quantity","Entry Type","Consumption","Entry No.",I251,"Location Code",$L$7)</t>
  </si>
  <si>
    <t>=NL("Sum","Item Ledger Entry","Quantity","Entry Type","Output","Entry No.",I251,"Location Code",$L$7)</t>
  </si>
  <si>
    <t>=NL("Sum","Item Ledger Entry","Quantity","Entry Type","Purchase","Entry No.",I256,"Location Code",$L$7)</t>
  </si>
  <si>
    <t>=NL("Sum","Item Ledger Entry","Quantity","Entry Type","Sale","Entry No.",I256,"Location Code",$L$7)</t>
  </si>
  <si>
    <t>=NL("Sum","Item Ledger Entry","Quantity","Entry Type","Positive Adjmt.|Negative Adjmt.","Entry No.",I256,"Location Code",$L$7)</t>
  </si>
  <si>
    <t>=NL("Sum","Item Ledger Entry","Quantity","Entry Type","Transfer","Entry No.",I256,"Location Code",$L$7)</t>
  </si>
  <si>
    <t>=NL("Sum","Item Ledger Entry","Quantity","Entry Type","Consumption","Entry No.",I256,"Location Code",$L$7)</t>
  </si>
  <si>
    <t>=NL("Sum","Item Ledger Entry","Quantity","Entry Type","Output","Entry No.",I256,"Location Code",$L$7)</t>
  </si>
  <si>
    <t>=NL("Sum","Item Ledger Entry","Quantity","Entry Type","Purchase","Entry No.",I322,"Location Code",$L$7)</t>
  </si>
  <si>
    <t>=NL("Sum","Item Ledger Entry","Quantity","Entry Type","Sale","Entry No.",I322,"Location Code",$L$7)</t>
  </si>
  <si>
    <t>=NL("Sum","Item Ledger Entry","Quantity","Entry Type","Positive Adjmt.|Negative Adjmt.","Entry No.",I322,"Location Code",$L$7)</t>
  </si>
  <si>
    <t>=NL("Sum","Item Ledger Entry","Quantity","Entry Type","Transfer","Entry No.",I322,"Location Code",$L$7)</t>
  </si>
  <si>
    <t>=NL("Sum","Item Ledger Entry","Quantity","Entry Type","Consumption","Entry No.",I322,"Location Code",$L$7)</t>
  </si>
  <si>
    <t>=NL("Sum","Item Ledger Entry","Quantity","Entry Type","Output","Entry No.",I322,"Location Code",$L$7)</t>
  </si>
  <si>
    <t>=NL("Sum","Item Ledger Entry","Quantity","Entry Type","Purchase","Entry No.",I354,"Location Code",$L$7)</t>
  </si>
  <si>
    <t>=NL("Sum","Item Ledger Entry","Quantity","Entry Type","Sale","Entry No.",I354,"Location Code",$L$7)</t>
  </si>
  <si>
    <t>=NL("Sum","Item Ledger Entry","Quantity","Entry Type","Positive Adjmt.|Negative Adjmt.","Entry No.",I354,"Location Code",$L$7)</t>
  </si>
  <si>
    <t>=NL("Sum","Item Ledger Entry","Quantity","Entry Type","Transfer","Entry No.",I354,"Location Code",$L$7)</t>
  </si>
  <si>
    <t>=NL("Sum","Item Ledger Entry","Quantity","Entry Type","Consumption","Entry No.",I354,"Location Code",$L$7)</t>
  </si>
  <si>
    <t>=NL("Sum","Item Ledger Entry","Quantity","Entry Type","Output","Entry No.",I354,"Location Code",$L$7)</t>
  </si>
  <si>
    <t>=NL("Sum","Item Ledger Entry","Quantity","Entry Type","Purchase","Entry No.",I355,"Location Code",$L$7)</t>
  </si>
  <si>
    <t>=NL("Sum","Item Ledger Entry","Quantity","Entry Type","Sale","Entry No.",I355,"Location Code",$L$7)</t>
  </si>
  <si>
    <t>=NL("Sum","Item Ledger Entry","Quantity","Entry Type","Positive Adjmt.|Negative Adjmt.","Entry No.",I355,"Location Code",$L$7)</t>
  </si>
  <si>
    <t>=NL("Sum","Item Ledger Entry","Quantity","Entry Type","Transfer","Entry No.",I355,"Location Code",$L$7)</t>
  </si>
  <si>
    <t>=NL("Sum","Item Ledger Entry","Quantity","Entry Type","Consumption","Entry No.",I355,"Location Code",$L$7)</t>
  </si>
  <si>
    <t>=NL("Sum","Item Ledger Entry","Quantity","Entry Type","Output","Entry No.",I355,"Location Code",$L$7)</t>
  </si>
  <si>
    <t>=NL("Sum","Item Ledger Entry","Quantity","Entry Type","Purchase","Entry No.",I356,"Location Code",$L$7)</t>
  </si>
  <si>
    <t>=NL("Sum","Item Ledger Entry","Quantity","Entry Type","Sale","Entry No.",I356,"Location Code",$L$7)</t>
  </si>
  <si>
    <t>=NL("Sum","Item Ledger Entry","Quantity","Entry Type","Positive Adjmt.|Negative Adjmt.","Entry No.",I356,"Location Code",$L$7)</t>
  </si>
  <si>
    <t>=NL("Sum","Item Ledger Entry","Quantity","Entry Type","Transfer","Entry No.",I356,"Location Code",$L$7)</t>
  </si>
  <si>
    <t>=NL("Sum","Item Ledger Entry","Quantity","Entry Type","Consumption","Entry No.",I356,"Location Code",$L$7)</t>
  </si>
  <si>
    <t>=NL("Sum","Item Ledger Entry","Quantity","Entry Type","Output","Entry No.",I356,"Location Code",$L$7)</t>
  </si>
  <si>
    <t>=NL("Sum","Item Ledger Entry","Quantity","Entry Type","Purchase","Entry No.",I370,"Location Code",$L$7)</t>
  </si>
  <si>
    <t>=NL("Sum","Item Ledger Entry","Quantity","Entry Type","Sale","Entry No.",I370,"Location Code",$L$7)</t>
  </si>
  <si>
    <t>=NL("Sum","Item Ledger Entry","Quantity","Entry Type","Positive Adjmt.|Negative Adjmt.","Entry No.",I370,"Location Code",$L$7)</t>
  </si>
  <si>
    <t>=NL("Sum","Item Ledger Entry","Quantity","Entry Type","Transfer","Entry No.",I370,"Location Code",$L$7)</t>
  </si>
  <si>
    <t>=NL("Sum","Item Ledger Entry","Quantity","Entry Type","Consumption","Entry No.",I370,"Location Code",$L$7)</t>
  </si>
  <si>
    <t>=NL("Sum","Item Ledger Entry","Quantity","Entry Type","Output","Entry No.",I370,"Location Code",$L$7)</t>
  </si>
  <si>
    <t>=NL("Sum","Item Ledger Entry","Quantity","Entry Type","Purchase","Entry No.",I371,"Location Code",$L$7)</t>
  </si>
  <si>
    <t>=NL("Sum","Item Ledger Entry","Quantity","Entry Type","Sale","Entry No.",I371,"Location Code",$L$7)</t>
  </si>
  <si>
    <t>=NL("Sum","Item Ledger Entry","Quantity","Entry Type","Positive Adjmt.|Negative Adjmt.","Entry No.",I371,"Location Code",$L$7)</t>
  </si>
  <si>
    <t>=NL("Sum","Item Ledger Entry","Quantity","Entry Type","Transfer","Entry No.",I371,"Location Code",$L$7)</t>
  </si>
  <si>
    <t>=NL("Sum","Item Ledger Entry","Quantity","Entry Type","Consumption","Entry No.",I371,"Location Code",$L$7)</t>
  </si>
  <si>
    <t>=NL("Sum","Item Ledger Entry","Quantity","Entry Type","Output","Entry No.",I371,"Location Code",$L$7)</t>
  </si>
  <si>
    <t>=NL("Sum","Item Ledger Entry","Quantity","Entry Type","Purchase","Entry No.",I384,"Location Code",$L$7)</t>
  </si>
  <si>
    <t>=NL("Sum","Item Ledger Entry","Quantity","Entry Type","Sale","Entry No.",I384,"Location Code",$L$7)</t>
  </si>
  <si>
    <t>=NL("Sum","Item Ledger Entry","Quantity","Entry Type","Positive Adjmt.|Negative Adjmt.","Entry No.",I384,"Location Code",$L$7)</t>
  </si>
  <si>
    <t>=NL("Sum","Item Ledger Entry","Quantity","Entry Type","Transfer","Entry No.",I384,"Location Code",$L$7)</t>
  </si>
  <si>
    <t>=NL("Sum","Item Ledger Entry","Quantity","Entry Type","Consumption","Entry No.",I384,"Location Code",$L$7)</t>
  </si>
  <si>
    <t>=NL("Sum","Item Ledger Entry","Quantity","Entry Type","Output","Entry No.",I384,"Location Code",$L$7)</t>
  </si>
  <si>
    <t>=NL("Sum","Item Ledger Entry","Quantity","Entry Type","Purchase","Entry No.",I385,"Location Code",$L$7)</t>
  </si>
  <si>
    <t>=NL("Sum","Item Ledger Entry","Quantity","Entry Type","Sale","Entry No.",I385,"Location Code",$L$7)</t>
  </si>
  <si>
    <t>=NL("Sum","Item Ledger Entry","Quantity","Entry Type","Positive Adjmt.|Negative Adjmt.","Entry No.",I385,"Location Code",$L$7)</t>
  </si>
  <si>
    <t>=NL("Sum","Item Ledger Entry","Quantity","Entry Type","Transfer","Entry No.",I385,"Location Code",$L$7)</t>
  </si>
  <si>
    <t>=NL("Sum","Item Ledger Entry","Quantity","Entry Type","Consumption","Entry No.",I385,"Location Code",$L$7)</t>
  </si>
  <si>
    <t>=NL("Sum","Item Ledger Entry","Quantity","Entry Type","Output","Entry No.",I385,"Location Code",$L$7)</t>
  </si>
  <si>
    <t>=NL("Sum","Item Ledger Entry","Quantity","Entry Type","Purchase","Entry No.",I386,"Location Code",$L$7)</t>
  </si>
  <si>
    <t>=NL("Sum","Item Ledger Entry","Quantity","Entry Type","Sale","Entry No.",I386,"Location Code",$L$7)</t>
  </si>
  <si>
    <t>=NL("Sum","Item Ledger Entry","Quantity","Entry Type","Positive Adjmt.|Negative Adjmt.","Entry No.",I386,"Location Code",$L$7)</t>
  </si>
  <si>
    <t>=NL("Sum","Item Ledger Entry","Quantity","Entry Type","Transfer","Entry No.",I386,"Location Code",$L$7)</t>
  </si>
  <si>
    <t>=NL("Sum","Item Ledger Entry","Quantity","Entry Type","Consumption","Entry No.",I386,"Location Code",$L$7)</t>
  </si>
  <si>
    <t>=NL("Sum","Item Ledger Entry","Quantity","Entry Type","Output","Entry No.",I386,"Location Code",$L$7)</t>
  </si>
  <si>
    <t>=D397</t>
  </si>
  <si>
    <t>=NF($G398,"Posting Date")</t>
  </si>
  <si>
    <t>=NF($G398,"Entry No.")</t>
  </si>
  <si>
    <t>=NF(G398,"Source Type")</t>
  </si>
  <si>
    <t>=NF($G398,"Source No.")</t>
  </si>
  <si>
    <t>=IF($J398="Customer",NL("first",$J398,"Name","No.","@@"&amp;$K398),"")</t>
  </si>
  <si>
    <t>=IF(J398="vendor",NL("first",J398,"Name","No.","@@"&amp;K398),"")</t>
  </si>
  <si>
    <t>=IF($J398="Item",NL("first",$J398,"Description","No.","@@"&amp;$K398),"")</t>
  </si>
  <si>
    <t>=NL("Sum","Item Ledger Entry","Quantity","Entry Type","Purchase","Entry No.",I425,"Location Code",$L$7)</t>
  </si>
  <si>
    <t>=NL("Sum","Item Ledger Entry","Quantity","Entry Type","Sale","Entry No.",I425,"Location Code",$L$7)</t>
  </si>
  <si>
    <t>=NL("Sum","Item Ledger Entry","Quantity","Entry Type","Positive Adjmt.|Negative Adjmt.","Entry No.",I425,"Location Code",$L$7)</t>
  </si>
  <si>
    <t>=NL("Sum","Item Ledger Entry","Quantity","Entry Type","Transfer","Entry No.",I425,"Location Code",$L$7)</t>
  </si>
  <si>
    <t>=NL("Sum","Item Ledger Entry","Quantity","Entry Type","Consumption","Entry No.",I425,"Location Code",$L$7)</t>
  </si>
  <si>
    <t>=NL("Sum","Item Ledger Entry","Quantity","Entry Type","Output","Entry No.",I425,"Location Code",$L$7)</t>
  </si>
  <si>
    <t>=NL("Sum","Item Ledger Entry","Quantity","Entry Type","Purchase","Entry No.",I452,"Location Code",$L$7)</t>
  </si>
  <si>
    <t>=NL("Sum","Item Ledger Entry","Quantity","Entry Type","Sale","Entry No.",I452,"Location Code",$L$7)</t>
  </si>
  <si>
    <t>=NL("Sum","Item Ledger Entry","Quantity","Entry Type","Positive Adjmt.|Negative Adjmt.","Entry No.",I452,"Location Code",$L$7)</t>
  </si>
  <si>
    <t>=NL("Sum","Item Ledger Entry","Quantity","Entry Type","Transfer","Entry No.",I452,"Location Code",$L$7)</t>
  </si>
  <si>
    <t>=NL("Sum","Item Ledger Entry","Quantity","Entry Type","Consumption","Entry No.",I452,"Location Code",$L$7)</t>
  </si>
  <si>
    <t>=NL("Sum","Item Ledger Entry","Quantity","Entry Type","Output","Entry No.",I452,"Location Code",$L$7)</t>
  </si>
  <si>
    <t>=E16</t>
  </si>
  <si>
    <t>=NL("First","Item","Description","No.",$E16)</t>
  </si>
  <si>
    <t>=NL("First","Item","Base Unit of Measure","No.",$E16)</t>
  </si>
  <si>
    <t>=NL("Rows","Item Ledger Entry",,"+Posting Date",$L$5,"Item No.","@@"&amp;$D17,"Location Code","@@"&amp;$E$6)</t>
  </si>
  <si>
    <t>=NL("Sum","Item Ledger Entry","Quantity","Entry Type","Purchase","Entry No.",I17,"Location Code","@@"&amp;$E$6)</t>
  </si>
  <si>
    <t>=NL("Sum","Item Ledger Entry","Quantity","Entry Type","Sale","Entry No.",I17,"Location Code","@@"&amp;$E$6)</t>
  </si>
  <si>
    <t>=NL("Sum","Item Ledger Entry","Quantity","Entry Type","Positive Adjmt.|Negative Adjmt.","Entry No.",I17,"Location Code","@@"&amp;$E$6)</t>
  </si>
  <si>
    <t>=NL("Sum","Item Ledger Entry","Quantity","Entry Type","Transfer","Entry No.",I17,"Location Code","@@"&amp;$E$6)</t>
  </si>
  <si>
    <t>=NL("Sum","Item Ledger Entry","Quantity","Entry Type","Consumption","Entry No.",I17,"Location Code","@@"&amp;$E$6)</t>
  </si>
  <si>
    <t>=NL("Sum","Item Ledger Entry","Quantity","Entry Type","Output","Entry No.",I17,"Location Code","@@"&amp;$E$6)</t>
  </si>
  <si>
    <t>=NL("Sum","Item Ledger Entry","Quantity","Entry Type","Purchase","Entry No.",I31,"Location Code","@@"&amp;$E$6)</t>
  </si>
  <si>
    <t>=NL("Sum","Item Ledger Entry","Quantity","Entry Type","Sale","Entry No.",I31,"Location Code","@@"&amp;$E$6)</t>
  </si>
  <si>
    <t>=NL("Sum","Item Ledger Entry","Quantity","Entry Type","Positive Adjmt.|Negative Adjmt.","Entry No.",I31,"Location Code","@@"&amp;$E$6)</t>
  </si>
  <si>
    <t>=NL("Sum","Item Ledger Entry","Quantity","Entry Type","Transfer","Entry No.",I31,"Location Code","@@"&amp;$E$6)</t>
  </si>
  <si>
    <t>=NL("Sum","Item Ledger Entry","Quantity","Entry Type","Consumption","Entry No.",I31,"Location Code","@@"&amp;$E$6)</t>
  </si>
  <si>
    <t>=NL("Sum","Item Ledger Entry","Quantity","Entry Type","Output","Entry No.",I31,"Location Code","@@"&amp;$E$6)</t>
  </si>
  <si>
    <t>=NL("Sum","Item Ledger Entry","Quantity","Entry Type","Purchase","Entry No.",I36,"Location Code","@@"&amp;$E$6)</t>
  </si>
  <si>
    <t>=NL("Sum","Item Ledger Entry","Quantity","Entry Type","Sale","Entry No.",I36,"Location Code","@@"&amp;$E$6)</t>
  </si>
  <si>
    <t>=NL("Sum","Item Ledger Entry","Quantity","Entry Type","Positive Adjmt.|Negative Adjmt.","Entry No.",I36,"Location Code","@@"&amp;$E$6)</t>
  </si>
  <si>
    <t>=NL("Sum","Item Ledger Entry","Quantity","Entry Type","Transfer","Entry No.",I36,"Location Code","@@"&amp;$E$6)</t>
  </si>
  <si>
    <t>=NL("Sum","Item Ledger Entry","Quantity","Entry Type","Consumption","Entry No.",I36,"Location Code","@@"&amp;$E$6)</t>
  </si>
  <si>
    <t>=NL("Sum","Item Ledger Entry","Quantity","Entry Type","Output","Entry No.",I36,"Location Code","@@"&amp;$E$6)</t>
  </si>
  <si>
    <t>=NL("Sum","Item Ledger Entry","Quantity","Entry Type","Purchase","Entry No.",I37,"Location Code","@@"&amp;$E$6)</t>
  </si>
  <si>
    <t>=NL("Sum","Item Ledger Entry","Quantity","Entry Type","Sale","Entry No.",I37,"Location Code","@@"&amp;$E$6)</t>
  </si>
  <si>
    <t>=NL("Sum","Item Ledger Entry","Quantity","Entry Type","Positive Adjmt.|Negative Adjmt.","Entry No.",I37,"Location Code","@@"&amp;$E$6)</t>
  </si>
  <si>
    <t>=NL("Sum","Item Ledger Entry","Quantity","Entry Type","Transfer","Entry No.",I37,"Location Code","@@"&amp;$E$6)</t>
  </si>
  <si>
    <t>=NL("Sum","Item Ledger Entry","Quantity","Entry Type","Consumption","Entry No.",I37,"Location Code","@@"&amp;$E$6)</t>
  </si>
  <si>
    <t>=NL("Sum","Item Ledger Entry","Quantity","Entry Type","Output","Entry No.",I37,"Location Code","@@"&amp;$E$6)</t>
  </si>
  <si>
    <t>=NL("Sum","Item Ledger Entry","Quantity","Entry Type","Purchase","Entry No.",I45,"Location Code","@@"&amp;$E$6)</t>
  </si>
  <si>
    <t>=NL("Sum","Item Ledger Entry","Quantity","Entry Type","Sale","Entry No.",I45,"Location Code","@@"&amp;$E$6)</t>
  </si>
  <si>
    <t>=NL("Sum","Item Ledger Entry","Quantity","Entry Type","Positive Adjmt.|Negative Adjmt.","Entry No.",I45,"Location Code","@@"&amp;$E$6)</t>
  </si>
  <si>
    <t>=NL("Sum","Item Ledger Entry","Quantity","Entry Type","Transfer","Entry No.",I45,"Location Code","@@"&amp;$E$6)</t>
  </si>
  <si>
    <t>=NL("Sum","Item Ledger Entry","Quantity","Entry Type","Consumption","Entry No.",I45,"Location Code","@@"&amp;$E$6)</t>
  </si>
  <si>
    <t>=NL("Sum","Item Ledger Entry","Quantity","Entry Type","Output","Entry No.",I45,"Location Code","@@"&amp;$E$6)</t>
  </si>
  <si>
    <t>=NL("Rows","Item Ledger Entry",,"+Posting Date",$L$5,"Item No.","@@"&amp;$D49,"Location Code","@@"&amp;$E$6)</t>
  </si>
  <si>
    <t>=NL("Sum","Item Ledger Entry","Quantity","Entry Type","Purchase","Entry No.",I49,"Location Code","@@"&amp;$E$6)</t>
  </si>
  <si>
    <t>=NL("Sum","Item Ledger Entry","Quantity","Entry Type","Sale","Entry No.",I49,"Location Code","@@"&amp;$E$6)</t>
  </si>
  <si>
    <t>=NL("Sum","Item Ledger Entry","Quantity","Entry Type","Positive Adjmt.|Negative Adjmt.","Entry No.",I49,"Location Code","@@"&amp;$E$6)</t>
  </si>
  <si>
    <t>=NL("Sum","Item Ledger Entry","Quantity","Entry Type","Transfer","Entry No.",I49,"Location Code","@@"&amp;$E$6)</t>
  </si>
  <si>
    <t>=NL("Sum","Item Ledger Entry","Quantity","Entry Type","Consumption","Entry No.",I49,"Location Code","@@"&amp;$E$6)</t>
  </si>
  <si>
    <t>=NL("Sum","Item Ledger Entry","Quantity","Entry Type","Output","Entry No.",I49,"Location Code","@@"&amp;$E$6)</t>
  </si>
  <si>
    <t>=NL("Sum","Item Ledger Entry","Quantity","Entry Type","Purchase","Entry No.",I53,"Location Code","@@"&amp;$E$6)</t>
  </si>
  <si>
    <t>=NL("Sum","Item Ledger Entry","Quantity","Entry Type","Sale","Entry No.",I53,"Location Code","@@"&amp;$E$6)</t>
  </si>
  <si>
    <t>=NL("Sum","Item Ledger Entry","Quantity","Entry Type","Positive Adjmt.|Negative Adjmt.","Entry No.",I53,"Location Code","@@"&amp;$E$6)</t>
  </si>
  <si>
    <t>=NL("Sum","Item Ledger Entry","Quantity","Entry Type","Transfer","Entry No.",I53,"Location Code","@@"&amp;$E$6)</t>
  </si>
  <si>
    <t>=NL("Sum","Item Ledger Entry","Quantity","Entry Type","Consumption","Entry No.",I53,"Location Code","@@"&amp;$E$6)</t>
  </si>
  <si>
    <t>=NL("Sum","Item Ledger Entry","Quantity","Entry Type","Output","Entry No.",I53,"Location Code","@@"&amp;$E$6)</t>
  </si>
  <si>
    <t>=NL("Rows","Item Ledger Entry",,"+Posting Date",$L$5,"Item No.","@@"&amp;$D57,"Location Code","@@"&amp;$E$6)</t>
  </si>
  <si>
    <t>=NL("Sum","Item Ledger Entry","Quantity","Entry Type","Purchase","Entry No.",I57,"Location Code","@@"&amp;$E$6)</t>
  </si>
  <si>
    <t>=NL("Sum","Item Ledger Entry","Quantity","Entry Type","Sale","Entry No.",I57,"Location Code","@@"&amp;$E$6)</t>
  </si>
  <si>
    <t>=NL("Sum","Item Ledger Entry","Quantity","Entry Type","Positive Adjmt.|Negative Adjmt.","Entry No.",I57,"Location Code","@@"&amp;$E$6)</t>
  </si>
  <si>
    <t>=NL("Sum","Item Ledger Entry","Quantity","Entry Type","Transfer","Entry No.",I57,"Location Code","@@"&amp;$E$6)</t>
  </si>
  <si>
    <t>=NL("Sum","Item Ledger Entry","Quantity","Entry Type","Consumption","Entry No.",I57,"Location Code","@@"&amp;$E$6)</t>
  </si>
  <si>
    <t>=NL("Sum","Item Ledger Entry","Quantity","Entry Type","Output","Entry No.",I57,"Location Code","@@"&amp;$E$6)</t>
  </si>
  <si>
    <t>=NL("Rows","Item Ledger Entry",,"+Posting Date",$L$5,"Item No.","@@"&amp;$D61,"Location Code","@@"&amp;$E$6)</t>
  </si>
  <si>
    <t>=NL("Sum","Item Ledger Entry","Quantity","Entry Type","Purchase","Entry No.",I61,"Location Code","@@"&amp;$E$6)</t>
  </si>
  <si>
    <t>=NL("Sum","Item Ledger Entry","Quantity","Entry Type","Sale","Entry No.",I61,"Location Code","@@"&amp;$E$6)</t>
  </si>
  <si>
    <t>=NL("Sum","Item Ledger Entry","Quantity","Entry Type","Positive Adjmt.|Negative Adjmt.","Entry No.",I61,"Location Code","@@"&amp;$E$6)</t>
  </si>
  <si>
    <t>=NL("Sum","Item Ledger Entry","Quantity","Entry Type","Transfer","Entry No.",I61,"Location Code","@@"&amp;$E$6)</t>
  </si>
  <si>
    <t>=NL("Sum","Item Ledger Entry","Quantity","Entry Type","Consumption","Entry No.",I61,"Location Code","@@"&amp;$E$6)</t>
  </si>
  <si>
    <t>=NL("Sum","Item Ledger Entry","Quantity","Entry Type","Output","Entry No.",I61,"Location Code","@@"&amp;$E$6)</t>
  </si>
  <si>
    <t>=NL("Sum","Item Ledger Entry","Quantity","Entry Type","Purchase","Entry No.",I73,"Location Code","@@"&amp;$E$6)</t>
  </si>
  <si>
    <t>=NL("Sum","Item Ledger Entry","Quantity","Entry Type","Sale","Entry No.",I73,"Location Code","@@"&amp;$E$6)</t>
  </si>
  <si>
    <t>=NL("Sum","Item Ledger Entry","Quantity","Entry Type","Positive Adjmt.|Negative Adjmt.","Entry No.",I73,"Location Code","@@"&amp;$E$6)</t>
  </si>
  <si>
    <t>=NL("Sum","Item Ledger Entry","Quantity","Entry Type","Transfer","Entry No.",I73,"Location Code","@@"&amp;$E$6)</t>
  </si>
  <si>
    <t>=NL("Sum","Item Ledger Entry","Quantity","Entry Type","Consumption","Entry No.",I73,"Location Code","@@"&amp;$E$6)</t>
  </si>
  <si>
    <t>=NL("Sum","Item Ledger Entry","Quantity","Entry Type","Output","Entry No.",I73,"Location Code","@@"&amp;$E$6)</t>
  </si>
  <si>
    <t>=NL("Sum","Item Ledger Entry","Quantity","Entry Type","Purchase","Entry No.",I81,"Location Code","@@"&amp;$E$6)</t>
  </si>
  <si>
    <t>=NL("Sum","Item Ledger Entry","Quantity","Entry Type","Sale","Entry No.",I81,"Location Code","@@"&amp;$E$6)</t>
  </si>
  <si>
    <t>=NL("Sum","Item Ledger Entry","Quantity","Entry Type","Positive Adjmt.|Negative Adjmt.","Entry No.",I81,"Location Code","@@"&amp;$E$6)</t>
  </si>
  <si>
    <t>=NL("Sum","Item Ledger Entry","Quantity","Entry Type","Transfer","Entry No.",I81,"Location Code","@@"&amp;$E$6)</t>
  </si>
  <si>
    <t>=NL("Sum","Item Ledger Entry","Quantity","Entry Type","Consumption","Entry No.",I81,"Location Code","@@"&amp;$E$6)</t>
  </si>
  <si>
    <t>=NL("Sum","Item Ledger Entry","Quantity","Entry Type","Output","Entry No.",I81,"Location Code","@@"&amp;$E$6)</t>
  </si>
  <si>
    <t>=NL("Sum","Item Ledger Entry","Quantity","Entry Type","Purchase","Entry No.",I85,"Location Code","@@"&amp;$E$6)</t>
  </si>
  <si>
    <t>=NL("Sum","Item Ledger Entry","Quantity","Entry Type","Sale","Entry No.",I85,"Location Code","@@"&amp;$E$6)</t>
  </si>
  <si>
    <t>=NL("Sum","Item Ledger Entry","Quantity","Entry Type","Positive Adjmt.|Negative Adjmt.","Entry No.",I85,"Location Code","@@"&amp;$E$6)</t>
  </si>
  <si>
    <t>=NL("Sum","Item Ledger Entry","Quantity","Entry Type","Transfer","Entry No.",I85,"Location Code","@@"&amp;$E$6)</t>
  </si>
  <si>
    <t>=NL("Sum","Item Ledger Entry","Quantity","Entry Type","Consumption","Entry No.",I85,"Location Code","@@"&amp;$E$6)</t>
  </si>
  <si>
    <t>=NL("Sum","Item Ledger Entry","Quantity","Entry Type","Output","Entry No.",I85,"Location Code","@@"&amp;$E$6)</t>
  </si>
  <si>
    <t>=NL("Sum","Item Ledger Entry","Quantity","Entry Type","Purchase","Entry No.",I97,"Location Code","@@"&amp;$E$6)</t>
  </si>
  <si>
    <t>=NL("Sum","Item Ledger Entry","Quantity","Entry Type","Sale","Entry No.",I97,"Location Code","@@"&amp;$E$6)</t>
  </si>
  <si>
    <t>=NL("Sum","Item Ledger Entry","Quantity","Entry Type","Positive Adjmt.|Negative Adjmt.","Entry No.",I97,"Location Code","@@"&amp;$E$6)</t>
  </si>
  <si>
    <t>=NL("Sum","Item Ledger Entry","Quantity","Entry Type","Transfer","Entry No.",I97,"Location Code","@@"&amp;$E$6)</t>
  </si>
  <si>
    <t>=NL("Sum","Item Ledger Entry","Quantity","Entry Type","Consumption","Entry No.",I97,"Location Code","@@"&amp;$E$6)</t>
  </si>
  <si>
    <t>=NL("Sum","Item Ledger Entry","Quantity","Entry Type","Output","Entry No.",I97,"Location Code","@@"&amp;$E$6)</t>
  </si>
  <si>
    <t>=NL("Rows","Item Ledger Entry",,"+Posting Date",$L$5,"Item No.","@@"&amp;$D101,"Location Code","@@"&amp;$E$6)</t>
  </si>
  <si>
    <t>=NL("Sum","Item Ledger Entry","Quantity","Entry Type","Purchase","Entry No.",I101,"Location Code","@@"&amp;$E$6)</t>
  </si>
  <si>
    <t>=NL("Sum","Item Ledger Entry","Quantity","Entry Type","Sale","Entry No.",I101,"Location Code","@@"&amp;$E$6)</t>
  </si>
  <si>
    <t>=NL("Sum","Item Ledger Entry","Quantity","Entry Type","Positive Adjmt.|Negative Adjmt.","Entry No.",I101,"Location Code","@@"&amp;$E$6)</t>
  </si>
  <si>
    <t>=NL("Sum","Item Ledger Entry","Quantity","Entry Type","Transfer","Entry No.",I101,"Location Code","@@"&amp;$E$6)</t>
  </si>
  <si>
    <t>=NL("Sum","Item Ledger Entry","Quantity","Entry Type","Consumption","Entry No.",I101,"Location Code","@@"&amp;$E$6)</t>
  </si>
  <si>
    <t>=NL("Sum","Item Ledger Entry","Quantity","Entry Type","Output","Entry No.",I101,"Location Code","@@"&amp;$E$6)</t>
  </si>
  <si>
    <t>=NL("Rows","Item Ledger Entry",,"+Posting Date",$L$5,"Item No.","@@"&amp;$D105,"Location Code","@@"&amp;$E$6)</t>
  </si>
  <si>
    <t>=NL("Sum","Item Ledger Entry","Quantity","Entry Type","Purchase","Entry No.",I105,"Location Code","@@"&amp;$E$6)</t>
  </si>
  <si>
    <t>=NL("Sum","Item Ledger Entry","Quantity","Entry Type","Sale","Entry No.",I105,"Location Code","@@"&amp;$E$6)</t>
  </si>
  <si>
    <t>=NL("Sum","Item Ledger Entry","Quantity","Entry Type","Positive Adjmt.|Negative Adjmt.","Entry No.",I105,"Location Code","@@"&amp;$E$6)</t>
  </si>
  <si>
    <t>=NL("Sum","Item Ledger Entry","Quantity","Entry Type","Transfer","Entry No.",I105,"Location Code","@@"&amp;$E$6)</t>
  </si>
  <si>
    <t>=NL("Sum","Item Ledger Entry","Quantity","Entry Type","Consumption","Entry No.",I105,"Location Code","@@"&amp;$E$6)</t>
  </si>
  <si>
    <t>=NL("Sum","Item Ledger Entry","Quantity","Entry Type","Output","Entry No.",I105,"Location Code","@@"&amp;$E$6)</t>
  </si>
  <si>
    <t>=NL("Sum","Item Ledger Entry","Quantity","Entry Type","Purchase","Entry No.",I114,"Location Code","@@"&amp;$E$6)</t>
  </si>
  <si>
    <t>=NL("Sum","Item Ledger Entry","Quantity","Entry Type","Sale","Entry No.",I114,"Location Code","@@"&amp;$E$6)</t>
  </si>
  <si>
    <t>=NL("Sum","Item Ledger Entry","Quantity","Entry Type","Positive Adjmt.|Negative Adjmt.","Entry No.",I114,"Location Code","@@"&amp;$E$6)</t>
  </si>
  <si>
    <t>=NL("Sum","Item Ledger Entry","Quantity","Entry Type","Transfer","Entry No.",I114,"Location Code","@@"&amp;$E$6)</t>
  </si>
  <si>
    <t>=NL("Sum","Item Ledger Entry","Quantity","Entry Type","Consumption","Entry No.",I114,"Location Code","@@"&amp;$E$6)</t>
  </si>
  <si>
    <t>=NL("Sum","Item Ledger Entry","Quantity","Entry Type","Output","Entry No.",I114,"Location Code","@@"&amp;$E$6)</t>
  </si>
  <si>
    <t>=NL("Sum","Item Ledger Entry","Quantity","Entry Type","Purchase","Entry No.",I122,"Location Code","@@"&amp;$E$6)</t>
  </si>
  <si>
    <t>=NL("Sum","Item Ledger Entry","Quantity","Entry Type","Sale","Entry No.",I122,"Location Code","@@"&amp;$E$6)</t>
  </si>
  <si>
    <t>=NL("Sum","Item Ledger Entry","Quantity","Entry Type","Positive Adjmt.|Negative Adjmt.","Entry No.",I122,"Location Code","@@"&amp;$E$6)</t>
  </si>
  <si>
    <t>=NL("Sum","Item Ledger Entry","Quantity","Entry Type","Transfer","Entry No.",I122,"Location Code","@@"&amp;$E$6)</t>
  </si>
  <si>
    <t>=NL("Sum","Item Ledger Entry","Quantity","Entry Type","Consumption","Entry No.",I122,"Location Code","@@"&amp;$E$6)</t>
  </si>
  <si>
    <t>=NL("Sum","Item Ledger Entry","Quantity","Entry Type","Output","Entry No.",I122,"Location Code","@@"&amp;$E$6)</t>
  </si>
  <si>
    <t>=NL("Sum","Item Ledger Entry","Quantity","Entry Type","Purchase","Entry No.",I127,"Location Code","@@"&amp;$E$6)</t>
  </si>
  <si>
    <t>=NL("Sum","Item Ledger Entry","Quantity","Entry Type","Sale","Entry No.",I127,"Location Code","@@"&amp;$E$6)</t>
  </si>
  <si>
    <t>=NL("Sum","Item Ledger Entry","Quantity","Entry Type","Positive Adjmt.|Negative Adjmt.","Entry No.",I127,"Location Code","@@"&amp;$E$6)</t>
  </si>
  <si>
    <t>=NL("Sum","Item Ledger Entry","Quantity","Entry Type","Transfer","Entry No.",I127,"Location Code","@@"&amp;$E$6)</t>
  </si>
  <si>
    <t>=NL("Sum","Item Ledger Entry","Quantity","Entry Type","Consumption","Entry No.",I127,"Location Code","@@"&amp;$E$6)</t>
  </si>
  <si>
    <t>=NL("Sum","Item Ledger Entry","Quantity","Entry Type","Output","Entry No.",I127,"Location Code","@@"&amp;$E$6)</t>
  </si>
  <si>
    <t>=NL("Rows","Item Ledger Entry",,"+Posting Date",$L$5,"Item No.","@@"&amp;$D131,"Location Code","@@"&amp;$E$6)</t>
  </si>
  <si>
    <t>=NL("Sum","Item Ledger Entry","Quantity","Entry Type","Purchase","Entry No.",I131,"Location Code","@@"&amp;$E$6)</t>
  </si>
  <si>
    <t>=NL("Sum","Item Ledger Entry","Quantity","Entry Type","Sale","Entry No.",I131,"Location Code","@@"&amp;$E$6)</t>
  </si>
  <si>
    <t>=NL("Sum","Item Ledger Entry","Quantity","Entry Type","Positive Adjmt.|Negative Adjmt.","Entry No.",I131,"Location Code","@@"&amp;$E$6)</t>
  </si>
  <si>
    <t>=NL("Sum","Item Ledger Entry","Quantity","Entry Type","Transfer","Entry No.",I131,"Location Code","@@"&amp;$E$6)</t>
  </si>
  <si>
    <t>=NL("Sum","Item Ledger Entry","Quantity","Entry Type","Consumption","Entry No.",I131,"Location Code","@@"&amp;$E$6)</t>
  </si>
  <si>
    <t>=NL("Sum","Item Ledger Entry","Quantity","Entry Type","Output","Entry No.",I131,"Location Code","@@"&amp;$E$6)</t>
  </si>
  <si>
    <t>=NL("Sum","Item Ledger Entry","Quantity","Entry Type","Purchase","Entry No.",I132,"Location Code","@@"&amp;$E$6)</t>
  </si>
  <si>
    <t>=NL("Sum","Item Ledger Entry","Quantity","Entry Type","Sale","Entry No.",I132,"Location Code","@@"&amp;$E$6)</t>
  </si>
  <si>
    <t>=NL("Sum","Item Ledger Entry","Quantity","Entry Type","Positive Adjmt.|Negative Adjmt.","Entry No.",I132,"Location Code","@@"&amp;$E$6)</t>
  </si>
  <si>
    <t>=NL("Sum","Item Ledger Entry","Quantity","Entry Type","Transfer","Entry No.",I132,"Location Code","@@"&amp;$E$6)</t>
  </si>
  <si>
    <t>=NL("Sum","Item Ledger Entry","Quantity","Entry Type","Consumption","Entry No.",I132,"Location Code","@@"&amp;$E$6)</t>
  </si>
  <si>
    <t>=NL("Sum","Item Ledger Entry","Quantity","Entry Type","Output","Entry No.",I132,"Location Code","@@"&amp;$E$6)</t>
  </si>
  <si>
    <t>=NL("Sum","Item Ledger Entry","Quantity","Entry Type","Purchase","Entry No.",I136,"Location Code","@@"&amp;$E$6)</t>
  </si>
  <si>
    <t>=NL("Sum","Item Ledger Entry","Quantity","Entry Type","Sale","Entry No.",I136,"Location Code","@@"&amp;$E$6)</t>
  </si>
  <si>
    <t>=NL("Sum","Item Ledger Entry","Quantity","Entry Type","Positive Adjmt.|Negative Adjmt.","Entry No.",I136,"Location Code","@@"&amp;$E$6)</t>
  </si>
  <si>
    <t>=NL("Sum","Item Ledger Entry","Quantity","Entry Type","Transfer","Entry No.",I136,"Location Code","@@"&amp;$E$6)</t>
  </si>
  <si>
    <t>=NL("Sum","Item Ledger Entry","Quantity","Entry Type","Consumption","Entry No.",I136,"Location Code","@@"&amp;$E$6)</t>
  </si>
  <si>
    <t>=NL("Sum","Item Ledger Entry","Quantity","Entry Type","Output","Entry No.",I136,"Location Code","@@"&amp;$E$6)</t>
  </si>
  <si>
    <t>=(SUBTOTAL(9,O13:O15))</t>
  </si>
  <si>
    <t>=(SUBTOTAL(9,P13:P15))</t>
  </si>
  <si>
    <t>=(SUBTOTAL(9,Q13:Q15))</t>
  </si>
  <si>
    <t>=(SUBTOTAL(9,R13:R15))</t>
  </si>
  <si>
    <t>=(SUBTOTAL(9,S13:S15))</t>
  </si>
  <si>
    <t>=(SUBTOTAL(9,T13:T15))</t>
  </si>
  <si>
    <t>=SUBTOTAL(9,O13:T15)</t>
  </si>
  <si>
    <t>=NL("Sum","Item Ledger Entry","Quantity","Entry Type","Purchase","Entry No.",I14,"Location Code","@@"&amp;$E$6)</t>
  </si>
  <si>
    <t>=NL("Sum","Item Ledger Entry","Quantity","Entry Type","Sale","Entry No.",I14,"Location Code","@@"&amp;$E$6)</t>
  </si>
  <si>
    <t>=NL("Sum","Item Ledger Entry","Quantity","Entry Type","Positive Adjmt.|Negative Adjmt.","Entry No.",I14,"Location Code","@@"&amp;$E$6)</t>
  </si>
  <si>
    <t>=NL("Sum","Item Ledger Entry","Quantity","Entry Type","Transfer","Entry No.",I14,"Location Code","@@"&amp;$E$6)</t>
  </si>
  <si>
    <t>=NL("Sum","Item Ledger Entry","Quantity","Entry Type","Consumption","Entry No.",I14,"Location Code","@@"&amp;$E$6)</t>
  </si>
  <si>
    <t>=NL("Sum","Item Ledger Entry","Quantity","Entry Type","Output","Entry No.",I14,"Location Code","@@"&amp;$E$6)</t>
  </si>
  <si>
    <t>=E17</t>
  </si>
  <si>
    <t>=NL("First","Item","Description","No.",$E17)</t>
  </si>
  <si>
    <t>=NL("First","Item","Base Unit of Measure","No.",$E17)</t>
  </si>
  <si>
    <t>=D17</t>
  </si>
  <si>
    <t>=NL("Rows","Item Ledger Entry",,"+Posting Date",$L$5,"Item No.","@@"&amp;$D18,"Location Code","@@"&amp;$E$6)</t>
  </si>
  <si>
    <t>=NF($G18,"Posting Date")</t>
  </si>
  <si>
    <t>=NF($G18,"Entry No.")</t>
  </si>
  <si>
    <t>=NF(G18,"Source Type")</t>
  </si>
  <si>
    <t>=NF($G18,"Source No.")</t>
  </si>
  <si>
    <t>=IF($J18="Customer",NL("first",$J18,"Name","No.","@@"&amp;$K18),"")</t>
  </si>
  <si>
    <t>=IF(J18="vendor",NL("first",J18,"Name","No.","@@"&amp;K18),"")</t>
  </si>
  <si>
    <t>=IF($J18="Item",NL("first",$J18,"Description","No.","@@"&amp;$K18),"")</t>
  </si>
  <si>
    <t>=NL("Sum","Item Ledger Entry","Quantity","Entry Type","Purchase","Entry No.",I18,"Location Code","@@"&amp;$E$6)</t>
  </si>
  <si>
    <t>=NL("Sum","Item Ledger Entry","Quantity","Entry Type","Sale","Entry No.",I18,"Location Code","@@"&amp;$E$6)</t>
  </si>
  <si>
    <t>=NL("Sum","Item Ledger Entry","Quantity","Entry Type","Positive Adjmt.|Negative Adjmt.","Entry No.",I18,"Location Code","@@"&amp;$E$6)</t>
  </si>
  <si>
    <t>=NL("Sum","Item Ledger Entry","Quantity","Entry Type","Transfer","Entry No.",I18,"Location Code","@@"&amp;$E$6)</t>
  </si>
  <si>
    <t>=NL("Sum","Item Ledger Entry","Quantity","Entry Type","Consumption","Entry No.",I18,"Location Code","@@"&amp;$E$6)</t>
  </si>
  <si>
    <t>=NL("Sum","Item Ledger Entry","Quantity","Entry Type","Output","Entry No.",I18,"Location Code","@@"&amp;$E$6)</t>
  </si>
  <si>
    <t>=NL("Sum","Item Ledger Entry","Quantity","Entry Type","Purchase","Entry No.",I22,"Location Code","@@"&amp;$E$6)</t>
  </si>
  <si>
    <t>=NL("Sum","Item Ledger Entry","Quantity","Entry Type","Sale","Entry No.",I22,"Location Code","@@"&amp;$E$6)</t>
  </si>
  <si>
    <t>=NL("Sum","Item Ledger Entry","Quantity","Entry Type","Positive Adjmt.|Negative Adjmt.","Entry No.",I22,"Location Code","@@"&amp;$E$6)</t>
  </si>
  <si>
    <t>=NL("Sum","Item Ledger Entry","Quantity","Entry Type","Transfer","Entry No.",I22,"Location Code","@@"&amp;$E$6)</t>
  </si>
  <si>
    <t>=NL("Sum","Item Ledger Entry","Quantity","Entry Type","Consumption","Entry No.",I22,"Location Code","@@"&amp;$E$6)</t>
  </si>
  <si>
    <t>=NL("Sum","Item Ledger Entry","Quantity","Entry Type","Output","Entry No.",I22,"Location Code","@@"&amp;$E$6)</t>
  </si>
  <si>
    <t>=NL("Sum","Item Ledger Entry","Quantity","Entry Type","Purchase","Entry No.",I23,"Location Code","@@"&amp;$E$6)</t>
  </si>
  <si>
    <t>=NL("Sum","Item Ledger Entry","Quantity","Entry Type","Sale","Entry No.",I23,"Location Code","@@"&amp;$E$6)</t>
  </si>
  <si>
    <t>=NL("Sum","Item Ledger Entry","Quantity","Entry Type","Positive Adjmt.|Negative Adjmt.","Entry No.",I23,"Location Code","@@"&amp;$E$6)</t>
  </si>
  <si>
    <t>=NL("Sum","Item Ledger Entry","Quantity","Entry Type","Transfer","Entry No.",I23,"Location Code","@@"&amp;$E$6)</t>
  </si>
  <si>
    <t>=NL("Sum","Item Ledger Entry","Quantity","Entry Type","Consumption","Entry No.",I23,"Location Code","@@"&amp;$E$6)</t>
  </si>
  <si>
    <t>=NL("Sum","Item Ledger Entry","Quantity","Entry Type","Output","Entry No.",I23,"Location Code","@@"&amp;$E$6)</t>
  </si>
  <si>
    <t>=NL("Sum","Item Ledger Entry","Quantity","Entry Type","Purchase","Entry No.",I42,"Location Code","@@"&amp;$E$6)</t>
  </si>
  <si>
    <t>=NL("Sum","Item Ledger Entry","Quantity","Entry Type","Sale","Entry No.",I42,"Location Code","@@"&amp;$E$6)</t>
  </si>
  <si>
    <t>=NL("Sum","Item Ledger Entry","Quantity","Entry Type","Positive Adjmt.|Negative Adjmt.","Entry No.",I42,"Location Code","@@"&amp;$E$6)</t>
  </si>
  <si>
    <t>=NL("Sum","Item Ledger Entry","Quantity","Entry Type","Transfer","Entry No.",I42,"Location Code","@@"&amp;$E$6)</t>
  </si>
  <si>
    <t>=NL("Sum","Item Ledger Entry","Quantity","Entry Type","Consumption","Entry No.",I42,"Location Code","@@"&amp;$E$6)</t>
  </si>
  <si>
    <t>=NL("Sum","Item Ledger Entry","Quantity","Entry Type","Output","Entry No.",I42,"Location Code","@@"&amp;$E$6)</t>
  </si>
  <si>
    <t>=NL("Sum","Item Ledger Entry","Quantity","Entry Type","Purchase","Entry No.",I43,"Location Code","@@"&amp;$E$6)</t>
  </si>
  <si>
    <t>=NL("Sum","Item Ledger Entry","Quantity","Entry Type","Sale","Entry No.",I43,"Location Code","@@"&amp;$E$6)</t>
  </si>
  <si>
    <t>=NL("Sum","Item Ledger Entry","Quantity","Entry Type","Positive Adjmt.|Negative Adjmt.","Entry No.",I43,"Location Code","@@"&amp;$E$6)</t>
  </si>
  <si>
    <t>=NL("Sum","Item Ledger Entry","Quantity","Entry Type","Transfer","Entry No.",I43,"Location Code","@@"&amp;$E$6)</t>
  </si>
  <si>
    <t>=NL("Sum","Item Ledger Entry","Quantity","Entry Type","Consumption","Entry No.",I43,"Location Code","@@"&amp;$E$6)</t>
  </si>
  <si>
    <t>=NL("Sum","Item Ledger Entry","Quantity","Entry Type","Output","Entry No.",I43,"Location Code","@@"&amp;$E$6)</t>
  </si>
  <si>
    <t>=NL("Sum","Item Ledger Entry","Quantity","Entry Type","Purchase","Entry No.",I44,"Location Code","@@"&amp;$E$6)</t>
  </si>
  <si>
    <t>=NL("Sum","Item Ledger Entry","Quantity","Entry Type","Sale","Entry No.",I44,"Location Code","@@"&amp;$E$6)</t>
  </si>
  <si>
    <t>=NL("Sum","Item Ledger Entry","Quantity","Entry Type","Positive Adjmt.|Negative Adjmt.","Entry No.",I44,"Location Code","@@"&amp;$E$6)</t>
  </si>
  <si>
    <t>=NL("Sum","Item Ledger Entry","Quantity","Entry Type","Transfer","Entry No.",I44,"Location Code","@@"&amp;$E$6)</t>
  </si>
  <si>
    <t>=NL("Sum","Item Ledger Entry","Quantity","Entry Type","Consumption","Entry No.",I44,"Location Code","@@"&amp;$E$6)</t>
  </si>
  <si>
    <t>=NL("Sum","Item Ledger Entry","Quantity","Entry Type","Output","Entry No.",I44,"Location Code","@@"&amp;$E$6)</t>
  </si>
  <si>
    <t>=NL("Sum","Item Ledger Entry","Quantity","Entry Type","Purchase","Entry No.",I48,"Location Code","@@"&amp;$E$6)</t>
  </si>
  <si>
    <t>=NL("Sum","Item Ledger Entry","Quantity","Entry Type","Sale","Entry No.",I48,"Location Code","@@"&amp;$E$6)</t>
  </si>
  <si>
    <t>=NL("Sum","Item Ledger Entry","Quantity","Entry Type","Positive Adjmt.|Negative Adjmt.","Entry No.",I48,"Location Code","@@"&amp;$E$6)</t>
  </si>
  <si>
    <t>=NL("Sum","Item Ledger Entry","Quantity","Entry Type","Transfer","Entry No.",I48,"Location Code","@@"&amp;$E$6)</t>
  </si>
  <si>
    <t>=NL("Sum","Item Ledger Entry","Quantity","Entry Type","Consumption","Entry No.",I48,"Location Code","@@"&amp;$E$6)</t>
  </si>
  <si>
    <t>=NL("Sum","Item Ledger Entry","Quantity","Entry Type","Output","Entry No.",I48,"Location Code","@@"&amp;$E$6)</t>
  </si>
  <si>
    <t>=NL("Sum","Item Ledger Entry","Quantity","Entry Type","Purchase","Entry No.",I58,"Location Code","@@"&amp;$E$6)</t>
  </si>
  <si>
    <t>=NL("Sum","Item Ledger Entry","Quantity","Entry Type","Sale","Entry No.",I58,"Location Code","@@"&amp;$E$6)</t>
  </si>
  <si>
    <t>=NL("Sum","Item Ledger Entry","Quantity","Entry Type","Positive Adjmt.|Negative Adjmt.","Entry No.",I58,"Location Code","@@"&amp;$E$6)</t>
  </si>
  <si>
    <t>=NL("Sum","Item Ledger Entry","Quantity","Entry Type","Transfer","Entry No.",I58,"Location Code","@@"&amp;$E$6)</t>
  </si>
  <si>
    <t>=NL("Sum","Item Ledger Entry","Quantity","Entry Type","Consumption","Entry No.",I58,"Location Code","@@"&amp;$E$6)</t>
  </si>
  <si>
    <t>=NL("Sum","Item Ledger Entry","Quantity","Entry Type","Output","Entry No.",I58,"Location Code","@@"&amp;$E$6)</t>
  </si>
  <si>
    <t>=NL("Sum","Item Ledger Entry","Quantity","Entry Type","Purchase","Entry No.",I68,"Location Code","@@"&amp;$E$6)</t>
  </si>
  <si>
    <t>=NL("Sum","Item Ledger Entry","Quantity","Entry Type","Sale","Entry No.",I68,"Location Code","@@"&amp;$E$6)</t>
  </si>
  <si>
    <t>=NL("Sum","Item Ledger Entry","Quantity","Entry Type","Positive Adjmt.|Negative Adjmt.","Entry No.",I68,"Location Code","@@"&amp;$E$6)</t>
  </si>
  <si>
    <t>=NL("Sum","Item Ledger Entry","Quantity","Entry Type","Transfer","Entry No.",I68,"Location Code","@@"&amp;$E$6)</t>
  </si>
  <si>
    <t>=NL("Sum","Item Ledger Entry","Quantity","Entry Type","Consumption","Entry No.",I68,"Location Code","@@"&amp;$E$6)</t>
  </si>
  <si>
    <t>=NL("Sum","Item Ledger Entry","Quantity","Entry Type","Output","Entry No.",I68,"Location Code","@@"&amp;$E$6)</t>
  </si>
  <si>
    <t>=NL("Sum","Item Ledger Entry","Quantity","Entry Type","Purchase","Entry No.",I82,"Location Code","@@"&amp;$E$6)</t>
  </si>
  <si>
    <t>=NL("Sum","Item Ledger Entry","Quantity","Entry Type","Sale","Entry No.",I82,"Location Code","@@"&amp;$E$6)</t>
  </si>
  <si>
    <t>=NL("Sum","Item Ledger Entry","Quantity","Entry Type","Positive Adjmt.|Negative Adjmt.","Entry No.",I82,"Location Code","@@"&amp;$E$6)</t>
  </si>
  <si>
    <t>=NL("Sum","Item Ledger Entry","Quantity","Entry Type","Transfer","Entry No.",I82,"Location Code","@@"&amp;$E$6)</t>
  </si>
  <si>
    <t>=NL("Sum","Item Ledger Entry","Quantity","Entry Type","Consumption","Entry No.",I82,"Location Code","@@"&amp;$E$6)</t>
  </si>
  <si>
    <t>=NL("Sum","Item Ledger Entry","Quantity","Entry Type","Output","Entry No.",I82,"Location Code","@@"&amp;$E$6)</t>
  </si>
  <si>
    <t>=NL("Sum","Item Ledger Entry","Quantity","Entry Type","Purchase","Entry No.",I87,"Location Code","@@"&amp;$E$6)</t>
  </si>
  <si>
    <t>=NL("Sum","Item Ledger Entry","Quantity","Entry Type","Sale","Entry No.",I87,"Location Code","@@"&amp;$E$6)</t>
  </si>
  <si>
    <t>=NL("Sum","Item Ledger Entry","Quantity","Entry Type","Positive Adjmt.|Negative Adjmt.","Entry No.",I87,"Location Code","@@"&amp;$E$6)</t>
  </si>
  <si>
    <t>=NL("Sum","Item Ledger Entry","Quantity","Entry Type","Transfer","Entry No.",I87,"Location Code","@@"&amp;$E$6)</t>
  </si>
  <si>
    <t>=NL("Sum","Item Ledger Entry","Quantity","Entry Type","Consumption","Entry No.",I87,"Location Code","@@"&amp;$E$6)</t>
  </si>
  <si>
    <t>=NL("Sum","Item Ledger Entry","Quantity","Entry Type","Output","Entry No.",I87,"Location Code","@@"&amp;$E$6)</t>
  </si>
  <si>
    <t>=NL("Sum","Item Ledger Entry","Quantity","Entry Type","Purchase","Entry No.",I91,"Location Code","@@"&amp;$E$6)</t>
  </si>
  <si>
    <t>=NL("Sum","Item Ledger Entry","Quantity","Entry Type","Sale","Entry No.",I91,"Location Code","@@"&amp;$E$6)</t>
  </si>
  <si>
    <t>=NL("Sum","Item Ledger Entry","Quantity","Entry Type","Positive Adjmt.|Negative Adjmt.","Entry No.",I91,"Location Code","@@"&amp;$E$6)</t>
  </si>
  <si>
    <t>=NL("Sum","Item Ledger Entry","Quantity","Entry Type","Transfer","Entry No.",I91,"Location Code","@@"&amp;$E$6)</t>
  </si>
  <si>
    <t>=NL("Sum","Item Ledger Entry","Quantity","Entry Type","Consumption","Entry No.",I91,"Location Code","@@"&amp;$E$6)</t>
  </si>
  <si>
    <t>=NL("Sum","Item Ledger Entry","Quantity","Entry Type","Output","Entry No.",I91,"Location Code","@@"&amp;$E$6)</t>
  </si>
  <si>
    <t>=NL("Sum","Item Ledger Entry","Quantity","Entry Type","Purchase","Entry No.",I96,"Location Code","@@"&amp;$E$6)</t>
  </si>
  <si>
    <t>=NL("Sum","Item Ledger Entry","Quantity","Entry Type","Sale","Entry No.",I96,"Location Code","@@"&amp;$E$6)</t>
  </si>
  <si>
    <t>=NL("Sum","Item Ledger Entry","Quantity","Entry Type","Positive Adjmt.|Negative Adjmt.","Entry No.",I96,"Location Code","@@"&amp;$E$6)</t>
  </si>
  <si>
    <t>=NL("Sum","Item Ledger Entry","Quantity","Entry Type","Transfer","Entry No.",I96,"Location Code","@@"&amp;$E$6)</t>
  </si>
  <si>
    <t>=NL("Sum","Item Ledger Entry","Quantity","Entry Type","Consumption","Entry No.",I96,"Location Code","@@"&amp;$E$6)</t>
  </si>
  <si>
    <t>=NL("Sum","Item Ledger Entry","Quantity","Entry Type","Output","Entry No.",I96,"Location Code","@@"&amp;$E$6)</t>
  </si>
  <si>
    <t>=NL("Sum","Item Ledger Entry","Quantity","Entry Type","Purchase","Entry No.",I108,"Location Code","@@"&amp;$E$6)</t>
  </si>
  <si>
    <t>=NL("Sum","Item Ledger Entry","Quantity","Entry Type","Sale","Entry No.",I108,"Location Code","@@"&amp;$E$6)</t>
  </si>
  <si>
    <t>=NL("Sum","Item Ledger Entry","Quantity","Entry Type","Positive Adjmt.|Negative Adjmt.","Entry No.",I108,"Location Code","@@"&amp;$E$6)</t>
  </si>
  <si>
    <t>=NL("Sum","Item Ledger Entry","Quantity","Entry Type","Transfer","Entry No.",I108,"Location Code","@@"&amp;$E$6)</t>
  </si>
  <si>
    <t>=NL("Sum","Item Ledger Entry","Quantity","Entry Type","Consumption","Entry No.",I108,"Location Code","@@"&amp;$E$6)</t>
  </si>
  <si>
    <t>=NL("Sum","Item Ledger Entry","Quantity","Entry Type","Output","Entry No.",I108,"Location Code","@@"&amp;$E$6)</t>
  </si>
  <si>
    <t>=NL("Sum","Item Ledger Entry","Quantity","Entry Type","Purchase","Entry No.",I110,"Location Code","@@"&amp;$E$6)</t>
  </si>
  <si>
    <t>=NL("Sum","Item Ledger Entry","Quantity","Entry Type","Sale","Entry No.",I110,"Location Code","@@"&amp;$E$6)</t>
  </si>
  <si>
    <t>=NL("Sum","Item Ledger Entry","Quantity","Entry Type","Positive Adjmt.|Negative Adjmt.","Entry No.",I110,"Location Code","@@"&amp;$E$6)</t>
  </si>
  <si>
    <t>=NL("Sum","Item Ledger Entry","Quantity","Entry Type","Transfer","Entry No.",I110,"Location Code","@@"&amp;$E$6)</t>
  </si>
  <si>
    <t>=NL("Sum","Item Ledger Entry","Quantity","Entry Type","Consumption","Entry No.",I110,"Location Code","@@"&amp;$E$6)</t>
  </si>
  <si>
    <t>=NL("Sum","Item Ledger Entry","Quantity","Entry Type","Output","Entry No.",I110,"Location Code","@@"&amp;$E$6)</t>
  </si>
  <si>
    <t>=NL("Sum","Item Ledger Entry","Quantity","Entry Type","Purchase","Entry No.",I115,"Location Code","@@"&amp;$E$6)</t>
  </si>
  <si>
    <t>=NL("Sum","Item Ledger Entry","Quantity","Entry Type","Sale","Entry No.",I115,"Location Code","@@"&amp;$E$6)</t>
  </si>
  <si>
    <t>=NL("Sum","Item Ledger Entry","Quantity","Entry Type","Positive Adjmt.|Negative Adjmt.","Entry No.",I115,"Location Code","@@"&amp;$E$6)</t>
  </si>
  <si>
    <t>=NL("Sum","Item Ledger Entry","Quantity","Entry Type","Transfer","Entry No.",I115,"Location Code","@@"&amp;$E$6)</t>
  </si>
  <si>
    <t>=NL("Sum","Item Ledger Entry","Quantity","Entry Type","Consumption","Entry No.",I115,"Location Code","@@"&amp;$E$6)</t>
  </si>
  <si>
    <t>=NL("Sum","Item Ledger Entry","Quantity","Entry Type","Output","Entry No.",I115,"Location Code","@@"&amp;$E$6)</t>
  </si>
  <si>
    <t>=NL("Sum","Item Ledger Entry","Quantity","Entry Type","Purchase","Entry No.",I116,"Location Code","@@"&amp;$E$6)</t>
  </si>
  <si>
    <t>=NL("Sum","Item Ledger Entry","Quantity","Entry Type","Sale","Entry No.",I116,"Location Code","@@"&amp;$E$6)</t>
  </si>
  <si>
    <t>=NL("Sum","Item Ledger Entry","Quantity","Entry Type","Positive Adjmt.|Negative Adjmt.","Entry No.",I116,"Location Code","@@"&amp;$E$6)</t>
  </si>
  <si>
    <t>=NL("Sum","Item Ledger Entry","Quantity","Entry Type","Transfer","Entry No.",I116,"Location Code","@@"&amp;$E$6)</t>
  </si>
  <si>
    <t>=NL("Sum","Item Ledger Entry","Quantity","Entry Type","Consumption","Entry No.",I116,"Location Code","@@"&amp;$E$6)</t>
  </si>
  <si>
    <t>=NL("Sum","Item Ledger Entry","Quantity","Entry Type","Output","Entry No.",I116,"Location Code","@@"&amp;$E$6)</t>
  </si>
  <si>
    <t>=NL("Sum","Item Ledger Entry","Quantity","Entry Type","Purchase","Entry No.",I120,"Location Code","@@"&amp;$E$6)</t>
  </si>
  <si>
    <t>=NL("Sum","Item Ledger Entry","Quantity","Entry Type","Sale","Entry No.",I120,"Location Code","@@"&amp;$E$6)</t>
  </si>
  <si>
    <t>=NL("Sum","Item Ledger Entry","Quantity","Entry Type","Positive Adjmt.|Negative Adjmt.","Entry No.",I120,"Location Code","@@"&amp;$E$6)</t>
  </si>
  <si>
    <t>=NL("Sum","Item Ledger Entry","Quantity","Entry Type","Transfer","Entry No.",I120,"Location Code","@@"&amp;$E$6)</t>
  </si>
  <si>
    <t>=NL("Sum","Item Ledger Entry","Quantity","Entry Type","Consumption","Entry No.",I120,"Location Code","@@"&amp;$E$6)</t>
  </si>
  <si>
    <t>=NL("Sum","Item Ledger Entry","Quantity","Entry Type","Output","Entry No.",I120,"Location Code","@@"&amp;$E$6)</t>
  </si>
  <si>
    <t>=NL("Sum","Item Ledger Entry","Quantity","Entry Type","Purchase","Entry No.",I121,"Location Code","@@"&amp;$E$6)</t>
  </si>
  <si>
    <t>=NL("Sum","Item Ledger Entry","Quantity","Entry Type","Sale","Entry No.",I121,"Location Code","@@"&amp;$E$6)</t>
  </si>
  <si>
    <t>=NL("Sum","Item Ledger Entry","Quantity","Entry Type","Positive Adjmt.|Negative Adjmt.","Entry No.",I121,"Location Code","@@"&amp;$E$6)</t>
  </si>
  <si>
    <t>=NL("Sum","Item Ledger Entry","Quantity","Entry Type","Transfer","Entry No.",I121,"Location Code","@@"&amp;$E$6)</t>
  </si>
  <si>
    <t>=NL("Sum","Item Ledger Entry","Quantity","Entry Type","Consumption","Entry No.",I121,"Location Code","@@"&amp;$E$6)</t>
  </si>
  <si>
    <t>=NL("Sum","Item Ledger Entry","Quantity","Entry Type","Output","Entry No.",I121,"Location Code","@@"&amp;$E$6)</t>
  </si>
  <si>
    <t>=NL("Sum","Item Ledger Entry","Quantity","Entry Type","Purchase","Entry No.",I125,"Location Code","@@"&amp;$E$6)</t>
  </si>
  <si>
    <t>=NL("Sum","Item Ledger Entry","Quantity","Entry Type","Sale","Entry No.",I125,"Location Code","@@"&amp;$E$6)</t>
  </si>
  <si>
    <t>=NL("Sum","Item Ledger Entry","Quantity","Entry Type","Positive Adjmt.|Negative Adjmt.","Entry No.",I125,"Location Code","@@"&amp;$E$6)</t>
  </si>
  <si>
    <t>=NL("Sum","Item Ledger Entry","Quantity","Entry Type","Transfer","Entry No.",I125,"Location Code","@@"&amp;$E$6)</t>
  </si>
  <si>
    <t>=NL("Sum","Item Ledger Entry","Quantity","Entry Type","Consumption","Entry No.",I125,"Location Code","@@"&amp;$E$6)</t>
  </si>
  <si>
    <t>=NL("Sum","Item Ledger Entry","Quantity","Entry Type","Output","Entry No.",I125,"Location Code","@@"&amp;$E$6)</t>
  </si>
  <si>
    <t>=NL("Sum","Item Ledger Entry","Quantity","Entry Type","Purchase","Entry No.",I133,"Location Code","@@"&amp;$E$6)</t>
  </si>
  <si>
    <t>=NL("Sum","Item Ledger Entry","Quantity","Entry Type","Sale","Entry No.",I133,"Location Code","@@"&amp;$E$6)</t>
  </si>
  <si>
    <t>=NL("Sum","Item Ledger Entry","Quantity","Entry Type","Positive Adjmt.|Negative Adjmt.","Entry No.",I133,"Location Code","@@"&amp;$E$6)</t>
  </si>
  <si>
    <t>=NL("Sum","Item Ledger Entry","Quantity","Entry Type","Transfer","Entry No.",I133,"Location Code","@@"&amp;$E$6)</t>
  </si>
  <si>
    <t>=NL("Sum","Item Ledger Entry","Quantity","Entry Type","Consumption","Entry No.",I133,"Location Code","@@"&amp;$E$6)</t>
  </si>
  <si>
    <t>=NL("Sum","Item Ledger Entry","Quantity","Entry Type","Output","Entry No.",I133,"Location Code","@@"&amp;$E$6)</t>
  </si>
  <si>
    <t>=NL("Sum","Item Ledger Entry","Quantity","Entry Type","Purchase","Entry No.",I134,"Location Code","@@"&amp;$E$6)</t>
  </si>
  <si>
    <t>=NL("Sum","Item Ledger Entry","Quantity","Entry Type","Sale","Entry No.",I134,"Location Code","@@"&amp;$E$6)</t>
  </si>
  <si>
    <t>=NL("Sum","Item Ledger Entry","Quantity","Entry Type","Positive Adjmt.|Negative Adjmt.","Entry No.",I134,"Location Code","@@"&amp;$E$6)</t>
  </si>
  <si>
    <t>=NL("Sum","Item Ledger Entry","Quantity","Entry Type","Transfer","Entry No.",I134,"Location Code","@@"&amp;$E$6)</t>
  </si>
  <si>
    <t>=NL("Sum","Item Ledger Entry","Quantity","Entry Type","Consumption","Entry No.",I134,"Location Code","@@"&amp;$E$6)</t>
  </si>
  <si>
    <t>=NL("Sum","Item Ledger Entry","Quantity","Entry Type","Output","Entry No.",I134,"Location Code","@@"&amp;$E$6)</t>
  </si>
  <si>
    <t>=NL("Sum","Item Ledger Entry","Quantity","Entry Type","Purchase","Entry No.",I135,"Location Code","@@"&amp;$E$6)</t>
  </si>
  <si>
    <t>=NL("Sum","Item Ledger Entry","Quantity","Entry Type","Sale","Entry No.",I135,"Location Code","@@"&amp;$E$6)</t>
  </si>
  <si>
    <t>=NL("Sum","Item Ledger Entry","Quantity","Entry Type","Positive Adjmt.|Negative Adjmt.","Entry No.",I135,"Location Code","@@"&amp;$E$6)</t>
  </si>
  <si>
    <t>=NL("Sum","Item Ledger Entry","Quantity","Entry Type","Transfer","Entry No.",I135,"Location Code","@@"&amp;$E$6)</t>
  </si>
  <si>
    <t>=NL("Sum","Item Ledger Entry","Quantity","Entry Type","Consumption","Entry No.",I135,"Location Code","@@"&amp;$E$6)</t>
  </si>
  <si>
    <t>=NL("Sum","Item Ledger Entry","Quantity","Entry Type","Output","Entry No.",I135,"Location Code","@@"&amp;$E$6)</t>
  </si>
  <si>
    <t>=NL("Sum","Item Ledger Entry","Quantity","Entry Type","Purchase","Entry No.",I150,"Location Code","@@"&amp;$E$6)</t>
  </si>
  <si>
    <t>=NL("Sum","Item Ledger Entry","Quantity","Entry Type","Sale","Entry No.",I150,"Location Code","@@"&amp;$E$6)</t>
  </si>
  <si>
    <t>=NL("Sum","Item Ledger Entry","Quantity","Entry Type","Positive Adjmt.|Negative Adjmt.","Entry No.",I150,"Location Code","@@"&amp;$E$6)</t>
  </si>
  <si>
    <t>=NL("Sum","Item Ledger Entry","Quantity","Entry Type","Transfer","Entry No.",I150,"Location Code","@@"&amp;$E$6)</t>
  </si>
  <si>
    <t>=NL("Sum","Item Ledger Entry","Quantity","Entry Type","Consumption","Entry No.",I150,"Location Code","@@"&amp;$E$6)</t>
  </si>
  <si>
    <t>=NL("Sum","Item Ledger Entry","Quantity","Entry Type","Output","Entry No.",I150,"Location Code","@@"&amp;$E$6)</t>
  </si>
  <si>
    <t>=NL("Sum","Item Ledger Entry","Quantity","Entry Type","Purchase","Entry No.",I154,"Location Code","@@"&amp;$E$6)</t>
  </si>
  <si>
    <t>=NL("Sum","Item Ledger Entry","Quantity","Entry Type","Sale","Entry No.",I154,"Location Code","@@"&amp;$E$6)</t>
  </si>
  <si>
    <t>=NL("Sum","Item Ledger Entry","Quantity","Entry Type","Positive Adjmt.|Negative Adjmt.","Entry No.",I154,"Location Code","@@"&amp;$E$6)</t>
  </si>
  <si>
    <t>=NL("Sum","Item Ledger Entry","Quantity","Entry Type","Transfer","Entry No.",I154,"Location Code","@@"&amp;$E$6)</t>
  </si>
  <si>
    <t>=NL("Sum","Item Ledger Entry","Quantity","Entry Type","Consumption","Entry No.",I154,"Location Code","@@"&amp;$E$6)</t>
  </si>
  <si>
    <t>=NL("Sum","Item Ledger Entry","Quantity","Entry Type","Output","Entry No.",I154,"Location Code","@@"&amp;$E$6)</t>
  </si>
  <si>
    <t>=NL("Sum","Item Ledger Entry","Quantity","Entry Type","Purchase","Entry No.",I159,"Location Code","@@"&amp;$E$6)</t>
  </si>
  <si>
    <t>=NL("Sum","Item Ledger Entry","Quantity","Entry Type","Sale","Entry No.",I159,"Location Code","@@"&amp;$E$6)</t>
  </si>
  <si>
    <t>=NL("Sum","Item Ledger Entry","Quantity","Entry Type","Positive Adjmt.|Negative Adjmt.","Entry No.",I159,"Location Code","@@"&amp;$E$6)</t>
  </si>
  <si>
    <t>=NL("Sum","Item Ledger Entry","Quantity","Entry Type","Transfer","Entry No.",I159,"Location Code","@@"&amp;$E$6)</t>
  </si>
  <si>
    <t>=NL("Sum","Item Ledger Entry","Quantity","Entry Type","Consumption","Entry No.",I159,"Location Code","@@"&amp;$E$6)</t>
  </si>
  <si>
    <t>=NL("Sum","Item Ledger Entry","Quantity","Entry Type","Output","Entry No.",I159,"Location Code","@@"&amp;$E$6)</t>
  </si>
  <si>
    <t>=NL("Sum","Item Ledger Entry","Quantity","Entry Type","Purchase","Entry No.",I161,"Location Code","@@"&amp;$E$6)</t>
  </si>
  <si>
    <t>=NL("Sum","Item Ledger Entry","Quantity","Entry Type","Sale","Entry No.",I161,"Location Code","@@"&amp;$E$6)</t>
  </si>
  <si>
    <t>=NL("Sum","Item Ledger Entry","Quantity","Entry Type","Positive Adjmt.|Negative Adjmt.","Entry No.",I161,"Location Code","@@"&amp;$E$6)</t>
  </si>
  <si>
    <t>=NL("Sum","Item Ledger Entry","Quantity","Entry Type","Transfer","Entry No.",I161,"Location Code","@@"&amp;$E$6)</t>
  </si>
  <si>
    <t>=NL("Sum","Item Ledger Entry","Quantity","Entry Type","Consumption","Entry No.",I161,"Location Code","@@"&amp;$E$6)</t>
  </si>
  <si>
    <t>=NL("Sum","Item Ledger Entry","Quantity","Entry Type","Output","Entry No.",I161,"Location Code","@@"&amp;$E$6)</t>
  </si>
  <si>
    <t>=D291</t>
  </si>
  <si>
    <t>=NF($G292,"Posting Date")</t>
  </si>
  <si>
    <t>=NF($G292,"Entry No.")</t>
  </si>
  <si>
    <t>=NF(G292,"Source Type")</t>
  </si>
  <si>
    <t>=NF($G292,"Source No.")</t>
  </si>
  <si>
    <t>=IF($J292="Customer",NL("first",$J292,"Name","No.","@@"&amp;$K292),"")</t>
  </si>
  <si>
    <t>=IF(J292="vendor",NL("first",J292,"Name","No.","@@"&amp;K292),"")</t>
  </si>
  <si>
    <t>=IF($J292="Item",NL("first",$J292,"Description","No.","@@"&amp;$K292),"")</t>
  </si>
  <si>
    <t>=D396</t>
  </si>
  <si>
    <t>=NF($G397,"Posting Date")</t>
  </si>
  <si>
    <t>=NF($G397,"Entry No.")</t>
  </si>
  <si>
    <t>=NF(G397,"Source Type")</t>
  </si>
  <si>
    <t>=NF($G397,"Source No.")</t>
  </si>
  <si>
    <t>=IF($J397="Customer",NL("first",$J397,"Name","No.","@@"&amp;$K397),"")</t>
  </si>
  <si>
    <t>=IF(J397="vendor",NL("first",J397,"Name","No.","@@"&amp;K397),"")</t>
  </si>
  <si>
    <t>=IF($J397="Item",NL("first",$J397,"Description","No.","@@"&amp;$K397),"")</t>
  </si>
  <si>
    <t>=NL("Sum","Item Ledger Entry","Quantity","Entry Type","Purchase","Entry No.",I38,"Location Code","@@"&amp;$E$6)</t>
  </si>
  <si>
    <t>=NL("Sum","Item Ledger Entry","Quantity","Entry Type","Sale","Entry No.",I38,"Location Code","@@"&amp;$E$6)</t>
  </si>
  <si>
    <t>=NL("Sum","Item Ledger Entry","Quantity","Entry Type","Positive Adjmt.|Negative Adjmt.","Entry No.",I38,"Location Code","@@"&amp;$E$6)</t>
  </si>
  <si>
    <t>=NL("Sum","Item Ledger Entry","Quantity","Entry Type","Transfer","Entry No.",I38,"Location Code","@@"&amp;$E$6)</t>
  </si>
  <si>
    <t>=NL("Sum","Item Ledger Entry","Quantity","Entry Type","Consumption","Entry No.",I38,"Location Code","@@"&amp;$E$6)</t>
  </si>
  <si>
    <t>=NL("Sum","Item Ledger Entry","Quantity","Entry Type","Output","Entry No.",I38,"Location Code","@@"&amp;$E$6)</t>
  </si>
  <si>
    <t>=NL("Rows","Item Ledger Entry",,"+Posting Date",$L$5,"Item No.","@@"&amp;$D42,"Location Code","@@"&amp;$E$6)</t>
  </si>
  <si>
    <t>=NL("Rows","Item Ledger Entry",,"+Posting Date",$L$5,"Item No.","@@"&amp;$D62,"Location Code","@@"&amp;$E$6)</t>
  </si>
  <si>
    <t>=NL("Sum","Item Ledger Entry","Quantity","Entry Type","Purchase","Entry No.",I62,"Location Code","@@"&amp;$E$6)</t>
  </si>
  <si>
    <t>=NL("Sum","Item Ledger Entry","Quantity","Entry Type","Sale","Entry No.",I62,"Location Code","@@"&amp;$E$6)</t>
  </si>
  <si>
    <t>=NL("Sum","Item Ledger Entry","Quantity","Entry Type","Positive Adjmt.|Negative Adjmt.","Entry No.",I62,"Location Code","@@"&amp;$E$6)</t>
  </si>
  <si>
    <t>=NL("Sum","Item Ledger Entry","Quantity","Entry Type","Transfer","Entry No.",I62,"Location Code","@@"&amp;$E$6)</t>
  </si>
  <si>
    <t>=NL("Sum","Item Ledger Entry","Quantity","Entry Type","Consumption","Entry No.",I62,"Location Code","@@"&amp;$E$6)</t>
  </si>
  <si>
    <t>=NL("Sum","Item Ledger Entry","Quantity","Entry Type","Output","Entry No.",I62,"Location Code","@@"&amp;$E$6)</t>
  </si>
  <si>
    <t>=NL("Sum","Item Ledger Entry","Quantity","Entry Type","Purchase","Entry No.",I66,"Location Code","@@"&amp;$E$6)</t>
  </si>
  <si>
    <t>=NL("Sum","Item Ledger Entry","Quantity","Entry Type","Sale","Entry No.",I66,"Location Code","@@"&amp;$E$6)</t>
  </si>
  <si>
    <t>=NL("Sum","Item Ledger Entry","Quantity","Entry Type","Positive Adjmt.|Negative Adjmt.","Entry No.",I66,"Location Code","@@"&amp;$E$6)</t>
  </si>
  <si>
    <t>=NL("Sum","Item Ledger Entry","Quantity","Entry Type","Transfer","Entry No.",I66,"Location Code","@@"&amp;$E$6)</t>
  </si>
  <si>
    <t>=NL("Sum","Item Ledger Entry","Quantity","Entry Type","Consumption","Entry No.",I66,"Location Code","@@"&amp;$E$6)</t>
  </si>
  <si>
    <t>=NL("Sum","Item Ledger Entry","Quantity","Entry Type","Output","Entry No.",I66,"Location Code","@@"&amp;$E$6)</t>
  </si>
  <si>
    <t>=NL("Sum","Item Ledger Entry","Quantity","Entry Type","Purchase","Entry No.",I27,"Location Code","@@"&amp;$E$6)</t>
  </si>
  <si>
    <t>=NL("Sum","Item Ledger Entry","Quantity","Entry Type","Sale","Entry No.",I27,"Location Code","@@"&amp;$E$6)</t>
  </si>
  <si>
    <t>=NL("Sum","Item Ledger Entry","Quantity","Entry Type","Positive Adjmt.|Negative Adjmt.","Entry No.",I27,"Location Code","@@"&amp;$E$6)</t>
  </si>
  <si>
    <t>=NL("Sum","Item Ledger Entry","Quantity","Entry Type","Transfer","Entry No.",I27,"Location Code","@@"&amp;$E$6)</t>
  </si>
  <si>
    <t>=NL("Sum","Item Ledger Entry","Quantity","Entry Type","Consumption","Entry No.",I27,"Location Code","@@"&amp;$E$6)</t>
  </si>
  <si>
    <t>=NL("Sum","Item Ledger Entry","Quantity","Entry Type","Output","Entry No.",I27,"Location Code","@@"&amp;$E$6)</t>
  </si>
  <si>
    <t>=NL("Sum","Item Ledger Entry","Quantity","Entry Type","Purchase","Entry No.",I32,"Location Code","@@"&amp;$E$6)</t>
  </si>
  <si>
    <t>=NL("Sum","Item Ledger Entry","Quantity","Entry Type","Sale","Entry No.",I32,"Location Code","@@"&amp;$E$6)</t>
  </si>
  <si>
    <t>=NL("Sum","Item Ledger Entry","Quantity","Entry Type","Positive Adjmt.|Negative Adjmt.","Entry No.",I32,"Location Code","@@"&amp;$E$6)</t>
  </si>
  <si>
    <t>=NL("Sum","Item Ledger Entry","Quantity","Entry Type","Transfer","Entry No.",I32,"Location Code","@@"&amp;$E$6)</t>
  </si>
  <si>
    <t>=NL("Sum","Item Ledger Entry","Quantity","Entry Type","Consumption","Entry No.",I32,"Location Code","@@"&amp;$E$6)</t>
  </si>
  <si>
    <t>=NL("Sum","Item Ledger Entry","Quantity","Entry Type","Output","Entry No.",I32,"Location Code","@@"&amp;$E$6)</t>
  </si>
  <si>
    <t>=NL("Rows","Item Ledger Entry",,"+Posting Date",$L$5,"Item No.","@@"&amp;$D36,"Location Code","@@"&amp;$E$6)</t>
  </si>
  <si>
    <t>=NL("Sum","Item Ledger Entry","Quantity","Entry Type","Purchase","Entry No.",I67,"Location Code","@@"&amp;$E$6)</t>
  </si>
  <si>
    <t>=NL("Sum","Item Ledger Entry","Quantity","Entry Type","Sale","Entry No.",I67,"Location Code","@@"&amp;$E$6)</t>
  </si>
  <si>
    <t>=NL("Sum","Item Ledger Entry","Quantity","Entry Type","Positive Adjmt.|Negative Adjmt.","Entry No.",I67,"Location Code","@@"&amp;$E$6)</t>
  </si>
  <si>
    <t>=NL("Sum","Item Ledger Entry","Quantity","Entry Type","Transfer","Entry No.",I67,"Location Code","@@"&amp;$E$6)</t>
  </si>
  <si>
    <t>=NL("Sum","Item Ledger Entry","Quantity","Entry Type","Consumption","Entry No.",I67,"Location Code","@@"&amp;$E$6)</t>
  </si>
  <si>
    <t>=NL("Sum","Item Ledger Entry","Quantity","Entry Type","Output","Entry No.",I67,"Location Code","@@"&amp;$E$6)</t>
  </si>
  <si>
    <t>=NL("Sum","Item Ledger Entry","Quantity","Entry Type","Purchase","Entry No.",I106,"Location Code","@@"&amp;$E$6)</t>
  </si>
  <si>
    <t>=NL("Sum","Item Ledger Entry","Quantity","Entry Type","Sale","Entry No.",I106,"Location Code","@@"&amp;$E$6)</t>
  </si>
  <si>
    <t>=NL("Sum","Item Ledger Entry","Quantity","Entry Type","Positive Adjmt.|Negative Adjmt.","Entry No.",I106,"Location Code","@@"&amp;$E$6)</t>
  </si>
  <si>
    <t>=NL("Sum","Item Ledger Entry","Quantity","Entry Type","Transfer","Entry No.",I106,"Location Code","@@"&amp;$E$6)</t>
  </si>
  <si>
    <t>=NL("Sum","Item Ledger Entry","Quantity","Entry Type","Consumption","Entry No.",I106,"Location Code","@@"&amp;$E$6)</t>
  </si>
  <si>
    <t>=NL("Sum","Item Ledger Entry","Quantity","Entry Type","Output","Entry No.",I106,"Location Code","@@"&amp;$E$6)</t>
  </si>
  <si>
    <t>=NL("Sum","Item Ledger Entry","Quantity","Entry Type","Purchase","Entry No.",I111,"Location Code","@@"&amp;$E$6)</t>
  </si>
  <si>
    <t>=NL("Sum","Item Ledger Entry","Quantity","Entry Type","Sale","Entry No.",I111,"Location Code","@@"&amp;$E$6)</t>
  </si>
  <si>
    <t>=NL("Sum","Item Ledger Entry","Quantity","Entry Type","Positive Adjmt.|Negative Adjmt.","Entry No.",I111,"Location Code","@@"&amp;$E$6)</t>
  </si>
  <si>
    <t>=NL("Sum","Item Ledger Entry","Quantity","Entry Type","Transfer","Entry No.",I111,"Location Code","@@"&amp;$E$6)</t>
  </si>
  <si>
    <t>=NL("Sum","Item Ledger Entry","Quantity","Entry Type","Consumption","Entry No.",I111,"Location Code","@@"&amp;$E$6)</t>
  </si>
  <si>
    <t>=NL("Sum","Item Ledger Entry","Quantity","Entry Type","Output","Entry No.",I111,"Location Code","@@"&amp;$E$6)</t>
  </si>
  <si>
    <t>=NL("Sum","Item Ledger Entry","Quantity","Entry Type","Purchase","Entry No.",I112,"Location Code","@@"&amp;$E$6)</t>
  </si>
  <si>
    <t>=NL("Sum","Item Ledger Entry","Quantity","Entry Type","Sale","Entry No.",I112,"Location Code","@@"&amp;$E$6)</t>
  </si>
  <si>
    <t>=NL("Sum","Item Ledger Entry","Quantity","Entry Type","Positive Adjmt.|Negative Adjmt.","Entry No.",I112,"Location Code","@@"&amp;$E$6)</t>
  </si>
  <si>
    <t>=NL("Sum","Item Ledger Entry","Quantity","Entry Type","Transfer","Entry No.",I112,"Location Code","@@"&amp;$E$6)</t>
  </si>
  <si>
    <t>=NL("Sum","Item Ledger Entry","Quantity","Entry Type","Consumption","Entry No.",I112,"Location Code","@@"&amp;$E$6)</t>
  </si>
  <si>
    <t>=NL("Sum","Item Ledger Entry","Quantity","Entry Type","Output","Entry No.",I112,"Location Code","@@"&amp;$E$6)</t>
  </si>
  <si>
    <t>=NL("Rows","Item Ledger Entry",,"+Posting Date",$L$5,"Item No.","@@"&amp;$D116,"Location Code","@@"&amp;$E$6)</t>
  </si>
  <si>
    <t>=NL("Sum","Item Ledger Entry","Quantity","Entry Type","Purchase","Entry No.",I117,"Location Code","@@"&amp;$E$6)</t>
  </si>
  <si>
    <t>=NL("Sum","Item Ledger Entry","Quantity","Entry Type","Sale","Entry No.",I117,"Location Code","@@"&amp;$E$6)</t>
  </si>
  <si>
    <t>=NL("Sum","Item Ledger Entry","Quantity","Entry Type","Positive Adjmt.|Negative Adjmt.","Entry No.",I117,"Location Code","@@"&amp;$E$6)</t>
  </si>
  <si>
    <t>=NL("Sum","Item Ledger Entry","Quantity","Entry Type","Transfer","Entry No.",I117,"Location Code","@@"&amp;$E$6)</t>
  </si>
  <si>
    <t>=NL("Sum","Item Ledger Entry","Quantity","Entry Type","Consumption","Entry No.",I117,"Location Code","@@"&amp;$E$6)</t>
  </si>
  <si>
    <t>=NL("Sum","Item Ledger Entry","Quantity","Entry Type","Output","Entry No.",I117,"Location Code","@@"&amp;$E$6)</t>
  </si>
  <si>
    <t>=NL("Sum","Item Ledger Entry","Quantity","Entry Type","Purchase","Entry No.",I130,"Location Code","@@"&amp;$E$6)</t>
  </si>
  <si>
    <t>=NL("Sum","Item Ledger Entry","Quantity","Entry Type","Sale","Entry No.",I130,"Location Code","@@"&amp;$E$6)</t>
  </si>
  <si>
    <t>=NL("Sum","Item Ledger Entry","Quantity","Entry Type","Positive Adjmt.|Negative Adjmt.","Entry No.",I130,"Location Code","@@"&amp;$E$6)</t>
  </si>
  <si>
    <t>=NL("Sum","Item Ledger Entry","Quantity","Entry Type","Transfer","Entry No.",I130,"Location Code","@@"&amp;$E$6)</t>
  </si>
  <si>
    <t>=NL("Sum","Item Ledger Entry","Quantity","Entry Type","Consumption","Entry No.",I130,"Location Code","@@"&amp;$E$6)</t>
  </si>
  <si>
    <t>=NL("Sum","Item Ledger Entry","Quantity","Entry Type","Output","Entry No.",I130,"Location Code","@@"&amp;$E$6)</t>
  </si>
  <si>
    <t>=NL("Rows","Item Ledger Entry",,"+Posting Date",$L$5,"Item No.","@@"&amp;$D138,"Location Code","@@"&amp;$E$6)</t>
  </si>
  <si>
    <t>=NL("Sum","Item Ledger Entry","Quantity","Entry Type","Purchase","Entry No.",I138,"Location Code","@@"&amp;$E$6)</t>
  </si>
  <si>
    <t>=NL("Sum","Item Ledger Entry","Quantity","Entry Type","Sale","Entry No.",I138,"Location Code","@@"&amp;$E$6)</t>
  </si>
  <si>
    <t>=NL("Sum","Item Ledger Entry","Quantity","Entry Type","Positive Adjmt.|Negative Adjmt.","Entry No.",I138,"Location Code","@@"&amp;$E$6)</t>
  </si>
  <si>
    <t>=NL("Sum","Item Ledger Entry","Quantity","Entry Type","Transfer","Entry No.",I138,"Location Code","@@"&amp;$E$6)</t>
  </si>
  <si>
    <t>=NL("Sum","Item Ledger Entry","Quantity","Entry Type","Consumption","Entry No.",I138,"Location Code","@@"&amp;$E$6)</t>
  </si>
  <si>
    <t>=NL("Sum","Item Ledger Entry","Quantity","Entry Type","Output","Entry No.",I138,"Location Code","@@"&amp;$E$6)</t>
  </si>
  <si>
    <t>=NL("Sum","Item Ledger Entry","Quantity","Entry Type","Purchase","Entry No.",I142,"Location Code","@@"&amp;$E$6)</t>
  </si>
  <si>
    <t>=NL("Sum","Item Ledger Entry","Quantity","Entry Type","Sale","Entry No.",I142,"Location Code","@@"&amp;$E$6)</t>
  </si>
  <si>
    <t>=NL("Sum","Item Ledger Entry","Quantity","Entry Type","Positive Adjmt.|Negative Adjmt.","Entry No.",I142,"Location Code","@@"&amp;$E$6)</t>
  </si>
  <si>
    <t>=NL("Sum","Item Ledger Entry","Quantity","Entry Type","Transfer","Entry No.",I142,"Location Code","@@"&amp;$E$6)</t>
  </si>
  <si>
    <t>=NL("Sum","Item Ledger Entry","Quantity","Entry Type","Consumption","Entry No.",I142,"Location Code","@@"&amp;$E$6)</t>
  </si>
  <si>
    <t>=NL("Sum","Item Ledger Entry","Quantity","Entry Type","Output","Entry No.",I142,"Location Code","@@"&amp;$E$6)</t>
  </si>
  <si>
    <t>=NL("Sum","Item Ledger Entry","Quantity","Entry Type","Purchase","Entry No.",I155,"Location Code","@@"&amp;$E$6)</t>
  </si>
  <si>
    <t>=NL("Sum","Item Ledger Entry","Quantity","Entry Type","Sale","Entry No.",I155,"Location Code","@@"&amp;$E$6)</t>
  </si>
  <si>
    <t>=NL("Sum","Item Ledger Entry","Quantity","Entry Type","Positive Adjmt.|Negative Adjmt.","Entry No.",I155,"Location Code","@@"&amp;$E$6)</t>
  </si>
  <si>
    <t>=NL("Sum","Item Ledger Entry","Quantity","Entry Type","Transfer","Entry No.",I155,"Location Code","@@"&amp;$E$6)</t>
  </si>
  <si>
    <t>=NL("Sum","Item Ledger Entry","Quantity","Entry Type","Consumption","Entry No.",I155,"Location Code","@@"&amp;$E$6)</t>
  </si>
  <si>
    <t>=NL("Sum","Item Ledger Entry","Quantity","Entry Type","Output","Entry No.",I155,"Location Code","@@"&amp;$E$6)</t>
  </si>
  <si>
    <t>=NL("Rows","Item Ledger Entry",,"+Posting Date",$L$5,"Item No.","@@"&amp;$D159,"Location Code","@@"&amp;$E$6)</t>
  </si>
  <si>
    <t>=NL("Sum","Item Ledger Entry","Quantity","Entry Type","Purchase","Entry No.",I165,"Location Code","@@"&amp;$E$6)</t>
  </si>
  <si>
    <t>=NL("Sum","Item Ledger Entry","Quantity","Entry Type","Sale","Entry No.",I165,"Location Code","@@"&amp;$E$6)</t>
  </si>
  <si>
    <t>=NL("Sum","Item Ledger Entry","Quantity","Entry Type","Positive Adjmt.|Negative Adjmt.","Entry No.",I165,"Location Code","@@"&amp;$E$6)</t>
  </si>
  <si>
    <t>=NL("Sum","Item Ledger Entry","Quantity","Entry Type","Transfer","Entry No.",I165,"Location Code","@@"&amp;$E$6)</t>
  </si>
  <si>
    <t>=NL("Sum","Item Ledger Entry","Quantity","Entry Type","Consumption","Entry No.",I165,"Location Code","@@"&amp;$E$6)</t>
  </si>
  <si>
    <t>=NL("Sum","Item Ledger Entry","Quantity","Entry Type","Output","Entry No.",I165,"Location Code","@@"&amp;$E$6)</t>
  </si>
  <si>
    <t>=NL("Rows","Item Ledger Entry",,"+Posting Date",$L$5,"Item No.","@@"&amp;$D52,"Location Code","@@"&amp;$E$6)</t>
  </si>
  <si>
    <t>=NL("Sum","Item Ledger Entry","Quantity","Entry Type","Purchase","Entry No.",I52,"Location Code","@@"&amp;$E$6)</t>
  </si>
  <si>
    <t>=NL("Sum","Item Ledger Entry","Quantity","Entry Type","Sale","Entry No.",I52,"Location Code","@@"&amp;$E$6)</t>
  </si>
  <si>
    <t>=NL("Sum","Item Ledger Entry","Quantity","Entry Type","Positive Adjmt.|Negative Adjmt.","Entry No.",I52,"Location Code","@@"&amp;$E$6)</t>
  </si>
  <si>
    <t>=NL("Sum","Item Ledger Entry","Quantity","Entry Type","Transfer","Entry No.",I52,"Location Code","@@"&amp;$E$6)</t>
  </si>
  <si>
    <t>=NL("Sum","Item Ledger Entry","Quantity","Entry Type","Consumption","Entry No.",I52,"Location Code","@@"&amp;$E$6)</t>
  </si>
  <si>
    <t>=NL("Sum","Item Ledger Entry","Quantity","Entry Type","Output","Entry No.",I52,"Location Code","@@"&amp;$E$6)</t>
  </si>
  <si>
    <t>=NL("Sum","Item Ledger Entry","Quantity","Entry Type","Purchase","Entry No.",I75,"Location Code","@@"&amp;$E$6)</t>
  </si>
  <si>
    <t>=NL("Sum","Item Ledger Entry","Quantity","Entry Type","Sale","Entry No.",I75,"Location Code","@@"&amp;$E$6)</t>
  </si>
  <si>
    <t>=NL("Sum","Item Ledger Entry","Quantity","Entry Type","Positive Adjmt.|Negative Adjmt.","Entry No.",I75,"Location Code","@@"&amp;$E$6)</t>
  </si>
  <si>
    <t>=NL("Sum","Item Ledger Entry","Quantity","Entry Type","Transfer","Entry No.",I75,"Location Code","@@"&amp;$E$6)</t>
  </si>
  <si>
    <t>=NL("Sum","Item Ledger Entry","Quantity","Entry Type","Consumption","Entry No.",I75,"Location Code","@@"&amp;$E$6)</t>
  </si>
  <si>
    <t>=NL("Sum","Item Ledger Entry","Quantity","Entry Type","Output","Entry No.",I75,"Location Code","@@"&amp;$E$6)</t>
  </si>
  <si>
    <t>=NL("Sum","Item Ledger Entry","Quantity","Entry Type","Purchase","Entry No.",I80,"Location Code","@@"&amp;$E$6)</t>
  </si>
  <si>
    <t>=NL("Sum","Item Ledger Entry","Quantity","Entry Type","Sale","Entry No.",I80,"Location Code","@@"&amp;$E$6)</t>
  </si>
  <si>
    <t>=NL("Sum","Item Ledger Entry","Quantity","Entry Type","Positive Adjmt.|Negative Adjmt.","Entry No.",I80,"Location Code","@@"&amp;$E$6)</t>
  </si>
  <si>
    <t>=NL("Sum","Item Ledger Entry","Quantity","Entry Type","Transfer","Entry No.",I80,"Location Code","@@"&amp;$E$6)</t>
  </si>
  <si>
    <t>=NL("Sum","Item Ledger Entry","Quantity","Entry Type","Consumption","Entry No.",I80,"Location Code","@@"&amp;$E$6)</t>
  </si>
  <si>
    <t>=NL("Sum","Item Ledger Entry","Quantity","Entry Type","Output","Entry No.",I80,"Location Code","@@"&amp;$E$6)</t>
  </si>
  <si>
    <t>=NL("Sum","Item Ledger Entry","Quantity","Entry Type","Purchase","Entry No.",I175,"Location Code","@@"&amp;$E$6)</t>
  </si>
  <si>
    <t>=NL("Sum","Item Ledger Entry","Quantity","Entry Type","Sale","Entry No.",I175,"Location Code","@@"&amp;$E$6)</t>
  </si>
  <si>
    <t>=NL("Sum","Item Ledger Entry","Quantity","Entry Type","Positive Adjmt.|Negative Adjmt.","Entry No.",I175,"Location Code","@@"&amp;$E$6)</t>
  </si>
  <si>
    <t>=NL("Sum","Item Ledger Entry","Quantity","Entry Type","Transfer","Entry No.",I175,"Location Code","@@"&amp;$E$6)</t>
  </si>
  <si>
    <t>=NL("Sum","Item Ledger Entry","Quantity","Entry Type","Consumption","Entry No.",I175,"Location Code","@@"&amp;$E$6)</t>
  </si>
  <si>
    <t>=NL("Sum","Item Ledger Entry","Quantity","Entry Type","Output","Entry No.",I175,"Location Code","@@"&amp;$E$6)</t>
  </si>
  <si>
    <t>=NL("Sum","Item Ledger Entry","Quantity","Entry Type","Purchase","Entry No.",I47,"Location Code","@@"&amp;$E$6)</t>
  </si>
  <si>
    <t>=NL("Sum","Item Ledger Entry","Quantity","Entry Type","Sale","Entry No.",I47,"Location Code","@@"&amp;$E$6)</t>
  </si>
  <si>
    <t>=NL("Sum","Item Ledger Entry","Quantity","Entry Type","Positive Adjmt.|Negative Adjmt.","Entry No.",I47,"Location Code","@@"&amp;$E$6)</t>
  </si>
  <si>
    <t>=NL("Sum","Item Ledger Entry","Quantity","Entry Type","Transfer","Entry No.",I47,"Location Code","@@"&amp;$E$6)</t>
  </si>
  <si>
    <t>=NL("Sum","Item Ledger Entry","Quantity","Entry Type","Consumption","Entry No.",I47,"Location Code","@@"&amp;$E$6)</t>
  </si>
  <si>
    <t>=NL("Sum","Item Ledger Entry","Quantity","Entry Type","Output","Entry No.",I47,"Location Code","@@"&amp;$E$6)</t>
  </si>
  <si>
    <t>=NL("Sum","Item Ledger Entry","Quantity","Entry Type","Purchase","Entry No.",I63,"Location Code","@@"&amp;$E$6)</t>
  </si>
  <si>
    <t>=NL("Sum","Item Ledger Entry","Quantity","Entry Type","Sale","Entry No.",I63,"Location Code","@@"&amp;$E$6)</t>
  </si>
  <si>
    <t>=NL("Sum","Item Ledger Entry","Quantity","Entry Type","Positive Adjmt.|Negative Adjmt.","Entry No.",I63,"Location Code","@@"&amp;$E$6)</t>
  </si>
  <si>
    <t>=NL("Sum","Item Ledger Entry","Quantity","Entry Type","Transfer","Entry No.",I63,"Location Code","@@"&amp;$E$6)</t>
  </si>
  <si>
    <t>=NL("Sum","Item Ledger Entry","Quantity","Entry Type","Consumption","Entry No.",I63,"Location Code","@@"&amp;$E$6)</t>
  </si>
  <si>
    <t>=NL("Sum","Item Ledger Entry","Quantity","Entry Type","Output","Entry No.",I63,"Location Code","@@"&amp;$E$6)</t>
  </si>
  <si>
    <t>=NL("Sum","Item Ledger Entry","Quantity","Entry Type","Purchase","Entry No.",I71,"Location Code","@@"&amp;$E$6)</t>
  </si>
  <si>
    <t>=NL("Sum","Item Ledger Entry","Quantity","Entry Type","Sale","Entry No.",I71,"Location Code","@@"&amp;$E$6)</t>
  </si>
  <si>
    <t>=NL("Sum","Item Ledger Entry","Quantity","Entry Type","Positive Adjmt.|Negative Adjmt.","Entry No.",I71,"Location Code","@@"&amp;$E$6)</t>
  </si>
  <si>
    <t>=NL("Sum","Item Ledger Entry","Quantity","Entry Type","Transfer","Entry No.",I71,"Location Code","@@"&amp;$E$6)</t>
  </si>
  <si>
    <t>=NL("Sum","Item Ledger Entry","Quantity","Entry Type","Consumption","Entry No.",I71,"Location Code","@@"&amp;$E$6)</t>
  </si>
  <si>
    <t>=NL("Sum","Item Ledger Entry","Quantity","Entry Type","Output","Entry No.",I71,"Location Code","@@"&amp;$E$6)</t>
  </si>
  <si>
    <t>=NL("Sum","Item Ledger Entry","Quantity","Entry Type","Purchase","Entry No.",I76,"Location Code","@@"&amp;$E$6)</t>
  </si>
  <si>
    <t>=NL("Sum","Item Ledger Entry","Quantity","Entry Type","Sale","Entry No.",I76,"Location Code","@@"&amp;$E$6)</t>
  </si>
  <si>
    <t>=NL("Sum","Item Ledger Entry","Quantity","Entry Type","Positive Adjmt.|Negative Adjmt.","Entry No.",I76,"Location Code","@@"&amp;$E$6)</t>
  </si>
  <si>
    <t>=NL("Sum","Item Ledger Entry","Quantity","Entry Type","Transfer","Entry No.",I76,"Location Code","@@"&amp;$E$6)</t>
  </si>
  <si>
    <t>=NL("Sum","Item Ledger Entry","Quantity","Entry Type","Consumption","Entry No.",I76,"Location Code","@@"&amp;$E$6)</t>
  </si>
  <si>
    <t>=NL("Sum","Item Ledger Entry","Quantity","Entry Type","Output","Entry No.",I76,"Location Code","@@"&amp;$E$6)</t>
  </si>
  <si>
    <t>=NL("Rows","Item Ledger Entry",,"+Posting Date",$L$5,"Item No.","@@"&amp;$D86,"Location Code","@@"&amp;$E$6)</t>
  </si>
  <si>
    <t>=NL("Sum","Item Ledger Entry","Quantity","Entry Type","Purchase","Entry No.",I86,"Location Code","@@"&amp;$E$6)</t>
  </si>
  <si>
    <t>=NL("Sum","Item Ledger Entry","Quantity","Entry Type","Sale","Entry No.",I86,"Location Code","@@"&amp;$E$6)</t>
  </si>
  <si>
    <t>=NL("Sum","Item Ledger Entry","Quantity","Entry Type","Positive Adjmt.|Negative Adjmt.","Entry No.",I86,"Location Code","@@"&amp;$E$6)</t>
  </si>
  <si>
    <t>=NL("Sum","Item Ledger Entry","Quantity","Entry Type","Transfer","Entry No.",I86,"Location Code","@@"&amp;$E$6)</t>
  </si>
  <si>
    <t>=NL("Sum","Item Ledger Entry","Quantity","Entry Type","Consumption","Entry No.",I86,"Location Code","@@"&amp;$E$6)</t>
  </si>
  <si>
    <t>=NL("Sum","Item Ledger Entry","Quantity","Entry Type","Output","Entry No.",I86,"Location Code","@@"&amp;$E$6)</t>
  </si>
  <si>
    <t>=NL("Sum","Item Ledger Entry","Quantity","Entry Type","Purchase","Entry No.",I90,"Location Code","@@"&amp;$E$6)</t>
  </si>
  <si>
    <t>=NL("Sum","Item Ledger Entry","Quantity","Entry Type","Sale","Entry No.",I90,"Location Code","@@"&amp;$E$6)</t>
  </si>
  <si>
    <t>=NL("Sum","Item Ledger Entry","Quantity","Entry Type","Positive Adjmt.|Negative Adjmt.","Entry No.",I90,"Location Code","@@"&amp;$E$6)</t>
  </si>
  <si>
    <t>=NL("Sum","Item Ledger Entry","Quantity","Entry Type","Transfer","Entry No.",I90,"Location Code","@@"&amp;$E$6)</t>
  </si>
  <si>
    <t>=NL("Sum","Item Ledger Entry","Quantity","Entry Type","Consumption","Entry No.",I90,"Location Code","@@"&amp;$E$6)</t>
  </si>
  <si>
    <t>=NL("Sum","Item Ledger Entry","Quantity","Entry Type","Output","Entry No.",I90,"Location Code","@@"&amp;$E$6)</t>
  </si>
  <si>
    <t>=NL("Sum","Item Ledger Entry","Quantity","Entry Type","Purchase","Entry No.",I99,"Location Code","@@"&amp;$E$6)</t>
  </si>
  <si>
    <t>=NL("Sum","Item Ledger Entry","Quantity","Entry Type","Sale","Entry No.",I99,"Location Code","@@"&amp;$E$6)</t>
  </si>
  <si>
    <t>=NL("Sum","Item Ledger Entry","Quantity","Entry Type","Positive Adjmt.|Negative Adjmt.","Entry No.",I99,"Location Code","@@"&amp;$E$6)</t>
  </si>
  <si>
    <t>=NL("Sum","Item Ledger Entry","Quantity","Entry Type","Transfer","Entry No.",I99,"Location Code","@@"&amp;$E$6)</t>
  </si>
  <si>
    <t>=NL("Sum","Item Ledger Entry","Quantity","Entry Type","Consumption","Entry No.",I99,"Location Code","@@"&amp;$E$6)</t>
  </si>
  <si>
    <t>=NL("Sum","Item Ledger Entry","Quantity","Entry Type","Output","Entry No.",I99,"Location Code","@@"&amp;$E$6)</t>
  </si>
  <si>
    <t>=NL("Sum","Item Ledger Entry","Quantity","Entry Type","Purchase","Entry No.",I23,"Location Code",$L$7)</t>
  </si>
  <si>
    <t>=NL("Sum","Item Ledger Entry","Quantity","Entry Type","Sale","Entry No.",I23,"Location Code",$L$7)</t>
  </si>
  <si>
    <t>=NL("Sum","Item Ledger Entry","Quantity","Entry Type","Positive Adjmt.|Negative Adjmt.","Entry No.",I23,"Location Code",$L$7)</t>
  </si>
  <si>
    <t>=NL("Sum","Item Ledger Entry","Quantity","Entry Type","Transfer","Entry No.",I23,"Location Code",$L$7)</t>
  </si>
  <si>
    <t>=NL("Sum","Item Ledger Entry","Quantity","Entry Type","Consumption","Entry No.",I23,"Location Code",$L$7)</t>
  </si>
  <si>
    <t>=NL("Sum","Item Ledger Entry","Quantity","Entry Type","Output","Entry No.",I23,"Location Code",$L$7)</t>
  </si>
  <si>
    <t>=NL("Sum","Item Ledger Entry","Quantity","Entry Type","Purchase","Entry No.",I24,"Location Code",$L$7)</t>
  </si>
  <si>
    <t>=NL("Sum","Item Ledger Entry","Quantity","Entry Type","Sale","Entry No.",I24,"Location Code",$L$7)</t>
  </si>
  <si>
    <t>=NL("Sum","Item Ledger Entry","Quantity","Entry Type","Positive Adjmt.|Negative Adjmt.","Entry No.",I24,"Location Code",$L$7)</t>
  </si>
  <si>
    <t>=NL("Sum","Item Ledger Entry","Quantity","Entry Type","Transfer","Entry No.",I24,"Location Code",$L$7)</t>
  </si>
  <si>
    <t>=NL("Sum","Item Ledger Entry","Quantity","Entry Type","Consumption","Entry No.",I24,"Location Code",$L$7)</t>
  </si>
  <si>
    <t>=NL("Sum","Item Ledger Entry","Quantity","Entry Type","Output","Entry No.",I24,"Location Code",$L$7)</t>
  </si>
  <si>
    <t>=NL("Sum","Item Ledger Entry","Quantity","Entry Type","Purchase","Entry No.",I41,"Location Code",$L$7)</t>
  </si>
  <si>
    <t>=NL("Sum","Item Ledger Entry","Quantity","Entry Type","Sale","Entry No.",I41,"Location Code",$L$7)</t>
  </si>
  <si>
    <t>=NL("Sum","Item Ledger Entry","Quantity","Entry Type","Positive Adjmt.|Negative Adjmt.","Entry No.",I41,"Location Code",$L$7)</t>
  </si>
  <si>
    <t>=NL("Sum","Item Ledger Entry","Quantity","Entry Type","Transfer","Entry No.",I41,"Location Code",$L$7)</t>
  </si>
  <si>
    <t>=NL("Sum","Item Ledger Entry","Quantity","Entry Type","Consumption","Entry No.",I41,"Location Code",$L$7)</t>
  </si>
  <si>
    <t>=NL("Sum","Item Ledger Entry","Quantity","Entry Type","Output","Entry No.",I41,"Location Code",$L$7)</t>
  </si>
  <si>
    <t>=NL("Sum","Item Ledger Entry","Quantity","Entry Type","Purchase","Entry No.",I42,"Location Code",$L$7)</t>
  </si>
  <si>
    <t>=NL("Sum","Item Ledger Entry","Quantity","Entry Type","Sale","Entry No.",I42,"Location Code",$L$7)</t>
  </si>
  <si>
    <t>=NL("Sum","Item Ledger Entry","Quantity","Entry Type","Positive Adjmt.|Negative Adjmt.","Entry No.",I42,"Location Code",$L$7)</t>
  </si>
  <si>
    <t>=NL("Sum","Item Ledger Entry","Quantity","Entry Type","Transfer","Entry No.",I42,"Location Code",$L$7)</t>
  </si>
  <si>
    <t>=NL("Sum","Item Ledger Entry","Quantity","Entry Type","Consumption","Entry No.",I42,"Location Code",$L$7)</t>
  </si>
  <si>
    <t>=NL("Sum","Item Ledger Entry","Quantity","Entry Type","Output","Entry No.",I42,"Location Code",$L$7)</t>
  </si>
  <si>
    <t>=NL("Sum","Item Ledger Entry","Quantity","Entry Type","Purchase","Entry No.",I58,"Location Code",$L$7)</t>
  </si>
  <si>
    <t>=NL("Sum","Item Ledger Entry","Quantity","Entry Type","Sale","Entry No.",I58,"Location Code",$L$7)</t>
  </si>
  <si>
    <t>=NL("Sum","Item Ledger Entry","Quantity","Entry Type","Positive Adjmt.|Negative Adjmt.","Entry No.",I58,"Location Code",$L$7)</t>
  </si>
  <si>
    <t>=NL("Sum","Item Ledger Entry","Quantity","Entry Type","Transfer","Entry No.",I58,"Location Code",$L$7)</t>
  </si>
  <si>
    <t>=NL("Sum","Item Ledger Entry","Quantity","Entry Type","Consumption","Entry No.",I58,"Location Code",$L$7)</t>
  </si>
  <si>
    <t>=NL("Sum","Item Ledger Entry","Quantity","Entry Type","Output","Entry No.",I58,"Location Code",$L$7)</t>
  </si>
  <si>
    <t>=NL("Sum","Item Ledger Entry","Quantity","Entry Type","Purchase","Entry No.",I91,"Location Code",$L$7)</t>
  </si>
  <si>
    <t>=NL("Sum","Item Ledger Entry","Quantity","Entry Type","Sale","Entry No.",I91,"Location Code",$L$7)</t>
  </si>
  <si>
    <t>=NL("Sum","Item Ledger Entry","Quantity","Entry Type","Positive Adjmt.|Negative Adjmt.","Entry No.",I91,"Location Code",$L$7)</t>
  </si>
  <si>
    <t>=NL("Sum","Item Ledger Entry","Quantity","Entry Type","Transfer","Entry No.",I91,"Location Code",$L$7)</t>
  </si>
  <si>
    <t>=NL("Sum","Item Ledger Entry","Quantity","Entry Type","Consumption","Entry No.",I91,"Location Code",$L$7)</t>
  </si>
  <si>
    <t>=NL("Sum","Item Ledger Entry","Quantity","Entry Type","Output","Entry No.",I91,"Location Code",$L$7)</t>
  </si>
  <si>
    <t>=NL("Sum","Item Ledger Entry","Quantity","Entry Type","Purchase","Entry No.",I92,"Location Code",$L$7)</t>
  </si>
  <si>
    <t>=NL("Sum","Item Ledger Entry","Quantity","Entry Type","Sale","Entry No.",I92,"Location Code",$L$7)</t>
  </si>
  <si>
    <t>=NL("Sum","Item Ledger Entry","Quantity","Entry Type","Positive Adjmt.|Negative Adjmt.","Entry No.",I92,"Location Code",$L$7)</t>
  </si>
  <si>
    <t>=NL("Sum","Item Ledger Entry","Quantity","Entry Type","Transfer","Entry No.",I92,"Location Code",$L$7)</t>
  </si>
  <si>
    <t>=NL("Sum","Item Ledger Entry","Quantity","Entry Type","Consumption","Entry No.",I92,"Location Code",$L$7)</t>
  </si>
  <si>
    <t>=NL("Sum","Item Ledger Entry","Quantity","Entry Type","Output","Entry No.",I92,"Location Code",$L$7)</t>
  </si>
  <si>
    <t>=NL("Sum","Item Ledger Entry","Quantity","Entry Type","Purchase","Entry No.",I115,"Location Code",$L$7)</t>
  </si>
  <si>
    <t>=NL("Sum","Item Ledger Entry","Quantity","Entry Type","Sale","Entry No.",I115,"Location Code",$L$7)</t>
  </si>
  <si>
    <t>=NL("Sum","Item Ledger Entry","Quantity","Entry Type","Positive Adjmt.|Negative Adjmt.","Entry No.",I115,"Location Code",$L$7)</t>
  </si>
  <si>
    <t>=NL("Sum","Item Ledger Entry","Quantity","Entry Type","Transfer","Entry No.",I115,"Location Code",$L$7)</t>
  </si>
  <si>
    <t>=NL("Sum","Item Ledger Entry","Quantity","Entry Type","Consumption","Entry No.",I115,"Location Code",$L$7)</t>
  </si>
  <si>
    <t>=NL("Sum","Item Ledger Entry","Quantity","Entry Type","Output","Entry No.",I115,"Location Code",$L$7)</t>
  </si>
  <si>
    <t>=NL("Sum","Item Ledger Entry","Quantity","Entry Type","Purchase","Entry No.",I252,"Location Code",$L$7)</t>
  </si>
  <si>
    <t>=NL("Sum","Item Ledger Entry","Quantity","Entry Type","Sale","Entry No.",I252,"Location Code",$L$7)</t>
  </si>
  <si>
    <t>=NL("Sum","Item Ledger Entry","Quantity","Entry Type","Positive Adjmt.|Negative Adjmt.","Entry No.",I252,"Location Code",$L$7)</t>
  </si>
  <si>
    <t>=NL("Sum","Item Ledger Entry","Quantity","Entry Type","Transfer","Entry No.",I252,"Location Code",$L$7)</t>
  </si>
  <si>
    <t>=NL("Sum","Item Ledger Entry","Quantity","Entry Type","Consumption","Entry No.",I252,"Location Code",$L$7)</t>
  </si>
  <si>
    <t>=NL("Sum","Item Ledger Entry","Quantity","Entry Type","Output","Entry No.",I252,"Location Code",$L$7)</t>
  </si>
  <si>
    <t>=NL("Sum","Item Ledger Entry","Quantity","Entry Type","Purchase","Entry No.",I257,"Location Code",$L$7)</t>
  </si>
  <si>
    <t>=NL("Sum","Item Ledger Entry","Quantity","Entry Type","Sale","Entry No.",I257,"Location Code",$L$7)</t>
  </si>
  <si>
    <t>=NL("Sum","Item Ledger Entry","Quantity","Entry Type","Positive Adjmt.|Negative Adjmt.","Entry No.",I257,"Location Code",$L$7)</t>
  </si>
  <si>
    <t>=NL("Sum","Item Ledger Entry","Quantity","Entry Type","Transfer","Entry No.",I257,"Location Code",$L$7)</t>
  </si>
  <si>
    <t>=NL("Sum","Item Ledger Entry","Quantity","Entry Type","Consumption","Entry No.",I257,"Location Code",$L$7)</t>
  </si>
  <si>
    <t>=NL("Sum","Item Ledger Entry","Quantity","Entry Type","Output","Entry No.",I257,"Location Code",$L$7)</t>
  </si>
  <si>
    <t>=NL("Sum","Item Ledger Entry","Quantity","Entry Type","Purchase","Entry No.",I297,"Location Code",$L$7)</t>
  </si>
  <si>
    <t>=NL("Sum","Item Ledger Entry","Quantity","Entry Type","Sale","Entry No.",I297,"Location Code",$L$7)</t>
  </si>
  <si>
    <t>=NL("Sum","Item Ledger Entry","Quantity","Entry Type","Positive Adjmt.|Negative Adjmt.","Entry No.",I297,"Location Code",$L$7)</t>
  </si>
  <si>
    <t>=NL("Sum","Item Ledger Entry","Quantity","Entry Type","Transfer","Entry No.",I297,"Location Code",$L$7)</t>
  </si>
  <si>
    <t>=NL("Sum","Item Ledger Entry","Quantity","Entry Type","Consumption","Entry No.",I297,"Location Code",$L$7)</t>
  </si>
  <si>
    <t>=NL("Sum","Item Ledger Entry","Quantity","Entry Type","Output","Entry No.",I297,"Location Code",$L$7)</t>
  </si>
  <si>
    <t>=NL("Sum","Item Ledger Entry","Quantity","Entry Type","Purchase","Entry No.",I304,"Location Code",$L$7)</t>
  </si>
  <si>
    <t>=NL("Sum","Item Ledger Entry","Quantity","Entry Type","Sale","Entry No.",I304,"Location Code",$L$7)</t>
  </si>
  <si>
    <t>=NL("Sum","Item Ledger Entry","Quantity","Entry Type","Positive Adjmt.|Negative Adjmt.","Entry No.",I304,"Location Code",$L$7)</t>
  </si>
  <si>
    <t>=NL("Sum","Item Ledger Entry","Quantity","Entry Type","Transfer","Entry No.",I304,"Location Code",$L$7)</t>
  </si>
  <si>
    <t>=NL("Sum","Item Ledger Entry","Quantity","Entry Type","Consumption","Entry No.",I304,"Location Code",$L$7)</t>
  </si>
  <si>
    <t>=NL("Sum","Item Ledger Entry","Quantity","Entry Type","Output","Entry No.",I304,"Location Code",$L$7)</t>
  </si>
  <si>
    <t>=NL("Sum","Item Ledger Entry","Quantity","Entry Type","Purchase","Entry No.",I329,"Location Code",$L$7)</t>
  </si>
  <si>
    <t>=NL("Sum","Item Ledger Entry","Quantity","Entry Type","Sale","Entry No.",I329,"Location Code",$L$7)</t>
  </si>
  <si>
    <t>=NL("Sum","Item Ledger Entry","Quantity","Entry Type","Positive Adjmt.|Negative Adjmt.","Entry No.",I329,"Location Code",$L$7)</t>
  </si>
  <si>
    <t>=NL("Sum","Item Ledger Entry","Quantity","Entry Type","Transfer","Entry No.",I329,"Location Code",$L$7)</t>
  </si>
  <si>
    <t>=NL("Sum","Item Ledger Entry","Quantity","Entry Type","Consumption","Entry No.",I329,"Location Code",$L$7)</t>
  </si>
  <si>
    <t>=NL("Sum","Item Ledger Entry","Quantity","Entry Type","Output","Entry No.",I329,"Location Code",$L$7)</t>
  </si>
  <si>
    <t>=NL("Sum","Item Ledger Entry","Quantity","Entry Type","Purchase","Entry No.",I345,"Location Code",$L$7)</t>
  </si>
  <si>
    <t>=NL("Sum","Item Ledger Entry","Quantity","Entry Type","Sale","Entry No.",I345,"Location Code",$L$7)</t>
  </si>
  <si>
    <t>=NL("Sum","Item Ledger Entry","Quantity","Entry Type","Positive Adjmt.|Negative Adjmt.","Entry No.",I345,"Location Code",$L$7)</t>
  </si>
  <si>
    <t>=NL("Sum","Item Ledger Entry","Quantity","Entry Type","Transfer","Entry No.",I345,"Location Code",$L$7)</t>
  </si>
  <si>
    <t>=NL("Sum","Item Ledger Entry","Quantity","Entry Type","Consumption","Entry No.",I345,"Location Code",$L$7)</t>
  </si>
  <si>
    <t>=NL("Sum","Item Ledger Entry","Quantity","Entry Type","Output","Entry No.",I345,"Location Code",$L$7)</t>
  </si>
  <si>
    <t>=D345</t>
  </si>
  <si>
    <t>=NF($G346,"Posting Date")</t>
  </si>
  <si>
    <t>=NF($G346,"Entry No.")</t>
  </si>
  <si>
    <t>=NF(G346,"Source Type")</t>
  </si>
  <si>
    <t>=NF($G346,"Source No.")</t>
  </si>
  <si>
    <t>=IF($J346="Customer",NL("first",$J346,"Name","No.","@@"&amp;$K346),"")</t>
  </si>
  <si>
    <t>=IF(J346="vendor",NL("first",J346,"Name","No.","@@"&amp;K346),"")</t>
  </si>
  <si>
    <t>=IF($J346="Item",NL("first",$J346,"Description","No.","@@"&amp;$K346),"")</t>
  </si>
  <si>
    <t>=NL("Sum","Item Ledger Entry","Quantity","Entry Type","Purchase","Entry No.",I346,"Location Code",$L$7)</t>
  </si>
  <si>
    <t>=NL("Sum","Item Ledger Entry","Quantity","Entry Type","Sale","Entry No.",I346,"Location Code",$L$7)</t>
  </si>
  <si>
    <t>=NL("Sum","Item Ledger Entry","Quantity","Entry Type","Positive Adjmt.|Negative Adjmt.","Entry No.",I346,"Location Code",$L$7)</t>
  </si>
  <si>
    <t>=NL("Sum","Item Ledger Entry","Quantity","Entry Type","Transfer","Entry No.",I346,"Location Code",$L$7)</t>
  </si>
  <si>
    <t>=NL("Sum","Item Ledger Entry","Quantity","Entry Type","Consumption","Entry No.",I346,"Location Code",$L$7)</t>
  </si>
  <si>
    <t>=NL("Sum","Item Ledger Entry","Quantity","Entry Type","Output","Entry No.",I346,"Location Code",$L$7)</t>
  </si>
  <si>
    <t>=NL("Sum","Item Ledger Entry","Quantity","Entry Type","Purchase","Entry No.",I119,"Location Code","@@"&amp;$E$6)</t>
  </si>
  <si>
    <t>=NL("Sum","Item Ledger Entry","Quantity","Entry Type","Sale","Entry No.",I119,"Location Code","@@"&amp;$E$6)</t>
  </si>
  <si>
    <t>=NL("Sum","Item Ledger Entry","Quantity","Entry Type","Positive Adjmt.|Negative Adjmt.","Entry No.",I119,"Location Code","@@"&amp;$E$6)</t>
  </si>
  <si>
    <t>=NL("Sum","Item Ledger Entry","Quantity","Entry Type","Transfer","Entry No.",I119,"Location Code","@@"&amp;$E$6)</t>
  </si>
  <si>
    <t>=NL("Sum","Item Ledger Entry","Quantity","Entry Type","Consumption","Entry No.",I119,"Location Code","@@"&amp;$E$6)</t>
  </si>
  <si>
    <t>=NL("Sum","Item Ledger Entry","Quantity","Entry Type","Output","Entry No.",I119,"Location Code","@@"&amp;$E$6)</t>
  </si>
  <si>
    <t>=NL("Sum","Item Ledger Entry","Quantity","Entry Type","Purchase","Entry No.",I56,"Location Code","@@"&amp;$E$6)</t>
  </si>
  <si>
    <t>=NL("Sum","Item Ledger Entry","Quantity","Entry Type","Sale","Entry No.",I56,"Location Code","@@"&amp;$E$6)</t>
  </si>
  <si>
    <t>=NL("Sum","Item Ledger Entry","Quantity","Entry Type","Positive Adjmt.|Negative Adjmt.","Entry No.",I56,"Location Code","@@"&amp;$E$6)</t>
  </si>
  <si>
    <t>=NL("Sum","Item Ledger Entry","Quantity","Entry Type","Transfer","Entry No.",I56,"Location Code","@@"&amp;$E$6)</t>
  </si>
  <si>
    <t>=NL("Sum","Item Ledger Entry","Quantity","Entry Type","Consumption","Entry No.",I56,"Location Code","@@"&amp;$E$6)</t>
  </si>
  <si>
    <t>=NL("Sum","Item Ledger Entry","Quantity","Entry Type","Output","Entry No.",I56,"Location Code","@@"&amp;$E$6)</t>
  </si>
  <si>
    <t>=NL("Sum","Item Ledger Entry","Quantity","Entry Type","Purchase","Entry No.",I100,"Location Code","@@"&amp;$E$6)</t>
  </si>
  <si>
    <t>=NL("Sum","Item Ledger Entry","Quantity","Entry Type","Sale","Entry No.",I100,"Location Code","@@"&amp;$E$6)</t>
  </si>
  <si>
    <t>=NL("Sum","Item Ledger Entry","Quantity","Entry Type","Positive Adjmt.|Negative Adjmt.","Entry No.",I100,"Location Code","@@"&amp;$E$6)</t>
  </si>
  <si>
    <t>=NL("Sum","Item Ledger Entry","Quantity","Entry Type","Transfer","Entry No.",I100,"Location Code","@@"&amp;$E$6)</t>
  </si>
  <si>
    <t>=NL("Sum","Item Ledger Entry","Quantity","Entry Type","Consumption","Entry No.",I100,"Location Code","@@"&amp;$E$6)</t>
  </si>
  <si>
    <t>=NL("Sum","Item Ledger Entry","Quantity","Entry Type","Output","Entry No.",I100,"Location Code","@@"&amp;$E$6)</t>
  </si>
  <si>
    <t>=NL("Sum","Item Ledger Entry","Quantity","Entry Type","Purchase","Entry No.",I104,"Location Code","@@"&amp;$E$6)</t>
  </si>
  <si>
    <t>=NL("Sum","Item Ledger Entry","Quantity","Entry Type","Sale","Entry No.",I104,"Location Code","@@"&amp;$E$6)</t>
  </si>
  <si>
    <t>=NL("Sum","Item Ledger Entry","Quantity","Entry Type","Positive Adjmt.|Negative Adjmt.","Entry No.",I104,"Location Code","@@"&amp;$E$6)</t>
  </si>
  <si>
    <t>=NL("Sum","Item Ledger Entry","Quantity","Entry Type","Transfer","Entry No.",I104,"Location Code","@@"&amp;$E$6)</t>
  </si>
  <si>
    <t>=NL("Sum","Item Ledger Entry","Quantity","Entry Type","Consumption","Entry No.",I104,"Location Code","@@"&amp;$E$6)</t>
  </si>
  <si>
    <t>=NL("Sum","Item Ledger Entry","Quantity","Entry Type","Output","Entry No.",I104,"Location Code","@@"&amp;$E$6)</t>
  </si>
  <si>
    <t>=NL("Sum","Item Ledger Entry","Quantity","Entry Type","Purchase","Entry No.",I19,"Location Code",$L$7)</t>
  </si>
  <si>
    <t>=NL("Sum","Item Ledger Entry","Quantity","Entry Type","Sale","Entry No.",I19,"Location Code",$L$7)</t>
  </si>
  <si>
    <t>=NL("Sum","Item Ledger Entry","Quantity","Entry Type","Positive Adjmt.|Negative Adjmt.","Entry No.",I19,"Location Code",$L$7)</t>
  </si>
  <si>
    <t>=NL("Sum","Item Ledger Entry","Quantity","Entry Type","Transfer","Entry No.",I19,"Location Code",$L$7)</t>
  </si>
  <si>
    <t>=NL("Sum","Item Ledger Entry","Quantity","Entry Type","Consumption","Entry No.",I19,"Location Code",$L$7)</t>
  </si>
  <si>
    <t>=NL("Sum","Item Ledger Entry","Quantity","Entry Type","Output","Entry No.",I19,"Location Code",$L$7)</t>
  </si>
  <si>
    <t>=NL("Sum","Item Ledger Entry","Quantity","Entry Type","Purchase","Entry No.",I72,"Location Code",$L$7)</t>
  </si>
  <si>
    <t>=NL("Sum","Item Ledger Entry","Quantity","Entry Type","Sale","Entry No.",I72,"Location Code",$L$7)</t>
  </si>
  <si>
    <t>=NL("Sum","Item Ledger Entry","Quantity","Entry Type","Positive Adjmt.|Negative Adjmt.","Entry No.",I72,"Location Code",$L$7)</t>
  </si>
  <si>
    <t>=NL("Sum","Item Ledger Entry","Quantity","Entry Type","Transfer","Entry No.",I72,"Location Code",$L$7)</t>
  </si>
  <si>
    <t>=NL("Sum","Item Ledger Entry","Quantity","Entry Type","Consumption","Entry No.",I72,"Location Code",$L$7)</t>
  </si>
  <si>
    <t>=NL("Sum","Item Ledger Entry","Quantity","Entry Type","Output","Entry No.",I72,"Location Code",$L$7)</t>
  </si>
  <si>
    <t>=NL("Sum","Item Ledger Entry","Quantity","Entry Type","Purchase","Entry No.",I192,"Location Code",$L$7)</t>
  </si>
  <si>
    <t>=NL("Sum","Item Ledger Entry","Quantity","Entry Type","Sale","Entry No.",I192,"Location Code",$L$7)</t>
  </si>
  <si>
    <t>=NL("Sum","Item Ledger Entry","Quantity","Entry Type","Positive Adjmt.|Negative Adjmt.","Entry No.",I192,"Location Code",$L$7)</t>
  </si>
  <si>
    <t>=NL("Sum","Item Ledger Entry","Quantity","Entry Type","Transfer","Entry No.",I192,"Location Code",$L$7)</t>
  </si>
  <si>
    <t>=NL("Sum","Item Ledger Entry","Quantity","Entry Type","Consumption","Entry No.",I192,"Location Code",$L$7)</t>
  </si>
  <si>
    <t>=NL("Sum","Item Ledger Entry","Quantity","Entry Type","Output","Entry No.",I192,"Location Code",$L$7)</t>
  </si>
  <si>
    <t>=NL("Sum","Item Ledger Entry","Quantity","Entry Type","Purchase","Entry No.",I238,"Location Code",$L$7)</t>
  </si>
  <si>
    <t>=NL("Sum","Item Ledger Entry","Quantity","Entry Type","Sale","Entry No.",I238,"Location Code",$L$7)</t>
  </si>
  <si>
    <t>=NL("Sum","Item Ledger Entry","Quantity","Entry Type","Positive Adjmt.|Negative Adjmt.","Entry No.",I238,"Location Code",$L$7)</t>
  </si>
  <si>
    <t>=NL("Sum","Item Ledger Entry","Quantity","Entry Type","Transfer","Entry No.",I238,"Location Code",$L$7)</t>
  </si>
  <si>
    <t>=NL("Sum","Item Ledger Entry","Quantity","Entry Type","Consumption","Entry No.",I238,"Location Code",$L$7)</t>
  </si>
  <si>
    <t>=NL("Sum","Item Ledger Entry","Quantity","Entry Type","Output","Entry No.",I238,"Location Code",$L$7)</t>
  </si>
  <si>
    <t>=NL("Sum","Item Ledger Entry","Quantity","Entry Type","Purchase","Entry No.",I298,"Location Code",$L$7)</t>
  </si>
  <si>
    <t>=NL("Sum","Item Ledger Entry","Quantity","Entry Type","Sale","Entry No.",I298,"Location Code",$L$7)</t>
  </si>
  <si>
    <t>=NL("Sum","Item Ledger Entry","Quantity","Entry Type","Positive Adjmt.|Negative Adjmt.","Entry No.",I298,"Location Code",$L$7)</t>
  </si>
  <si>
    <t>=NL("Sum","Item Ledger Entry","Quantity","Entry Type","Transfer","Entry No.",I298,"Location Code",$L$7)</t>
  </si>
  <si>
    <t>=NL("Sum","Item Ledger Entry","Quantity","Entry Type","Consumption","Entry No.",I298,"Location Code",$L$7)</t>
  </si>
  <si>
    <t>=NL("Sum","Item Ledger Entry","Quantity","Entry Type","Output","Entry No.",I298,"Location Code",$L$7)</t>
  </si>
  <si>
    <t>=NL("Sum","Item Ledger Entry","Quantity","Entry Type","Purchase","Entry No.",I403,"Location Code",$L$7)</t>
  </si>
  <si>
    <t>=NL("Sum","Item Ledger Entry","Quantity","Entry Type","Sale","Entry No.",I403,"Location Code",$L$7)</t>
  </si>
  <si>
    <t>=NL("Sum","Item Ledger Entry","Quantity","Entry Type","Positive Adjmt.|Negative Adjmt.","Entry No.",I403,"Location Code",$L$7)</t>
  </si>
  <si>
    <t>=NL("Sum","Item Ledger Entry","Quantity","Entry Type","Transfer","Entry No.",I403,"Location Code",$L$7)</t>
  </si>
  <si>
    <t>=NL("Sum","Item Ledger Entry","Quantity","Entry Type","Consumption","Entry No.",I403,"Location Code",$L$7)</t>
  </si>
  <si>
    <t>=NL("Sum","Item Ledger Entry","Quantity","Entry Type","Output","Entry No.",I403,"Location Code",$L$7)</t>
  </si>
  <si>
    <t>=NL("Sum","Item Ledger Entry","Quantity","Entry Type","Purchase","Entry No.",I141,"Location Code","@@"&amp;$E$6)</t>
  </si>
  <si>
    <t>=NL("Sum","Item Ledger Entry","Quantity","Entry Type","Sale","Entry No.",I141,"Location Code","@@"&amp;$E$6)</t>
  </si>
  <si>
    <t>=NL("Sum","Item Ledger Entry","Quantity","Entry Type","Positive Adjmt.|Negative Adjmt.","Entry No.",I141,"Location Code","@@"&amp;$E$6)</t>
  </si>
  <si>
    <t>=NL("Sum","Item Ledger Entry","Quantity","Entry Type","Transfer","Entry No.",I141,"Location Code","@@"&amp;$E$6)</t>
  </si>
  <si>
    <t>=NL("Sum","Item Ledger Entry","Quantity","Entry Type","Consumption","Entry No.",I141,"Location Code","@@"&amp;$E$6)</t>
  </si>
  <si>
    <t>=NL("Sum","Item Ledger Entry","Quantity","Entry Type","Output","Entry No.",I141,"Location Code","@@"&amp;$E$6)</t>
  </si>
  <si>
    <t>=NL("Sum","Item Ledger Entry","Quantity","Entry Type","Purchase","Entry No.",I143,"Location Code","@@"&amp;$E$6)</t>
  </si>
  <si>
    <t>=NL("Sum","Item Ledger Entry","Quantity","Entry Type","Sale","Entry No.",I143,"Location Code","@@"&amp;$E$6)</t>
  </si>
  <si>
    <t>=NL("Sum","Item Ledger Entry","Quantity","Entry Type","Positive Adjmt.|Negative Adjmt.","Entry No.",I143,"Location Code","@@"&amp;$E$6)</t>
  </si>
  <si>
    <t>=NL("Sum","Item Ledger Entry","Quantity","Entry Type","Transfer","Entry No.",I143,"Location Code","@@"&amp;$E$6)</t>
  </si>
  <si>
    <t>=NL("Sum","Item Ledger Entry","Quantity","Entry Type","Consumption","Entry No.",I143,"Location Code","@@"&amp;$E$6)</t>
  </si>
  <si>
    <t>=NL("Sum","Item Ledger Entry","Quantity","Entry Type","Output","Entry No.",I143,"Location Code","@@"&amp;$E$6)</t>
  </si>
  <si>
    <t>=NL("Sum","Item Ledger Entry","Quantity","Entry Type","Purchase","Entry No.",I149,"Location Code","@@"&amp;$E$6)</t>
  </si>
  <si>
    <t>=NL("Sum","Item Ledger Entry","Quantity","Entry Type","Sale","Entry No.",I149,"Location Code","@@"&amp;$E$6)</t>
  </si>
  <si>
    <t>=NL("Sum","Item Ledger Entry","Quantity","Entry Type","Positive Adjmt.|Negative Adjmt.","Entry No.",I149,"Location Code","@@"&amp;$E$6)</t>
  </si>
  <si>
    <t>=NL("Sum","Item Ledger Entry","Quantity","Entry Type","Transfer","Entry No.",I149,"Location Code","@@"&amp;$E$6)</t>
  </si>
  <si>
    <t>=NL("Sum","Item Ledger Entry","Quantity","Entry Type","Consumption","Entry No.",I149,"Location Code","@@"&amp;$E$6)</t>
  </si>
  <si>
    <t>=NL("Sum","Item Ledger Entry","Quantity","Entry Type","Output","Entry No.",I149,"Location Code","@@"&amp;$E$6)</t>
  </si>
  <si>
    <t>=E164</t>
  </si>
  <si>
    <t>=NL("First","Item","Description","No.",$E164)</t>
  </si>
  <si>
    <t>=NL("First","Item","Base Unit of Measure","No.",$E164)</t>
  </si>
  <si>
    <t>=(SUBTOTAL(9,O165:O166))</t>
  </si>
  <si>
    <t>=(SUBTOTAL(9,P165:P166))</t>
  </si>
  <si>
    <t>=(SUBTOTAL(9,Q165:Q166))</t>
  </si>
  <si>
    <t>=(SUBTOTAL(9,R165:R166))</t>
  </si>
  <si>
    <t>=(SUBTOTAL(9,S165:S166))</t>
  </si>
  <si>
    <t>=(SUBTOTAL(9,T165:T166))</t>
  </si>
  <si>
    <t>=SUBTOTAL(9,O165:T166)</t>
  </si>
  <si>
    <t>=NL("Rows","Item Ledger Entry",,"+Posting Date",$L$5,"Item No.","@@"&amp;$D165,"Location Code","@@"&amp;$E$6)</t>
  </si>
  <si>
    <t>=NL("Rows","Item Ledger Entry",,"+Posting Date",$L$5,"Item No.","@@"&amp;$D169,"Location Code","@@"&amp;$E$6)</t>
  </si>
  <si>
    <t>=NL("Sum","Item Ledger Entry","Quantity","Entry Type","Purchase","Entry No.",I169,"Location Code","@@"&amp;$E$6)</t>
  </si>
  <si>
    <t>=NL("Sum","Item Ledger Entry","Quantity","Entry Type","Sale","Entry No.",I169,"Location Code","@@"&amp;$E$6)</t>
  </si>
  <si>
    <t>=NL("Sum","Item Ledger Entry","Quantity","Entry Type","Positive Adjmt.|Negative Adjmt.","Entry No.",I169,"Location Code","@@"&amp;$E$6)</t>
  </si>
  <si>
    <t>=NL("Sum","Item Ledger Entry","Quantity","Entry Type","Transfer","Entry No.",I169,"Location Code","@@"&amp;$E$6)</t>
  </si>
  <si>
    <t>=NL("Sum","Item Ledger Entry","Quantity","Entry Type","Consumption","Entry No.",I169,"Location Code","@@"&amp;$E$6)</t>
  </si>
  <si>
    <t>=NL("Sum","Item Ledger Entry","Quantity","Entry Type","Output","Entry No.",I169,"Location Code","@@"&amp;$E$6)</t>
  </si>
  <si>
    <t>=NL("Rows","Item Ledger Entry",,"+Posting Date",$L$5,"Item No.","@@"&amp;$D173,"Location Code","@@"&amp;$E$6)</t>
  </si>
  <si>
    <t>=NL("Sum","Item Ledger Entry","Quantity","Entry Type","Purchase","Entry No.",I173,"Location Code","@@"&amp;$E$6)</t>
  </si>
  <si>
    <t>=NL("Sum","Item Ledger Entry","Quantity","Entry Type","Sale","Entry No.",I173,"Location Code","@@"&amp;$E$6)</t>
  </si>
  <si>
    <t>=NL("Sum","Item Ledger Entry","Quantity","Entry Type","Positive Adjmt.|Negative Adjmt.","Entry No.",I173,"Location Code","@@"&amp;$E$6)</t>
  </si>
  <si>
    <t>=NL("Sum","Item Ledger Entry","Quantity","Entry Type","Transfer","Entry No.",I173,"Location Code","@@"&amp;$E$6)</t>
  </si>
  <si>
    <t>=NL("Sum","Item Ledger Entry","Quantity","Entry Type","Consumption","Entry No.",I173,"Location Code","@@"&amp;$E$6)</t>
  </si>
  <si>
    <t>=NL("Sum","Item Ledger Entry","Quantity","Entry Type","Output","Entry No.",I173,"Location Code","@@"&amp;$E$6)</t>
  </si>
  <si>
    <t>=NL("Sum","Item Ledger Entry","Quantity","Entry Type","Purchase","Entry No.",I179,"Location Code","@@"&amp;$E$6)</t>
  </si>
  <si>
    <t>=NL("Sum","Item Ledger Entry","Quantity","Entry Type","Sale","Entry No.",I179,"Location Code","@@"&amp;$E$6)</t>
  </si>
  <si>
    <t>=NL("Sum","Item Ledger Entry","Quantity","Entry Type","Positive Adjmt.|Negative Adjmt.","Entry No.",I179,"Location Code","@@"&amp;$E$6)</t>
  </si>
  <si>
    <t>=NL("Sum","Item Ledger Entry","Quantity","Entry Type","Transfer","Entry No.",I179,"Location Code","@@"&amp;$E$6)</t>
  </si>
  <si>
    <t>=NL("Sum","Item Ledger Entry","Quantity","Entry Type","Consumption","Entry No.",I179,"Location Code","@@"&amp;$E$6)</t>
  </si>
  <si>
    <t>=NL("Sum","Item Ledger Entry","Quantity","Entry Type","Output","Entry No.",I179,"Location Code","@@"&amp;$E$6)</t>
  </si>
  <si>
    <t>=NL("Rows","Item Ledger Entry",,"+Posting Date",$L$5,"Item No.","@@"&amp;$D183,"Location Code","@@"&amp;$E$6)</t>
  </si>
  <si>
    <t>=NL("Sum","Item Ledger Entry","Quantity","Entry Type","Purchase","Entry No.",I183,"Location Code","@@"&amp;$E$6)</t>
  </si>
  <si>
    <t>=NL("Sum","Item Ledger Entry","Quantity","Entry Type","Sale","Entry No.",I183,"Location Code","@@"&amp;$E$6)</t>
  </si>
  <si>
    <t>=NL("Sum","Item Ledger Entry","Quantity","Entry Type","Positive Adjmt.|Negative Adjmt.","Entry No.",I183,"Location Code","@@"&amp;$E$6)</t>
  </si>
  <si>
    <t>=NL("Sum","Item Ledger Entry","Quantity","Entry Type","Transfer","Entry No.",I183,"Location Code","@@"&amp;$E$6)</t>
  </si>
  <si>
    <t>=NL("Sum","Item Ledger Entry","Quantity","Entry Type","Consumption","Entry No.",I183,"Location Code","@@"&amp;$E$6)</t>
  </si>
  <si>
    <t>=NL("Sum","Item Ledger Entry","Quantity","Entry Type","Output","Entry No.",I183,"Location Code","@@"&amp;$E$6)</t>
  </si>
  <si>
    <t>=NL("Sum","Item Ledger Entry","Quantity","Entry Type","Purchase","Entry No.",I187,"Location Code","@@"&amp;$E$6)</t>
  </si>
  <si>
    <t>=NL("Sum","Item Ledger Entry","Quantity","Entry Type","Sale","Entry No.",I187,"Location Code","@@"&amp;$E$6)</t>
  </si>
  <si>
    <t>=NL("Sum","Item Ledger Entry","Quantity","Entry Type","Positive Adjmt.|Negative Adjmt.","Entry No.",I187,"Location Code","@@"&amp;$E$6)</t>
  </si>
  <si>
    <t>=NL("Sum","Item Ledger Entry","Quantity","Entry Type","Transfer","Entry No.",I187,"Location Code","@@"&amp;$E$6)</t>
  </si>
  <si>
    <t>=NL("Sum","Item Ledger Entry","Quantity","Entry Type","Consumption","Entry No.",I187,"Location Code","@@"&amp;$E$6)</t>
  </si>
  <si>
    <t>=NL("Sum","Item Ledger Entry","Quantity","Entry Type","Output","Entry No.",I187,"Location Code","@@"&amp;$E$6)</t>
  </si>
  <si>
    <t>=NL("Rows","Item Ledger Entry",,"+Posting Date",$L$5,"Item No.","@@"&amp;$D75,"Location Code","@@"&amp;$E$6)</t>
  </si>
  <si>
    <t>=NL("Rows","Item Ledger Entry",,"+Posting Date",$L$5,"Item No.","@@"&amp;$D27,"Location Code","@@"&amp;$E$6)</t>
  </si>
  <si>
    <t>="C100003"</t>
  </si>
  <si>
    <t>="C100004"</t>
  </si>
  <si>
    <t>="C100005"</t>
  </si>
  <si>
    <t>="C100006"</t>
  </si>
  <si>
    <t>=NL("Sum","Item Ledger Entry","Quantity","Entry Type","Purchase","Entry No.",I49,"Location Code",$L$7)</t>
  </si>
  <si>
    <t>=NL("Sum","Item Ledger Entry","Quantity","Entry Type","Sale","Entry No.",I49,"Location Code",$L$7)</t>
  </si>
  <si>
    <t>=NL("Sum","Item Ledger Entry","Quantity","Entry Type","Positive Adjmt.|Negative Adjmt.","Entry No.",I49,"Location Code",$L$7)</t>
  </si>
  <si>
    <t>=NL("Sum","Item Ledger Entry","Quantity","Entry Type","Transfer","Entry No.",I49,"Location Code",$L$7)</t>
  </si>
  <si>
    <t>=NL("Sum","Item Ledger Entry","Quantity","Entry Type","Consumption","Entry No.",I49,"Location Code",$L$7)</t>
  </si>
  <si>
    <t>=NL("Sum","Item Ledger Entry","Quantity","Entry Type","Output","Entry No.",I49,"Location Code",$L$7)</t>
  </si>
  <si>
    <t>="C100007"</t>
  </si>
  <si>
    <t>="C100008"</t>
  </si>
  <si>
    <t>="C100009"</t>
  </si>
  <si>
    <t>="C100010"</t>
  </si>
  <si>
    <t>="C100011"</t>
  </si>
  <si>
    <t>="C100014"</t>
  </si>
  <si>
    <t>="C100018"</t>
  </si>
  <si>
    <t>="C100019"</t>
  </si>
  <si>
    <t>=NL("Sum","Item Ledger Entry","Quantity","Entry Type","Purchase","Entry No.",I122,"Location Code",$L$7)</t>
  </si>
  <si>
    <t>=NL("Sum","Item Ledger Entry","Quantity","Entry Type","Sale","Entry No.",I122,"Location Code",$L$7)</t>
  </si>
  <si>
    <t>=NL("Sum","Item Ledger Entry","Quantity","Entry Type","Positive Adjmt.|Negative Adjmt.","Entry No.",I122,"Location Code",$L$7)</t>
  </si>
  <si>
    <t>=NL("Sum","Item Ledger Entry","Quantity","Entry Type","Transfer","Entry No.",I122,"Location Code",$L$7)</t>
  </si>
  <si>
    <t>=NL("Sum","Item Ledger Entry","Quantity","Entry Type","Consumption","Entry No.",I122,"Location Code",$L$7)</t>
  </si>
  <si>
    <t>=NL("Sum","Item Ledger Entry","Quantity","Entry Type","Output","Entry No.",I122,"Location Code",$L$7)</t>
  </si>
  <si>
    <t>=NL("Sum","Item Ledger Entry","Quantity","Entry Type","Purchase","Entry No.",I123,"Location Code",$L$7)</t>
  </si>
  <si>
    <t>=NL("Sum","Item Ledger Entry","Quantity","Entry Type","Sale","Entry No.",I123,"Location Code",$L$7)</t>
  </si>
  <si>
    <t>=NL("Sum","Item Ledger Entry","Quantity","Entry Type","Positive Adjmt.|Negative Adjmt.","Entry No.",I123,"Location Code",$L$7)</t>
  </si>
  <si>
    <t>=NL("Sum","Item Ledger Entry","Quantity","Entry Type","Transfer","Entry No.",I123,"Location Code",$L$7)</t>
  </si>
  <si>
    <t>=NL("Sum","Item Ledger Entry","Quantity","Entry Type","Consumption","Entry No.",I123,"Location Code",$L$7)</t>
  </si>
  <si>
    <t>=NL("Sum","Item Ledger Entry","Quantity","Entry Type","Output","Entry No.",I123,"Location Code",$L$7)</t>
  </si>
  <si>
    <t>="C100020"</t>
  </si>
  <si>
    <t>=NL("Sum","Item Ledger Entry","Quantity","Entry Type","Purchase","Entry No.",I132,"Location Code",$L$7)</t>
  </si>
  <si>
    <t>=NL("Sum","Item Ledger Entry","Quantity","Entry Type","Sale","Entry No.",I132,"Location Code",$L$7)</t>
  </si>
  <si>
    <t>=NL("Sum","Item Ledger Entry","Quantity","Entry Type","Positive Adjmt.|Negative Adjmt.","Entry No.",I132,"Location Code",$L$7)</t>
  </si>
  <si>
    <t>=NL("Sum","Item Ledger Entry","Quantity","Entry Type","Transfer","Entry No.",I132,"Location Code",$L$7)</t>
  </si>
  <si>
    <t>=NL("Sum","Item Ledger Entry","Quantity","Entry Type","Consumption","Entry No.",I132,"Location Code",$L$7)</t>
  </si>
  <si>
    <t>=NL("Sum","Item Ledger Entry","Quantity","Entry Type","Output","Entry No.",I132,"Location Code",$L$7)</t>
  </si>
  <si>
    <t>=NL("Sum","Item Ledger Entry","Quantity","Entry Type","Purchase","Entry No.",I133,"Location Code",$L$7)</t>
  </si>
  <si>
    <t>=NL("Sum","Item Ledger Entry","Quantity","Entry Type","Sale","Entry No.",I133,"Location Code",$L$7)</t>
  </si>
  <si>
    <t>=NL("Sum","Item Ledger Entry","Quantity","Entry Type","Positive Adjmt.|Negative Adjmt.","Entry No.",I133,"Location Code",$L$7)</t>
  </si>
  <si>
    <t>=NL("Sum","Item Ledger Entry","Quantity","Entry Type","Transfer","Entry No.",I133,"Location Code",$L$7)</t>
  </si>
  <si>
    <t>=NL("Sum","Item Ledger Entry","Quantity","Entry Type","Consumption","Entry No.",I133,"Location Code",$L$7)</t>
  </si>
  <si>
    <t>=NL("Sum","Item Ledger Entry","Quantity","Entry Type","Output","Entry No.",I133,"Location Code",$L$7)</t>
  </si>
  <si>
    <t>=NL("Sum","Item Ledger Entry","Quantity","Entry Type","Purchase","Entry No.",I134,"Location Code",$L$7)</t>
  </si>
  <si>
    <t>=NL("Sum","Item Ledger Entry","Quantity","Entry Type","Sale","Entry No.",I134,"Location Code",$L$7)</t>
  </si>
  <si>
    <t>=NL("Sum","Item Ledger Entry","Quantity","Entry Type","Positive Adjmt.|Negative Adjmt.","Entry No.",I134,"Location Code",$L$7)</t>
  </si>
  <si>
    <t>=NL("Sum","Item Ledger Entry","Quantity","Entry Type","Transfer","Entry No.",I134,"Location Code",$L$7)</t>
  </si>
  <si>
    <t>=NL("Sum","Item Ledger Entry","Quantity","Entry Type","Consumption","Entry No.",I134,"Location Code",$L$7)</t>
  </si>
  <si>
    <t>=NL("Sum","Item Ledger Entry","Quantity","Entry Type","Output","Entry No.",I134,"Location Code",$L$7)</t>
  </si>
  <si>
    <t>="C100021"</t>
  </si>
  <si>
    <t>=NL("Sum","Item Ledger Entry","Quantity","Entry Type","Purchase","Entry No.",I141,"Location Code",$L$7)</t>
  </si>
  <si>
    <t>=NL("Sum","Item Ledger Entry","Quantity","Entry Type","Sale","Entry No.",I141,"Location Code",$L$7)</t>
  </si>
  <si>
    <t>=NL("Sum","Item Ledger Entry","Quantity","Entry Type","Positive Adjmt.|Negative Adjmt.","Entry No.",I141,"Location Code",$L$7)</t>
  </si>
  <si>
    <t>=NL("Sum","Item Ledger Entry","Quantity","Entry Type","Transfer","Entry No.",I141,"Location Code",$L$7)</t>
  </si>
  <si>
    <t>=NL("Sum","Item Ledger Entry","Quantity","Entry Type","Consumption","Entry No.",I141,"Location Code",$L$7)</t>
  </si>
  <si>
    <t>=NL("Sum","Item Ledger Entry","Quantity","Entry Type","Output","Entry No.",I141,"Location Code",$L$7)</t>
  </si>
  <si>
    <t>=NL("Sum","Item Ledger Entry","Quantity","Entry Type","Purchase","Entry No.",I142,"Location Code",$L$7)</t>
  </si>
  <si>
    <t>=NL("Sum","Item Ledger Entry","Quantity","Entry Type","Sale","Entry No.",I142,"Location Code",$L$7)</t>
  </si>
  <si>
    <t>=NL("Sum","Item Ledger Entry","Quantity","Entry Type","Positive Adjmt.|Negative Adjmt.","Entry No.",I142,"Location Code",$L$7)</t>
  </si>
  <si>
    <t>=NL("Sum","Item Ledger Entry","Quantity","Entry Type","Transfer","Entry No.",I142,"Location Code",$L$7)</t>
  </si>
  <si>
    <t>=NL("Sum","Item Ledger Entry","Quantity","Entry Type","Consumption","Entry No.",I142,"Location Code",$L$7)</t>
  </si>
  <si>
    <t>=NL("Sum","Item Ledger Entry","Quantity","Entry Type","Output","Entry No.",I142,"Location Code",$L$7)</t>
  </si>
  <si>
    <t>="C100022"</t>
  </si>
  <si>
    <t>="C100023"</t>
  </si>
  <si>
    <t>="C100024"</t>
  </si>
  <si>
    <t>=D170</t>
  </si>
  <si>
    <t>=NF($G171,"Posting Date")</t>
  </si>
  <si>
    <t>=NF($G171,"Entry No.")</t>
  </si>
  <si>
    <t>=NF(G171,"Source Type")</t>
  </si>
  <si>
    <t>=NF($G171,"Source No.")</t>
  </si>
  <si>
    <t>=IF($J171="Customer",NL("first",$J171,"Name","No.","@@"&amp;$K171),"")</t>
  </si>
  <si>
    <t>=IF(J171="vendor",NL("first",J171,"Name","No.","@@"&amp;K171),"")</t>
  </si>
  <si>
    <t>=IF($J171="Item",NL("first",$J171,"Description","No.","@@"&amp;$K171),"")</t>
  </si>
  <si>
    <t>="C100025"</t>
  </si>
  <si>
    <t>=D183</t>
  </si>
  <si>
    <t>=NF($G184,"Posting Date")</t>
  </si>
  <si>
    <t>=NF($G184,"Entry No.")</t>
  </si>
  <si>
    <t>=NF(G184,"Source Type")</t>
  </si>
  <si>
    <t>=NF($G184,"Source No.")</t>
  </si>
  <si>
    <t>=IF($J184="Customer",NL("first",$J184,"Name","No.","@@"&amp;$K184),"")</t>
  </si>
  <si>
    <t>=IF(J184="vendor",NL("first",J184,"Name","No.","@@"&amp;K184),"")</t>
  </si>
  <si>
    <t>=IF($J184="Item",NL("first",$J184,"Description","No.","@@"&amp;$K184),"")</t>
  </si>
  <si>
    <t>="C100026"</t>
  </si>
  <si>
    <t>=E204</t>
  </si>
  <si>
    <t>="C100027"</t>
  </si>
  <si>
    <t>=NL("First","Item","Description","No.",$E204)</t>
  </si>
  <si>
    <t>=NL("First","Item","Base Unit of Measure","No.",$E204)</t>
  </si>
  <si>
    <t>=E209</t>
  </si>
  <si>
    <t>="C100028"</t>
  </si>
  <si>
    <t>=NL("First","Item","Description","No.",$E209)</t>
  </si>
  <si>
    <t>=NL("First","Item","Base Unit of Measure","No.",$E209)</t>
  </si>
  <si>
    <t>="C100029"</t>
  </si>
  <si>
    <t>=D225</t>
  </si>
  <si>
    <t>=NF($G226,"Posting Date")</t>
  </si>
  <si>
    <t>=NF($G226,"Entry No.")</t>
  </si>
  <si>
    <t>=NF(G226,"Source Type")</t>
  </si>
  <si>
    <t>=NF($G226,"Source No.")</t>
  </si>
  <si>
    <t>=IF($J226="Customer",NL("first",$J226,"Name","No.","@@"&amp;$K226),"")</t>
  </si>
  <si>
    <t>=IF(J226="vendor",NL("first",J226,"Name","No.","@@"&amp;K226),"")</t>
  </si>
  <si>
    <t>=IF($J226="Item",NL("first",$J226,"Description","No.","@@"&amp;$K226),"")</t>
  </si>
  <si>
    <t>=D227</t>
  </si>
  <si>
    <t>=NF($G228,"Posting Date")</t>
  </si>
  <si>
    <t>=NF($G228,"Entry No.")</t>
  </si>
  <si>
    <t>=NF(G228,"Source Type")</t>
  </si>
  <si>
    <t>=NF($G228,"Source No.")</t>
  </si>
  <si>
    <t>=IF($J228="Customer",NL("first",$J228,"Name","No.","@@"&amp;$K228),"")</t>
  </si>
  <si>
    <t>=IF(J228="vendor",NL("first",J228,"Name","No.","@@"&amp;K228),"")</t>
  </si>
  <si>
    <t>=IF($J228="Item",NL("first",$J228,"Description","No.","@@"&amp;$K228),"")</t>
  </si>
  <si>
    <t>="C100030"</t>
  </si>
  <si>
    <t>=E248</t>
  </si>
  <si>
    <t>="C100031"</t>
  </si>
  <si>
    <t>=NL("First","Item","Description","No.",$E248)</t>
  </si>
  <si>
    <t>=NL("First","Item","Base Unit of Measure","No.",$E248)</t>
  </si>
  <si>
    <t>="C100032"</t>
  </si>
  <si>
    <t>=D270</t>
  </si>
  <si>
    <t>=NF($G271,"Posting Date")</t>
  </si>
  <si>
    <t>=NF($G271,"Entry No.")</t>
  </si>
  <si>
    <t>=NF(G271,"Source Type")</t>
  </si>
  <si>
    <t>=NF($G271,"Source No.")</t>
  </si>
  <si>
    <t>=IF($J271="Customer",NL("first",$J271,"Name","No.","@@"&amp;$K271),"")</t>
  </si>
  <si>
    <t>=IF(J271="vendor",NL("first",J271,"Name","No.","@@"&amp;K271),"")</t>
  </si>
  <si>
    <t>=IF($J271="Item",NL("first",$J271,"Description","No.","@@"&amp;$K271),"")</t>
  </si>
  <si>
    <t>=NL("Sum","Item Ledger Entry","Quantity","Entry Type","Purchase","Entry No.",I271,"Location Code",$L$7)</t>
  </si>
  <si>
    <t>=NL("Sum","Item Ledger Entry","Quantity","Entry Type","Sale","Entry No.",I271,"Location Code",$L$7)</t>
  </si>
  <si>
    <t>=NL("Sum","Item Ledger Entry","Quantity","Entry Type","Positive Adjmt.|Negative Adjmt.","Entry No.",I271,"Location Code",$L$7)</t>
  </si>
  <si>
    <t>=NL("Sum","Item Ledger Entry","Quantity","Entry Type","Transfer","Entry No.",I271,"Location Code",$L$7)</t>
  </si>
  <si>
    <t>=NL("Sum","Item Ledger Entry","Quantity","Entry Type","Consumption","Entry No.",I271,"Location Code",$L$7)</t>
  </si>
  <si>
    <t>=NL("Sum","Item Ledger Entry","Quantity","Entry Type","Output","Entry No.",I271,"Location Code",$L$7)</t>
  </si>
  <si>
    <t>="C100033"</t>
  </si>
  <si>
    <t>=D280</t>
  </si>
  <si>
    <t>=NF($G281,"Posting Date")</t>
  </si>
  <si>
    <t>=NF($G281,"Entry No.")</t>
  </si>
  <si>
    <t>=NF(G281,"Source Type")</t>
  </si>
  <si>
    <t>=NF($G281,"Source No.")</t>
  </si>
  <si>
    <t>=IF($J281="Customer",NL("first",$J281,"Name","No.","@@"&amp;$K281),"")</t>
  </si>
  <si>
    <t>=IF(J281="vendor",NL("first",J281,"Name","No.","@@"&amp;K281),"")</t>
  </si>
  <si>
    <t>=IF($J281="Item",NL("first",$J281,"Description","No.","@@"&amp;$K281),"")</t>
  </si>
  <si>
    <t>=D281</t>
  </si>
  <si>
    <t>=NF($G282,"Posting Date")</t>
  </si>
  <si>
    <t>=NF($G282,"Entry No.")</t>
  </si>
  <si>
    <t>=NF(G282,"Source Type")</t>
  </si>
  <si>
    <t>=NF($G282,"Source No.")</t>
  </si>
  <si>
    <t>=IF($J282="Customer",NL("first",$J282,"Name","No.","@@"&amp;$K282),"")</t>
  </si>
  <si>
    <t>=IF(J282="vendor",NL("first",J282,"Name","No.","@@"&amp;K282),"")</t>
  </si>
  <si>
    <t>=IF($J282="Item",NL("first",$J282,"Description","No.","@@"&amp;$K282),"")</t>
  </si>
  <si>
    <t>=D282</t>
  </si>
  <si>
    <t>=NF($G283,"Posting Date")</t>
  </si>
  <si>
    <t>=NF($G283,"Entry No.")</t>
  </si>
  <si>
    <t>=NF(G283,"Source Type")</t>
  </si>
  <si>
    <t>=NF($G283,"Source No.")</t>
  </si>
  <si>
    <t>=IF($J283="Customer",NL("first",$J283,"Name","No.","@@"&amp;$K283),"")</t>
  </si>
  <si>
    <t>=IF(J283="vendor",NL("first",J283,"Name","No.","@@"&amp;K283),"")</t>
  </si>
  <si>
    <t>=IF($J283="Item",NL("first",$J283,"Description","No.","@@"&amp;$K283),"")</t>
  </si>
  <si>
    <t>="C100034"</t>
  </si>
  <si>
    <t>="C100035"</t>
  </si>
  <si>
    <t>="C100036"</t>
  </si>
  <si>
    <t>=D311</t>
  </si>
  <si>
    <t>=NF($G312,"Posting Date")</t>
  </si>
  <si>
    <t>=NF($G312,"Entry No.")</t>
  </si>
  <si>
    <t>=NF(G312,"Source Type")</t>
  </si>
  <si>
    <t>=NF($G312,"Source No.")</t>
  </si>
  <si>
    <t>=IF($J312="Customer",NL("first",$J312,"Name","No.","@@"&amp;$K312),"")</t>
  </si>
  <si>
    <t>=IF(J312="vendor",NL("first",J312,"Name","No.","@@"&amp;K312),"")</t>
  </si>
  <si>
    <t>=IF($J312="Item",NL("first",$J312,"Description","No.","@@"&amp;$K312),"")</t>
  </si>
  <si>
    <t>=NL("Sum","Item Ledger Entry","Quantity","Entry Type","Purchase","Entry No.",I312,"Location Code",$L$7)</t>
  </si>
  <si>
    <t>=NL("Sum","Item Ledger Entry","Quantity","Entry Type","Sale","Entry No.",I312,"Location Code",$L$7)</t>
  </si>
  <si>
    <t>=NL("Sum","Item Ledger Entry","Quantity","Entry Type","Positive Adjmt.|Negative Adjmt.","Entry No.",I312,"Location Code",$L$7)</t>
  </si>
  <si>
    <t>=NL("Sum","Item Ledger Entry","Quantity","Entry Type","Transfer","Entry No.",I312,"Location Code",$L$7)</t>
  </si>
  <si>
    <t>=NL("Sum","Item Ledger Entry","Quantity","Entry Type","Consumption","Entry No.",I312,"Location Code",$L$7)</t>
  </si>
  <si>
    <t>=NL("Sum","Item Ledger Entry","Quantity","Entry Type","Output","Entry No.",I312,"Location Code",$L$7)</t>
  </si>
  <si>
    <t>=D312</t>
  </si>
  <si>
    <t>=NF($G313,"Posting Date")</t>
  </si>
  <si>
    <t>=NF($G313,"Entry No.")</t>
  </si>
  <si>
    <t>=NF(G313,"Source Type")</t>
  </si>
  <si>
    <t>=NF($G313,"Source No.")</t>
  </si>
  <si>
    <t>=IF($J313="Customer",NL("first",$J313,"Name","No.","@@"&amp;$K313),"")</t>
  </si>
  <si>
    <t>=IF(J313="vendor",NL("first",J313,"Name","No.","@@"&amp;K313),"")</t>
  </si>
  <si>
    <t>=IF($J313="Item",NL("first",$J313,"Description","No.","@@"&amp;$K313),"")</t>
  </si>
  <si>
    <t>=D313</t>
  </si>
  <si>
    <t>=NF($G314,"Posting Date")</t>
  </si>
  <si>
    <t>=NF($G314,"Entry No.")</t>
  </si>
  <si>
    <t>=NF(G314,"Source Type")</t>
  </si>
  <si>
    <t>=NF($G314,"Source No.")</t>
  </si>
  <si>
    <t>=IF($J314="Customer",NL("first",$J314,"Name","No.","@@"&amp;$K314),"")</t>
  </si>
  <si>
    <t>=IF(J314="vendor",NL("first",J314,"Name","No.","@@"&amp;K314),"")</t>
  </si>
  <si>
    <t>=IF($J314="Item",NL("first",$J314,"Description","No.","@@"&amp;$K314),"")</t>
  </si>
  <si>
    <t>="C100037"</t>
  </si>
  <si>
    <t>="C100038"</t>
  </si>
  <si>
    <t>=E332</t>
  </si>
  <si>
    <t>="C100039"</t>
  </si>
  <si>
    <t>=NL("First","Item","Description","No.",$E332)</t>
  </si>
  <si>
    <t>=NL("First","Item","Base Unit of Measure","No.",$E332)</t>
  </si>
  <si>
    <t>=D334</t>
  </si>
  <si>
    <t>=NF($G335,"Posting Date")</t>
  </si>
  <si>
    <t>=NF($G335,"Entry No.")</t>
  </si>
  <si>
    <t>=NF(G335,"Source Type")</t>
  </si>
  <si>
    <t>=NF($G335,"Source No.")</t>
  </si>
  <si>
    <t>=IF($J335="Customer",NL("first",$J335,"Name","No.","@@"&amp;$K335),"")</t>
  </si>
  <si>
    <t>=IF(J335="vendor",NL("first",J335,"Name","No.","@@"&amp;K335),"")</t>
  </si>
  <si>
    <t>=IF($J335="Item",NL("first",$J335,"Description","No.","@@"&amp;$K335),"")</t>
  </si>
  <si>
    <t>=D335</t>
  </si>
  <si>
    <t>=NF($G336,"Posting Date")</t>
  </si>
  <si>
    <t>=NF($G336,"Entry No.")</t>
  </si>
  <si>
    <t>=NF(G336,"Source Type")</t>
  </si>
  <si>
    <t>=NF($G336,"Source No.")</t>
  </si>
  <si>
    <t>=IF($J336="Customer",NL("first",$J336,"Name","No.","@@"&amp;$K336),"")</t>
  </si>
  <si>
    <t>=IF(J336="vendor",NL("first",J336,"Name","No.","@@"&amp;K336),"")</t>
  </si>
  <si>
    <t>=IF($J336="Item",NL("first",$J336,"Description","No.","@@"&amp;$K336),"")</t>
  </si>
  <si>
    <t>=NL("Sum","Item Ledger Entry","Quantity","Entry Type","Purchase","Entry No.",I336,"Location Code",$L$7)</t>
  </si>
  <si>
    <t>=NL("Sum","Item Ledger Entry","Quantity","Entry Type","Sale","Entry No.",I336,"Location Code",$L$7)</t>
  </si>
  <si>
    <t>=NL("Sum","Item Ledger Entry","Quantity","Entry Type","Positive Adjmt.|Negative Adjmt.","Entry No.",I336,"Location Code",$L$7)</t>
  </si>
  <si>
    <t>=NL("Sum","Item Ledger Entry","Quantity","Entry Type","Transfer","Entry No.",I336,"Location Code",$L$7)</t>
  </si>
  <si>
    <t>=NL("Sum","Item Ledger Entry","Quantity","Entry Type","Consumption","Entry No.",I336,"Location Code",$L$7)</t>
  </si>
  <si>
    <t>=NL("Sum","Item Ledger Entry","Quantity","Entry Type","Output","Entry No.",I336,"Location Code",$L$7)</t>
  </si>
  <si>
    <t>="C100040"</t>
  </si>
  <si>
    <t>=D346</t>
  </si>
  <si>
    <t>=NF($G347,"Posting Date")</t>
  </si>
  <si>
    <t>=NF($G347,"Entry No.")</t>
  </si>
  <si>
    <t>=NF(G347,"Source Type")</t>
  </si>
  <si>
    <t>=NF($G347,"Source No.")</t>
  </si>
  <si>
    <t>=IF($J347="Customer",NL("first",$J347,"Name","No.","@@"&amp;$K347),"")</t>
  </si>
  <si>
    <t>=IF(J347="vendor",NL("first",J347,"Name","No.","@@"&amp;K347),"")</t>
  </si>
  <si>
    <t>=IF($J347="Item",NL("first",$J347,"Description","No.","@@"&amp;$K347),"")</t>
  </si>
  <si>
    <t>=NL("Sum","Item Ledger Entry","Quantity","Entry Type","Purchase","Entry No.",I347,"Location Code",$L$7)</t>
  </si>
  <si>
    <t>=NL("Sum","Item Ledger Entry","Quantity","Entry Type","Sale","Entry No.",I347,"Location Code",$L$7)</t>
  </si>
  <si>
    <t>=NL("Sum","Item Ledger Entry","Quantity","Entry Type","Positive Adjmt.|Negative Adjmt.","Entry No.",I347,"Location Code",$L$7)</t>
  </si>
  <si>
    <t>=NL("Sum","Item Ledger Entry","Quantity","Entry Type","Transfer","Entry No.",I347,"Location Code",$L$7)</t>
  </si>
  <si>
    <t>=NL("Sum","Item Ledger Entry","Quantity","Entry Type","Consumption","Entry No.",I347,"Location Code",$L$7)</t>
  </si>
  <si>
    <t>=NL("Sum","Item Ledger Entry","Quantity","Entry Type","Output","Entry No.",I347,"Location Code",$L$7)</t>
  </si>
  <si>
    <t>="C100041"</t>
  </si>
  <si>
    <t>="C100042"</t>
  </si>
  <si>
    <t>=D360</t>
  </si>
  <si>
    <t>=NF($G361,"Posting Date")</t>
  </si>
  <si>
    <t>=NF($G361,"Entry No.")</t>
  </si>
  <si>
    <t>=NF(G361,"Source Type")</t>
  </si>
  <si>
    <t>=NF($G361,"Source No.")</t>
  </si>
  <si>
    <t>=IF($J361="Customer",NL("first",$J361,"Name","No.","@@"&amp;$K361),"")</t>
  </si>
  <si>
    <t>=IF(J361="vendor",NL("first",J361,"Name","No.","@@"&amp;K361),"")</t>
  </si>
  <si>
    <t>=IF($J361="Item",NL("first",$J361,"Description","No.","@@"&amp;$K361),"")</t>
  </si>
  <si>
    <t>=NL("Sum","Item Ledger Entry","Quantity","Entry Type","Purchase","Entry No.",I361,"Location Code",$L$7)</t>
  </si>
  <si>
    <t>=NL("Sum","Item Ledger Entry","Quantity","Entry Type","Sale","Entry No.",I361,"Location Code",$L$7)</t>
  </si>
  <si>
    <t>=NL("Sum","Item Ledger Entry","Quantity","Entry Type","Positive Adjmt.|Negative Adjmt.","Entry No.",I361,"Location Code",$L$7)</t>
  </si>
  <si>
    <t>=NL("Sum","Item Ledger Entry","Quantity","Entry Type","Transfer","Entry No.",I361,"Location Code",$L$7)</t>
  </si>
  <si>
    <t>=NL("Sum","Item Ledger Entry","Quantity","Entry Type","Consumption","Entry No.",I361,"Location Code",$L$7)</t>
  </si>
  <si>
    <t>=NL("Sum","Item Ledger Entry","Quantity","Entry Type","Output","Entry No.",I361,"Location Code",$L$7)</t>
  </si>
  <si>
    <t>="C100043"</t>
  </si>
  <si>
    <t>="C100044"</t>
  </si>
  <si>
    <t>=D392</t>
  </si>
  <si>
    <t>=NF($G393,"Posting Date")</t>
  </si>
  <si>
    <t>=NF($G393,"Entry No.")</t>
  </si>
  <si>
    <t>=NF(G393,"Source Type")</t>
  </si>
  <si>
    <t>=NF($G393,"Source No.")</t>
  </si>
  <si>
    <t>=IF($J393="Customer",NL("first",$J393,"Name","No.","@@"&amp;$K393),"")</t>
  </si>
  <si>
    <t>=IF(J393="vendor",NL("first",J393,"Name","No.","@@"&amp;K393),"")</t>
  </si>
  <si>
    <t>=IF($J393="Item",NL("first",$J393,"Description","No.","@@"&amp;$K393),"")</t>
  </si>
  <si>
    <t>=D393</t>
  </si>
  <si>
    <t>=NF($G394,"Posting Date")</t>
  </si>
  <si>
    <t>=NF($G394,"Entry No.")</t>
  </si>
  <si>
    <t>=NF(G394,"Source Type")</t>
  </si>
  <si>
    <t>=NF($G394,"Source No.")</t>
  </si>
  <si>
    <t>=IF($J394="Customer",NL("first",$J394,"Name","No.","@@"&amp;$K394),"")</t>
  </si>
  <si>
    <t>=IF(J394="vendor",NL("first",J394,"Name","No.","@@"&amp;K394),"")</t>
  </si>
  <si>
    <t>=IF($J394="Item",NL("first",$J394,"Description","No.","@@"&amp;$K394),"")</t>
  </si>
  <si>
    <t>="C100046"</t>
  </si>
  <si>
    <t>=D401</t>
  </si>
  <si>
    <t>=NF($G402,"Posting Date")</t>
  </si>
  <si>
    <t>=NF($G402,"Entry No.")</t>
  </si>
  <si>
    <t>=NF(G402,"Source Type")</t>
  </si>
  <si>
    <t>=NF($G402,"Source No.")</t>
  </si>
  <si>
    <t>=IF($J402="Customer",NL("first",$J402,"Name","No.","@@"&amp;$K402),"")</t>
  </si>
  <si>
    <t>=IF(J402="vendor",NL("first",J402,"Name","No.","@@"&amp;K402),"")</t>
  </si>
  <si>
    <t>=IF($J402="Item",NL("first",$J402,"Description","No.","@@"&amp;$K402),"")</t>
  </si>
  <si>
    <t>=NL("Sum","Item Ledger Entry","Quantity","Entry Type","Purchase","Entry No.",I402,"Location Code",$L$7)</t>
  </si>
  <si>
    <t>=NL("Sum","Item Ledger Entry","Quantity","Entry Type","Sale","Entry No.",I402,"Location Code",$L$7)</t>
  </si>
  <si>
    <t>=NL("Sum","Item Ledger Entry","Quantity","Entry Type","Positive Adjmt.|Negative Adjmt.","Entry No.",I402,"Location Code",$L$7)</t>
  </si>
  <si>
    <t>=NL("Sum","Item Ledger Entry","Quantity","Entry Type","Transfer","Entry No.",I402,"Location Code",$L$7)</t>
  </si>
  <si>
    <t>=NL("Sum","Item Ledger Entry","Quantity","Entry Type","Consumption","Entry No.",I402,"Location Code",$L$7)</t>
  </si>
  <si>
    <t>=NL("Sum","Item Ledger Entry","Quantity","Entry Type","Output","Entry No.",I402,"Location Code",$L$7)</t>
  </si>
  <si>
    <t>="C100047"</t>
  </si>
  <si>
    <t>=D407</t>
  </si>
  <si>
    <t>=NF($G408,"Posting Date")</t>
  </si>
  <si>
    <t>=NF($G408,"Entry No.")</t>
  </si>
  <si>
    <t>=NF(G408,"Source Type")</t>
  </si>
  <si>
    <t>=NF($G408,"Source No.")</t>
  </si>
  <si>
    <t>=IF($J408="Customer",NL("first",$J408,"Name","No.","@@"&amp;$K408),"")</t>
  </si>
  <si>
    <t>=IF(J408="vendor",NL("first",J408,"Name","No.","@@"&amp;K408),"")</t>
  </si>
  <si>
    <t>=IF($J408="Item",NL("first",$J408,"Description","No.","@@"&amp;$K408),"")</t>
  </si>
  <si>
    <t>="C100048"</t>
  </si>
  <si>
    <t>=D416</t>
  </si>
  <si>
    <t>=NF($G417,"Posting Date")</t>
  </si>
  <si>
    <t>=NF($G417,"Entry No.")</t>
  </si>
  <si>
    <t>=NF(G417,"Source Type")</t>
  </si>
  <si>
    <t>=NF($G417,"Source No.")</t>
  </si>
  <si>
    <t>=IF($J417="Customer",NL("first",$J417,"Name","No.","@@"&amp;$K417),"")</t>
  </si>
  <si>
    <t>=IF(J417="vendor",NL("first",J417,"Name","No.","@@"&amp;K417),"")</t>
  </si>
  <si>
    <t>=IF($J417="Item",NL("first",$J417,"Description","No.","@@"&amp;$K417),"")</t>
  </si>
  <si>
    <t>=NL("Sum","Item Ledger Entry","Quantity","Entry Type","Purchase","Entry No.",I417,"Location Code",$L$7)</t>
  </si>
  <si>
    <t>=NL("Sum","Item Ledger Entry","Quantity","Entry Type","Sale","Entry No.",I417,"Location Code",$L$7)</t>
  </si>
  <si>
    <t>=NL("Sum","Item Ledger Entry","Quantity","Entry Type","Positive Adjmt.|Negative Adjmt.","Entry No.",I417,"Location Code",$L$7)</t>
  </si>
  <si>
    <t>=NL("Sum","Item Ledger Entry","Quantity","Entry Type","Transfer","Entry No.",I417,"Location Code",$L$7)</t>
  </si>
  <si>
    <t>=NL("Sum","Item Ledger Entry","Quantity","Entry Type","Consumption","Entry No.",I417,"Location Code",$L$7)</t>
  </si>
  <si>
    <t>=NL("Sum","Item Ledger Entry","Quantity","Entry Type","Output","Entry No.",I417,"Location Code",$L$7)</t>
  </si>
  <si>
    <t>=D420</t>
  </si>
  <si>
    <t>=NF($G421,"Posting Date")</t>
  </si>
  <si>
    <t>=NF($G421,"Entry No.")</t>
  </si>
  <si>
    <t>=NF(G421,"Source Type")</t>
  </si>
  <si>
    <t>=NF($G421,"Source No.")</t>
  </si>
  <si>
    <t>=IF($J421="Customer",NL("first",$J421,"Name","No.","@@"&amp;$K421),"")</t>
  </si>
  <si>
    <t>=IF(J421="vendor",NL("first",J421,"Name","No.","@@"&amp;K421),"")</t>
  </si>
  <si>
    <t>=IF($J421="Item",NL("first",$J421,"Description","No.","@@"&amp;$K421),"")</t>
  </si>
  <si>
    <t>=NL("Sum","Item Ledger Entry","Quantity","Entry Type","Purchase","Entry No.",I421,"Location Code",$L$7)</t>
  </si>
  <si>
    <t>=NL("Sum","Item Ledger Entry","Quantity","Entry Type","Sale","Entry No.",I421,"Location Code",$L$7)</t>
  </si>
  <si>
    <t>=NL("Sum","Item Ledger Entry","Quantity","Entry Type","Positive Adjmt.|Negative Adjmt.","Entry No.",I421,"Location Code",$L$7)</t>
  </si>
  <si>
    <t>=NL("Sum","Item Ledger Entry","Quantity","Entry Type","Transfer","Entry No.",I421,"Location Code",$L$7)</t>
  </si>
  <si>
    <t>=NL("Sum","Item Ledger Entry","Quantity","Entry Type","Consumption","Entry No.",I421,"Location Code",$L$7)</t>
  </si>
  <si>
    <t>=NL("Sum","Item Ledger Entry","Quantity","Entry Type","Output","Entry No.",I421,"Location Code",$L$7)</t>
  </si>
  <si>
    <t>=D422</t>
  </si>
  <si>
    <t>=NF($G423,"Posting Date")</t>
  </si>
  <si>
    <t>=NF($G423,"Entry No.")</t>
  </si>
  <si>
    <t>=NF(G423,"Source Type")</t>
  </si>
  <si>
    <t>=NF($G423,"Source No.")</t>
  </si>
  <si>
    <t>=IF($J423="Customer",NL("first",$J423,"Name","No.","@@"&amp;$K423),"")</t>
  </si>
  <si>
    <t>=IF(J423="vendor",NL("first",J423,"Name","No.","@@"&amp;K423),"")</t>
  </si>
  <si>
    <t>=IF($J423="Item",NL("first",$J423,"Description","No.","@@"&amp;$K423),"")</t>
  </si>
  <si>
    <t>="C100050"</t>
  </si>
  <si>
    <t>=D429</t>
  </si>
  <si>
    <t>=NF($G430,"Posting Date")</t>
  </si>
  <si>
    <t>=NF($G430,"Entry No.")</t>
  </si>
  <si>
    <t>=NF(G430,"Source Type")</t>
  </si>
  <si>
    <t>=NF($G430,"Source No.")</t>
  </si>
  <si>
    <t>=IF($J430="Customer",NL("first",$J430,"Name","No.","@@"&amp;$K430),"")</t>
  </si>
  <si>
    <t>=IF(J430="vendor",NL("first",J430,"Name","No.","@@"&amp;K430),"")</t>
  </si>
  <si>
    <t>=IF($J430="Item",NL("first",$J430,"Description","No.","@@"&amp;$K430),"")</t>
  </si>
  <si>
    <t>="C100051"</t>
  </si>
  <si>
    <t>=D434</t>
  </si>
  <si>
    <t>=NF($G435,"Posting Date")</t>
  </si>
  <si>
    <t>=NF($G435,"Entry No.")</t>
  </si>
  <si>
    <t>=NF(G435,"Source Type")</t>
  </si>
  <si>
    <t>=NF($G435,"Source No.")</t>
  </si>
  <si>
    <t>=IF($J435="Customer",NL("first",$J435,"Name","No.","@@"&amp;$K435),"")</t>
  </si>
  <si>
    <t>=IF(J435="vendor",NL("first",J435,"Name","No.","@@"&amp;K435),"")</t>
  </si>
  <si>
    <t>=IF($J435="Item",NL("first",$J435,"Description","No.","@@"&amp;$K435),"")</t>
  </si>
  <si>
    <t>=NL("Sum","Item Ledger Entry","Quantity","Entry Type","Purchase","Entry No.",I435,"Location Code",$L$7)</t>
  </si>
  <si>
    <t>=NL("Sum","Item Ledger Entry","Quantity","Entry Type","Sale","Entry No.",I435,"Location Code",$L$7)</t>
  </si>
  <si>
    <t>=NL("Sum","Item Ledger Entry","Quantity","Entry Type","Positive Adjmt.|Negative Adjmt.","Entry No.",I435,"Location Code",$L$7)</t>
  </si>
  <si>
    <t>=NL("Sum","Item Ledger Entry","Quantity","Entry Type","Transfer","Entry No.",I435,"Location Code",$L$7)</t>
  </si>
  <si>
    <t>=NL("Sum","Item Ledger Entry","Quantity","Entry Type","Consumption","Entry No.",I435,"Location Code",$L$7)</t>
  </si>
  <si>
    <t>=NL("Sum","Item Ledger Entry","Quantity","Entry Type","Output","Entry No.",I435,"Location Code",$L$7)</t>
  </si>
  <si>
    <t>="C100052"</t>
  </si>
  <si>
    <t>="C100053"</t>
  </si>
  <si>
    <t>=D452</t>
  </si>
  <si>
    <t>=NF($G453,"Posting Date")</t>
  </si>
  <si>
    <t>=NF($G453,"Entry No.")</t>
  </si>
  <si>
    <t>=NF(G453,"Source Type")</t>
  </si>
  <si>
    <t>=NF($G453,"Source No.")</t>
  </si>
  <si>
    <t>=IF($J453="Customer",NL("first",$J453,"Name","No.","@@"&amp;$K453),"")</t>
  </si>
  <si>
    <t>=IF(J453="vendor",NL("first",J453,"Name","No.","@@"&amp;K453),"")</t>
  </si>
  <si>
    <t>=IF($J453="Item",NL("first",$J453,"Description","No.","@@"&amp;$K453),"")</t>
  </si>
  <si>
    <t>=NL("Sum","Item Ledger Entry","Quantity","Entry Type","Purchase","Entry No.",I453,"Location Code",$L$7)</t>
  </si>
  <si>
    <t>=NL("Sum","Item Ledger Entry","Quantity","Entry Type","Sale","Entry No.",I453,"Location Code",$L$7)</t>
  </si>
  <si>
    <t>=NL("Sum","Item Ledger Entry","Quantity","Entry Type","Positive Adjmt.|Negative Adjmt.","Entry No.",I453,"Location Code",$L$7)</t>
  </si>
  <si>
    <t>=NL("Sum","Item Ledger Entry","Quantity","Entry Type","Transfer","Entry No.",I453,"Location Code",$L$7)</t>
  </si>
  <si>
    <t>=NL("Sum","Item Ledger Entry","Quantity","Entry Type","Consumption","Entry No.",I453,"Location Code",$L$7)</t>
  </si>
  <si>
    <t>=NL("Sum","Item Ledger Entry","Quantity","Entry Type","Output","Entry No.",I453,"Location Code",$L$7)</t>
  </si>
  <si>
    <t>=D453</t>
  </si>
  <si>
    <t>=NF($G454,"Posting Date")</t>
  </si>
  <si>
    <t>=NF($G454,"Entry No.")</t>
  </si>
  <si>
    <t>=NF(G454,"Source Type")</t>
  </si>
  <si>
    <t>=NF($G454,"Source No.")</t>
  </si>
  <si>
    <t>=IF($J454="Customer",NL("first",$J454,"Name","No.","@@"&amp;$K454),"")</t>
  </si>
  <si>
    <t>=IF(J454="vendor",NL("first",J454,"Name","No.","@@"&amp;K454),"")</t>
  </si>
  <si>
    <t>=IF($J454="Item",NL("first",$J454,"Description","No.","@@"&amp;$K454),"")</t>
  </si>
  <si>
    <t>=NL("Sum","Item Ledger Entry","Quantity","Entry Type","Purchase","Entry No.",I454,"Location Code",$L$7)</t>
  </si>
  <si>
    <t>=NL("Sum","Item Ledger Entry","Quantity","Entry Type","Sale","Entry No.",I454,"Location Code",$L$7)</t>
  </si>
  <si>
    <t>=NL("Sum","Item Ledger Entry","Quantity","Entry Type","Positive Adjmt.|Negative Adjmt.","Entry No.",I454,"Location Code",$L$7)</t>
  </si>
  <si>
    <t>=NL("Sum","Item Ledger Entry","Quantity","Entry Type","Transfer","Entry No.",I454,"Location Code",$L$7)</t>
  </si>
  <si>
    <t>=NL("Sum","Item Ledger Entry","Quantity","Entry Type","Consumption","Entry No.",I454,"Location Code",$L$7)</t>
  </si>
  <si>
    <t>=NL("Sum","Item Ledger Entry","Quantity","Entry Type","Output","Entry No.",I454,"Location Code",$L$7)</t>
  </si>
  <si>
    <t>="C100054"</t>
  </si>
  <si>
    <t>="C100055"</t>
  </si>
  <si>
    <t>="C100056"</t>
  </si>
  <si>
    <t>=D466</t>
  </si>
  <si>
    <t>=NF($G467,"Posting Date")</t>
  </si>
  <si>
    <t>=NF($G467,"Entry No.")</t>
  </si>
  <si>
    <t>=NF(G467,"Source Type")</t>
  </si>
  <si>
    <t>=NF($G467,"Source No.")</t>
  </si>
  <si>
    <t>=IF($J467="Customer",NL("first",$J467,"Name","No.","@@"&amp;$K467),"")</t>
  </si>
  <si>
    <t>=IF(J467="vendor",NL("first",J467,"Name","No.","@@"&amp;K467),"")</t>
  </si>
  <si>
    <t>=IF($J467="Item",NL("first",$J467,"Description","No.","@@"&amp;$K467),"")</t>
  </si>
  <si>
    <t>=D468</t>
  </si>
  <si>
    <t>=NF($G469,"Posting Date")</t>
  </si>
  <si>
    <t>=NF($G469,"Entry No.")</t>
  </si>
  <si>
    <t>=NF(G469,"Source Type")</t>
  </si>
  <si>
    <t>=NF($G469,"Source No.")</t>
  </si>
  <si>
    <t>=IF($J469="Customer",NL("first",$J469,"Name","No.","@@"&amp;$K469),"")</t>
  </si>
  <si>
    <t>=IF(J469="vendor",NL("first",J469,"Name","No.","@@"&amp;K469),"")</t>
  </si>
  <si>
    <t>=IF($J469="Item",NL("first",$J469,"Description","No.","@@"&amp;$K469),"")</t>
  </si>
  <si>
    <t>="C100061"</t>
  </si>
  <si>
    <t>=D475</t>
  </si>
  <si>
    <t>=NF($G476,"Posting Date")</t>
  </si>
  <si>
    <t>=NF($G476,"Entry No.")</t>
  </si>
  <si>
    <t>=NF(G476,"Source Type")</t>
  </si>
  <si>
    <t>=NF($G476,"Source No.")</t>
  </si>
  <si>
    <t>=IF($J476="Customer",NL("first",$J476,"Name","No.","@@"&amp;$K476),"")</t>
  </si>
  <si>
    <t>=IF(J476="vendor",NL("first",J476,"Name","No.","@@"&amp;K476),"")</t>
  </si>
  <si>
    <t>=IF($J476="Item",NL("first",$J476,"Description","No.","@@"&amp;$K476),"")</t>
  </si>
  <si>
    <t>=NL("Sum","Item Ledger Entry","Quantity","Entry Type","Purchase","Entry No.",I476,"Location Code",$L$7)</t>
  </si>
  <si>
    <t>=NL("Sum","Item Ledger Entry","Quantity","Entry Type","Sale","Entry No.",I476,"Location Code",$L$7)</t>
  </si>
  <si>
    <t>=NL("Sum","Item Ledger Entry","Quantity","Entry Type","Positive Adjmt.|Negative Adjmt.","Entry No.",I476,"Location Code",$L$7)</t>
  </si>
  <si>
    <t>=NL("Sum","Item Ledger Entry","Quantity","Entry Type","Transfer","Entry No.",I476,"Location Code",$L$7)</t>
  </si>
  <si>
    <t>=NL("Sum","Item Ledger Entry","Quantity","Entry Type","Consumption","Entry No.",I476,"Location Code",$L$7)</t>
  </si>
  <si>
    <t>=NL("Sum","Item Ledger Entry","Quantity","Entry Type","Output","Entry No.",I476,"Location Code",$L$7)</t>
  </si>
  <si>
    <t>=D476</t>
  </si>
  <si>
    <t>=NF($G477,"Posting Date")</t>
  </si>
  <si>
    <t>=NF($G477,"Entry No.")</t>
  </si>
  <si>
    <t>=NF(G477,"Source Type")</t>
  </si>
  <si>
    <t>=NF($G477,"Source No.")</t>
  </si>
  <si>
    <t>=IF($J477="Customer",NL("first",$J477,"Name","No.","@@"&amp;$K477),"")</t>
  </si>
  <si>
    <t>=IF(J477="vendor",NL("first",J477,"Name","No.","@@"&amp;K477),"")</t>
  </si>
  <si>
    <t>=IF($J477="Item",NL("first",$J477,"Description","No.","@@"&amp;$K477),"")</t>
  </si>
  <si>
    <t>=NL("Sum","Item Ledger Entry","Quantity","Entry Type","Purchase","Entry No.",I477,"Location Code",$L$7)</t>
  </si>
  <si>
    <t>=NL("Sum","Item Ledger Entry","Quantity","Entry Type","Sale","Entry No.",I477,"Location Code",$L$7)</t>
  </si>
  <si>
    <t>=NL("Sum","Item Ledger Entry","Quantity","Entry Type","Positive Adjmt.|Negative Adjmt.","Entry No.",I477,"Location Code",$L$7)</t>
  </si>
  <si>
    <t>=NL("Sum","Item Ledger Entry","Quantity","Entry Type","Transfer","Entry No.",I477,"Location Code",$L$7)</t>
  </si>
  <si>
    <t>=NL("Sum","Item Ledger Entry","Quantity","Entry Type","Consumption","Entry No.",I477,"Location Code",$L$7)</t>
  </si>
  <si>
    <t>=NL("Sum","Item Ledger Entry","Quantity","Entry Type","Output","Entry No.",I477,"Location Code",$L$7)</t>
  </si>
  <si>
    <t>=E480</t>
  </si>
  <si>
    <t>="C100062"</t>
  </si>
  <si>
    <t>=NL("First","Item","Description","No.",$E480)</t>
  </si>
  <si>
    <t>=NL("First","Item","Base Unit of Measure","No.",$E480)</t>
  </si>
  <si>
    <t>=D480</t>
  </si>
  <si>
    <t>=NF($G481,"Posting Date")</t>
  </si>
  <si>
    <t>=NF($G481,"Entry No.")</t>
  </si>
  <si>
    <t>=NF(G481,"Source Type")</t>
  </si>
  <si>
    <t>=NF($G481,"Source No.")</t>
  </si>
  <si>
    <t>=IF($J481="Customer",NL("first",$J481,"Name","No.","@@"&amp;$K481),"")</t>
  </si>
  <si>
    <t>=IF(J481="vendor",NL("first",J481,"Name","No.","@@"&amp;K481),"")</t>
  </si>
  <si>
    <t>=IF($J481="Item",NL("first",$J481,"Description","No.","@@"&amp;$K481),"")</t>
  </si>
  <si>
    <t>=NL("Sum","Item Ledger Entry","Quantity","Entry Type","Purchase","Entry No.",I481,"Location Code",$L$7)</t>
  </si>
  <si>
    <t>=NL("Sum","Item Ledger Entry","Quantity","Entry Type","Sale","Entry No.",I481,"Location Code",$L$7)</t>
  </si>
  <si>
    <t>=NL("Sum","Item Ledger Entry","Quantity","Entry Type","Positive Adjmt.|Negative Adjmt.","Entry No.",I481,"Location Code",$L$7)</t>
  </si>
  <si>
    <t>=NL("Sum","Item Ledger Entry","Quantity","Entry Type","Transfer","Entry No.",I481,"Location Code",$L$7)</t>
  </si>
  <si>
    <t>=NL("Sum","Item Ledger Entry","Quantity","Entry Type","Consumption","Entry No.",I481,"Location Code",$L$7)</t>
  </si>
  <si>
    <t>=NL("Sum","Item Ledger Entry","Quantity","Entry Type","Output","Entry No.",I481,"Location Code",$L$7)</t>
  </si>
  <si>
    <t>=D481</t>
  </si>
  <si>
    <t>=NF($G482,"Posting Date")</t>
  </si>
  <si>
    <t>=NF($G482,"Entry No.")</t>
  </si>
  <si>
    <t>=NF(G482,"Source Type")</t>
  </si>
  <si>
    <t>=NF($G482,"Source No.")</t>
  </si>
  <si>
    <t>=IF($J482="Customer",NL("first",$J482,"Name","No.","@@"&amp;$K482),"")</t>
  </si>
  <si>
    <t>=IF(J482="vendor",NL("first",J482,"Name","No.","@@"&amp;K482),"")</t>
  </si>
  <si>
    <t>=IF($J482="Item",NL("first",$J482,"Description","No.","@@"&amp;$K482),"")</t>
  </si>
  <si>
    <t>=NL("Sum","Item Ledger Entry","Quantity","Entry Type","Purchase","Entry No.",I482,"Location Code",$L$7)</t>
  </si>
  <si>
    <t>=NL("Sum","Item Ledger Entry","Quantity","Entry Type","Sale","Entry No.",I482,"Location Code",$L$7)</t>
  </si>
  <si>
    <t>=NL("Sum","Item Ledger Entry","Quantity","Entry Type","Positive Adjmt.|Negative Adjmt.","Entry No.",I482,"Location Code",$L$7)</t>
  </si>
  <si>
    <t>=NL("Sum","Item Ledger Entry","Quantity","Entry Type","Transfer","Entry No.",I482,"Location Code",$L$7)</t>
  </si>
  <si>
    <t>=NL("Sum","Item Ledger Entry","Quantity","Entry Type","Consumption","Entry No.",I482,"Location Code",$L$7)</t>
  </si>
  <si>
    <t>=NL("Sum","Item Ledger Entry","Quantity","Entry Type","Output","Entry No.",I482,"Location Code",$L$7)</t>
  </si>
  <si>
    <t>=D482</t>
  </si>
  <si>
    <t>=NF($G483,"Posting Date")</t>
  </si>
  <si>
    <t>=NF($G483,"Entry No.")</t>
  </si>
  <si>
    <t>=NF(G483,"Source Type")</t>
  </si>
  <si>
    <t>=NF($G483,"Source No.")</t>
  </si>
  <si>
    <t>=IF($J483="Customer",NL("first",$J483,"Name","No.","@@"&amp;$K483),"")</t>
  </si>
  <si>
    <t>=IF(J483="vendor",NL("first",J483,"Name","No.","@@"&amp;K483),"")</t>
  </si>
  <si>
    <t>=IF($J483="Item",NL("first",$J483,"Description","No.","@@"&amp;$K483),"")</t>
  </si>
  <si>
    <t>=NL("Sum","Item Ledger Entry","Quantity","Entry Type","Purchase","Entry No.",I483,"Location Code",$L$7)</t>
  </si>
  <si>
    <t>=NL("Sum","Item Ledger Entry","Quantity","Entry Type","Sale","Entry No.",I483,"Location Code",$L$7)</t>
  </si>
  <si>
    <t>=NL("Sum","Item Ledger Entry","Quantity","Entry Type","Positive Adjmt.|Negative Adjmt.","Entry No.",I483,"Location Code",$L$7)</t>
  </si>
  <si>
    <t>=NL("Sum","Item Ledger Entry","Quantity","Entry Type","Transfer","Entry No.",I483,"Location Code",$L$7)</t>
  </si>
  <si>
    <t>=NL("Sum","Item Ledger Entry","Quantity","Entry Type","Consumption","Entry No.",I483,"Location Code",$L$7)</t>
  </si>
  <si>
    <t>=NL("Sum","Item Ledger Entry","Quantity","Entry Type","Output","Entry No.",I483,"Location Code",$L$7)</t>
  </si>
  <si>
    <t>="C100063"</t>
  </si>
  <si>
    <t>=D489</t>
  </si>
  <si>
    <t>=NF($G490,"Posting Date")</t>
  </si>
  <si>
    <t>=NF($G490,"Entry No.")</t>
  </si>
  <si>
    <t>=NF(G490,"Source Type")</t>
  </si>
  <si>
    <t>=NF($G490,"Source No.")</t>
  </si>
  <si>
    <t>=IF($J490="Customer",NL("first",$J490,"Name","No.","@@"&amp;$K490),"")</t>
  </si>
  <si>
    <t>=IF(J490="vendor",NL("first",J490,"Name","No.","@@"&amp;K490),"")</t>
  </si>
  <si>
    <t>=IF($J490="Item",NL("first",$J490,"Description","No.","@@"&amp;$K490),"")</t>
  </si>
  <si>
    <t>=NL("Sum","Item Ledger Entry","Quantity","Entry Type","Purchase","Entry No.",I490,"Location Code",$L$7)</t>
  </si>
  <si>
    <t>=NL("Sum","Item Ledger Entry","Quantity","Entry Type","Sale","Entry No.",I490,"Location Code",$L$7)</t>
  </si>
  <si>
    <t>=NL("Sum","Item Ledger Entry","Quantity","Entry Type","Positive Adjmt.|Negative Adjmt.","Entry No.",I490,"Location Code",$L$7)</t>
  </si>
  <si>
    <t>=NL("Sum","Item Ledger Entry","Quantity","Entry Type","Transfer","Entry No.",I490,"Location Code",$L$7)</t>
  </si>
  <si>
    <t>=NL("Sum","Item Ledger Entry","Quantity","Entry Type","Consumption","Entry No.",I490,"Location Code",$L$7)</t>
  </si>
  <si>
    <t>=NL("Sum","Item Ledger Entry","Quantity","Entry Type","Output","Entry No.",I490,"Location Code",$L$7)</t>
  </si>
  <si>
    <t>="C100066"</t>
  </si>
  <si>
    <t>=D496</t>
  </si>
  <si>
    <t>=NF($G497,"Posting Date")</t>
  </si>
  <si>
    <t>=NF($G497,"Entry No.")</t>
  </si>
  <si>
    <t>=NF(G497,"Source Type")</t>
  </si>
  <si>
    <t>=NF($G497,"Source No.")</t>
  </si>
  <si>
    <t>=IF($J497="Customer",NL("first",$J497,"Name","No.","@@"&amp;$K497),"")</t>
  </si>
  <si>
    <t>=IF(J497="vendor",NL("first",J497,"Name","No.","@@"&amp;K497),"")</t>
  </si>
  <si>
    <t>=IF($J497="Item",NL("first",$J497,"Description","No.","@@"&amp;$K497),"")</t>
  </si>
  <si>
    <t>="E100001"</t>
  </si>
  <si>
    <t>=D504</t>
  </si>
  <si>
    <t>=NF($G505,"Posting Date")</t>
  </si>
  <si>
    <t>=NF($G505,"Entry No.")</t>
  </si>
  <si>
    <t>=NF(G505,"Source Type")</t>
  </si>
  <si>
    <t>=NF($G505,"Source No.")</t>
  </si>
  <si>
    <t>=IF($J505="Customer",NL("first",$J505,"Name","No.","@@"&amp;$K505),"")</t>
  </si>
  <si>
    <t>=IF(J505="vendor",NL("first",J505,"Name","No.","@@"&amp;K505),"")</t>
  </si>
  <si>
    <t>=IF($J505="Item",NL("first",$J505,"Description","No.","@@"&amp;$K505),"")</t>
  </si>
  <si>
    <t>=D505</t>
  </si>
  <si>
    <t>=NF($G506,"Posting Date")</t>
  </si>
  <si>
    <t>=NF($G506,"Entry No.")</t>
  </si>
  <si>
    <t>=NF(G506,"Source Type")</t>
  </si>
  <si>
    <t>=NF($G506,"Source No.")</t>
  </si>
  <si>
    <t>=IF($J506="Customer",NL("first",$J506,"Name","No.","@@"&amp;$K506),"")</t>
  </si>
  <si>
    <t>=IF(J506="vendor",NL("first",J506,"Name","No.","@@"&amp;K506),"")</t>
  </si>
  <si>
    <t>=IF($J506="Item",NL("first",$J506,"Description","No.","@@"&amp;$K506),"")</t>
  </si>
  <si>
    <t>=NL("Sum","Item Ledger Entry","Quantity","Entry Type","Purchase","Entry No.",I506,"Location Code",$L$7)</t>
  </si>
  <si>
    <t>=NL("Sum","Item Ledger Entry","Quantity","Entry Type","Sale","Entry No.",I506,"Location Code",$L$7)</t>
  </si>
  <si>
    <t>=NL("Sum","Item Ledger Entry","Quantity","Entry Type","Positive Adjmt.|Negative Adjmt.","Entry No.",I506,"Location Code",$L$7)</t>
  </si>
  <si>
    <t>=NL("Sum","Item Ledger Entry","Quantity","Entry Type","Transfer","Entry No.",I506,"Location Code",$L$7)</t>
  </si>
  <si>
    <t>=NL("Sum","Item Ledger Entry","Quantity","Entry Type","Consumption","Entry No.",I506,"Location Code",$L$7)</t>
  </si>
  <si>
    <t>=NL("Sum","Item Ledger Entry","Quantity","Entry Type","Output","Entry No.",I506,"Location Code",$L$7)</t>
  </si>
  <si>
    <t>=D509</t>
  </si>
  <si>
    <t>=NF($G510,"Posting Date")</t>
  </si>
  <si>
    <t>=NF($G510,"Entry No.")</t>
  </si>
  <si>
    <t>=NF(G510,"Source Type")</t>
  </si>
  <si>
    <t>=NF($G510,"Source No.")</t>
  </si>
  <si>
    <t>=IF($J510="Customer",NL("first",$J510,"Name","No.","@@"&amp;$K510),"")</t>
  </si>
  <si>
    <t>=IF(J510="vendor",NL("first",J510,"Name","No.","@@"&amp;K510),"")</t>
  </si>
  <si>
    <t>=IF($J510="Item",NL("first",$J510,"Description","No.","@@"&amp;$K510),"")</t>
  </si>
  <si>
    <t>=D510</t>
  </si>
  <si>
    <t>=NF($G511,"Posting Date")</t>
  </si>
  <si>
    <t>=NF($G511,"Entry No.")</t>
  </si>
  <si>
    <t>=NF(G511,"Source Type")</t>
  </si>
  <si>
    <t>=NF($G511,"Source No.")</t>
  </si>
  <si>
    <t>=IF($J511="Customer",NL("first",$J511,"Name","No.","@@"&amp;$K511),"")</t>
  </si>
  <si>
    <t>=IF(J511="vendor",NL("first",J511,"Name","No.","@@"&amp;K511),"")</t>
  </si>
  <si>
    <t>=IF($J511="Item",NL("first",$J511,"Description","No.","@@"&amp;$K511),"")</t>
  </si>
  <si>
    <t>=NL("Sum","Item Ledger Entry","Quantity","Entry Type","Purchase","Entry No.",I511,"Location Code",$L$7)</t>
  </si>
  <si>
    <t>=NL("Sum","Item Ledger Entry","Quantity","Entry Type","Sale","Entry No.",I511,"Location Code",$L$7)</t>
  </si>
  <si>
    <t>=NL("Sum","Item Ledger Entry","Quantity","Entry Type","Positive Adjmt.|Negative Adjmt.","Entry No.",I511,"Location Code",$L$7)</t>
  </si>
  <si>
    <t>=NL("Sum","Item Ledger Entry","Quantity","Entry Type","Transfer","Entry No.",I511,"Location Code",$L$7)</t>
  </si>
  <si>
    <t>=NL("Sum","Item Ledger Entry","Quantity","Entry Type","Consumption","Entry No.",I511,"Location Code",$L$7)</t>
  </si>
  <si>
    <t>=NL("Sum","Item Ledger Entry","Quantity","Entry Type","Output","Entry No.",I511,"Location Code",$L$7)</t>
  </si>
  <si>
    <t>=D511</t>
  </si>
  <si>
    <t>=NF($G512,"Posting Date")</t>
  </si>
  <si>
    <t>=NF($G512,"Entry No.")</t>
  </si>
  <si>
    <t>=NF(G512,"Source Type")</t>
  </si>
  <si>
    <t>=NF($G512,"Source No.")</t>
  </si>
  <si>
    <t>=IF($J512="Customer",NL("first",$J512,"Name","No.","@@"&amp;$K512),"")</t>
  </si>
  <si>
    <t>=IF(J512="vendor",NL("first",J512,"Name","No.","@@"&amp;K512),"")</t>
  </si>
  <si>
    <t>=IF($J512="Item",NL("first",$J512,"Description","No.","@@"&amp;$K512),"")</t>
  </si>
  <si>
    <t>=NL("Sum","Item Ledger Entry","Quantity","Entry Type","Purchase","Entry No.",I512,"Location Code",$L$7)</t>
  </si>
  <si>
    <t>=NL("Sum","Item Ledger Entry","Quantity","Entry Type","Sale","Entry No.",I512,"Location Code",$L$7)</t>
  </si>
  <si>
    <t>=NL("Sum","Item Ledger Entry","Quantity","Entry Type","Positive Adjmt.|Negative Adjmt.","Entry No.",I512,"Location Code",$L$7)</t>
  </si>
  <si>
    <t>=NL("Sum","Item Ledger Entry","Quantity","Entry Type","Transfer","Entry No.",I512,"Location Code",$L$7)</t>
  </si>
  <si>
    <t>=NL("Sum","Item Ledger Entry","Quantity","Entry Type","Consumption","Entry No.",I512,"Location Code",$L$7)</t>
  </si>
  <si>
    <t>=NL("Sum","Item Ledger Entry","Quantity","Entry Type","Output","Entry No.",I512,"Location Code",$L$7)</t>
  </si>
  <si>
    <t>="E100002"</t>
  </si>
  <si>
    <t>="E100003"</t>
  </si>
  <si>
    <t>=D524</t>
  </si>
  <si>
    <t>=NF($G525,"Posting Date")</t>
  </si>
  <si>
    <t>=NF($G525,"Entry No.")</t>
  </si>
  <si>
    <t>=NF(G525,"Source Type")</t>
  </si>
  <si>
    <t>=NF($G525,"Source No.")</t>
  </si>
  <si>
    <t>=IF($J525="Customer",NL("first",$J525,"Name","No.","@@"&amp;$K525),"")</t>
  </si>
  <si>
    <t>=IF(J525="vendor",NL("first",J525,"Name","No.","@@"&amp;K525),"")</t>
  </si>
  <si>
    <t>=IF($J525="Item",NL("first",$J525,"Description","No.","@@"&amp;$K525),"")</t>
  </si>
  <si>
    <t>=D525</t>
  </si>
  <si>
    <t>=NF($G526,"Posting Date")</t>
  </si>
  <si>
    <t>=NF($G526,"Entry No.")</t>
  </si>
  <si>
    <t>=NF(G526,"Source Type")</t>
  </si>
  <si>
    <t>=NF($G526,"Source No.")</t>
  </si>
  <si>
    <t>=IF($J526="Customer",NL("first",$J526,"Name","No.","@@"&amp;$K526),"")</t>
  </si>
  <si>
    <t>=IF(J526="vendor",NL("first",J526,"Name","No.","@@"&amp;K526),"")</t>
  </si>
  <si>
    <t>=IF($J526="Item",NL("first",$J526,"Description","No.","@@"&amp;$K526),"")</t>
  </si>
  <si>
    <t>=D526</t>
  </si>
  <si>
    <t>=NF($G527,"Posting Date")</t>
  </si>
  <si>
    <t>=NF($G527,"Entry No.")</t>
  </si>
  <si>
    <t>=NF(G527,"Source Type")</t>
  </si>
  <si>
    <t>=NF($G527,"Source No.")</t>
  </si>
  <si>
    <t>=IF($J527="Customer",NL("first",$J527,"Name","No.","@@"&amp;$K527),"")</t>
  </si>
  <si>
    <t>=IF(J527="vendor",NL("first",J527,"Name","No.","@@"&amp;K527),"")</t>
  </si>
  <si>
    <t>=IF($J527="Item",NL("first",$J527,"Description","No.","@@"&amp;$K527),"")</t>
  </si>
  <si>
    <t>="E100004"</t>
  </si>
  <si>
    <t>=D532</t>
  </si>
  <si>
    <t>=NF($G533,"Posting Date")</t>
  </si>
  <si>
    <t>=NF($G533,"Entry No.")</t>
  </si>
  <si>
    <t>=NF(G533,"Source Type")</t>
  </si>
  <si>
    <t>=NF($G533,"Source No.")</t>
  </si>
  <si>
    <t>=IF($J533="Customer",NL("first",$J533,"Name","No.","@@"&amp;$K533),"")</t>
  </si>
  <si>
    <t>=IF(J533="vendor",NL("first",J533,"Name","No.","@@"&amp;K533),"")</t>
  </si>
  <si>
    <t>=IF($J533="Item",NL("first",$J533,"Description","No.","@@"&amp;$K533),"")</t>
  </si>
  <si>
    <t>=D535</t>
  </si>
  <si>
    <t>=NF($G536,"Posting Date")</t>
  </si>
  <si>
    <t>=NF($G536,"Entry No.")</t>
  </si>
  <si>
    <t>=NF(G536,"Source Type")</t>
  </si>
  <si>
    <t>=NF($G536,"Source No.")</t>
  </si>
  <si>
    <t>=IF($J536="Customer",NL("first",$J536,"Name","No.","@@"&amp;$K536),"")</t>
  </si>
  <si>
    <t>=IF(J536="vendor",NL("first",J536,"Name","No.","@@"&amp;K536),"")</t>
  </si>
  <si>
    <t>=IF($J536="Item",NL("first",$J536,"Description","No.","@@"&amp;$K536),"")</t>
  </si>
  <si>
    <t>=NL("Sum","Item Ledger Entry","Quantity","Entry Type","Purchase","Entry No.",I536,"Location Code",$L$7)</t>
  </si>
  <si>
    <t>=NL("Sum","Item Ledger Entry","Quantity","Entry Type","Sale","Entry No.",I536,"Location Code",$L$7)</t>
  </si>
  <si>
    <t>=NL("Sum","Item Ledger Entry","Quantity","Entry Type","Positive Adjmt.|Negative Adjmt.","Entry No.",I536,"Location Code",$L$7)</t>
  </si>
  <si>
    <t>=NL("Sum","Item Ledger Entry","Quantity","Entry Type","Transfer","Entry No.",I536,"Location Code",$L$7)</t>
  </si>
  <si>
    <t>=NL("Sum","Item Ledger Entry","Quantity","Entry Type","Consumption","Entry No.",I536,"Location Code",$L$7)</t>
  </si>
  <si>
    <t>=NL("Sum","Item Ledger Entry","Quantity","Entry Type","Output","Entry No.",I536,"Location Code",$L$7)</t>
  </si>
  <si>
    <t>="E100005"</t>
  </si>
  <si>
    <t>="E100006"</t>
  </si>
  <si>
    <t>=D547</t>
  </si>
  <si>
    <t>=NF($G548,"Posting Date")</t>
  </si>
  <si>
    <t>=NF($G548,"Entry No.")</t>
  </si>
  <si>
    <t>=NF(G548,"Source Type")</t>
  </si>
  <si>
    <t>=NF($G548,"Source No.")</t>
  </si>
  <si>
    <t>=IF($J548="Customer",NL("first",$J548,"Name","No.","@@"&amp;$K548),"")</t>
  </si>
  <si>
    <t>=IF(J548="vendor",NL("first",J548,"Name","No.","@@"&amp;K548),"")</t>
  </si>
  <si>
    <t>=IF($J548="Item",NL("first",$J548,"Description","No.","@@"&amp;$K548),"")</t>
  </si>
  <si>
    <t>=NL("Sum","Item Ledger Entry","Quantity","Entry Type","Purchase","Entry No.",I548,"Location Code",$L$7)</t>
  </si>
  <si>
    <t>=NL("Sum","Item Ledger Entry","Quantity","Entry Type","Sale","Entry No.",I548,"Location Code",$L$7)</t>
  </si>
  <si>
    <t>=NL("Sum","Item Ledger Entry","Quantity","Entry Type","Positive Adjmt.|Negative Adjmt.","Entry No.",I548,"Location Code",$L$7)</t>
  </si>
  <si>
    <t>=NL("Sum","Item Ledger Entry","Quantity","Entry Type","Transfer","Entry No.",I548,"Location Code",$L$7)</t>
  </si>
  <si>
    <t>=NL("Sum","Item Ledger Entry","Quantity","Entry Type","Consumption","Entry No.",I548,"Location Code",$L$7)</t>
  </si>
  <si>
    <t>=NL("Sum","Item Ledger Entry","Quantity","Entry Type","Output","Entry No.",I548,"Location Code",$L$7)</t>
  </si>
  <si>
    <t>=D549</t>
  </si>
  <si>
    <t>=NF($G550,"Posting Date")</t>
  </si>
  <si>
    <t>=NF($G550,"Entry No.")</t>
  </si>
  <si>
    <t>=NF(G550,"Source Type")</t>
  </si>
  <si>
    <t>=NF($G550,"Source No.")</t>
  </si>
  <si>
    <t>=IF($J550="Customer",NL("first",$J550,"Name","No.","@@"&amp;$K550),"")</t>
  </si>
  <si>
    <t>=IF(J550="vendor",NL("first",J550,"Name","No.","@@"&amp;K550),"")</t>
  </si>
  <si>
    <t>=IF($J550="Item",NL("first",$J550,"Description","No.","@@"&amp;$K550),"")</t>
  </si>
  <si>
    <t>="E100007"</t>
  </si>
  <si>
    <t>=D556</t>
  </si>
  <si>
    <t>=NF($G557,"Posting Date")</t>
  </si>
  <si>
    <t>=NF($G557,"Entry No.")</t>
  </si>
  <si>
    <t>=NF(G557,"Source Type")</t>
  </si>
  <si>
    <t>=NF($G557,"Source No.")</t>
  </si>
  <si>
    <t>=IF($J557="Customer",NL("first",$J557,"Name","No.","@@"&amp;$K557),"")</t>
  </si>
  <si>
    <t>=IF(J557="vendor",NL("first",J557,"Name","No.","@@"&amp;K557),"")</t>
  </si>
  <si>
    <t>=IF($J557="Item",NL("first",$J557,"Description","No.","@@"&amp;$K557),"")</t>
  </si>
  <si>
    <t>=NL("Sum","Item Ledger Entry","Quantity","Entry Type","Purchase","Entry No.",I557,"Location Code",$L$7)</t>
  </si>
  <si>
    <t>=NL("Sum","Item Ledger Entry","Quantity","Entry Type","Sale","Entry No.",I557,"Location Code",$L$7)</t>
  </si>
  <si>
    <t>=NL("Sum","Item Ledger Entry","Quantity","Entry Type","Positive Adjmt.|Negative Adjmt.","Entry No.",I557,"Location Code",$L$7)</t>
  </si>
  <si>
    <t>=NL("Sum","Item Ledger Entry","Quantity","Entry Type","Transfer","Entry No.",I557,"Location Code",$L$7)</t>
  </si>
  <si>
    <t>=NL("Sum","Item Ledger Entry","Quantity","Entry Type","Consumption","Entry No.",I557,"Location Code",$L$7)</t>
  </si>
  <si>
    <t>=NL("Sum","Item Ledger Entry","Quantity","Entry Type","Output","Entry No.",I557,"Location Code",$L$7)</t>
  </si>
  <si>
    <t>=D557</t>
  </si>
  <si>
    <t>=NF($G558,"Posting Date")</t>
  </si>
  <si>
    <t>=NF($G558,"Entry No.")</t>
  </si>
  <si>
    <t>=NF(G558,"Source Type")</t>
  </si>
  <si>
    <t>=NF($G558,"Source No.")</t>
  </si>
  <si>
    <t>=IF($J558="Customer",NL("first",$J558,"Name","No.","@@"&amp;$K558),"")</t>
  </si>
  <si>
    <t>=IF(J558="vendor",NL("first",J558,"Name","No.","@@"&amp;K558),"")</t>
  </si>
  <si>
    <t>=IF($J558="Item",NL("first",$J558,"Description","No.","@@"&amp;$K558),"")</t>
  </si>
  <si>
    <t>=NL("Sum","Item Ledger Entry","Quantity","Entry Type","Purchase","Entry No.",I558,"Location Code",$L$7)</t>
  </si>
  <si>
    <t>=NL("Sum","Item Ledger Entry","Quantity","Entry Type","Sale","Entry No.",I558,"Location Code",$L$7)</t>
  </si>
  <si>
    <t>=NL("Sum","Item Ledger Entry","Quantity","Entry Type","Positive Adjmt.|Negative Adjmt.","Entry No.",I558,"Location Code",$L$7)</t>
  </si>
  <si>
    <t>=NL("Sum","Item Ledger Entry","Quantity","Entry Type","Transfer","Entry No.",I558,"Location Code",$L$7)</t>
  </si>
  <si>
    <t>=NL("Sum","Item Ledger Entry","Quantity","Entry Type","Consumption","Entry No.",I558,"Location Code",$L$7)</t>
  </si>
  <si>
    <t>=NL("Sum","Item Ledger Entry","Quantity","Entry Type","Output","Entry No.",I558,"Location Code",$L$7)</t>
  </si>
  <si>
    <t>=D558</t>
  </si>
  <si>
    <t>=NF($G559,"Posting Date")</t>
  </si>
  <si>
    <t>=NF($G559,"Entry No.")</t>
  </si>
  <si>
    <t>=NF(G559,"Source Type")</t>
  </si>
  <si>
    <t>=NF($G559,"Source No.")</t>
  </si>
  <si>
    <t>=IF($J559="Customer",NL("first",$J559,"Name","No.","@@"&amp;$K559),"")</t>
  </si>
  <si>
    <t>=IF(J559="vendor",NL("first",J559,"Name","No.","@@"&amp;K559),"")</t>
  </si>
  <si>
    <t>=IF($J559="Item",NL("first",$J559,"Description","No.","@@"&amp;$K559),"")</t>
  </si>
  <si>
    <t>=NL("Sum","Item Ledger Entry","Quantity","Entry Type","Purchase","Entry No.",I559,"Location Code",$L$7)</t>
  </si>
  <si>
    <t>=NL("Sum","Item Ledger Entry","Quantity","Entry Type","Sale","Entry No.",I559,"Location Code",$L$7)</t>
  </si>
  <si>
    <t>=NL("Sum","Item Ledger Entry","Quantity","Entry Type","Positive Adjmt.|Negative Adjmt.","Entry No.",I559,"Location Code",$L$7)</t>
  </si>
  <si>
    <t>=NL("Sum","Item Ledger Entry","Quantity","Entry Type","Transfer","Entry No.",I559,"Location Code",$L$7)</t>
  </si>
  <si>
    <t>=NL("Sum","Item Ledger Entry","Quantity","Entry Type","Consumption","Entry No.",I559,"Location Code",$L$7)</t>
  </si>
  <si>
    <t>=NL("Sum","Item Ledger Entry","Quantity","Entry Type","Output","Entry No.",I559,"Location Code",$L$7)</t>
  </si>
  <si>
    <t>="E100008"</t>
  </si>
  <si>
    <t>=D566</t>
  </si>
  <si>
    <t>=NF($G567,"Posting Date")</t>
  </si>
  <si>
    <t>=NF($G567,"Entry No.")</t>
  </si>
  <si>
    <t>=NF(G567,"Source Type")</t>
  </si>
  <si>
    <t>=NF($G567,"Source No.")</t>
  </si>
  <si>
    <t>=IF($J567="Customer",NL("first",$J567,"Name","No.","@@"&amp;$K567),"")</t>
  </si>
  <si>
    <t>=IF(J567="vendor",NL("first",J567,"Name","No.","@@"&amp;K567),"")</t>
  </si>
  <si>
    <t>=IF($J567="Item",NL("first",$J567,"Description","No.","@@"&amp;$K567),"")</t>
  </si>
  <si>
    <t>=NL("Sum","Item Ledger Entry","Quantity","Entry Type","Purchase","Entry No.",I567,"Location Code",$L$7)</t>
  </si>
  <si>
    <t>=NL("Sum","Item Ledger Entry","Quantity","Entry Type","Sale","Entry No.",I567,"Location Code",$L$7)</t>
  </si>
  <si>
    <t>=NL("Sum","Item Ledger Entry","Quantity","Entry Type","Positive Adjmt.|Negative Adjmt.","Entry No.",I567,"Location Code",$L$7)</t>
  </si>
  <si>
    <t>=NL("Sum","Item Ledger Entry","Quantity","Entry Type","Transfer","Entry No.",I567,"Location Code",$L$7)</t>
  </si>
  <si>
    <t>=NL("Sum","Item Ledger Entry","Quantity","Entry Type","Consumption","Entry No.",I567,"Location Code",$L$7)</t>
  </si>
  <si>
    <t>=NL("Sum","Item Ledger Entry","Quantity","Entry Type","Output","Entry No.",I567,"Location Code",$L$7)</t>
  </si>
  <si>
    <t>=D569</t>
  </si>
  <si>
    <t>=NF($G570,"Posting Date")</t>
  </si>
  <si>
    <t>=NF($G570,"Entry No.")</t>
  </si>
  <si>
    <t>=NF(G570,"Source Type")</t>
  </si>
  <si>
    <t>=NF($G570,"Source No.")</t>
  </si>
  <si>
    <t>=IF($J570="Customer",NL("first",$J570,"Name","No.","@@"&amp;$K570),"")</t>
  </si>
  <si>
    <t>=IF(J570="vendor",NL("first",J570,"Name","No.","@@"&amp;K570),"")</t>
  </si>
  <si>
    <t>=IF($J570="Item",NL("first",$J570,"Description","No.","@@"&amp;$K570),"")</t>
  </si>
  <si>
    <t>=D570</t>
  </si>
  <si>
    <t>=NF($G571,"Posting Date")</t>
  </si>
  <si>
    <t>=NF($G571,"Entry No.")</t>
  </si>
  <si>
    <t>=NF(G571,"Source Type")</t>
  </si>
  <si>
    <t>=NF($G571,"Source No.")</t>
  </si>
  <si>
    <t>=IF($J571="Customer",NL("first",$J571,"Name","No.","@@"&amp;$K571),"")</t>
  </si>
  <si>
    <t>=IF(J571="vendor",NL("first",J571,"Name","No.","@@"&amp;K571),"")</t>
  </si>
  <si>
    <t>=IF($J571="Item",NL("first",$J571,"Description","No.","@@"&amp;$K571),"")</t>
  </si>
  <si>
    <t>=NL("Sum","Item Ledger Entry","Quantity","Entry Type","Purchase","Entry No.",I571,"Location Code",$L$7)</t>
  </si>
  <si>
    <t>=NL("Sum","Item Ledger Entry","Quantity","Entry Type","Sale","Entry No.",I571,"Location Code",$L$7)</t>
  </si>
  <si>
    <t>=NL("Sum","Item Ledger Entry","Quantity","Entry Type","Positive Adjmt.|Negative Adjmt.","Entry No.",I571,"Location Code",$L$7)</t>
  </si>
  <si>
    <t>=NL("Sum","Item Ledger Entry","Quantity","Entry Type","Transfer","Entry No.",I571,"Location Code",$L$7)</t>
  </si>
  <si>
    <t>=NL("Sum","Item Ledger Entry","Quantity","Entry Type","Consumption","Entry No.",I571,"Location Code",$L$7)</t>
  </si>
  <si>
    <t>=NL("Sum","Item Ledger Entry","Quantity","Entry Type","Output","Entry No.",I571,"Location Code",$L$7)</t>
  </si>
  <si>
    <t>=D571</t>
  </si>
  <si>
    <t>=NF($G572,"Posting Date")</t>
  </si>
  <si>
    <t>=NF($G572,"Entry No.")</t>
  </si>
  <si>
    <t>=NF(G572,"Source Type")</t>
  </si>
  <si>
    <t>=NF($G572,"Source No.")</t>
  </si>
  <si>
    <t>=IF($J572="Customer",NL("first",$J572,"Name","No.","@@"&amp;$K572),"")</t>
  </si>
  <si>
    <t>=IF(J572="vendor",NL("first",J572,"Name","No.","@@"&amp;K572),"")</t>
  </si>
  <si>
    <t>=IF($J572="Item",NL("first",$J572,"Description","No.","@@"&amp;$K572),"")</t>
  </si>
  <si>
    <t>=NL("Sum","Item Ledger Entry","Quantity","Entry Type","Purchase","Entry No.",I572,"Location Code",$L$7)</t>
  </si>
  <si>
    <t>=NL("Sum","Item Ledger Entry","Quantity","Entry Type","Sale","Entry No.",I572,"Location Code",$L$7)</t>
  </si>
  <si>
    <t>=NL("Sum","Item Ledger Entry","Quantity","Entry Type","Positive Adjmt.|Negative Adjmt.","Entry No.",I572,"Location Code",$L$7)</t>
  </si>
  <si>
    <t>=NL("Sum","Item Ledger Entry","Quantity","Entry Type","Transfer","Entry No.",I572,"Location Code",$L$7)</t>
  </si>
  <si>
    <t>=NL("Sum","Item Ledger Entry","Quantity","Entry Type","Consumption","Entry No.",I572,"Location Code",$L$7)</t>
  </si>
  <si>
    <t>=NL("Sum","Item Ledger Entry","Quantity","Entry Type","Output","Entry No.",I572,"Location Code",$L$7)</t>
  </si>
  <si>
    <t>=D572</t>
  </si>
  <si>
    <t>=NF($G573,"Posting Date")</t>
  </si>
  <si>
    <t>=NF($G573,"Entry No.")</t>
  </si>
  <si>
    <t>=NF(G573,"Source Type")</t>
  </si>
  <si>
    <t>=NF($G573,"Source No.")</t>
  </si>
  <si>
    <t>=IF($J573="Customer",NL("first",$J573,"Name","No.","@@"&amp;$K573),"")</t>
  </si>
  <si>
    <t>=IF(J573="vendor",NL("first",J573,"Name","No.","@@"&amp;K573),"")</t>
  </si>
  <si>
    <t>=IF($J573="Item",NL("first",$J573,"Description","No.","@@"&amp;$K573),"")</t>
  </si>
  <si>
    <t>=NL("Sum","Item Ledger Entry","Quantity","Entry Type","Purchase","Entry No.",I573,"Location Code",$L$7)</t>
  </si>
  <si>
    <t>=NL("Sum","Item Ledger Entry","Quantity","Entry Type","Sale","Entry No.",I573,"Location Code",$L$7)</t>
  </si>
  <si>
    <t>=NL("Sum","Item Ledger Entry","Quantity","Entry Type","Positive Adjmt.|Negative Adjmt.","Entry No.",I573,"Location Code",$L$7)</t>
  </si>
  <si>
    <t>=NL("Sum","Item Ledger Entry","Quantity","Entry Type","Transfer","Entry No.",I573,"Location Code",$L$7)</t>
  </si>
  <si>
    <t>=NL("Sum","Item Ledger Entry","Quantity","Entry Type","Consumption","Entry No.",I573,"Location Code",$L$7)</t>
  </si>
  <si>
    <t>=NL("Sum","Item Ledger Entry","Quantity","Entry Type","Output","Entry No.",I573,"Location Code",$L$7)</t>
  </si>
  <si>
    <t>="E100009"</t>
  </si>
  <si>
    <t>=D580</t>
  </si>
  <si>
    <t>=NF($G581,"Posting Date")</t>
  </si>
  <si>
    <t>=NF($G581,"Entry No.")</t>
  </si>
  <si>
    <t>=NF(G581,"Source Type")</t>
  </si>
  <si>
    <t>=NF($G581,"Source No.")</t>
  </si>
  <si>
    <t>=IF($J581="Customer",NL("first",$J581,"Name","No.","@@"&amp;$K581),"")</t>
  </si>
  <si>
    <t>=IF(J581="vendor",NL("first",J581,"Name","No.","@@"&amp;K581),"")</t>
  </si>
  <si>
    <t>=IF($J581="Item",NL("first",$J581,"Description","No.","@@"&amp;$K581),"")</t>
  </si>
  <si>
    <t>=NL("Sum","Item Ledger Entry","Quantity","Entry Type","Purchase","Entry No.",I581,"Location Code",$L$7)</t>
  </si>
  <si>
    <t>=NL("Sum","Item Ledger Entry","Quantity","Entry Type","Sale","Entry No.",I581,"Location Code",$L$7)</t>
  </si>
  <si>
    <t>=NL("Sum","Item Ledger Entry","Quantity","Entry Type","Positive Adjmt.|Negative Adjmt.","Entry No.",I581,"Location Code",$L$7)</t>
  </si>
  <si>
    <t>=NL("Sum","Item Ledger Entry","Quantity","Entry Type","Transfer","Entry No.",I581,"Location Code",$L$7)</t>
  </si>
  <si>
    <t>=NL("Sum","Item Ledger Entry","Quantity","Entry Type","Consumption","Entry No.",I581,"Location Code",$L$7)</t>
  </si>
  <si>
    <t>=NL("Sum","Item Ledger Entry","Quantity","Entry Type","Output","Entry No.",I581,"Location Code",$L$7)</t>
  </si>
  <si>
    <t>=D581</t>
  </si>
  <si>
    <t>=NF($G582,"Posting Date")</t>
  </si>
  <si>
    <t>=NF($G582,"Entry No.")</t>
  </si>
  <si>
    <t>=NF(G582,"Source Type")</t>
  </si>
  <si>
    <t>=NF($G582,"Source No.")</t>
  </si>
  <si>
    <t>=IF($J582="Customer",NL("first",$J582,"Name","No.","@@"&amp;$K582),"")</t>
  </si>
  <si>
    <t>=IF(J582="vendor",NL("first",J582,"Name","No.","@@"&amp;K582),"")</t>
  </si>
  <si>
    <t>=IF($J582="Item",NL("first",$J582,"Description","No.","@@"&amp;$K582),"")</t>
  </si>
  <si>
    <t>=NL("Sum","Item Ledger Entry","Quantity","Entry Type","Purchase","Entry No.",I582,"Location Code",$L$7)</t>
  </si>
  <si>
    <t>=NL("Sum","Item Ledger Entry","Quantity","Entry Type","Sale","Entry No.",I582,"Location Code",$L$7)</t>
  </si>
  <si>
    <t>=NL("Sum","Item Ledger Entry","Quantity","Entry Type","Positive Adjmt.|Negative Adjmt.","Entry No.",I582,"Location Code",$L$7)</t>
  </si>
  <si>
    <t>=NL("Sum","Item Ledger Entry","Quantity","Entry Type","Transfer","Entry No.",I582,"Location Code",$L$7)</t>
  </si>
  <si>
    <t>=NL("Sum","Item Ledger Entry","Quantity","Entry Type","Consumption","Entry No.",I582,"Location Code",$L$7)</t>
  </si>
  <si>
    <t>=NL("Sum","Item Ledger Entry","Quantity","Entry Type","Output","Entry No.",I582,"Location Code",$L$7)</t>
  </si>
  <si>
    <t>=D582</t>
  </si>
  <si>
    <t>=NF($G583,"Posting Date")</t>
  </si>
  <si>
    <t>=NF($G583,"Entry No.")</t>
  </si>
  <si>
    <t>=NF(G583,"Source Type")</t>
  </si>
  <si>
    <t>=NF($G583,"Source No.")</t>
  </si>
  <si>
    <t>=IF($J583="Customer",NL("first",$J583,"Name","No.","@@"&amp;$K583),"")</t>
  </si>
  <si>
    <t>=IF(J583="vendor",NL("first",J583,"Name","No.","@@"&amp;K583),"")</t>
  </si>
  <si>
    <t>=IF($J583="Item",NL("first",$J583,"Description","No.","@@"&amp;$K583),"")</t>
  </si>
  <si>
    <t>=NL("Sum","Item Ledger Entry","Quantity","Entry Type","Purchase","Entry No.",I583,"Location Code",$L$7)</t>
  </si>
  <si>
    <t>=NL("Sum","Item Ledger Entry","Quantity","Entry Type","Sale","Entry No.",I583,"Location Code",$L$7)</t>
  </si>
  <si>
    <t>=NL("Sum","Item Ledger Entry","Quantity","Entry Type","Positive Adjmt.|Negative Adjmt.","Entry No.",I583,"Location Code",$L$7)</t>
  </si>
  <si>
    <t>=NL("Sum","Item Ledger Entry","Quantity","Entry Type","Transfer","Entry No.",I583,"Location Code",$L$7)</t>
  </si>
  <si>
    <t>=NL("Sum","Item Ledger Entry","Quantity","Entry Type","Consumption","Entry No.",I583,"Location Code",$L$7)</t>
  </si>
  <si>
    <t>=NL("Sum","Item Ledger Entry","Quantity","Entry Type","Output","Entry No.",I583,"Location Code",$L$7)</t>
  </si>
  <si>
    <t>="E100010"</t>
  </si>
  <si>
    <t>=D592</t>
  </si>
  <si>
    <t>=NF($G593,"Posting Date")</t>
  </si>
  <si>
    <t>=NF($G593,"Entry No.")</t>
  </si>
  <si>
    <t>=NF(G593,"Source Type")</t>
  </si>
  <si>
    <t>=NF($G593,"Source No.")</t>
  </si>
  <si>
    <t>=IF($J593="Customer",NL("first",$J593,"Name","No.","@@"&amp;$K593),"")</t>
  </si>
  <si>
    <t>=IF(J593="vendor",NL("first",J593,"Name","No.","@@"&amp;K593),"")</t>
  </si>
  <si>
    <t>=IF($J593="Item",NL("first",$J593,"Description","No.","@@"&amp;$K593),"")</t>
  </si>
  <si>
    <t>=NL("Sum","Item Ledger Entry","Quantity","Entry Type","Purchase","Entry No.",I593,"Location Code",$L$7)</t>
  </si>
  <si>
    <t>=NL("Sum","Item Ledger Entry","Quantity","Entry Type","Sale","Entry No.",I593,"Location Code",$L$7)</t>
  </si>
  <si>
    <t>=NL("Sum","Item Ledger Entry","Quantity","Entry Type","Positive Adjmt.|Negative Adjmt.","Entry No.",I593,"Location Code",$L$7)</t>
  </si>
  <si>
    <t>=NL("Sum","Item Ledger Entry","Quantity","Entry Type","Transfer","Entry No.",I593,"Location Code",$L$7)</t>
  </si>
  <si>
    <t>=NL("Sum","Item Ledger Entry","Quantity","Entry Type","Consumption","Entry No.",I593,"Location Code",$L$7)</t>
  </si>
  <si>
    <t>=NL("Sum","Item Ledger Entry","Quantity","Entry Type","Output","Entry No.",I593,"Location Code",$L$7)</t>
  </si>
  <si>
    <t>=D593</t>
  </si>
  <si>
    <t>=NF($G594,"Posting Date")</t>
  </si>
  <si>
    <t>=NF($G594,"Entry No.")</t>
  </si>
  <si>
    <t>=NF(G594,"Source Type")</t>
  </si>
  <si>
    <t>=NF($G594,"Source No.")</t>
  </si>
  <si>
    <t>=IF($J594="Customer",NL("first",$J594,"Name","No.","@@"&amp;$K594),"")</t>
  </si>
  <si>
    <t>=IF(J594="vendor",NL("first",J594,"Name","No.","@@"&amp;K594),"")</t>
  </si>
  <si>
    <t>=IF($J594="Item",NL("first",$J594,"Description","No.","@@"&amp;$K594),"")</t>
  </si>
  <si>
    <t>=NL("Sum","Item Ledger Entry","Quantity","Entry Type","Purchase","Entry No.",I594,"Location Code",$L$7)</t>
  </si>
  <si>
    <t>=NL("Sum","Item Ledger Entry","Quantity","Entry Type","Sale","Entry No.",I594,"Location Code",$L$7)</t>
  </si>
  <si>
    <t>=NL("Sum","Item Ledger Entry","Quantity","Entry Type","Positive Adjmt.|Negative Adjmt.","Entry No.",I594,"Location Code",$L$7)</t>
  </si>
  <si>
    <t>=NL("Sum","Item Ledger Entry","Quantity","Entry Type","Transfer","Entry No.",I594,"Location Code",$L$7)</t>
  </si>
  <si>
    <t>=NL("Sum","Item Ledger Entry","Quantity","Entry Type","Consumption","Entry No.",I594,"Location Code",$L$7)</t>
  </si>
  <si>
    <t>=NL("Sum","Item Ledger Entry","Quantity","Entry Type","Output","Entry No.",I594,"Location Code",$L$7)</t>
  </si>
  <si>
    <t>="E100011"</t>
  </si>
  <si>
    <t>=D602</t>
  </si>
  <si>
    <t>=NF($G603,"Posting Date")</t>
  </si>
  <si>
    <t>=NF($G603,"Entry No.")</t>
  </si>
  <si>
    <t>=NF(G603,"Source Type")</t>
  </si>
  <si>
    <t>=NF($G603,"Source No.")</t>
  </si>
  <si>
    <t>=IF($J603="Customer",NL("first",$J603,"Name","No.","@@"&amp;$K603),"")</t>
  </si>
  <si>
    <t>=IF(J603="vendor",NL("first",J603,"Name","No.","@@"&amp;K603),"")</t>
  </si>
  <si>
    <t>=IF($J603="Item",NL("first",$J603,"Description","No.","@@"&amp;$K603),"")</t>
  </si>
  <si>
    <t>=D603</t>
  </si>
  <si>
    <t>=NF($G604,"Posting Date")</t>
  </si>
  <si>
    <t>=NF($G604,"Entry No.")</t>
  </si>
  <si>
    <t>=NF(G604,"Source Type")</t>
  </si>
  <si>
    <t>=NF($G604,"Source No.")</t>
  </si>
  <si>
    <t>=IF($J604="Customer",NL("first",$J604,"Name","No.","@@"&amp;$K604),"")</t>
  </si>
  <si>
    <t>=IF(J604="vendor",NL("first",J604,"Name","No.","@@"&amp;K604),"")</t>
  </si>
  <si>
    <t>=IF($J604="Item",NL("first",$J604,"Description","No.","@@"&amp;$K604),"")</t>
  </si>
  <si>
    <t>=D604</t>
  </si>
  <si>
    <t>=NF($G605,"Posting Date")</t>
  </si>
  <si>
    <t>=NF($G605,"Entry No.")</t>
  </si>
  <si>
    <t>=NF(G605,"Source Type")</t>
  </si>
  <si>
    <t>=NF($G605,"Source No.")</t>
  </si>
  <si>
    <t>=IF($J605="Customer",NL("first",$J605,"Name","No.","@@"&amp;$K605),"")</t>
  </si>
  <si>
    <t>=IF(J605="vendor",NL("first",J605,"Name","No.","@@"&amp;K605),"")</t>
  </si>
  <si>
    <t>=IF($J605="Item",NL("first",$J605,"Description","No.","@@"&amp;$K605),"")</t>
  </si>
  <si>
    <t>=NL("Sum","Item Ledger Entry","Quantity","Entry Type","Purchase","Entry No.",I605,"Location Code",$L$7)</t>
  </si>
  <si>
    <t>=NL("Sum","Item Ledger Entry","Quantity","Entry Type","Sale","Entry No.",I605,"Location Code",$L$7)</t>
  </si>
  <si>
    <t>=NL("Sum","Item Ledger Entry","Quantity","Entry Type","Positive Adjmt.|Negative Adjmt.","Entry No.",I605,"Location Code",$L$7)</t>
  </si>
  <si>
    <t>=NL("Sum","Item Ledger Entry","Quantity","Entry Type","Transfer","Entry No.",I605,"Location Code",$L$7)</t>
  </si>
  <si>
    <t>=NL("Sum","Item Ledger Entry","Quantity","Entry Type","Consumption","Entry No.",I605,"Location Code",$L$7)</t>
  </si>
  <si>
    <t>=NL("Sum","Item Ledger Entry","Quantity","Entry Type","Output","Entry No.",I605,"Location Code",$L$7)</t>
  </si>
  <si>
    <t>=D608</t>
  </si>
  <si>
    <t>=NF($G609,"Posting Date")</t>
  </si>
  <si>
    <t>=NF($G609,"Entry No.")</t>
  </si>
  <si>
    <t>=NF(G609,"Source Type")</t>
  </si>
  <si>
    <t>=NF($G609,"Source No.")</t>
  </si>
  <si>
    <t>=IF($J609="Customer",NL("first",$J609,"Name","No.","@@"&amp;$K609),"")</t>
  </si>
  <si>
    <t>=IF(J609="vendor",NL("first",J609,"Name","No.","@@"&amp;K609),"")</t>
  </si>
  <si>
    <t>=IF($J609="Item",NL("first",$J609,"Description","No.","@@"&amp;$K609),"")</t>
  </si>
  <si>
    <t>=NL("Sum","Item Ledger Entry","Quantity","Entry Type","Purchase","Entry No.",I609,"Location Code",$L$7)</t>
  </si>
  <si>
    <t>=NL("Sum","Item Ledger Entry","Quantity","Entry Type","Sale","Entry No.",I609,"Location Code",$L$7)</t>
  </si>
  <si>
    <t>=NL("Sum","Item Ledger Entry","Quantity","Entry Type","Positive Adjmt.|Negative Adjmt.","Entry No.",I609,"Location Code",$L$7)</t>
  </si>
  <si>
    <t>=NL("Sum","Item Ledger Entry","Quantity","Entry Type","Transfer","Entry No.",I609,"Location Code",$L$7)</t>
  </si>
  <si>
    <t>=NL("Sum","Item Ledger Entry","Quantity","Entry Type","Consumption","Entry No.",I609,"Location Code",$L$7)</t>
  </si>
  <si>
    <t>=NL("Sum","Item Ledger Entry","Quantity","Entry Type","Output","Entry No.",I609,"Location Code",$L$7)</t>
  </si>
  <si>
    <t>=D609</t>
  </si>
  <si>
    <t>=NF($G610,"Posting Date")</t>
  </si>
  <si>
    <t>=NF($G610,"Entry No.")</t>
  </si>
  <si>
    <t>=NF(G610,"Source Type")</t>
  </si>
  <si>
    <t>=NF($G610,"Source No.")</t>
  </si>
  <si>
    <t>=IF($J610="Customer",NL("first",$J610,"Name","No.","@@"&amp;$K610),"")</t>
  </si>
  <si>
    <t>=IF(J610="vendor",NL("first",J610,"Name","No.","@@"&amp;K610),"")</t>
  </si>
  <si>
    <t>=IF($J610="Item",NL("first",$J610,"Description","No.","@@"&amp;$K610),"")</t>
  </si>
  <si>
    <t>=NL("Sum","Item Ledger Entry","Quantity","Entry Type","Purchase","Entry No.",I610,"Location Code",$L$7)</t>
  </si>
  <si>
    <t>=NL("Sum","Item Ledger Entry","Quantity","Entry Type","Sale","Entry No.",I610,"Location Code",$L$7)</t>
  </si>
  <si>
    <t>=NL("Sum","Item Ledger Entry","Quantity","Entry Type","Positive Adjmt.|Negative Adjmt.","Entry No.",I610,"Location Code",$L$7)</t>
  </si>
  <si>
    <t>=NL("Sum","Item Ledger Entry","Quantity","Entry Type","Transfer","Entry No.",I610,"Location Code",$L$7)</t>
  </si>
  <si>
    <t>=NL("Sum","Item Ledger Entry","Quantity","Entry Type","Consumption","Entry No.",I610,"Location Code",$L$7)</t>
  </si>
  <si>
    <t>=NL("Sum","Item Ledger Entry","Quantity","Entry Type","Output","Entry No.",I610,"Location Code",$L$7)</t>
  </si>
  <si>
    <t>="E100012"</t>
  </si>
  <si>
    <t>=D618</t>
  </si>
  <si>
    <t>=NF($G619,"Posting Date")</t>
  </si>
  <si>
    <t>=NF($G619,"Entry No.")</t>
  </si>
  <si>
    <t>=NF(G619,"Source Type")</t>
  </si>
  <si>
    <t>=NF($G619,"Source No.")</t>
  </si>
  <si>
    <t>=IF($J619="Customer",NL("first",$J619,"Name","No.","@@"&amp;$K619),"")</t>
  </si>
  <si>
    <t>=IF(J619="vendor",NL("first",J619,"Name","No.","@@"&amp;K619),"")</t>
  </si>
  <si>
    <t>=IF($J619="Item",NL("first",$J619,"Description","No.","@@"&amp;$K619),"")</t>
  </si>
  <si>
    <t>=NL("Sum","Item Ledger Entry","Quantity","Entry Type","Purchase","Entry No.",I619,"Location Code",$L$7)</t>
  </si>
  <si>
    <t>=NL("Sum","Item Ledger Entry","Quantity","Entry Type","Sale","Entry No.",I619,"Location Code",$L$7)</t>
  </si>
  <si>
    <t>=NL("Sum","Item Ledger Entry","Quantity","Entry Type","Positive Adjmt.|Negative Adjmt.","Entry No.",I619,"Location Code",$L$7)</t>
  </si>
  <si>
    <t>=NL("Sum","Item Ledger Entry","Quantity","Entry Type","Transfer","Entry No.",I619,"Location Code",$L$7)</t>
  </si>
  <si>
    <t>=NL("Sum","Item Ledger Entry","Quantity","Entry Type","Consumption","Entry No.",I619,"Location Code",$L$7)</t>
  </si>
  <si>
    <t>=NL("Sum","Item Ledger Entry","Quantity","Entry Type","Output","Entry No.",I619,"Location Code",$L$7)</t>
  </si>
  <si>
    <t>=D619</t>
  </si>
  <si>
    <t>=NF($G620,"Posting Date")</t>
  </si>
  <si>
    <t>=NF($G620,"Entry No.")</t>
  </si>
  <si>
    <t>=NF(G620,"Source Type")</t>
  </si>
  <si>
    <t>=NF($G620,"Source No.")</t>
  </si>
  <si>
    <t>=IF($J620="Customer",NL("first",$J620,"Name","No.","@@"&amp;$K620),"")</t>
  </si>
  <si>
    <t>=IF(J620="vendor",NL("first",J620,"Name","No.","@@"&amp;K620),"")</t>
  </si>
  <si>
    <t>=IF($J620="Item",NL("first",$J620,"Description","No.","@@"&amp;$K620),"")</t>
  </si>
  <si>
    <t>=NL("Sum","Item Ledger Entry","Quantity","Entry Type","Purchase","Entry No.",I620,"Location Code",$L$7)</t>
  </si>
  <si>
    <t>=NL("Sum","Item Ledger Entry","Quantity","Entry Type","Sale","Entry No.",I620,"Location Code",$L$7)</t>
  </si>
  <si>
    <t>=NL("Sum","Item Ledger Entry","Quantity","Entry Type","Positive Adjmt.|Negative Adjmt.","Entry No.",I620,"Location Code",$L$7)</t>
  </si>
  <si>
    <t>=NL("Sum","Item Ledger Entry","Quantity","Entry Type","Transfer","Entry No.",I620,"Location Code",$L$7)</t>
  </si>
  <si>
    <t>=NL("Sum","Item Ledger Entry","Quantity","Entry Type","Consumption","Entry No.",I620,"Location Code",$L$7)</t>
  </si>
  <si>
    <t>=NL("Sum","Item Ledger Entry","Quantity","Entry Type","Output","Entry No.",I620,"Location Code",$L$7)</t>
  </si>
  <si>
    <t>=D620</t>
  </si>
  <si>
    <t>=NF($G621,"Posting Date")</t>
  </si>
  <si>
    <t>=NF($G621,"Entry No.")</t>
  </si>
  <si>
    <t>=NF(G621,"Source Type")</t>
  </si>
  <si>
    <t>=NF($G621,"Source No.")</t>
  </si>
  <si>
    <t>=IF($J621="Customer",NL("first",$J621,"Name","No.","@@"&amp;$K621),"")</t>
  </si>
  <si>
    <t>=IF(J621="vendor",NL("first",J621,"Name","No.","@@"&amp;K621),"")</t>
  </si>
  <si>
    <t>=IF($J621="Item",NL("first",$J621,"Description","No.","@@"&amp;$K621),"")</t>
  </si>
  <si>
    <t>=NL("Sum","Item Ledger Entry","Quantity","Entry Type","Purchase","Entry No.",I621,"Location Code",$L$7)</t>
  </si>
  <si>
    <t>=NL("Sum","Item Ledger Entry","Quantity","Entry Type","Sale","Entry No.",I621,"Location Code",$L$7)</t>
  </si>
  <si>
    <t>=NL("Sum","Item Ledger Entry","Quantity","Entry Type","Positive Adjmt.|Negative Adjmt.","Entry No.",I621,"Location Code",$L$7)</t>
  </si>
  <si>
    <t>=NL("Sum","Item Ledger Entry","Quantity","Entry Type","Transfer","Entry No.",I621,"Location Code",$L$7)</t>
  </si>
  <si>
    <t>=NL("Sum","Item Ledger Entry","Quantity","Entry Type","Consumption","Entry No.",I621,"Location Code",$L$7)</t>
  </si>
  <si>
    <t>=NL("Sum","Item Ledger Entry","Quantity","Entry Type","Output","Entry No.",I621,"Location Code",$L$7)</t>
  </si>
  <si>
    <t>=D621</t>
  </si>
  <si>
    <t>=NF($G622,"Posting Date")</t>
  </si>
  <si>
    <t>=NF($G622,"Entry No.")</t>
  </si>
  <si>
    <t>=NF(G622,"Source Type")</t>
  </si>
  <si>
    <t>=NF($G622,"Source No.")</t>
  </si>
  <si>
    <t>=IF($J622="Customer",NL("first",$J622,"Name","No.","@@"&amp;$K622),"")</t>
  </si>
  <si>
    <t>=IF(J622="vendor",NL("first",J622,"Name","No.","@@"&amp;K622),"")</t>
  </si>
  <si>
    <t>=IF($J622="Item",NL("first",$J622,"Description","No.","@@"&amp;$K622),"")</t>
  </si>
  <si>
    <t>=NL("Sum","Item Ledger Entry","Quantity","Entry Type","Purchase","Entry No.",I622,"Location Code",$L$7)</t>
  </si>
  <si>
    <t>=NL("Sum","Item Ledger Entry","Quantity","Entry Type","Sale","Entry No.",I622,"Location Code",$L$7)</t>
  </si>
  <si>
    <t>=NL("Sum","Item Ledger Entry","Quantity","Entry Type","Positive Adjmt.|Negative Adjmt.","Entry No.",I622,"Location Code",$L$7)</t>
  </si>
  <si>
    <t>=NL("Sum","Item Ledger Entry","Quantity","Entry Type","Transfer","Entry No.",I622,"Location Code",$L$7)</t>
  </si>
  <si>
    <t>=NL("Sum","Item Ledger Entry","Quantity","Entry Type","Consumption","Entry No.",I622,"Location Code",$L$7)</t>
  </si>
  <si>
    <t>=NL("Sum","Item Ledger Entry","Quantity","Entry Type","Output","Entry No.",I622,"Location Code",$L$7)</t>
  </si>
  <si>
    <t>=D622</t>
  </si>
  <si>
    <t>=NF($G623,"Posting Date")</t>
  </si>
  <si>
    <t>=NF($G623,"Entry No.")</t>
  </si>
  <si>
    <t>=NF(G623,"Source Type")</t>
  </si>
  <si>
    <t>=NF($G623,"Source No.")</t>
  </si>
  <si>
    <t>=IF($J623="Customer",NL("first",$J623,"Name","No.","@@"&amp;$K623),"")</t>
  </si>
  <si>
    <t>=IF(J623="vendor",NL("first",J623,"Name","No.","@@"&amp;K623),"")</t>
  </si>
  <si>
    <t>=IF($J623="Item",NL("first",$J623,"Description","No.","@@"&amp;$K623),"")</t>
  </si>
  <si>
    <t>=NL("Sum","Item Ledger Entry","Quantity","Entry Type","Purchase","Entry No.",I623,"Location Code",$L$7)</t>
  </si>
  <si>
    <t>=NL("Sum","Item Ledger Entry","Quantity","Entry Type","Sale","Entry No.",I623,"Location Code",$L$7)</t>
  </si>
  <si>
    <t>=NL("Sum","Item Ledger Entry","Quantity","Entry Type","Positive Adjmt.|Negative Adjmt.","Entry No.",I623,"Location Code",$L$7)</t>
  </si>
  <si>
    <t>=NL("Sum","Item Ledger Entry","Quantity","Entry Type","Transfer","Entry No.",I623,"Location Code",$L$7)</t>
  </si>
  <si>
    <t>=NL("Sum","Item Ledger Entry","Quantity","Entry Type","Consumption","Entry No.",I623,"Location Code",$L$7)</t>
  </si>
  <si>
    <t>=NL("Sum","Item Ledger Entry","Quantity","Entry Type","Output","Entry No.",I623,"Location Code",$L$7)</t>
  </si>
  <si>
    <t>="E100013"</t>
  </si>
  <si>
    <t>=D631</t>
  </si>
  <si>
    <t>=NF($G632,"Posting Date")</t>
  </si>
  <si>
    <t>=NF($G632,"Entry No.")</t>
  </si>
  <si>
    <t>=NF(G632,"Source Type")</t>
  </si>
  <si>
    <t>=NF($G632,"Source No.")</t>
  </si>
  <si>
    <t>=IF($J632="Customer",NL("first",$J632,"Name","No.","@@"&amp;$K632),"")</t>
  </si>
  <si>
    <t>=IF(J632="vendor",NL("first",J632,"Name","No.","@@"&amp;K632),"")</t>
  </si>
  <si>
    <t>=IF($J632="Item",NL("first",$J632,"Description","No.","@@"&amp;$K632),"")</t>
  </si>
  <si>
    <t>=NL("Sum","Item Ledger Entry","Quantity","Entry Type","Purchase","Entry No.",I632,"Location Code",$L$7)</t>
  </si>
  <si>
    <t>=NL("Sum","Item Ledger Entry","Quantity","Entry Type","Sale","Entry No.",I632,"Location Code",$L$7)</t>
  </si>
  <si>
    <t>=NL("Sum","Item Ledger Entry","Quantity","Entry Type","Positive Adjmt.|Negative Adjmt.","Entry No.",I632,"Location Code",$L$7)</t>
  </si>
  <si>
    <t>=NL("Sum","Item Ledger Entry","Quantity","Entry Type","Transfer","Entry No.",I632,"Location Code",$L$7)</t>
  </si>
  <si>
    <t>=NL("Sum","Item Ledger Entry","Quantity","Entry Type","Consumption","Entry No.",I632,"Location Code",$L$7)</t>
  </si>
  <si>
    <t>=NL("Sum","Item Ledger Entry","Quantity","Entry Type","Output","Entry No.",I632,"Location Code",$L$7)</t>
  </si>
  <si>
    <t>=D632</t>
  </si>
  <si>
    <t>=NF($G633,"Posting Date")</t>
  </si>
  <si>
    <t>=NF($G633,"Entry No.")</t>
  </si>
  <si>
    <t>=NF(G633,"Source Type")</t>
  </si>
  <si>
    <t>=NF($G633,"Source No.")</t>
  </si>
  <si>
    <t>=IF($J633="Customer",NL("first",$J633,"Name","No.","@@"&amp;$K633),"")</t>
  </si>
  <si>
    <t>=IF(J633="vendor",NL("first",J633,"Name","No.","@@"&amp;K633),"")</t>
  </si>
  <si>
    <t>=IF($J633="Item",NL("first",$J633,"Description","No.","@@"&amp;$K633),"")</t>
  </si>
  <si>
    <t>=NL("Sum","Item Ledger Entry","Quantity","Entry Type","Purchase","Entry No.",I633,"Location Code",$L$7)</t>
  </si>
  <si>
    <t>=NL("Sum","Item Ledger Entry","Quantity","Entry Type","Sale","Entry No.",I633,"Location Code",$L$7)</t>
  </si>
  <si>
    <t>=NL("Sum","Item Ledger Entry","Quantity","Entry Type","Positive Adjmt.|Negative Adjmt.","Entry No.",I633,"Location Code",$L$7)</t>
  </si>
  <si>
    <t>=NL("Sum","Item Ledger Entry","Quantity","Entry Type","Transfer","Entry No.",I633,"Location Code",$L$7)</t>
  </si>
  <si>
    <t>=NL("Sum","Item Ledger Entry","Quantity","Entry Type","Consumption","Entry No.",I633,"Location Code",$L$7)</t>
  </si>
  <si>
    <t>=NL("Sum","Item Ledger Entry","Quantity","Entry Type","Output","Entry No.",I633,"Location Code",$L$7)</t>
  </si>
  <si>
    <t>=D633</t>
  </si>
  <si>
    <t>=NF($G634,"Posting Date")</t>
  </si>
  <si>
    <t>=NF($G634,"Entry No.")</t>
  </si>
  <si>
    <t>=NF(G634,"Source Type")</t>
  </si>
  <si>
    <t>=NF($G634,"Source No.")</t>
  </si>
  <si>
    <t>=IF($J634="Customer",NL("first",$J634,"Name","No.","@@"&amp;$K634),"")</t>
  </si>
  <si>
    <t>=IF(J634="vendor",NL("first",J634,"Name","No.","@@"&amp;K634),"")</t>
  </si>
  <si>
    <t>=IF($J634="Item",NL("first",$J634,"Description","No.","@@"&amp;$K634),"")</t>
  </si>
  <si>
    <t>=NL("Sum","Item Ledger Entry","Quantity","Entry Type","Purchase","Entry No.",I634,"Location Code",$L$7)</t>
  </si>
  <si>
    <t>=NL("Sum","Item Ledger Entry","Quantity","Entry Type","Sale","Entry No.",I634,"Location Code",$L$7)</t>
  </si>
  <si>
    <t>=NL("Sum","Item Ledger Entry","Quantity","Entry Type","Positive Adjmt.|Negative Adjmt.","Entry No.",I634,"Location Code",$L$7)</t>
  </si>
  <si>
    <t>=NL("Sum","Item Ledger Entry","Quantity","Entry Type","Transfer","Entry No.",I634,"Location Code",$L$7)</t>
  </si>
  <si>
    <t>=NL("Sum","Item Ledger Entry","Quantity","Entry Type","Consumption","Entry No.",I634,"Location Code",$L$7)</t>
  </si>
  <si>
    <t>=NL("Sum","Item Ledger Entry","Quantity","Entry Type","Output","Entry No.",I634,"Location Code",$L$7)</t>
  </si>
  <si>
    <t>=D634</t>
  </si>
  <si>
    <t>=NF($G635,"Posting Date")</t>
  </si>
  <si>
    <t>=NF($G635,"Entry No.")</t>
  </si>
  <si>
    <t>=NF(G635,"Source Type")</t>
  </si>
  <si>
    <t>=NF($G635,"Source No.")</t>
  </si>
  <si>
    <t>=IF($J635="Customer",NL("first",$J635,"Name","No.","@@"&amp;$K635),"")</t>
  </si>
  <si>
    <t>=IF(J635="vendor",NL("first",J635,"Name","No.","@@"&amp;K635),"")</t>
  </si>
  <si>
    <t>=IF($J635="Item",NL("first",$J635,"Description","No.","@@"&amp;$K635),"")</t>
  </si>
  <si>
    <t>=NL("Sum","Item Ledger Entry","Quantity","Entry Type","Purchase","Entry No.",I635,"Location Code",$L$7)</t>
  </si>
  <si>
    <t>=NL("Sum","Item Ledger Entry","Quantity","Entry Type","Sale","Entry No.",I635,"Location Code",$L$7)</t>
  </si>
  <si>
    <t>=NL("Sum","Item Ledger Entry","Quantity","Entry Type","Positive Adjmt.|Negative Adjmt.","Entry No.",I635,"Location Code",$L$7)</t>
  </si>
  <si>
    <t>=NL("Sum","Item Ledger Entry","Quantity","Entry Type","Transfer","Entry No.",I635,"Location Code",$L$7)</t>
  </si>
  <si>
    <t>=NL("Sum","Item Ledger Entry","Quantity","Entry Type","Consumption","Entry No.",I635,"Location Code",$L$7)</t>
  </si>
  <si>
    <t>=NL("Sum","Item Ledger Entry","Quantity","Entry Type","Output","Entry No.",I635,"Location Code",$L$7)</t>
  </si>
  <si>
    <t>=D635</t>
  </si>
  <si>
    <t>=NF($G636,"Posting Date")</t>
  </si>
  <si>
    <t>=NF($G636,"Entry No.")</t>
  </si>
  <si>
    <t>=NF(G636,"Source Type")</t>
  </si>
  <si>
    <t>=NF($G636,"Source No.")</t>
  </si>
  <si>
    <t>=IF($J636="Customer",NL("first",$J636,"Name","No.","@@"&amp;$K636),"")</t>
  </si>
  <si>
    <t>=IF(J636="vendor",NL("first",J636,"Name","No.","@@"&amp;K636),"")</t>
  </si>
  <si>
    <t>=IF($J636="Item",NL("first",$J636,"Description","No.","@@"&amp;$K636),"")</t>
  </si>
  <si>
    <t>=NL("Sum","Item Ledger Entry","Quantity","Entry Type","Purchase","Entry No.",I636,"Location Code",$L$7)</t>
  </si>
  <si>
    <t>=NL("Sum","Item Ledger Entry","Quantity","Entry Type","Sale","Entry No.",I636,"Location Code",$L$7)</t>
  </si>
  <si>
    <t>=NL("Sum","Item Ledger Entry","Quantity","Entry Type","Positive Adjmt.|Negative Adjmt.","Entry No.",I636,"Location Code",$L$7)</t>
  </si>
  <si>
    <t>=NL("Sum","Item Ledger Entry","Quantity","Entry Type","Transfer","Entry No.",I636,"Location Code",$L$7)</t>
  </si>
  <si>
    <t>=NL("Sum","Item Ledger Entry","Quantity","Entry Type","Consumption","Entry No.",I636,"Location Code",$L$7)</t>
  </si>
  <si>
    <t>=NL("Sum","Item Ledger Entry","Quantity","Entry Type","Output","Entry No.",I636,"Location Code",$L$7)</t>
  </si>
  <si>
    <t>=D636</t>
  </si>
  <si>
    <t>=NF($G637,"Posting Date")</t>
  </si>
  <si>
    <t>=NF($G637,"Entry No.")</t>
  </si>
  <si>
    <t>=NF(G637,"Source Type")</t>
  </si>
  <si>
    <t>=NF($G637,"Source No.")</t>
  </si>
  <si>
    <t>=IF($J637="Customer",NL("first",$J637,"Name","No.","@@"&amp;$K637),"")</t>
  </si>
  <si>
    <t>=IF(J637="vendor",NL("first",J637,"Name","No.","@@"&amp;K637),"")</t>
  </si>
  <si>
    <t>=IF($J637="Item",NL("first",$J637,"Description","No.","@@"&amp;$K637),"")</t>
  </si>
  <si>
    <t>=NL("Sum","Item Ledger Entry","Quantity","Entry Type","Purchase","Entry No.",I637,"Location Code",$L$7)</t>
  </si>
  <si>
    <t>=NL("Sum","Item Ledger Entry","Quantity","Entry Type","Sale","Entry No.",I637,"Location Code",$L$7)</t>
  </si>
  <si>
    <t>=NL("Sum","Item Ledger Entry","Quantity","Entry Type","Positive Adjmt.|Negative Adjmt.","Entry No.",I637,"Location Code",$L$7)</t>
  </si>
  <si>
    <t>=NL("Sum","Item Ledger Entry","Quantity","Entry Type","Transfer","Entry No.",I637,"Location Code",$L$7)</t>
  </si>
  <si>
    <t>=NL("Sum","Item Ledger Entry","Quantity","Entry Type","Consumption","Entry No.",I637,"Location Code",$L$7)</t>
  </si>
  <si>
    <t>=NL("Sum","Item Ledger Entry","Quantity","Entry Type","Output","Entry No.",I637,"Location Code",$L$7)</t>
  </si>
  <si>
    <t>="E100014"</t>
  </si>
  <si>
    <t>=D640</t>
  </si>
  <si>
    <t>=NF($G641,"Posting Date")</t>
  </si>
  <si>
    <t>=NF($G641,"Entry No.")</t>
  </si>
  <si>
    <t>=NF(G641,"Source Type")</t>
  </si>
  <si>
    <t>=NF($G641,"Source No.")</t>
  </si>
  <si>
    <t>=IF($J641="Customer",NL("first",$J641,"Name","No.","@@"&amp;$K641),"")</t>
  </si>
  <si>
    <t>=IF(J641="vendor",NL("first",J641,"Name","No.","@@"&amp;K641),"")</t>
  </si>
  <si>
    <t>=IF($J641="Item",NL("first",$J641,"Description","No.","@@"&amp;$K641),"")</t>
  </si>
  <si>
    <t>=D641</t>
  </si>
  <si>
    <t>=NF($G642,"Posting Date")</t>
  </si>
  <si>
    <t>=NF($G642,"Entry No.")</t>
  </si>
  <si>
    <t>=NF(G642,"Source Type")</t>
  </si>
  <si>
    <t>=NF($G642,"Source No.")</t>
  </si>
  <si>
    <t>=IF($J642="Customer",NL("first",$J642,"Name","No.","@@"&amp;$K642),"")</t>
  </si>
  <si>
    <t>=IF(J642="vendor",NL("first",J642,"Name","No.","@@"&amp;K642),"")</t>
  </si>
  <si>
    <t>=IF($J642="Item",NL("first",$J642,"Description","No.","@@"&amp;$K642),"")</t>
  </si>
  <si>
    <t>=D648</t>
  </si>
  <si>
    <t>=NF($G649,"Posting Date")</t>
  </si>
  <si>
    <t>=NF($G649,"Entry No.")</t>
  </si>
  <si>
    <t>=NF(G649,"Source Type")</t>
  </si>
  <si>
    <t>=NF($G649,"Source No.")</t>
  </si>
  <si>
    <t>=IF($J649="Customer",NL("first",$J649,"Name","No.","@@"&amp;$K649),"")</t>
  </si>
  <si>
    <t>=IF(J649="vendor",NL("first",J649,"Name","No.","@@"&amp;K649),"")</t>
  </si>
  <si>
    <t>=IF($J649="Item",NL("first",$J649,"Description","No.","@@"&amp;$K649),"")</t>
  </si>
  <si>
    <t>=NL("Sum","Item Ledger Entry","Quantity","Entry Type","Purchase","Entry No.",I649,"Location Code",$L$7)</t>
  </si>
  <si>
    <t>=NL("Sum","Item Ledger Entry","Quantity","Entry Type","Sale","Entry No.",I649,"Location Code",$L$7)</t>
  </si>
  <si>
    <t>=NL("Sum","Item Ledger Entry","Quantity","Entry Type","Positive Adjmt.|Negative Adjmt.","Entry No.",I649,"Location Code",$L$7)</t>
  </si>
  <si>
    <t>=NL("Sum","Item Ledger Entry","Quantity","Entry Type","Transfer","Entry No.",I649,"Location Code",$L$7)</t>
  </si>
  <si>
    <t>=NL("Sum","Item Ledger Entry","Quantity","Entry Type","Consumption","Entry No.",I649,"Location Code",$L$7)</t>
  </si>
  <si>
    <t>=NL("Sum","Item Ledger Entry","Quantity","Entry Type","Output","Entry No.",I649,"Location Code",$L$7)</t>
  </si>
  <si>
    <t>=D649</t>
  </si>
  <si>
    <t>=NF($G650,"Posting Date")</t>
  </si>
  <si>
    <t>=NF($G650,"Entry No.")</t>
  </si>
  <si>
    <t>=NF(G650,"Source Type")</t>
  </si>
  <si>
    <t>=NF($G650,"Source No.")</t>
  </si>
  <si>
    <t>=IF($J650="Customer",NL("first",$J650,"Name","No.","@@"&amp;$K650),"")</t>
  </si>
  <si>
    <t>=IF(J650="vendor",NL("first",J650,"Name","No.","@@"&amp;K650),"")</t>
  </si>
  <si>
    <t>=IF($J650="Item",NL("first",$J650,"Description","No.","@@"&amp;$K650),"")</t>
  </si>
  <si>
    <t>=NL("Sum","Item Ledger Entry","Quantity","Entry Type","Purchase","Entry No.",I650,"Location Code",$L$7)</t>
  </si>
  <si>
    <t>=NL("Sum","Item Ledger Entry","Quantity","Entry Type","Sale","Entry No.",I650,"Location Code",$L$7)</t>
  </si>
  <si>
    <t>=NL("Sum","Item Ledger Entry","Quantity","Entry Type","Positive Adjmt.|Negative Adjmt.","Entry No.",I650,"Location Code",$L$7)</t>
  </si>
  <si>
    <t>=NL("Sum","Item Ledger Entry","Quantity","Entry Type","Transfer","Entry No.",I650,"Location Code",$L$7)</t>
  </si>
  <si>
    <t>=NL("Sum","Item Ledger Entry","Quantity","Entry Type","Consumption","Entry No.",I650,"Location Code",$L$7)</t>
  </si>
  <si>
    <t>=NL("Sum","Item Ledger Entry","Quantity","Entry Type","Output","Entry No.",I650,"Location Code",$L$7)</t>
  </si>
  <si>
    <t>=D650</t>
  </si>
  <si>
    <t>=NF($G651,"Posting Date")</t>
  </si>
  <si>
    <t>=NF($G651,"Entry No.")</t>
  </si>
  <si>
    <t>=NF(G651,"Source Type")</t>
  </si>
  <si>
    <t>=NF($G651,"Source No.")</t>
  </si>
  <si>
    <t>=IF($J651="Customer",NL("first",$J651,"Name","No.","@@"&amp;$K651),"")</t>
  </si>
  <si>
    <t>=IF(J651="vendor",NL("first",J651,"Name","No.","@@"&amp;K651),"")</t>
  </si>
  <si>
    <t>=IF($J651="Item",NL("first",$J651,"Description","No.","@@"&amp;$K651),"")</t>
  </si>
  <si>
    <t>="E100015"</t>
  </si>
  <si>
    <t>=D655</t>
  </si>
  <si>
    <t>=NF($G656,"Posting Date")</t>
  </si>
  <si>
    <t>=NF($G656,"Entry No.")</t>
  </si>
  <si>
    <t>=NF(G656,"Source Type")</t>
  </si>
  <si>
    <t>=NF($G656,"Source No.")</t>
  </si>
  <si>
    <t>=IF($J656="Customer",NL("first",$J656,"Name","No.","@@"&amp;$K656),"")</t>
  </si>
  <si>
    <t>=IF(J656="vendor",NL("first",J656,"Name","No.","@@"&amp;K656),"")</t>
  </si>
  <si>
    <t>=IF($J656="Item",NL("first",$J656,"Description","No.","@@"&amp;$K656),"")</t>
  </si>
  <si>
    <t>=NL("Sum","Item Ledger Entry","Quantity","Entry Type","Purchase","Entry No.",I656,"Location Code",$L$7)</t>
  </si>
  <si>
    <t>=NL("Sum","Item Ledger Entry","Quantity","Entry Type","Sale","Entry No.",I656,"Location Code",$L$7)</t>
  </si>
  <si>
    <t>=NL("Sum","Item Ledger Entry","Quantity","Entry Type","Positive Adjmt.|Negative Adjmt.","Entry No.",I656,"Location Code",$L$7)</t>
  </si>
  <si>
    <t>=NL("Sum","Item Ledger Entry","Quantity","Entry Type","Transfer","Entry No.",I656,"Location Code",$L$7)</t>
  </si>
  <si>
    <t>=NL("Sum","Item Ledger Entry","Quantity","Entry Type","Consumption","Entry No.",I656,"Location Code",$L$7)</t>
  </si>
  <si>
    <t>=NL("Sum","Item Ledger Entry","Quantity","Entry Type","Output","Entry No.",I656,"Location Code",$L$7)</t>
  </si>
  <si>
    <t>=D659</t>
  </si>
  <si>
    <t>=NF($G660,"Posting Date")</t>
  </si>
  <si>
    <t>=NF($G660,"Entry No.")</t>
  </si>
  <si>
    <t>=NF(G660,"Source Type")</t>
  </si>
  <si>
    <t>=NF($G660,"Source No.")</t>
  </si>
  <si>
    <t>=IF($J660="Customer",NL("first",$J660,"Name","No.","@@"&amp;$K660),"")</t>
  </si>
  <si>
    <t>=IF(J660="vendor",NL("first",J660,"Name","No.","@@"&amp;K660),"")</t>
  </si>
  <si>
    <t>=IF($J660="Item",NL("first",$J660,"Description","No.","@@"&amp;$K660),"")</t>
  </si>
  <si>
    <t>=NL("Sum","Item Ledger Entry","Quantity","Entry Type","Purchase","Entry No.",I660,"Location Code",$L$7)</t>
  </si>
  <si>
    <t>=NL("Sum","Item Ledger Entry","Quantity","Entry Type","Sale","Entry No.",I660,"Location Code",$L$7)</t>
  </si>
  <si>
    <t>=NL("Sum","Item Ledger Entry","Quantity","Entry Type","Positive Adjmt.|Negative Adjmt.","Entry No.",I660,"Location Code",$L$7)</t>
  </si>
  <si>
    <t>=NL("Sum","Item Ledger Entry","Quantity","Entry Type","Transfer","Entry No.",I660,"Location Code",$L$7)</t>
  </si>
  <si>
    <t>=NL("Sum","Item Ledger Entry","Quantity","Entry Type","Consumption","Entry No.",I660,"Location Code",$L$7)</t>
  </si>
  <si>
    <t>=NL("Sum","Item Ledger Entry","Quantity","Entry Type","Output","Entry No.",I660,"Location Code",$L$7)</t>
  </si>
  <si>
    <t>=D665</t>
  </si>
  <si>
    <t>=NF($G666,"Posting Date")</t>
  </si>
  <si>
    <t>=NF($G666,"Entry No.")</t>
  </si>
  <si>
    <t>=NF(G666,"Source Type")</t>
  </si>
  <si>
    <t>=NF($G666,"Source No.")</t>
  </si>
  <si>
    <t>=IF($J666="Customer",NL("first",$J666,"Name","No.","@@"&amp;$K666),"")</t>
  </si>
  <si>
    <t>=IF(J666="vendor",NL("first",J666,"Name","No.","@@"&amp;K666),"")</t>
  </si>
  <si>
    <t>=IF($J666="Item",NL("first",$J666,"Description","No.","@@"&amp;$K666),"")</t>
  </si>
  <si>
    <t>=NL("Sum","Item Ledger Entry","Quantity","Entry Type","Purchase","Entry No.",I666,"Location Code",$L$7)</t>
  </si>
  <si>
    <t>=NL("Sum","Item Ledger Entry","Quantity","Entry Type","Sale","Entry No.",I666,"Location Code",$L$7)</t>
  </si>
  <si>
    <t>=NL("Sum","Item Ledger Entry","Quantity","Entry Type","Positive Adjmt.|Negative Adjmt.","Entry No.",I666,"Location Code",$L$7)</t>
  </si>
  <si>
    <t>=NL("Sum","Item Ledger Entry","Quantity","Entry Type","Transfer","Entry No.",I666,"Location Code",$L$7)</t>
  </si>
  <si>
    <t>=NL("Sum","Item Ledger Entry","Quantity","Entry Type","Consumption","Entry No.",I666,"Location Code",$L$7)</t>
  </si>
  <si>
    <t>=NL("Sum","Item Ledger Entry","Quantity","Entry Type","Output","Entry No.",I666,"Location Code",$L$7)</t>
  </si>
  <si>
    <t>=D666</t>
  </si>
  <si>
    <t>=NF($G667,"Posting Date")</t>
  </si>
  <si>
    <t>=NF($G667,"Entry No.")</t>
  </si>
  <si>
    <t>=NF(G667,"Source Type")</t>
  </si>
  <si>
    <t>=NF($G667,"Source No.")</t>
  </si>
  <si>
    <t>=IF($J667="Customer",NL("first",$J667,"Name","No.","@@"&amp;$K667),"")</t>
  </si>
  <si>
    <t>=IF(J667="vendor",NL("first",J667,"Name","No.","@@"&amp;K667),"")</t>
  </si>
  <si>
    <t>=IF($J667="Item",NL("first",$J667,"Description","No.","@@"&amp;$K667),"")</t>
  </si>
  <si>
    <t>=NL("Sum","Item Ledger Entry","Quantity","Entry Type","Purchase","Entry No.",I667,"Location Code",$L$7)</t>
  </si>
  <si>
    <t>=NL("Sum","Item Ledger Entry","Quantity","Entry Type","Sale","Entry No.",I667,"Location Code",$L$7)</t>
  </si>
  <si>
    <t>=NL("Sum","Item Ledger Entry","Quantity","Entry Type","Positive Adjmt.|Negative Adjmt.","Entry No.",I667,"Location Code",$L$7)</t>
  </si>
  <si>
    <t>=NL("Sum","Item Ledger Entry","Quantity","Entry Type","Transfer","Entry No.",I667,"Location Code",$L$7)</t>
  </si>
  <si>
    <t>=NL("Sum","Item Ledger Entry","Quantity","Entry Type","Consumption","Entry No.",I667,"Location Code",$L$7)</t>
  </si>
  <si>
    <t>=NL("Sum","Item Ledger Entry","Quantity","Entry Type","Output","Entry No.",I667,"Location Code",$L$7)</t>
  </si>
  <si>
    <t>=D667</t>
  </si>
  <si>
    <t>=NF($G668,"Posting Date")</t>
  </si>
  <si>
    <t>=NF($G668,"Entry No.")</t>
  </si>
  <si>
    <t>=NF(G668,"Source Type")</t>
  </si>
  <si>
    <t>=NF($G668,"Source No.")</t>
  </si>
  <si>
    <t>=IF($J668="Customer",NL("first",$J668,"Name","No.","@@"&amp;$K668),"")</t>
  </si>
  <si>
    <t>=IF(J668="vendor",NL("first",J668,"Name","No.","@@"&amp;K668),"")</t>
  </si>
  <si>
    <t>=IF($J668="Item",NL("first",$J668,"Description","No.","@@"&amp;$K668),"")</t>
  </si>
  <si>
    <t>=NL("Sum","Item Ledger Entry","Quantity","Entry Type","Purchase","Entry No.",I668,"Location Code",$L$7)</t>
  </si>
  <si>
    <t>=NL("Sum","Item Ledger Entry","Quantity","Entry Type","Sale","Entry No.",I668,"Location Code",$L$7)</t>
  </si>
  <si>
    <t>=NL("Sum","Item Ledger Entry","Quantity","Entry Type","Positive Adjmt.|Negative Adjmt.","Entry No.",I668,"Location Code",$L$7)</t>
  </si>
  <si>
    <t>=NL("Sum","Item Ledger Entry","Quantity","Entry Type","Transfer","Entry No.",I668,"Location Code",$L$7)</t>
  </si>
  <si>
    <t>=NL("Sum","Item Ledger Entry","Quantity","Entry Type","Consumption","Entry No.",I668,"Location Code",$L$7)</t>
  </si>
  <si>
    <t>=NL("Sum","Item Ledger Entry","Quantity","Entry Type","Output","Entry No.",I668,"Location Code",$L$7)</t>
  </si>
  <si>
    <t>="E100016"</t>
  </si>
  <si>
    <t>=D671</t>
  </si>
  <si>
    <t>=NF($G672,"Posting Date")</t>
  </si>
  <si>
    <t>=NF($G672,"Entry No.")</t>
  </si>
  <si>
    <t>=NF(G672,"Source Type")</t>
  </si>
  <si>
    <t>=NF($G672,"Source No.")</t>
  </si>
  <si>
    <t>=IF($J672="Customer",NL("first",$J672,"Name","No.","@@"&amp;$K672),"")</t>
  </si>
  <si>
    <t>=IF(J672="vendor",NL("first",J672,"Name","No.","@@"&amp;K672),"")</t>
  </si>
  <si>
    <t>=IF($J672="Item",NL("first",$J672,"Description","No.","@@"&amp;$K672),"")</t>
  </si>
  <si>
    <t>=D672</t>
  </si>
  <si>
    <t>=NF($G673,"Posting Date")</t>
  </si>
  <si>
    <t>=NF($G673,"Entry No.")</t>
  </si>
  <si>
    <t>=NF(G673,"Source Type")</t>
  </si>
  <si>
    <t>=NF($G673,"Source No.")</t>
  </si>
  <si>
    <t>=IF($J673="Customer",NL("first",$J673,"Name","No.","@@"&amp;$K673),"")</t>
  </si>
  <si>
    <t>=IF(J673="vendor",NL("first",J673,"Name","No.","@@"&amp;K673),"")</t>
  </si>
  <si>
    <t>=IF($J673="Item",NL("first",$J673,"Description","No.","@@"&amp;$K673),"")</t>
  </si>
  <si>
    <t>=NL("Sum","Item Ledger Entry","Quantity","Entry Type","Purchase","Entry No.",I673,"Location Code",$L$7)</t>
  </si>
  <si>
    <t>=NL("Sum","Item Ledger Entry","Quantity","Entry Type","Sale","Entry No.",I673,"Location Code",$L$7)</t>
  </si>
  <si>
    <t>=NL("Sum","Item Ledger Entry","Quantity","Entry Type","Positive Adjmt.|Negative Adjmt.","Entry No.",I673,"Location Code",$L$7)</t>
  </si>
  <si>
    <t>=NL("Sum","Item Ledger Entry","Quantity","Entry Type","Transfer","Entry No.",I673,"Location Code",$L$7)</t>
  </si>
  <si>
    <t>=NL("Sum","Item Ledger Entry","Quantity","Entry Type","Consumption","Entry No.",I673,"Location Code",$L$7)</t>
  </si>
  <si>
    <t>=NL("Sum","Item Ledger Entry","Quantity","Entry Type","Output","Entry No.",I673,"Location Code",$L$7)</t>
  </si>
  <si>
    <t>=D677</t>
  </si>
  <si>
    <t>=NF($G678,"Posting Date")</t>
  </si>
  <si>
    <t>=NF($G678,"Entry No.")</t>
  </si>
  <si>
    <t>=NF(G678,"Source Type")</t>
  </si>
  <si>
    <t>=NF($G678,"Source No.")</t>
  </si>
  <si>
    <t>=IF($J678="Customer",NL("first",$J678,"Name","No.","@@"&amp;$K678),"")</t>
  </si>
  <si>
    <t>=IF(J678="vendor",NL("first",J678,"Name","No.","@@"&amp;K678),"")</t>
  </si>
  <si>
    <t>=IF($J678="Item",NL("first",$J678,"Description","No.","@@"&amp;$K678),"")</t>
  </si>
  <si>
    <t>=NL("Sum","Item Ledger Entry","Quantity","Entry Type","Purchase","Entry No.",I678,"Location Code",$L$7)</t>
  </si>
  <si>
    <t>=NL("Sum","Item Ledger Entry","Quantity","Entry Type","Sale","Entry No.",I678,"Location Code",$L$7)</t>
  </si>
  <si>
    <t>=NL("Sum","Item Ledger Entry","Quantity","Entry Type","Positive Adjmt.|Negative Adjmt.","Entry No.",I678,"Location Code",$L$7)</t>
  </si>
  <si>
    <t>=NL("Sum","Item Ledger Entry","Quantity","Entry Type","Transfer","Entry No.",I678,"Location Code",$L$7)</t>
  </si>
  <si>
    <t>=NL("Sum","Item Ledger Entry","Quantity","Entry Type","Consumption","Entry No.",I678,"Location Code",$L$7)</t>
  </si>
  <si>
    <t>=NL("Sum","Item Ledger Entry","Quantity","Entry Type","Output","Entry No.",I678,"Location Code",$L$7)</t>
  </si>
  <si>
    <t>="E100017"</t>
  </si>
  <si>
    <t>=D685</t>
  </si>
  <si>
    <t>=NF($G686,"Posting Date")</t>
  </si>
  <si>
    <t>=NF($G686,"Entry No.")</t>
  </si>
  <si>
    <t>=NF(G686,"Source Type")</t>
  </si>
  <si>
    <t>=NF($G686,"Source No.")</t>
  </si>
  <si>
    <t>=IF($J686="Customer",NL("first",$J686,"Name","No.","@@"&amp;$K686),"")</t>
  </si>
  <si>
    <t>=IF(J686="vendor",NL("first",J686,"Name","No.","@@"&amp;K686),"")</t>
  </si>
  <si>
    <t>=IF($J686="Item",NL("first",$J686,"Description","No.","@@"&amp;$K686),"")</t>
  </si>
  <si>
    <t>=NL("Sum","Item Ledger Entry","Quantity","Entry Type","Purchase","Entry No.",I686,"Location Code",$L$7)</t>
  </si>
  <si>
    <t>=NL("Sum","Item Ledger Entry","Quantity","Entry Type","Sale","Entry No.",I686,"Location Code",$L$7)</t>
  </si>
  <si>
    <t>=NL("Sum","Item Ledger Entry","Quantity","Entry Type","Positive Adjmt.|Negative Adjmt.","Entry No.",I686,"Location Code",$L$7)</t>
  </si>
  <si>
    <t>=NL("Sum","Item Ledger Entry","Quantity","Entry Type","Transfer","Entry No.",I686,"Location Code",$L$7)</t>
  </si>
  <si>
    <t>=NL("Sum","Item Ledger Entry","Quantity","Entry Type","Consumption","Entry No.",I686,"Location Code",$L$7)</t>
  </si>
  <si>
    <t>=NL("Sum","Item Ledger Entry","Quantity","Entry Type","Output","Entry No.",I686,"Location Code",$L$7)</t>
  </si>
  <si>
    <t>=D689</t>
  </si>
  <si>
    <t>=NF($G690,"Posting Date")</t>
  </si>
  <si>
    <t>=NF($G690,"Entry No.")</t>
  </si>
  <si>
    <t>=NF(G690,"Source Type")</t>
  </si>
  <si>
    <t>=NF($G690,"Source No.")</t>
  </si>
  <si>
    <t>=IF($J690="Customer",NL("first",$J690,"Name","No.","@@"&amp;$K690),"")</t>
  </si>
  <si>
    <t>=IF(J690="vendor",NL("first",J690,"Name","No.","@@"&amp;K690),"")</t>
  </si>
  <si>
    <t>=IF($J690="Item",NL("first",$J690,"Description","No.","@@"&amp;$K690),"")</t>
  </si>
  <si>
    <t>=NL("Sum","Item Ledger Entry","Quantity","Entry Type","Purchase","Entry No.",I690,"Location Code",$L$7)</t>
  </si>
  <si>
    <t>=NL("Sum","Item Ledger Entry","Quantity","Entry Type","Sale","Entry No.",I690,"Location Code",$L$7)</t>
  </si>
  <si>
    <t>=NL("Sum","Item Ledger Entry","Quantity","Entry Type","Positive Adjmt.|Negative Adjmt.","Entry No.",I690,"Location Code",$L$7)</t>
  </si>
  <si>
    <t>=NL("Sum","Item Ledger Entry","Quantity","Entry Type","Transfer","Entry No.",I690,"Location Code",$L$7)</t>
  </si>
  <si>
    <t>=NL("Sum","Item Ledger Entry","Quantity","Entry Type","Consumption","Entry No.",I690,"Location Code",$L$7)</t>
  </si>
  <si>
    <t>=NL("Sum","Item Ledger Entry","Quantity","Entry Type","Output","Entry No.",I690,"Location Code",$L$7)</t>
  </si>
  <si>
    <t>=D693</t>
  </si>
  <si>
    <t>=NF($G694,"Posting Date")</t>
  </si>
  <si>
    <t>=NF($G694,"Entry No.")</t>
  </si>
  <si>
    <t>=NF(G694,"Source Type")</t>
  </si>
  <si>
    <t>=NF($G694,"Source No.")</t>
  </si>
  <si>
    <t>=IF($J694="Customer",NL("first",$J694,"Name","No.","@@"&amp;$K694),"")</t>
  </si>
  <si>
    <t>=IF(J694="vendor",NL("first",J694,"Name","No.","@@"&amp;K694),"")</t>
  </si>
  <si>
    <t>=IF($J694="Item",NL("first",$J694,"Description","No.","@@"&amp;$K694),"")</t>
  </si>
  <si>
    <t>="E100018"</t>
  </si>
  <si>
    <t>=D701</t>
  </si>
  <si>
    <t>=NF($G702,"Posting Date")</t>
  </si>
  <si>
    <t>=NF($G702,"Entry No.")</t>
  </si>
  <si>
    <t>=NF(G702,"Source Type")</t>
  </si>
  <si>
    <t>=NF($G702,"Source No.")</t>
  </si>
  <si>
    <t>=IF($J702="Customer",NL("first",$J702,"Name","No.","@@"&amp;$K702),"")</t>
  </si>
  <si>
    <t>=IF(J702="vendor",NL("first",J702,"Name","No.","@@"&amp;K702),"")</t>
  </si>
  <si>
    <t>=IF($J702="Item",NL("first",$J702,"Description","No.","@@"&amp;$K702),"")</t>
  </si>
  <si>
    <t>=NL("Sum","Item Ledger Entry","Quantity","Entry Type","Purchase","Entry No.",I702,"Location Code",$L$7)</t>
  </si>
  <si>
    <t>=NL("Sum","Item Ledger Entry","Quantity","Entry Type","Sale","Entry No.",I702,"Location Code",$L$7)</t>
  </si>
  <si>
    <t>=NL("Sum","Item Ledger Entry","Quantity","Entry Type","Positive Adjmt.|Negative Adjmt.","Entry No.",I702,"Location Code",$L$7)</t>
  </si>
  <si>
    <t>=NL("Sum","Item Ledger Entry","Quantity","Entry Type","Transfer","Entry No.",I702,"Location Code",$L$7)</t>
  </si>
  <si>
    <t>=NL("Sum","Item Ledger Entry","Quantity","Entry Type","Consumption","Entry No.",I702,"Location Code",$L$7)</t>
  </si>
  <si>
    <t>=NL("Sum","Item Ledger Entry","Quantity","Entry Type","Output","Entry No.",I702,"Location Code",$L$7)</t>
  </si>
  <si>
    <t>=D705</t>
  </si>
  <si>
    <t>=NF($G706,"Posting Date")</t>
  </si>
  <si>
    <t>=NF($G706,"Entry No.")</t>
  </si>
  <si>
    <t>=NF(G706,"Source Type")</t>
  </si>
  <si>
    <t>=NF($G706,"Source No.")</t>
  </si>
  <si>
    <t>=IF($J706="Customer",NL("first",$J706,"Name","No.","@@"&amp;$K706),"")</t>
  </si>
  <si>
    <t>=IF(J706="vendor",NL("first",J706,"Name","No.","@@"&amp;K706),"")</t>
  </si>
  <si>
    <t>=IF($J706="Item",NL("first",$J706,"Description","No.","@@"&amp;$K706),"")</t>
  </si>
  <si>
    <t>=NL("Sum","Item Ledger Entry","Quantity","Entry Type","Purchase","Entry No.",I706,"Location Code",$L$7)</t>
  </si>
  <si>
    <t>=NL("Sum","Item Ledger Entry","Quantity","Entry Type","Sale","Entry No.",I706,"Location Code",$L$7)</t>
  </si>
  <si>
    <t>=NL("Sum","Item Ledger Entry","Quantity","Entry Type","Positive Adjmt.|Negative Adjmt.","Entry No.",I706,"Location Code",$L$7)</t>
  </si>
  <si>
    <t>=NL("Sum","Item Ledger Entry","Quantity","Entry Type","Transfer","Entry No.",I706,"Location Code",$L$7)</t>
  </si>
  <si>
    <t>=NL("Sum","Item Ledger Entry","Quantity","Entry Type","Consumption","Entry No.",I706,"Location Code",$L$7)</t>
  </si>
  <si>
    <t>=NL("Sum","Item Ledger Entry","Quantity","Entry Type","Output","Entry No.",I706,"Location Code",$L$7)</t>
  </si>
  <si>
    <t>=D710</t>
  </si>
  <si>
    <t>=NF($G711,"Posting Date")</t>
  </si>
  <si>
    <t>=NF($G711,"Entry No.")</t>
  </si>
  <si>
    <t>=NF(G711,"Source Type")</t>
  </si>
  <si>
    <t>=NF($G711,"Source No.")</t>
  </si>
  <si>
    <t>=IF($J711="Customer",NL("first",$J711,"Name","No.","@@"&amp;$K711),"")</t>
  </si>
  <si>
    <t>=IF(J711="vendor",NL("first",J711,"Name","No.","@@"&amp;K711),"")</t>
  </si>
  <si>
    <t>=IF($J711="Item",NL("first",$J711,"Description","No.","@@"&amp;$K711),"")</t>
  </si>
  <si>
    <t>=NL("Sum","Item Ledger Entry","Quantity","Entry Type","Purchase","Entry No.",I711,"Location Code",$L$7)</t>
  </si>
  <si>
    <t>=NL("Sum","Item Ledger Entry","Quantity","Entry Type","Sale","Entry No.",I711,"Location Code",$L$7)</t>
  </si>
  <si>
    <t>=NL("Sum","Item Ledger Entry","Quantity","Entry Type","Positive Adjmt.|Negative Adjmt.","Entry No.",I711,"Location Code",$L$7)</t>
  </si>
  <si>
    <t>=NL("Sum","Item Ledger Entry","Quantity","Entry Type","Transfer","Entry No.",I711,"Location Code",$L$7)</t>
  </si>
  <si>
    <t>=NL("Sum","Item Ledger Entry","Quantity","Entry Type","Consumption","Entry No.",I711,"Location Code",$L$7)</t>
  </si>
  <si>
    <t>=NL("Sum","Item Ledger Entry","Quantity","Entry Type","Output","Entry No.",I711,"Location Code",$L$7)</t>
  </si>
  <si>
    <t>=D714</t>
  </si>
  <si>
    <t>=NF($G715,"Posting Date")</t>
  </si>
  <si>
    <t>=NF($G715,"Entry No.")</t>
  </si>
  <si>
    <t>=NF(G715,"Source Type")</t>
  </si>
  <si>
    <t>=NF($G715,"Source No.")</t>
  </si>
  <si>
    <t>=IF($J715="Customer",NL("first",$J715,"Name","No.","@@"&amp;$K715),"")</t>
  </si>
  <si>
    <t>=IF(J715="vendor",NL("first",J715,"Name","No.","@@"&amp;K715),"")</t>
  </si>
  <si>
    <t>=IF($J715="Item",NL("first",$J715,"Description","No.","@@"&amp;$K715),"")</t>
  </si>
  <si>
    <t>=NL("Sum","Item Ledger Entry","Quantity","Entry Type","Purchase","Entry No.",I715,"Location Code",$L$7)</t>
  </si>
  <si>
    <t>=NL("Sum","Item Ledger Entry","Quantity","Entry Type","Sale","Entry No.",I715,"Location Code",$L$7)</t>
  </si>
  <si>
    <t>=NL("Sum","Item Ledger Entry","Quantity","Entry Type","Positive Adjmt.|Negative Adjmt.","Entry No.",I715,"Location Code",$L$7)</t>
  </si>
  <si>
    <t>=NL("Sum","Item Ledger Entry","Quantity","Entry Type","Transfer","Entry No.",I715,"Location Code",$L$7)</t>
  </si>
  <si>
    <t>=NL("Sum","Item Ledger Entry","Quantity","Entry Type","Consumption","Entry No.",I715,"Location Code",$L$7)</t>
  </si>
  <si>
    <t>=NL("Sum","Item Ledger Entry","Quantity","Entry Type","Output","Entry No.",I715,"Location Code",$L$7)</t>
  </si>
  <si>
    <t>="E100019"</t>
  </si>
  <si>
    <t>=D722</t>
  </si>
  <si>
    <t>=NF($G723,"Posting Date")</t>
  </si>
  <si>
    <t>=NF($G723,"Entry No.")</t>
  </si>
  <si>
    <t>=NF(G723,"Source Type")</t>
  </si>
  <si>
    <t>=NF($G723,"Source No.")</t>
  </si>
  <si>
    <t>=IF($J723="Customer",NL("first",$J723,"Name","No.","@@"&amp;$K723),"")</t>
  </si>
  <si>
    <t>=IF(J723="vendor",NL("first",J723,"Name","No.","@@"&amp;K723),"")</t>
  </si>
  <si>
    <t>=IF($J723="Item",NL("first",$J723,"Description","No.","@@"&amp;$K723),"")</t>
  </si>
  <si>
    <t>=NL("Sum","Item Ledger Entry","Quantity","Entry Type","Purchase","Entry No.",I723,"Location Code",$L$7)</t>
  </si>
  <si>
    <t>=NL("Sum","Item Ledger Entry","Quantity","Entry Type","Sale","Entry No.",I723,"Location Code",$L$7)</t>
  </si>
  <si>
    <t>=NL("Sum","Item Ledger Entry","Quantity","Entry Type","Positive Adjmt.|Negative Adjmt.","Entry No.",I723,"Location Code",$L$7)</t>
  </si>
  <si>
    <t>=NL("Sum","Item Ledger Entry","Quantity","Entry Type","Transfer","Entry No.",I723,"Location Code",$L$7)</t>
  </si>
  <si>
    <t>=NL("Sum","Item Ledger Entry","Quantity","Entry Type","Consumption","Entry No.",I723,"Location Code",$L$7)</t>
  </si>
  <si>
    <t>=NL("Sum","Item Ledger Entry","Quantity","Entry Type","Output","Entry No.",I723,"Location Code",$L$7)</t>
  </si>
  <si>
    <t>="E100020"</t>
  </si>
  <si>
    <t>="E100021"</t>
  </si>
  <si>
    <t>="E100022"</t>
  </si>
  <si>
    <t>="E100023"</t>
  </si>
  <si>
    <t>="E100024"</t>
  </si>
  <si>
    <t>="E100025"</t>
  </si>
  <si>
    <t>="E100026"</t>
  </si>
  <si>
    <t>="E100027"</t>
  </si>
  <si>
    <t>="E100028"</t>
  </si>
  <si>
    <t>="E100029"</t>
  </si>
  <si>
    <t>="E100030"</t>
  </si>
  <si>
    <t>="E100031"</t>
  </si>
  <si>
    <t>="E100032"</t>
  </si>
  <si>
    <t>="E100033"</t>
  </si>
  <si>
    <t>="E100035"</t>
  </si>
  <si>
    <t>="E100038"</t>
  </si>
  <si>
    <t>="E100039"</t>
  </si>
  <si>
    <t>="E100040"</t>
  </si>
  <si>
    <t>="E100041"</t>
  </si>
  <si>
    <t>="E100042"</t>
  </si>
  <si>
    <t>="E100044"</t>
  </si>
  <si>
    <t>="E100045"</t>
  </si>
  <si>
    <t>="E100046"</t>
  </si>
  <si>
    <t>="E100047"</t>
  </si>
  <si>
    <t>="S100001"</t>
  </si>
  <si>
    <t>="S100002"</t>
  </si>
  <si>
    <t>="S100003"</t>
  </si>
  <si>
    <t>="S100004"</t>
  </si>
  <si>
    <t>="S100005"</t>
  </si>
  <si>
    <t>="S100006"</t>
  </si>
  <si>
    <t>="S100007"</t>
  </si>
  <si>
    <t>="S100008"</t>
  </si>
  <si>
    <t>="S100009"</t>
  </si>
  <si>
    <t>="S100010"</t>
  </si>
  <si>
    <t>="S100011"</t>
  </si>
  <si>
    <t>="S100012"</t>
  </si>
  <si>
    <t>="S100015"</t>
  </si>
  <si>
    <t>="S100016"</t>
  </si>
  <si>
    <t>="S100017"</t>
  </si>
  <si>
    <t>="S100019"</t>
  </si>
  <si>
    <t>="S100020"</t>
  </si>
  <si>
    <t>="S100021"</t>
  </si>
  <si>
    <t>="S100023"</t>
  </si>
  <si>
    <t>="S100024"</t>
  </si>
  <si>
    <t>="S100025"</t>
  </si>
  <si>
    <t>="S100026"</t>
  </si>
  <si>
    <t>=(SUBTOTAL(9,O17:O19))</t>
  </si>
  <si>
    <t>=(SUBTOTAL(9,P17:P19))</t>
  </si>
  <si>
    <t>=(SUBTOTAL(9,Q17:Q19))</t>
  </si>
  <si>
    <t>=(SUBTOTAL(9,R17:R19))</t>
  </si>
  <si>
    <t>=(SUBTOTAL(9,S17:S19))</t>
  </si>
  <si>
    <t>=(SUBTOTAL(9,T17:T19))</t>
  </si>
  <si>
    <t>=SUBTOTAL(9,O17:T19)</t>
  </si>
  <si>
    <t>=E21</t>
  </si>
  <si>
    <t>=NL("First","Item","Description","No.",$E21)</t>
  </si>
  <si>
    <t>=NL("First","Item","Base Unit of Measure","No.",$E21)</t>
  </si>
  <si>
    <t>=(SUBTOTAL(9,O22:O24))</t>
  </si>
  <si>
    <t>=(SUBTOTAL(9,P22:P24))</t>
  </si>
  <si>
    <t>=(SUBTOTAL(9,Q22:Q24))</t>
  </si>
  <si>
    <t>=(SUBTOTAL(9,R22:R24))</t>
  </si>
  <si>
    <t>=(SUBTOTAL(9,S22:S24))</t>
  </si>
  <si>
    <t>=(SUBTOTAL(9,T22:T24))</t>
  </si>
  <si>
    <t>=SUBTOTAL(9,O22:T24)</t>
  </si>
  <si>
    <t>=NL("Rows","Item Ledger Entry",,"+Posting Date",$L$5,"Item No.","@@"&amp;$D22,"Location Code","@@"&amp;$E$6)</t>
  </si>
  <si>
    <t>=(SUBTOTAL(9,O61:O63))</t>
  </si>
  <si>
    <t>=(SUBTOTAL(9,P61:P63))</t>
  </si>
  <si>
    <t>=(SUBTOTAL(9,Q61:Q63))</t>
  </si>
  <si>
    <t>=(SUBTOTAL(9,R61:R63))</t>
  </si>
  <si>
    <t>=(SUBTOTAL(9,S61:S63))</t>
  </si>
  <si>
    <t>=(SUBTOTAL(9,T61:T63))</t>
  </si>
  <si>
    <t>=SUBTOTAL(9,O61:T63)</t>
  </si>
  <si>
    <t>=E65</t>
  </si>
  <si>
    <t>=NL("First","Item","Description","No.",$E65)</t>
  </si>
  <si>
    <t>=NL("First","Item","Base Unit of Measure","No.",$E65)</t>
  </si>
  <si>
    <t>=NL("Rows","Item Ledger Entry",,"+Posting Date",$L$5,"Item No.","@@"&amp;$D66,"Location Code","@@"&amp;$E$6)</t>
  </si>
  <si>
    <t>=E120</t>
  </si>
  <si>
    <t>=NL("First","Item","Description","No.",$E120)</t>
  </si>
  <si>
    <t>=NL("First","Item","Base Unit of Measure","No.",$E120)</t>
  </si>
  <si>
    <t>=NL("Sum","Item Ledger Entry","Quantity","Entry Type","Purchase","Entry No.",I137,"Location Code","@@"&amp;$E$6)</t>
  </si>
  <si>
    <t>=NL("Sum","Item Ledger Entry","Quantity","Entry Type","Sale","Entry No.",I137,"Location Code","@@"&amp;$E$6)</t>
  </si>
  <si>
    <t>=NL("Sum","Item Ledger Entry","Quantity","Entry Type","Positive Adjmt.|Negative Adjmt.","Entry No.",I137,"Location Code","@@"&amp;$E$6)</t>
  </si>
  <si>
    <t>=NL("Sum","Item Ledger Entry","Quantity","Entry Type","Transfer","Entry No.",I137,"Location Code","@@"&amp;$E$6)</t>
  </si>
  <si>
    <t>=NL("Sum","Item Ledger Entry","Quantity","Entry Type","Consumption","Entry No.",I137,"Location Code","@@"&amp;$E$6)</t>
  </si>
  <si>
    <t>=NL("Sum","Item Ledger Entry","Quantity","Entry Type","Output","Entry No.",I137,"Location Code","@@"&amp;$E$6)</t>
  </si>
  <si>
    <t>=E140</t>
  </si>
  <si>
    <t>=NL("First","Item","Description","No.",$E140)</t>
  </si>
  <si>
    <t>=NL("First","Item","Base Unit of Measure","No.",$E140)</t>
  </si>
  <si>
    <t>=NL("Sum","Item Ledger Entry","Quantity","Entry Type","Purchase","Entry No.",I146,"Location Code","@@"&amp;$E$6)</t>
  </si>
  <si>
    <t>=NL("Sum","Item Ledger Entry","Quantity","Entry Type","Sale","Entry No.",I146,"Location Code","@@"&amp;$E$6)</t>
  </si>
  <si>
    <t>=NL("Sum","Item Ledger Entry","Quantity","Entry Type","Positive Adjmt.|Negative Adjmt.","Entry No.",I146,"Location Code","@@"&amp;$E$6)</t>
  </si>
  <si>
    <t>=NL("Sum","Item Ledger Entry","Quantity","Entry Type","Transfer","Entry No.",I146,"Location Code","@@"&amp;$E$6)</t>
  </si>
  <si>
    <t>=NL("Sum","Item Ledger Entry","Quantity","Entry Type","Consumption","Entry No.",I146,"Location Code","@@"&amp;$E$6)</t>
  </si>
  <si>
    <t>=NL("Sum","Item Ledger Entry","Quantity","Entry Type","Output","Entry No.",I146,"Location Code","@@"&amp;$E$6)</t>
  </si>
  <si>
    <t>=NL("Sum","Item Ledger Entry","Quantity","Entry Type","Purchase","Entry No.",I160,"Location Code","@@"&amp;$E$6)</t>
  </si>
  <si>
    <t>=NL("Sum","Item Ledger Entry","Quantity","Entry Type","Sale","Entry No.",I160,"Location Code","@@"&amp;$E$6)</t>
  </si>
  <si>
    <t>=NL("Sum","Item Ledger Entry","Quantity","Entry Type","Positive Adjmt.|Negative Adjmt.","Entry No.",I160,"Location Code","@@"&amp;$E$6)</t>
  </si>
  <si>
    <t>=NL("Sum","Item Ledger Entry","Quantity","Entry Type","Transfer","Entry No.",I160,"Location Code","@@"&amp;$E$6)</t>
  </si>
  <si>
    <t>=NL("Sum","Item Ledger Entry","Quantity","Entry Type","Consumption","Entry No.",I160,"Location Code","@@"&amp;$E$6)</t>
  </si>
  <si>
    <t>=NL("Sum","Item Ledger Entry","Quantity","Entry Type","Output","Entry No.",I160,"Location Code","@@"&amp;$E$6)</t>
  </si>
  <si>
    <t>=E201</t>
  </si>
  <si>
    <t>=NL("First","Item","Description","No.",$E201)</t>
  </si>
  <si>
    <t>=NL("First","Item","Base Unit of Measure","No.",$E201)</t>
  </si>
  <si>
    <t>=NL("Sum","Item Ledger Entry","Quantity","Entry Type","Purchase","Entry No.",I202,"Location Code","@@"&amp;$E$6)</t>
  </si>
  <si>
    <t>=NL("Sum","Item Ledger Entry","Quantity","Entry Type","Sale","Entry No.",I202,"Location Code","@@"&amp;$E$6)</t>
  </si>
  <si>
    <t>=NL("Sum","Item Ledger Entry","Quantity","Entry Type","Positive Adjmt.|Negative Adjmt.","Entry No.",I202,"Location Code","@@"&amp;$E$6)</t>
  </si>
  <si>
    <t>=NL("Sum","Item Ledger Entry","Quantity","Entry Type","Transfer","Entry No.",I202,"Location Code","@@"&amp;$E$6)</t>
  </si>
  <si>
    <t>=NL("Sum","Item Ledger Entry","Quantity","Entry Type","Consumption","Entry No.",I202,"Location Code","@@"&amp;$E$6)</t>
  </si>
  <si>
    <t>=NL("Sum","Item Ledger Entry","Quantity","Entry Type","Output","Entry No.",I202,"Location Code","@@"&amp;$E$6)</t>
  </si>
  <si>
    <t>=D232</t>
  </si>
  <si>
    <t>=NF($G233,"Posting Date")</t>
  </si>
  <si>
    <t>=NF($G233,"Entry No.")</t>
  </si>
  <si>
    <t>=NF(G233,"Source Type")</t>
  </si>
  <si>
    <t>=NF($G233,"Source No.")</t>
  </si>
  <si>
    <t>=IF($J233="Customer",NL("first",$J233,"Name","No.","@@"&amp;$K233),"")</t>
  </si>
  <si>
    <t>=IF(J233="vendor",NL("first",J233,"Name","No.","@@"&amp;K233),"")</t>
  </si>
  <si>
    <t>=IF($J233="Item",NL("first",$J233,"Description","No.","@@"&amp;$K233),"")</t>
  </si>
  <si>
    <t>=NL("Sum","Item Ledger Entry","Quantity","Entry Type","Purchase","Entry No.",I238,"Location Code","@@"&amp;$E$6)</t>
  </si>
  <si>
    <t>=NL("Sum","Item Ledger Entry","Quantity","Entry Type","Sale","Entry No.",I238,"Location Code","@@"&amp;$E$6)</t>
  </si>
  <si>
    <t>=NL("Sum","Item Ledger Entry","Quantity","Entry Type","Positive Adjmt.|Negative Adjmt.","Entry No.",I238,"Location Code","@@"&amp;$E$6)</t>
  </si>
  <si>
    <t>=NL("Sum","Item Ledger Entry","Quantity","Entry Type","Transfer","Entry No.",I238,"Location Code","@@"&amp;$E$6)</t>
  </si>
  <si>
    <t>=NL("Sum","Item Ledger Entry","Quantity","Entry Type","Consumption","Entry No.",I238,"Location Code","@@"&amp;$E$6)</t>
  </si>
  <si>
    <t>=NL("Sum","Item Ledger Entry","Quantity","Entry Type","Output","Entry No.",I238,"Location Code","@@"&amp;$E$6)</t>
  </si>
  <si>
    <t>=NL("Sum","Item Ledger Entry","Quantity","Entry Type","Purchase","Entry No.",I243,"Location Code","@@"&amp;$E$6)</t>
  </si>
  <si>
    <t>=NL("Sum","Item Ledger Entry","Quantity","Entry Type","Sale","Entry No.",I243,"Location Code","@@"&amp;$E$6)</t>
  </si>
  <si>
    <t>=NL("Sum","Item Ledger Entry","Quantity","Entry Type","Positive Adjmt.|Negative Adjmt.","Entry No.",I243,"Location Code","@@"&amp;$E$6)</t>
  </si>
  <si>
    <t>=NL("Sum","Item Ledger Entry","Quantity","Entry Type","Transfer","Entry No.",I243,"Location Code","@@"&amp;$E$6)</t>
  </si>
  <si>
    <t>=NL("Sum","Item Ledger Entry","Quantity","Entry Type","Consumption","Entry No.",I243,"Location Code","@@"&amp;$E$6)</t>
  </si>
  <si>
    <t>=NL("Sum","Item Ledger Entry","Quantity","Entry Type","Output","Entry No.",I243,"Location Code","@@"&amp;$E$6)</t>
  </si>
  <si>
    <t>=E255</t>
  </si>
  <si>
    <t>=NL("First","Item","Description","No.",$E255)</t>
  </si>
  <si>
    <t>=NL("First","Item","Base Unit of Measure","No.",$E255)</t>
  </si>
  <si>
    <t>=NL("Sum","Item Ledger Entry","Quantity","Entry Type","Purchase","Entry No.",I258,"Location Code","@@"&amp;$E$6)</t>
  </si>
  <si>
    <t>=NL("Sum","Item Ledger Entry","Quantity","Entry Type","Sale","Entry No.",I258,"Location Code","@@"&amp;$E$6)</t>
  </si>
  <si>
    <t>=NL("Sum","Item Ledger Entry","Quantity","Entry Type","Positive Adjmt.|Negative Adjmt.","Entry No.",I258,"Location Code","@@"&amp;$E$6)</t>
  </si>
  <si>
    <t>=NL("Sum","Item Ledger Entry","Quantity","Entry Type","Transfer","Entry No.",I258,"Location Code","@@"&amp;$E$6)</t>
  </si>
  <si>
    <t>=NL("Sum","Item Ledger Entry","Quantity","Entry Type","Consumption","Entry No.",I258,"Location Code","@@"&amp;$E$6)</t>
  </si>
  <si>
    <t>=NL("Sum","Item Ledger Entry","Quantity","Entry Type","Output","Entry No.",I258,"Location Code","@@"&amp;$E$6)</t>
  </si>
  <si>
    <t>=NL("Sum","Item Ledger Entry","Quantity","Entry Type","Purchase","Entry No.",I262,"Location Code","@@"&amp;$E$6)</t>
  </si>
  <si>
    <t>=NL("Sum","Item Ledger Entry","Quantity","Entry Type","Sale","Entry No.",I262,"Location Code","@@"&amp;$E$6)</t>
  </si>
  <si>
    <t>=NL("Sum","Item Ledger Entry","Quantity","Entry Type","Positive Adjmt.|Negative Adjmt.","Entry No.",I262,"Location Code","@@"&amp;$E$6)</t>
  </si>
  <si>
    <t>=NL("Sum","Item Ledger Entry","Quantity","Entry Type","Transfer","Entry No.",I262,"Location Code","@@"&amp;$E$6)</t>
  </si>
  <si>
    <t>=NL("Sum","Item Ledger Entry","Quantity","Entry Type","Consumption","Entry No.",I262,"Location Code","@@"&amp;$E$6)</t>
  </si>
  <si>
    <t>=NL("Sum","Item Ledger Entry","Quantity","Entry Type","Output","Entry No.",I262,"Location Code","@@"&amp;$E$6)</t>
  </si>
  <si>
    <t>=E265</t>
  </si>
  <si>
    <t>=NL("First","Item","Description","No.",$E265)</t>
  </si>
  <si>
    <t>=NL("First","Item","Base Unit of Measure","No.",$E265)</t>
  </si>
  <si>
    <t>=NL("Sum","Item Ledger Entry","Quantity","Entry Type","Purchase","Entry No.",I271,"Location Code","@@"&amp;$E$6)</t>
  </si>
  <si>
    <t>=NL("Sum","Item Ledger Entry","Quantity","Entry Type","Sale","Entry No.",I271,"Location Code","@@"&amp;$E$6)</t>
  </si>
  <si>
    <t>=NL("Sum","Item Ledger Entry","Quantity","Entry Type","Positive Adjmt.|Negative Adjmt.","Entry No.",I271,"Location Code","@@"&amp;$E$6)</t>
  </si>
  <si>
    <t>=NL("Sum","Item Ledger Entry","Quantity","Entry Type","Transfer","Entry No.",I271,"Location Code","@@"&amp;$E$6)</t>
  </si>
  <si>
    <t>=NL("Sum","Item Ledger Entry","Quantity","Entry Type","Consumption","Entry No.",I271,"Location Code","@@"&amp;$E$6)</t>
  </si>
  <si>
    <t>=NL("Sum","Item Ledger Entry","Quantity","Entry Type","Output","Entry No.",I271,"Location Code","@@"&amp;$E$6)</t>
  </si>
  <si>
    <t>=NL("Sum","Item Ledger Entry","Quantity","Entry Type","Purchase","Entry No.",I272,"Location Code","@@"&amp;$E$6)</t>
  </si>
  <si>
    <t>=NL("Sum","Item Ledger Entry","Quantity","Entry Type","Sale","Entry No.",I272,"Location Code","@@"&amp;$E$6)</t>
  </si>
  <si>
    <t>=NL("Sum","Item Ledger Entry","Quantity","Entry Type","Positive Adjmt.|Negative Adjmt.","Entry No.",I272,"Location Code","@@"&amp;$E$6)</t>
  </si>
  <si>
    <t>=NL("Sum","Item Ledger Entry","Quantity","Entry Type","Transfer","Entry No.",I272,"Location Code","@@"&amp;$E$6)</t>
  </si>
  <si>
    <t>=NL("Sum","Item Ledger Entry","Quantity","Entry Type","Consumption","Entry No.",I272,"Location Code","@@"&amp;$E$6)</t>
  </si>
  <si>
    <t>=NL("Sum","Item Ledger Entry","Quantity","Entry Type","Output","Entry No.",I272,"Location Code","@@"&amp;$E$6)</t>
  </si>
  <si>
    <t>=E275</t>
  </si>
  <si>
    <t>=NL("First","Item","Description","No.",$E275)</t>
  </si>
  <si>
    <t>=NL("First","Item","Base Unit of Measure","No.",$E275)</t>
  </si>
  <si>
    <t>=NL("Rows","Item Ledger Entry",,"+Posting Date",$L$5,"Item No.","@@"&amp;$D276,"Location Code","@@"&amp;$E$6)</t>
  </si>
  <si>
    <t>=NL("Sum","Item Ledger Entry","Quantity","Entry Type","Purchase","Entry No.",I276,"Location Code","@@"&amp;$E$6)</t>
  </si>
  <si>
    <t>=NL("Sum","Item Ledger Entry","Quantity","Entry Type","Sale","Entry No.",I276,"Location Code","@@"&amp;$E$6)</t>
  </si>
  <si>
    <t>=NL("Sum","Item Ledger Entry","Quantity","Entry Type","Positive Adjmt.|Negative Adjmt.","Entry No.",I276,"Location Code","@@"&amp;$E$6)</t>
  </si>
  <si>
    <t>=NL("Sum","Item Ledger Entry","Quantity","Entry Type","Transfer","Entry No.",I276,"Location Code","@@"&amp;$E$6)</t>
  </si>
  <si>
    <t>=NL("Sum","Item Ledger Entry","Quantity","Entry Type","Consumption","Entry No.",I276,"Location Code","@@"&amp;$E$6)</t>
  </si>
  <si>
    <t>=NL("Sum","Item Ledger Entry","Quantity","Entry Type","Output","Entry No.",I276,"Location Code","@@"&amp;$E$6)</t>
  </si>
  <si>
    <t>=E291</t>
  </si>
  <si>
    <t>=NL("First","Item","Description","No.",$E291)</t>
  </si>
  <si>
    <t>=NL("First","Item","Base Unit of Measure","No.",$E291)</t>
  </si>
  <si>
    <t>=NL("Sum","Item Ledger Entry","Quantity","Entry Type","Purchase","Entry No.",I292,"Location Code","@@"&amp;$E$6)</t>
  </si>
  <si>
    <t>=NL("Sum","Item Ledger Entry","Quantity","Entry Type","Sale","Entry No.",I292,"Location Code","@@"&amp;$E$6)</t>
  </si>
  <si>
    <t>=NL("Sum","Item Ledger Entry","Quantity","Entry Type","Positive Adjmt.|Negative Adjmt.","Entry No.",I292,"Location Code","@@"&amp;$E$6)</t>
  </si>
  <si>
    <t>=NL("Sum","Item Ledger Entry","Quantity","Entry Type","Transfer","Entry No.",I292,"Location Code","@@"&amp;$E$6)</t>
  </si>
  <si>
    <t>=NL("Sum","Item Ledger Entry","Quantity","Entry Type","Consumption","Entry No.",I292,"Location Code","@@"&amp;$E$6)</t>
  </si>
  <si>
    <t>=NL("Sum","Item Ledger Entry","Quantity","Entry Type","Output","Entry No.",I292,"Location Code","@@"&amp;$E$6)</t>
  </si>
  <si>
    <t>=NL("Sum","Item Ledger Entry","Quantity","Entry Type","Purchase","Entry No.",I296,"Location Code","@@"&amp;$E$6)</t>
  </si>
  <si>
    <t>=NL("Sum","Item Ledger Entry","Quantity","Entry Type","Sale","Entry No.",I296,"Location Code","@@"&amp;$E$6)</t>
  </si>
  <si>
    <t>=NL("Sum","Item Ledger Entry","Quantity","Entry Type","Positive Adjmt.|Negative Adjmt.","Entry No.",I296,"Location Code","@@"&amp;$E$6)</t>
  </si>
  <si>
    <t>=NL("Sum","Item Ledger Entry","Quantity","Entry Type","Transfer","Entry No.",I296,"Location Code","@@"&amp;$E$6)</t>
  </si>
  <si>
    <t>=NL("Sum","Item Ledger Entry","Quantity","Entry Type","Consumption","Entry No.",I296,"Location Code","@@"&amp;$E$6)</t>
  </si>
  <si>
    <t>=NL("Sum","Item Ledger Entry","Quantity","Entry Type","Output","Entry No.",I296,"Location Code","@@"&amp;$E$6)</t>
  </si>
  <si>
    <t>=NL("Sum","Item Ledger Entry","Quantity","Entry Type","Purchase","Entry No.",I300,"Location Code","@@"&amp;$E$6)</t>
  </si>
  <si>
    <t>=NL("Sum","Item Ledger Entry","Quantity","Entry Type","Sale","Entry No.",I300,"Location Code","@@"&amp;$E$6)</t>
  </si>
  <si>
    <t>=NL("Sum","Item Ledger Entry","Quantity","Entry Type","Positive Adjmt.|Negative Adjmt.","Entry No.",I300,"Location Code","@@"&amp;$E$6)</t>
  </si>
  <si>
    <t>=NL("Sum","Item Ledger Entry","Quantity","Entry Type","Transfer","Entry No.",I300,"Location Code","@@"&amp;$E$6)</t>
  </si>
  <si>
    <t>=NL("Sum","Item Ledger Entry","Quantity","Entry Type","Consumption","Entry No.",I300,"Location Code","@@"&amp;$E$6)</t>
  </si>
  <si>
    <t>=NL("Sum","Item Ledger Entry","Quantity","Entry Type","Output","Entry No.",I300,"Location Code","@@"&amp;$E$6)</t>
  </si>
  <si>
    <t>=E303</t>
  </si>
  <si>
    <t>=NL("First","Item","Description","No.",$E303)</t>
  </si>
  <si>
    <t>=NL("First","Item","Base Unit of Measure","No.",$E303)</t>
  </si>
  <si>
    <t>=NL("Rows","Item Ledger Entry",,"+Posting Date",$L$5,"Item No.","@@"&amp;$D304,"Location Code","@@"&amp;$E$6)</t>
  </si>
  <si>
    <t>=NL("Sum","Item Ledger Entry","Quantity","Entry Type","Purchase","Entry No.",I304,"Location Code","@@"&amp;$E$6)</t>
  </si>
  <si>
    <t>=NL("Sum","Item Ledger Entry","Quantity","Entry Type","Sale","Entry No.",I304,"Location Code","@@"&amp;$E$6)</t>
  </si>
  <si>
    <t>=NL("Sum","Item Ledger Entry","Quantity","Entry Type","Positive Adjmt.|Negative Adjmt.","Entry No.",I304,"Location Code","@@"&amp;$E$6)</t>
  </si>
  <si>
    <t>=NL("Sum","Item Ledger Entry","Quantity","Entry Type","Transfer","Entry No.",I304,"Location Code","@@"&amp;$E$6)</t>
  </si>
  <si>
    <t>=NL("Sum","Item Ledger Entry","Quantity","Entry Type","Consumption","Entry No.",I304,"Location Code","@@"&amp;$E$6)</t>
  </si>
  <si>
    <t>=NL("Sum","Item Ledger Entry","Quantity","Entry Type","Output","Entry No.",I304,"Location Code","@@"&amp;$E$6)</t>
  </si>
  <si>
    <t>=NL("Sum","Item Ledger Entry","Quantity","Entry Type","Purchase","Entry No.",I305,"Location Code","@@"&amp;$E$6)</t>
  </si>
  <si>
    <t>=NL("Sum","Item Ledger Entry","Quantity","Entry Type","Sale","Entry No.",I305,"Location Code","@@"&amp;$E$6)</t>
  </si>
  <si>
    <t>=NL("Sum","Item Ledger Entry","Quantity","Entry Type","Positive Adjmt.|Negative Adjmt.","Entry No.",I305,"Location Code","@@"&amp;$E$6)</t>
  </si>
  <si>
    <t>=NL("Sum","Item Ledger Entry","Quantity","Entry Type","Transfer","Entry No.",I305,"Location Code","@@"&amp;$E$6)</t>
  </si>
  <si>
    <t>=NL("Sum","Item Ledger Entry","Quantity","Entry Type","Consumption","Entry No.",I305,"Location Code","@@"&amp;$E$6)</t>
  </si>
  <si>
    <t>=NL("Sum","Item Ledger Entry","Quantity","Entry Type","Output","Entry No.",I305,"Location Code","@@"&amp;$E$6)</t>
  </si>
  <si>
    <t>=E308</t>
  </si>
  <si>
    <t>=NL("First","Item","Description","No.",$E308)</t>
  </si>
  <si>
    <t>=NL("First","Item","Base Unit of Measure","No.",$E308)</t>
  </si>
  <si>
    <t>=(SUBTOTAL(9,O309:O310))</t>
  </si>
  <si>
    <t>=(SUBTOTAL(9,P309:P310))</t>
  </si>
  <si>
    <t>=(SUBTOTAL(9,Q309:Q310))</t>
  </si>
  <si>
    <t>=(SUBTOTAL(9,R309:R310))</t>
  </si>
  <si>
    <t>=(SUBTOTAL(9,S309:S310))</t>
  </si>
  <si>
    <t>=(SUBTOTAL(9,T309:T310))</t>
  </si>
  <si>
    <t>=SUBTOTAL(9,O309:T310)</t>
  </si>
  <si>
    <t>=NL("Rows","Item Ledger Entry",,"+Posting Date",$L$5,"Item No.","@@"&amp;$D309,"Location Code","@@"&amp;$E$6)</t>
  </si>
  <si>
    <t>=NL("Sum","Item Ledger Entry","Quantity","Entry Type","Purchase","Entry No.",I309,"Location Code","@@"&amp;$E$6)</t>
  </si>
  <si>
    <t>=NL("Sum","Item Ledger Entry","Quantity","Entry Type","Sale","Entry No.",I309,"Location Code","@@"&amp;$E$6)</t>
  </si>
  <si>
    <t>=NL("Sum","Item Ledger Entry","Quantity","Entry Type","Positive Adjmt.|Negative Adjmt.","Entry No.",I309,"Location Code","@@"&amp;$E$6)</t>
  </si>
  <si>
    <t>=NL("Sum","Item Ledger Entry","Quantity","Entry Type","Transfer","Entry No.",I309,"Location Code","@@"&amp;$E$6)</t>
  </si>
  <si>
    <t>=NL("Sum","Item Ledger Entry","Quantity","Entry Type","Consumption","Entry No.",I309,"Location Code","@@"&amp;$E$6)</t>
  </si>
  <si>
    <t>=NL("Sum","Item Ledger Entry","Quantity","Entry Type","Output","Entry No.",I309,"Location Code","@@"&amp;$E$6)</t>
  </si>
  <si>
    <t>=E312</t>
  </si>
  <si>
    <t>=NL("First","Item","Description","No.",$E312)</t>
  </si>
  <si>
    <t>=NL("First","Item","Base Unit of Measure","No.",$E312)</t>
  </si>
  <si>
    <t>=NL("Rows","Item Ledger Entry",,"+Posting Date",$L$5,"Item No.","@@"&amp;$D313,"Location Code","@@"&amp;$E$6)</t>
  </si>
  <si>
    <t>=NL("Sum","Item Ledger Entry","Quantity","Entry Type","Purchase","Entry No.",I313,"Location Code","@@"&amp;$E$6)</t>
  </si>
  <si>
    <t>=NL("Sum","Item Ledger Entry","Quantity","Entry Type","Sale","Entry No.",I313,"Location Code","@@"&amp;$E$6)</t>
  </si>
  <si>
    <t>=NL("Sum","Item Ledger Entry","Quantity","Entry Type","Positive Adjmt.|Negative Adjmt.","Entry No.",I313,"Location Code","@@"&amp;$E$6)</t>
  </si>
  <si>
    <t>=NL("Sum","Item Ledger Entry","Quantity","Entry Type","Transfer","Entry No.",I313,"Location Code","@@"&amp;$E$6)</t>
  </si>
  <si>
    <t>=NL("Sum","Item Ledger Entry","Quantity","Entry Type","Consumption","Entry No.",I313,"Location Code","@@"&amp;$E$6)</t>
  </si>
  <si>
    <t>=NL("Sum","Item Ledger Entry","Quantity","Entry Type","Output","Entry No.",I313,"Location Code","@@"&amp;$E$6)</t>
  </si>
  <si>
    <t>=NL("Sum","Item Ledger Entry","Quantity","Entry Type","Purchase","Entry No.",I314,"Location Code","@@"&amp;$E$6)</t>
  </si>
  <si>
    <t>=NL("Sum","Item Ledger Entry","Quantity","Entry Type","Sale","Entry No.",I314,"Location Code","@@"&amp;$E$6)</t>
  </si>
  <si>
    <t>=NL("Sum","Item Ledger Entry","Quantity","Entry Type","Positive Adjmt.|Negative Adjmt.","Entry No.",I314,"Location Code","@@"&amp;$E$6)</t>
  </si>
  <si>
    <t>=NL("Sum","Item Ledger Entry","Quantity","Entry Type","Transfer","Entry No.",I314,"Location Code","@@"&amp;$E$6)</t>
  </si>
  <si>
    <t>=NL("Sum","Item Ledger Entry","Quantity","Entry Type","Consumption","Entry No.",I314,"Location Code","@@"&amp;$E$6)</t>
  </si>
  <si>
    <t>=NL("Sum","Item Ledger Entry","Quantity","Entry Type","Output","Entry No.",I314,"Location Code","@@"&amp;$E$6)</t>
  </si>
  <si>
    <t>=NL("Sum","Item Ledger Entry","Quantity","Entry Type","Purchase","Entry No.",I322,"Location Code","@@"&amp;$E$6)</t>
  </si>
  <si>
    <t>=NL("Sum","Item Ledger Entry","Quantity","Entry Type","Sale","Entry No.",I322,"Location Code","@@"&amp;$E$6)</t>
  </si>
  <si>
    <t>=NL("Sum","Item Ledger Entry","Quantity","Entry Type","Positive Adjmt.|Negative Adjmt.","Entry No.",I322,"Location Code","@@"&amp;$E$6)</t>
  </si>
  <si>
    <t>=NL("Sum","Item Ledger Entry","Quantity","Entry Type","Transfer","Entry No.",I322,"Location Code","@@"&amp;$E$6)</t>
  </si>
  <si>
    <t>=NL("Sum","Item Ledger Entry","Quantity","Entry Type","Consumption","Entry No.",I322,"Location Code","@@"&amp;$E$6)</t>
  </si>
  <si>
    <t>=NL("Sum","Item Ledger Entry","Quantity","Entry Type","Output","Entry No.",I322,"Location Code","@@"&amp;$E$6)</t>
  </si>
  <si>
    <t>=E335</t>
  </si>
  <si>
    <t>=NL("First","Item","Description","No.",$E335)</t>
  </si>
  <si>
    <t>=NL("First","Item","Base Unit of Measure","No.",$E335)</t>
  </si>
  <si>
    <t>=NL("Sum","Item Ledger Entry","Quantity","Entry Type","Purchase","Entry No.",I336,"Location Code","@@"&amp;$E$6)</t>
  </si>
  <si>
    <t>=NL("Sum","Item Ledger Entry","Quantity","Entry Type","Sale","Entry No.",I336,"Location Code","@@"&amp;$E$6)</t>
  </si>
  <si>
    <t>=NL("Sum","Item Ledger Entry","Quantity","Entry Type","Positive Adjmt.|Negative Adjmt.","Entry No.",I336,"Location Code","@@"&amp;$E$6)</t>
  </si>
  <si>
    <t>=NL("Sum","Item Ledger Entry","Quantity","Entry Type","Transfer","Entry No.",I336,"Location Code","@@"&amp;$E$6)</t>
  </si>
  <si>
    <t>=NL("Sum","Item Ledger Entry","Quantity","Entry Type","Consumption","Entry No.",I336,"Location Code","@@"&amp;$E$6)</t>
  </si>
  <si>
    <t>=NL("Sum","Item Ledger Entry","Quantity","Entry Type","Output","Entry No.",I336,"Location Code","@@"&amp;$E$6)</t>
  </si>
  <si>
    <t>=NL("Sum","Item Ledger Entry","Quantity","Entry Type","Purchase","Entry No.",I345,"Location Code","@@"&amp;$E$6)</t>
  </si>
  <si>
    <t>=NL("Sum","Item Ledger Entry","Quantity","Entry Type","Sale","Entry No.",I345,"Location Code","@@"&amp;$E$6)</t>
  </si>
  <si>
    <t>=NL("Sum","Item Ledger Entry","Quantity","Entry Type","Positive Adjmt.|Negative Adjmt.","Entry No.",I345,"Location Code","@@"&amp;$E$6)</t>
  </si>
  <si>
    <t>=NL("Sum","Item Ledger Entry","Quantity","Entry Type","Transfer","Entry No.",I345,"Location Code","@@"&amp;$E$6)</t>
  </si>
  <si>
    <t>=NL("Sum","Item Ledger Entry","Quantity","Entry Type","Consumption","Entry No.",I345,"Location Code","@@"&amp;$E$6)</t>
  </si>
  <si>
    <t>=NL("Sum","Item Ledger Entry","Quantity","Entry Type","Output","Entry No.",I345,"Location Code","@@"&amp;$E$6)</t>
  </si>
  <si>
    <t>=NL("Sum","Item Ledger Entry","Quantity","Entry Type","Purchase","Entry No.",I351,"Location Code","@@"&amp;$E$6)</t>
  </si>
  <si>
    <t>=NL("Sum","Item Ledger Entry","Quantity","Entry Type","Sale","Entry No.",I351,"Location Code","@@"&amp;$E$6)</t>
  </si>
  <si>
    <t>=NL("Sum","Item Ledger Entry","Quantity","Entry Type","Positive Adjmt.|Negative Adjmt.","Entry No.",I351,"Location Code","@@"&amp;$E$6)</t>
  </si>
  <si>
    <t>=NL("Sum","Item Ledger Entry","Quantity","Entry Type","Transfer","Entry No.",I351,"Location Code","@@"&amp;$E$6)</t>
  </si>
  <si>
    <t>=NL("Sum","Item Ledger Entry","Quantity","Entry Type","Consumption","Entry No.",I351,"Location Code","@@"&amp;$E$6)</t>
  </si>
  <si>
    <t>=NL("Sum","Item Ledger Entry","Quantity","Entry Type","Output","Entry No.",I351,"Location Code","@@"&amp;$E$6)</t>
  </si>
  <si>
    <t>=D359</t>
  </si>
  <si>
    <t>=NF($G360,"Posting Date")</t>
  </si>
  <si>
    <t>=NF($G360,"Entry No.")</t>
  </si>
  <si>
    <t>=NF(G360,"Source Type")</t>
  </si>
  <si>
    <t>=NF($G360,"Source No.")</t>
  </si>
  <si>
    <t>=IF($J360="Customer",NL("first",$J360,"Name","No.","@@"&amp;$K360),"")</t>
  </si>
  <si>
    <t>=IF(J360="vendor",NL("first",J360,"Name","No.","@@"&amp;K360),"")</t>
  </si>
  <si>
    <t>=IF($J360="Item",NL("first",$J360,"Description","No.","@@"&amp;$K360),"")</t>
  </si>
  <si>
    <t>=NL("Sum","Item Ledger Entry","Quantity","Entry Type","Purchase","Entry No.",I360,"Location Code","@@"&amp;$E$6)</t>
  </si>
  <si>
    <t>=NL("Sum","Item Ledger Entry","Quantity","Entry Type","Sale","Entry No.",I360,"Location Code","@@"&amp;$E$6)</t>
  </si>
  <si>
    <t>=NL("Sum","Item Ledger Entry","Quantity","Entry Type","Positive Adjmt.|Negative Adjmt.","Entry No.",I360,"Location Code","@@"&amp;$E$6)</t>
  </si>
  <si>
    <t>=NL("Sum","Item Ledger Entry","Quantity","Entry Type","Transfer","Entry No.",I360,"Location Code","@@"&amp;$E$6)</t>
  </si>
  <si>
    <t>=NL("Sum","Item Ledger Entry","Quantity","Entry Type","Consumption","Entry No.",I360,"Location Code","@@"&amp;$E$6)</t>
  </si>
  <si>
    <t>=NL("Sum","Item Ledger Entry","Quantity","Entry Type","Output","Entry No.",I360,"Location Code","@@"&amp;$E$6)</t>
  </si>
  <si>
    <t>=NL("Sum","Item Ledger Entry","Quantity","Entry Type","Purchase","Entry No.",I365,"Location Code","@@"&amp;$E$6)</t>
  </si>
  <si>
    <t>=NL("Sum","Item Ledger Entry","Quantity","Entry Type","Sale","Entry No.",I365,"Location Code","@@"&amp;$E$6)</t>
  </si>
  <si>
    <t>=NL("Sum","Item Ledger Entry","Quantity","Entry Type","Positive Adjmt.|Negative Adjmt.","Entry No.",I365,"Location Code","@@"&amp;$E$6)</t>
  </si>
  <si>
    <t>=NL("Sum","Item Ledger Entry","Quantity","Entry Type","Transfer","Entry No.",I365,"Location Code","@@"&amp;$E$6)</t>
  </si>
  <si>
    <t>=NL("Sum","Item Ledger Entry","Quantity","Entry Type","Consumption","Entry No.",I365,"Location Code","@@"&amp;$E$6)</t>
  </si>
  <si>
    <t>=NL("Sum","Item Ledger Entry","Quantity","Entry Type","Output","Entry No.",I365,"Location Code","@@"&amp;$E$6)</t>
  </si>
  <si>
    <t>=NL("Sum","Item Ledger Entry","Quantity","Entry Type","Purchase","Entry No.",I393,"Location Code","@@"&amp;$E$6)</t>
  </si>
  <si>
    <t>=NL("Sum","Item Ledger Entry","Quantity","Entry Type","Sale","Entry No.",I393,"Location Code","@@"&amp;$E$6)</t>
  </si>
  <si>
    <t>=NL("Sum","Item Ledger Entry","Quantity","Entry Type","Positive Adjmt.|Negative Adjmt.","Entry No.",I393,"Location Code","@@"&amp;$E$6)</t>
  </si>
  <si>
    <t>=NL("Sum","Item Ledger Entry","Quantity","Entry Type","Transfer","Entry No.",I393,"Location Code","@@"&amp;$E$6)</t>
  </si>
  <si>
    <t>=NL("Sum","Item Ledger Entry","Quantity","Entry Type","Consumption","Entry No.",I393,"Location Code","@@"&amp;$E$6)</t>
  </si>
  <si>
    <t>=NL("Sum","Item Ledger Entry","Quantity","Entry Type","Output","Entry No.",I393,"Location Code","@@"&amp;$E$6)</t>
  </si>
  <si>
    <t>=E397</t>
  </si>
  <si>
    <t>=NL("First","Item","Description","No.",$E397)</t>
  </si>
  <si>
    <t>=NL("First","Item","Base Unit of Measure","No.",$E397)</t>
  </si>
  <si>
    <t>=NL("Sum","Item Ledger Entry","Quantity","Entry Type","Purchase","Entry No.",I398,"Location Code","@@"&amp;$E$6)</t>
  </si>
  <si>
    <t>=NL("Sum","Item Ledger Entry","Quantity","Entry Type","Sale","Entry No.",I398,"Location Code","@@"&amp;$E$6)</t>
  </si>
  <si>
    <t>=NL("Sum","Item Ledger Entry","Quantity","Entry Type","Positive Adjmt.|Negative Adjmt.","Entry No.",I398,"Location Code","@@"&amp;$E$6)</t>
  </si>
  <si>
    <t>=NL("Sum","Item Ledger Entry","Quantity","Entry Type","Transfer","Entry No.",I398,"Location Code","@@"&amp;$E$6)</t>
  </si>
  <si>
    <t>=NL("Sum","Item Ledger Entry","Quantity","Entry Type","Consumption","Entry No.",I398,"Location Code","@@"&amp;$E$6)</t>
  </si>
  <si>
    <t>=NL("Sum","Item Ledger Entry","Quantity","Entry Type","Output","Entry No.",I398,"Location Code","@@"&amp;$E$6)</t>
  </si>
  <si>
    <t>=E401</t>
  </si>
  <si>
    <t>=NL("First","Item","Description","No.",$E401)</t>
  </si>
  <si>
    <t>=NL("First","Item","Base Unit of Measure","No.",$E401)</t>
  </si>
  <si>
    <t>=NL("Rows","Item Ledger Entry",,"+Posting Date",$L$5,"Item No.","@@"&amp;$D402,"Location Code","@@"&amp;$E$6)</t>
  </si>
  <si>
    <t>=NL("Sum","Item Ledger Entry","Quantity","Entry Type","Purchase","Entry No.",I402,"Location Code","@@"&amp;$E$6)</t>
  </si>
  <si>
    <t>=NL("Sum","Item Ledger Entry","Quantity","Entry Type","Sale","Entry No.",I402,"Location Code","@@"&amp;$E$6)</t>
  </si>
  <si>
    <t>=NL("Sum","Item Ledger Entry","Quantity","Entry Type","Positive Adjmt.|Negative Adjmt.","Entry No.",I402,"Location Code","@@"&amp;$E$6)</t>
  </si>
  <si>
    <t>=NL("Sum","Item Ledger Entry","Quantity","Entry Type","Transfer","Entry No.",I402,"Location Code","@@"&amp;$E$6)</t>
  </si>
  <si>
    <t>=NL("Sum","Item Ledger Entry","Quantity","Entry Type","Consumption","Entry No.",I402,"Location Code","@@"&amp;$E$6)</t>
  </si>
  <si>
    <t>=NL("Sum","Item Ledger Entry","Quantity","Entry Type","Output","Entry No.",I402,"Location Code","@@"&amp;$E$6)</t>
  </si>
  <si>
    <t>=E94</t>
  </si>
  <si>
    <t>=NL("First","Item","Description","No.",$E94)</t>
  </si>
  <si>
    <t>=NL("First","Item","Base Unit of Measure","No.",$E94)</t>
  </si>
  <si>
    <t>=D94</t>
  </si>
  <si>
    <t>=NL("Rows","Item Ledger Entry",,"+Posting Date",$L$5,"Item No.","@@"&amp;$D95,"Location Code","@@"&amp;$E$6)</t>
  </si>
  <si>
    <t>=NF($G95,"Posting Date")</t>
  </si>
  <si>
    <t>=NF($G95,"Entry No.")</t>
  </si>
  <si>
    <t>=NF(G95,"Source Type")</t>
  </si>
  <si>
    <t>=NF($G95,"Source No.")</t>
  </si>
  <si>
    <t>=IF($J95="Customer",NL("first",$J95,"Name","No.","@@"&amp;$K95),"")</t>
  </si>
  <si>
    <t>=IF(J95="vendor",NL("first",J95,"Name","No.","@@"&amp;K95),"")</t>
  </si>
  <si>
    <t>=IF($J95="Item",NL("first",$J95,"Description","No.","@@"&amp;$K95),"")</t>
  </si>
  <si>
    <t>=NL("Sum","Item Ledger Entry","Quantity","Entry Type","Purchase","Entry No.",I95,"Location Code","@@"&amp;$E$6)</t>
  </si>
  <si>
    <t>=NL("Sum","Item Ledger Entry","Quantity","Entry Type","Sale","Entry No.",I95,"Location Code","@@"&amp;$E$6)</t>
  </si>
  <si>
    <t>=NL("Sum","Item Ledger Entry","Quantity","Entry Type","Positive Adjmt.|Negative Adjmt.","Entry No.",I95,"Location Code","@@"&amp;$E$6)</t>
  </si>
  <si>
    <t>=NL("Sum","Item Ledger Entry","Quantity","Entry Type","Transfer","Entry No.",I95,"Location Code","@@"&amp;$E$6)</t>
  </si>
  <si>
    <t>=NL("Sum","Item Ledger Entry","Quantity","Entry Type","Consumption","Entry No.",I95,"Location Code","@@"&amp;$E$6)</t>
  </si>
  <si>
    <t>=NL("Sum","Item Ledger Entry","Quantity","Entry Type","Output","Entry No.",I95,"Location Code","@@"&amp;$E$6)</t>
  </si>
  <si>
    <t>=NL("Sum","Item Ledger Entry","Quantity","Entry Type","Purchase","Entry No.",I145,"Location Code","@@"&amp;$E$6)</t>
  </si>
  <si>
    <t>=NL("Sum","Item Ledger Entry","Quantity","Entry Type","Sale","Entry No.",I145,"Location Code","@@"&amp;$E$6)</t>
  </si>
  <si>
    <t>=NL("Sum","Item Ledger Entry","Quantity","Entry Type","Positive Adjmt.|Negative Adjmt.","Entry No.",I145,"Location Code","@@"&amp;$E$6)</t>
  </si>
  <si>
    <t>=NL("Sum","Item Ledger Entry","Quantity","Entry Type","Transfer","Entry No.",I145,"Location Code","@@"&amp;$E$6)</t>
  </si>
  <si>
    <t>=NL("Sum","Item Ledger Entry","Quantity","Entry Type","Consumption","Entry No.",I145,"Location Code","@@"&amp;$E$6)</t>
  </si>
  <si>
    <t>=NL("Sum","Item Ledger Entry","Quantity","Entry Type","Output","Entry No.",I145,"Location Code","@@"&amp;$E$6)</t>
  </si>
  <si>
    <t>=NL("Sum","Item Ledger Entry","Quantity","Entry Type","Purchase","Entry No.",I171,"Location Code","@@"&amp;$E$6)</t>
  </si>
  <si>
    <t>=NL("Sum","Item Ledger Entry","Quantity","Entry Type","Sale","Entry No.",I171,"Location Code","@@"&amp;$E$6)</t>
  </si>
  <si>
    <t>=NL("Sum","Item Ledger Entry","Quantity","Entry Type","Positive Adjmt.|Negative Adjmt.","Entry No.",I171,"Location Code","@@"&amp;$E$6)</t>
  </si>
  <si>
    <t>=NL("Sum","Item Ledger Entry","Quantity","Entry Type","Transfer","Entry No.",I171,"Location Code","@@"&amp;$E$6)</t>
  </si>
  <si>
    <t>=NL("Sum","Item Ledger Entry","Quantity","Entry Type","Consumption","Entry No.",I171,"Location Code","@@"&amp;$E$6)</t>
  </si>
  <si>
    <t>=NL("Sum","Item Ledger Entry","Quantity","Entry Type","Output","Entry No.",I171,"Location Code","@@"&amp;$E$6)</t>
  </si>
  <si>
    <t>=E174</t>
  </si>
  <si>
    <t>=NL("First","Item","Description","No.",$E174)</t>
  </si>
  <si>
    <t>=NL("First","Item","Base Unit of Measure","No.",$E174)</t>
  </si>
  <si>
    <t>=NL("Rows","Item Ledger Entry",,"+Posting Date",$L$5,"Item No.","@@"&amp;$D175,"Location Code","@@"&amp;$E$6)</t>
  </si>
  <si>
    <t>=NL("Sum","Item Ledger Entry","Quantity","Entry Type","Purchase","Entry No.",I176,"Location Code","@@"&amp;$E$6)</t>
  </si>
  <si>
    <t>=NL("Sum","Item Ledger Entry","Quantity","Entry Type","Sale","Entry No.",I176,"Location Code","@@"&amp;$E$6)</t>
  </si>
  <si>
    <t>=NL("Sum","Item Ledger Entry","Quantity","Entry Type","Positive Adjmt.|Negative Adjmt.","Entry No.",I176,"Location Code","@@"&amp;$E$6)</t>
  </si>
  <si>
    <t>=NL("Sum","Item Ledger Entry","Quantity","Entry Type","Transfer","Entry No.",I176,"Location Code","@@"&amp;$E$6)</t>
  </si>
  <si>
    <t>=NL("Sum","Item Ledger Entry","Quantity","Entry Type","Consumption","Entry No.",I176,"Location Code","@@"&amp;$E$6)</t>
  </si>
  <si>
    <t>=NL("Sum","Item Ledger Entry","Quantity","Entry Type","Output","Entry No.",I176,"Location Code","@@"&amp;$E$6)</t>
  </si>
  <si>
    <t>=NL("Sum","Item Ledger Entry","Quantity","Entry Type","Purchase","Entry No.",I192,"Location Code","@@"&amp;$E$6)</t>
  </si>
  <si>
    <t>=NL("Sum","Item Ledger Entry","Quantity","Entry Type","Sale","Entry No.",I192,"Location Code","@@"&amp;$E$6)</t>
  </si>
  <si>
    <t>=NL("Sum","Item Ledger Entry","Quantity","Entry Type","Positive Adjmt.|Negative Adjmt.","Entry No.",I192,"Location Code","@@"&amp;$E$6)</t>
  </si>
  <si>
    <t>=NL("Sum","Item Ledger Entry","Quantity","Entry Type","Transfer","Entry No.",I192,"Location Code","@@"&amp;$E$6)</t>
  </si>
  <si>
    <t>=NL("Sum","Item Ledger Entry","Quantity","Entry Type","Consumption","Entry No.",I192,"Location Code","@@"&amp;$E$6)</t>
  </si>
  <si>
    <t>=NL("Sum","Item Ledger Entry","Quantity","Entry Type","Output","Entry No.",I192,"Location Code","@@"&amp;$E$6)</t>
  </si>
  <si>
    <t>=NL("Sum","Item Ledger Entry","Quantity","Entry Type","Purchase","Entry No.",I197,"Location Code","@@"&amp;$E$6)</t>
  </si>
  <si>
    <t>=NL("Sum","Item Ledger Entry","Quantity","Entry Type","Sale","Entry No.",I197,"Location Code","@@"&amp;$E$6)</t>
  </si>
  <si>
    <t>=NL("Sum","Item Ledger Entry","Quantity","Entry Type","Positive Adjmt.|Negative Adjmt.","Entry No.",I197,"Location Code","@@"&amp;$E$6)</t>
  </si>
  <si>
    <t>=NL("Sum","Item Ledger Entry","Quantity","Entry Type","Transfer","Entry No.",I197,"Location Code","@@"&amp;$E$6)</t>
  </si>
  <si>
    <t>=NL("Sum","Item Ledger Entry","Quantity","Entry Type","Consumption","Entry No.",I197,"Location Code","@@"&amp;$E$6)</t>
  </si>
  <si>
    <t>=NL("Sum","Item Ledger Entry","Quantity","Entry Type","Output","Entry No.",I197,"Location Code","@@"&amp;$E$6)</t>
  </si>
  <si>
    <t>=E200</t>
  </si>
  <si>
    <t>=NL("First","Item","Description","No.",$E200)</t>
  </si>
  <si>
    <t>=NL("First","Item","Base Unit of Measure","No.",$E200)</t>
  </si>
  <si>
    <t>=NL("Sum","Item Ledger Entry","Quantity","Entry Type","Purchase","Entry No.",I201,"Location Code","@@"&amp;$E$6)</t>
  </si>
  <si>
    <t>=NL("Sum","Item Ledger Entry","Quantity","Entry Type","Sale","Entry No.",I201,"Location Code","@@"&amp;$E$6)</t>
  </si>
  <si>
    <t>=NL("Sum","Item Ledger Entry","Quantity","Entry Type","Positive Adjmt.|Negative Adjmt.","Entry No.",I201,"Location Code","@@"&amp;$E$6)</t>
  </si>
  <si>
    <t>=NL("Sum","Item Ledger Entry","Quantity","Entry Type","Transfer","Entry No.",I201,"Location Code","@@"&amp;$E$6)</t>
  </si>
  <si>
    <t>=NL("Sum","Item Ledger Entry","Quantity","Entry Type","Consumption","Entry No.",I201,"Location Code","@@"&amp;$E$6)</t>
  </si>
  <si>
    <t>=NL("Sum","Item Ledger Entry","Quantity","Entry Type","Output","Entry No.",I201,"Location Code","@@"&amp;$E$6)</t>
  </si>
  <si>
    <t>=NL("Rows","Item Ledger Entry",,"+Posting Date",$L$5,"Item No.","@@"&amp;$D205,"Location Code","@@"&amp;$E$6)</t>
  </si>
  <si>
    <t>=NL("Sum","Item Ledger Entry","Quantity","Entry Type","Purchase","Entry No.",I205,"Location Code","@@"&amp;$E$6)</t>
  </si>
  <si>
    <t>=NL("Sum","Item Ledger Entry","Quantity","Entry Type","Sale","Entry No.",I205,"Location Code","@@"&amp;$E$6)</t>
  </si>
  <si>
    <t>=NL("Sum","Item Ledger Entry","Quantity","Entry Type","Positive Adjmt.|Negative Adjmt.","Entry No.",I205,"Location Code","@@"&amp;$E$6)</t>
  </si>
  <si>
    <t>=NL("Sum","Item Ledger Entry","Quantity","Entry Type","Transfer","Entry No.",I205,"Location Code","@@"&amp;$E$6)</t>
  </si>
  <si>
    <t>=NL("Sum","Item Ledger Entry","Quantity","Entry Type","Consumption","Entry No.",I205,"Location Code","@@"&amp;$E$6)</t>
  </si>
  <si>
    <t>=NL("Sum","Item Ledger Entry","Quantity","Entry Type","Output","Entry No.",I205,"Location Code","@@"&amp;$E$6)</t>
  </si>
  <si>
    <t>=NL("Sum","Item Ledger Entry","Quantity","Entry Type","Purchase","Entry No.",I218,"Location Code","@@"&amp;$E$6)</t>
  </si>
  <si>
    <t>=NL("Sum","Item Ledger Entry","Quantity","Entry Type","Sale","Entry No.",I218,"Location Code","@@"&amp;$E$6)</t>
  </si>
  <si>
    <t>=NL("Sum","Item Ledger Entry","Quantity","Entry Type","Positive Adjmt.|Negative Adjmt.","Entry No.",I218,"Location Code","@@"&amp;$E$6)</t>
  </si>
  <si>
    <t>=NL("Sum","Item Ledger Entry","Quantity","Entry Type","Transfer","Entry No.",I218,"Location Code","@@"&amp;$E$6)</t>
  </si>
  <si>
    <t>=NL("Sum","Item Ledger Entry","Quantity","Entry Type","Consumption","Entry No.",I218,"Location Code","@@"&amp;$E$6)</t>
  </si>
  <si>
    <t>=NL("Sum","Item Ledger Entry","Quantity","Entry Type","Output","Entry No.",I218,"Location Code","@@"&amp;$E$6)</t>
  </si>
  <si>
    <t>=E221</t>
  </si>
  <si>
    <t>=NL("First","Item","Description","No.",$E221)</t>
  </si>
  <si>
    <t>=NL("First","Item","Base Unit of Measure","No.",$E221)</t>
  </si>
  <si>
    <t>=D221</t>
  </si>
  <si>
    <t>=NL("Rows","Item Ledger Entry",,"+Posting Date",$L$5,"Item No.","@@"&amp;$D222,"Location Code","@@"&amp;$E$6)</t>
  </si>
  <si>
    <t>=NF($G222,"Posting Date")</t>
  </si>
  <si>
    <t>=NF($G222,"Entry No.")</t>
  </si>
  <si>
    <t>=NF(G222,"Source Type")</t>
  </si>
  <si>
    <t>=NF($G222,"Source No.")</t>
  </si>
  <si>
    <t>=IF($J222="Customer",NL("first",$J222,"Name","No.","@@"&amp;$K222),"")</t>
  </si>
  <si>
    <t>=IF(J222="vendor",NL("first",J222,"Name","No.","@@"&amp;K222),"")</t>
  </si>
  <si>
    <t>=IF($J222="Item",NL("first",$J222,"Description","No.","@@"&amp;$K222),"")</t>
  </si>
  <si>
    <t>=NL("Sum","Item Ledger Entry","Quantity","Entry Type","Purchase","Entry No.",I222,"Location Code","@@"&amp;$E$6)</t>
  </si>
  <si>
    <t>=NL("Sum","Item Ledger Entry","Quantity","Entry Type","Sale","Entry No.",I222,"Location Code","@@"&amp;$E$6)</t>
  </si>
  <si>
    <t>=NL("Sum","Item Ledger Entry","Quantity","Entry Type","Positive Adjmt.|Negative Adjmt.","Entry No.",I222,"Location Code","@@"&amp;$E$6)</t>
  </si>
  <si>
    <t>=NL("Sum","Item Ledger Entry","Quantity","Entry Type","Transfer","Entry No.",I222,"Location Code","@@"&amp;$E$6)</t>
  </si>
  <si>
    <t>=NL("Sum","Item Ledger Entry","Quantity","Entry Type","Consumption","Entry No.",I222,"Location Code","@@"&amp;$E$6)</t>
  </si>
  <si>
    <t>=NL("Sum","Item Ledger Entry","Quantity","Entry Type","Output","Entry No.",I222,"Location Code","@@"&amp;$E$6)</t>
  </si>
  <si>
    <t>=NL("Sum","Item Ledger Entry","Quantity","Entry Type","Purchase","Entry No.",I223,"Location Code","@@"&amp;$E$6)</t>
  </si>
  <si>
    <t>=NL("Sum","Item Ledger Entry","Quantity","Entry Type","Sale","Entry No.",I223,"Location Code","@@"&amp;$E$6)</t>
  </si>
  <si>
    <t>=NL("Sum","Item Ledger Entry","Quantity","Entry Type","Positive Adjmt.|Negative Adjmt.","Entry No.",I223,"Location Code","@@"&amp;$E$6)</t>
  </si>
  <si>
    <t>=NL("Sum","Item Ledger Entry","Quantity","Entry Type","Transfer","Entry No.",I223,"Location Code","@@"&amp;$E$6)</t>
  </si>
  <si>
    <t>=NL("Sum","Item Ledger Entry","Quantity","Entry Type","Consumption","Entry No.",I223,"Location Code","@@"&amp;$E$6)</t>
  </si>
  <si>
    <t>=NL("Sum","Item Ledger Entry","Quantity","Entry Type","Output","Entry No.",I223,"Location Code","@@"&amp;$E$6)</t>
  </si>
  <si>
    <t>=NL("Sum","Item Ledger Entry","Quantity","Entry Type","Purchase","Entry No.",I239,"Location Code","@@"&amp;$E$6)</t>
  </si>
  <si>
    <t>=NL("Sum","Item Ledger Entry","Quantity","Entry Type","Sale","Entry No.",I239,"Location Code","@@"&amp;$E$6)</t>
  </si>
  <si>
    <t>=NL("Sum","Item Ledger Entry","Quantity","Entry Type","Positive Adjmt.|Negative Adjmt.","Entry No.",I239,"Location Code","@@"&amp;$E$6)</t>
  </si>
  <si>
    <t>=NL("Sum","Item Ledger Entry","Quantity","Entry Type","Transfer","Entry No.",I239,"Location Code","@@"&amp;$E$6)</t>
  </si>
  <si>
    <t>=NL("Sum","Item Ledger Entry","Quantity","Entry Type","Consumption","Entry No.",I239,"Location Code","@@"&amp;$E$6)</t>
  </si>
  <si>
    <t>=NL("Sum","Item Ledger Entry","Quantity","Entry Type","Output","Entry No.",I239,"Location Code","@@"&amp;$E$6)</t>
  </si>
  <si>
    <t>=NL("Sum","Item Ledger Entry","Quantity","Entry Type","Purchase","Entry No.",I244,"Location Code","@@"&amp;$E$6)</t>
  </si>
  <si>
    <t>=NL("Sum","Item Ledger Entry","Quantity","Entry Type","Sale","Entry No.",I244,"Location Code","@@"&amp;$E$6)</t>
  </si>
  <si>
    <t>=NL("Sum","Item Ledger Entry","Quantity","Entry Type","Positive Adjmt.|Negative Adjmt.","Entry No.",I244,"Location Code","@@"&amp;$E$6)</t>
  </si>
  <si>
    <t>=NL("Sum","Item Ledger Entry","Quantity","Entry Type","Transfer","Entry No.",I244,"Location Code","@@"&amp;$E$6)</t>
  </si>
  <si>
    <t>=NL("Sum","Item Ledger Entry","Quantity","Entry Type","Consumption","Entry No.",I244,"Location Code","@@"&amp;$E$6)</t>
  </si>
  <si>
    <t>=NL("Sum","Item Ledger Entry","Quantity","Entry Type","Output","Entry No.",I244,"Location Code","@@"&amp;$E$6)</t>
  </si>
  <si>
    <t>=NL("Sum","Item Ledger Entry","Quantity","Entry Type","Purchase","Entry No.",I245,"Location Code","@@"&amp;$E$6)</t>
  </si>
  <si>
    <t>=NL("Sum","Item Ledger Entry","Quantity","Entry Type","Sale","Entry No.",I245,"Location Code","@@"&amp;$E$6)</t>
  </si>
  <si>
    <t>=NL("Sum","Item Ledger Entry","Quantity","Entry Type","Positive Adjmt.|Negative Adjmt.","Entry No.",I245,"Location Code","@@"&amp;$E$6)</t>
  </si>
  <si>
    <t>=NL("Sum","Item Ledger Entry","Quantity","Entry Type","Transfer","Entry No.",I245,"Location Code","@@"&amp;$E$6)</t>
  </si>
  <si>
    <t>=NL("Sum","Item Ledger Entry","Quantity","Entry Type","Consumption","Entry No.",I245,"Location Code","@@"&amp;$E$6)</t>
  </si>
  <si>
    <t>=NL("Sum","Item Ledger Entry","Quantity","Entry Type","Output","Entry No.",I245,"Location Code","@@"&amp;$E$6)</t>
  </si>
  <si>
    <t>=(SUBTOTAL(9,O249:O251))</t>
  </si>
  <si>
    <t>=(SUBTOTAL(9,P249:P251))</t>
  </si>
  <si>
    <t>=(SUBTOTAL(9,Q249:Q251))</t>
  </si>
  <si>
    <t>=(SUBTOTAL(9,R249:R251))</t>
  </si>
  <si>
    <t>=(SUBTOTAL(9,S249:S251))</t>
  </si>
  <si>
    <t>=(SUBTOTAL(9,T249:T251))</t>
  </si>
  <si>
    <t>=SUBTOTAL(9,O249:T251)</t>
  </si>
  <si>
    <t>=NL("Rows","Item Ledger Entry",,"+Posting Date",$L$5,"Item No.","@@"&amp;$D249,"Location Code","@@"&amp;$E$6)</t>
  </si>
  <si>
    <t>=NL("Sum","Item Ledger Entry","Quantity","Entry Type","Purchase","Entry No.",I249,"Location Code","@@"&amp;$E$6)</t>
  </si>
  <si>
    <t>=NL("Sum","Item Ledger Entry","Quantity","Entry Type","Sale","Entry No.",I249,"Location Code","@@"&amp;$E$6)</t>
  </si>
  <si>
    <t>=NL("Sum","Item Ledger Entry","Quantity","Entry Type","Positive Adjmt.|Negative Adjmt.","Entry No.",I249,"Location Code","@@"&amp;$E$6)</t>
  </si>
  <si>
    <t>=NL("Sum","Item Ledger Entry","Quantity","Entry Type","Transfer","Entry No.",I249,"Location Code","@@"&amp;$E$6)</t>
  </si>
  <si>
    <t>=NL("Sum","Item Ledger Entry","Quantity","Entry Type","Consumption","Entry No.",I249,"Location Code","@@"&amp;$E$6)</t>
  </si>
  <si>
    <t>=NL("Sum","Item Ledger Entry","Quantity","Entry Type","Output","Entry No.",I249,"Location Code","@@"&amp;$E$6)</t>
  </si>
  <si>
    <t>=NL("Sum","Item Ledger Entry","Quantity","Entry Type","Purchase","Entry No.",I250,"Location Code","@@"&amp;$E$6)</t>
  </si>
  <si>
    <t>=NL("Sum","Item Ledger Entry","Quantity","Entry Type","Sale","Entry No.",I250,"Location Code","@@"&amp;$E$6)</t>
  </si>
  <si>
    <t>=NL("Sum","Item Ledger Entry","Quantity","Entry Type","Positive Adjmt.|Negative Adjmt.","Entry No.",I250,"Location Code","@@"&amp;$E$6)</t>
  </si>
  <si>
    <t>=NL("Sum","Item Ledger Entry","Quantity","Entry Type","Transfer","Entry No.",I250,"Location Code","@@"&amp;$E$6)</t>
  </si>
  <si>
    <t>=NL("Sum","Item Ledger Entry","Quantity","Entry Type","Consumption","Entry No.",I250,"Location Code","@@"&amp;$E$6)</t>
  </si>
  <si>
    <t>=NL("Sum","Item Ledger Entry","Quantity","Entry Type","Output","Entry No.",I250,"Location Code","@@"&amp;$E$6)</t>
  </si>
  <si>
    <t>=E253</t>
  </si>
  <si>
    <t>=NL("First","Item","Description","No.",$E253)</t>
  </si>
  <si>
    <t>=NL("First","Item","Base Unit of Measure","No.",$E253)</t>
  </si>
  <si>
    <t>=(SUBTOTAL(9,O254:O255))</t>
  </si>
  <si>
    <t>=(SUBTOTAL(9,P254:P255))</t>
  </si>
  <si>
    <t>=(SUBTOTAL(9,Q254:Q255))</t>
  </si>
  <si>
    <t>=(SUBTOTAL(9,R254:R255))</t>
  </si>
  <si>
    <t>=(SUBTOTAL(9,S254:S255))</t>
  </si>
  <si>
    <t>=(SUBTOTAL(9,T254:T255))</t>
  </si>
  <si>
    <t>=SUBTOTAL(9,O254:T255)</t>
  </si>
  <si>
    <t>=NL("Rows","Item Ledger Entry",,"+Posting Date",$L$5,"Item No.","@@"&amp;$D254,"Location Code","@@"&amp;$E$6)</t>
  </si>
  <si>
    <t>=NL("Sum","Item Ledger Entry","Quantity","Entry Type","Purchase","Entry No.",I254,"Location Code","@@"&amp;$E$6)</t>
  </si>
  <si>
    <t>=NL("Sum","Item Ledger Entry","Quantity","Entry Type","Sale","Entry No.",I254,"Location Code","@@"&amp;$E$6)</t>
  </si>
  <si>
    <t>=NL("Sum","Item Ledger Entry","Quantity","Entry Type","Positive Adjmt.|Negative Adjmt.","Entry No.",I254,"Location Code","@@"&amp;$E$6)</t>
  </si>
  <si>
    <t>=NL("Sum","Item Ledger Entry","Quantity","Entry Type","Transfer","Entry No.",I254,"Location Code","@@"&amp;$E$6)</t>
  </si>
  <si>
    <t>=NL("Sum","Item Ledger Entry","Quantity","Entry Type","Consumption","Entry No.",I254,"Location Code","@@"&amp;$E$6)</t>
  </si>
  <si>
    <t>=NL("Sum","Item Ledger Entry","Quantity","Entry Type","Output","Entry No.",I254,"Location Code","@@"&amp;$E$6)</t>
  </si>
  <si>
    <t>=E257</t>
  </si>
  <si>
    <t>=NL("First","Item","Description","No.",$E257)</t>
  </si>
  <si>
    <t>=NL("First","Item","Base Unit of Measure","No.",$E257)</t>
  </si>
  <si>
    <t>=NL("Rows","Item Ledger Entry",,"+Posting Date",$L$5,"Item No.","@@"&amp;$D258,"Location Code","@@"&amp;$E$6)</t>
  </si>
  <si>
    <t>=NL("Sum","Item Ledger Entry","Quantity","Entry Type","Purchase","Entry No.",I259,"Location Code","@@"&amp;$E$6)</t>
  </si>
  <si>
    <t>=NL("Sum","Item Ledger Entry","Quantity","Entry Type","Sale","Entry No.",I259,"Location Code","@@"&amp;$E$6)</t>
  </si>
  <si>
    <t>=NL("Sum","Item Ledger Entry","Quantity","Entry Type","Positive Adjmt.|Negative Adjmt.","Entry No.",I259,"Location Code","@@"&amp;$E$6)</t>
  </si>
  <si>
    <t>=NL("Sum","Item Ledger Entry","Quantity","Entry Type","Transfer","Entry No.",I259,"Location Code","@@"&amp;$E$6)</t>
  </si>
  <si>
    <t>=NL("Sum","Item Ledger Entry","Quantity","Entry Type","Consumption","Entry No.",I259,"Location Code","@@"&amp;$E$6)</t>
  </si>
  <si>
    <t>=NL("Sum","Item Ledger Entry","Quantity","Entry Type","Output","Entry No.",I259,"Location Code","@@"&amp;$E$6)</t>
  </si>
  <si>
    <t>=NL("Sum","Item Ledger Entry","Quantity","Entry Type","Purchase","Entry No.",I277,"Location Code","@@"&amp;$E$6)</t>
  </si>
  <si>
    <t>=NL("Sum","Item Ledger Entry","Quantity","Entry Type","Sale","Entry No.",I277,"Location Code","@@"&amp;$E$6)</t>
  </si>
  <si>
    <t>=NL("Sum","Item Ledger Entry","Quantity","Entry Type","Positive Adjmt.|Negative Adjmt.","Entry No.",I277,"Location Code","@@"&amp;$E$6)</t>
  </si>
  <si>
    <t>=NL("Sum","Item Ledger Entry","Quantity","Entry Type","Transfer","Entry No.",I277,"Location Code","@@"&amp;$E$6)</t>
  </si>
  <si>
    <t>=NL("Sum","Item Ledger Entry","Quantity","Entry Type","Consumption","Entry No.",I277,"Location Code","@@"&amp;$E$6)</t>
  </si>
  <si>
    <t>=NL("Sum","Item Ledger Entry","Quantity","Entry Type","Output","Entry No.",I277,"Location Code","@@"&amp;$E$6)</t>
  </si>
  <si>
    <t>=NL("Sum","Item Ledger Entry","Quantity","Entry Type","Purchase","Entry No.",I279,"Location Code","@@"&amp;$E$6)</t>
  </si>
  <si>
    <t>=NL("Sum","Item Ledger Entry","Quantity","Entry Type","Sale","Entry No.",I279,"Location Code","@@"&amp;$E$6)</t>
  </si>
  <si>
    <t>=NL("Sum","Item Ledger Entry","Quantity","Entry Type","Positive Adjmt.|Negative Adjmt.","Entry No.",I279,"Location Code","@@"&amp;$E$6)</t>
  </si>
  <si>
    <t>=NL("Sum","Item Ledger Entry","Quantity","Entry Type","Transfer","Entry No.",I279,"Location Code","@@"&amp;$E$6)</t>
  </si>
  <si>
    <t>=NL("Sum","Item Ledger Entry","Quantity","Entry Type","Consumption","Entry No.",I279,"Location Code","@@"&amp;$E$6)</t>
  </si>
  <si>
    <t>=NL("Sum","Item Ledger Entry","Quantity","Entry Type","Output","Entry No.",I279,"Location Code","@@"&amp;$E$6)</t>
  </si>
  <si>
    <t>=E282</t>
  </si>
  <si>
    <t>=NL("First","Item","Description","No.",$E282)</t>
  </si>
  <si>
    <t>=NL("First","Item","Base Unit of Measure","No.",$E282)</t>
  </si>
  <si>
    <t>=NL("Rows","Item Ledger Entry",,"+Posting Date",$L$5,"Item No.","@@"&amp;$D283,"Location Code","@@"&amp;$E$6)</t>
  </si>
  <si>
    <t>=NL("Sum","Item Ledger Entry","Quantity","Entry Type","Purchase","Entry No.",I283,"Location Code","@@"&amp;$E$6)</t>
  </si>
  <si>
    <t>=NL("Sum","Item Ledger Entry","Quantity","Entry Type","Sale","Entry No.",I283,"Location Code","@@"&amp;$E$6)</t>
  </si>
  <si>
    <t>=NL("Sum","Item Ledger Entry","Quantity","Entry Type","Positive Adjmt.|Negative Adjmt.","Entry No.",I283,"Location Code","@@"&amp;$E$6)</t>
  </si>
  <si>
    <t>=NL("Sum","Item Ledger Entry","Quantity","Entry Type","Transfer","Entry No.",I283,"Location Code","@@"&amp;$E$6)</t>
  </si>
  <si>
    <t>=NL("Sum","Item Ledger Entry","Quantity","Entry Type","Consumption","Entry No.",I283,"Location Code","@@"&amp;$E$6)</t>
  </si>
  <si>
    <t>=NL("Sum","Item Ledger Entry","Quantity","Entry Type","Output","Entry No.",I283,"Location Code","@@"&amp;$E$6)</t>
  </si>
  <si>
    <t>=NL("Sum","Item Ledger Entry","Quantity","Entry Type","Purchase","Entry No.",I287,"Location Code","@@"&amp;$E$6)</t>
  </si>
  <si>
    <t>=NL("Sum","Item Ledger Entry","Quantity","Entry Type","Sale","Entry No.",I287,"Location Code","@@"&amp;$E$6)</t>
  </si>
  <si>
    <t>=NL("Sum","Item Ledger Entry","Quantity","Entry Type","Positive Adjmt.|Negative Adjmt.","Entry No.",I287,"Location Code","@@"&amp;$E$6)</t>
  </si>
  <si>
    <t>=NL("Sum","Item Ledger Entry","Quantity","Entry Type","Transfer","Entry No.",I287,"Location Code","@@"&amp;$E$6)</t>
  </si>
  <si>
    <t>=NL("Sum","Item Ledger Entry","Quantity","Entry Type","Consumption","Entry No.",I287,"Location Code","@@"&amp;$E$6)</t>
  </si>
  <si>
    <t>=NL("Sum","Item Ledger Entry","Quantity","Entry Type","Output","Entry No.",I287,"Location Code","@@"&amp;$E$6)</t>
  </si>
  <si>
    <t>=NL("Sum","Item Ledger Entry","Quantity","Entry Type","Purchase","Entry No.",I297,"Location Code","@@"&amp;$E$6)</t>
  </si>
  <si>
    <t>=NL("Sum","Item Ledger Entry","Quantity","Entry Type","Sale","Entry No.",I297,"Location Code","@@"&amp;$E$6)</t>
  </si>
  <si>
    <t>=NL("Sum","Item Ledger Entry","Quantity","Entry Type","Positive Adjmt.|Negative Adjmt.","Entry No.",I297,"Location Code","@@"&amp;$E$6)</t>
  </si>
  <si>
    <t>=NL("Sum","Item Ledger Entry","Quantity","Entry Type","Transfer","Entry No.",I297,"Location Code","@@"&amp;$E$6)</t>
  </si>
  <si>
    <t>=NL("Sum","Item Ledger Entry","Quantity","Entry Type","Consumption","Entry No.",I297,"Location Code","@@"&amp;$E$6)</t>
  </si>
  <si>
    <t>=NL("Sum","Item Ledger Entry","Quantity","Entry Type","Output","Entry No.",I297,"Location Code","@@"&amp;$E$6)</t>
  </si>
  <si>
    <t>=NL("Sum","Item Ledger Entry","Quantity","Entry Type","Purchase","Entry No.",I311,"Location Code","@@"&amp;$E$6)</t>
  </si>
  <si>
    <t>=NL("Sum","Item Ledger Entry","Quantity","Entry Type","Sale","Entry No.",I311,"Location Code","@@"&amp;$E$6)</t>
  </si>
  <si>
    <t>=NL("Sum","Item Ledger Entry","Quantity","Entry Type","Positive Adjmt.|Negative Adjmt.","Entry No.",I311,"Location Code","@@"&amp;$E$6)</t>
  </si>
  <si>
    <t>=NL("Sum","Item Ledger Entry","Quantity","Entry Type","Transfer","Entry No.",I311,"Location Code","@@"&amp;$E$6)</t>
  </si>
  <si>
    <t>=NL("Sum","Item Ledger Entry","Quantity","Entry Type","Consumption","Entry No.",I311,"Location Code","@@"&amp;$E$6)</t>
  </si>
  <si>
    <t>=NL("Sum","Item Ledger Entry","Quantity","Entry Type","Output","Entry No.",I311,"Location Code","@@"&amp;$E$6)</t>
  </si>
  <si>
    <t>=NL("Sum","Item Ledger Entry","Quantity","Entry Type","Purchase","Entry No.",I316,"Location Code","@@"&amp;$E$6)</t>
  </si>
  <si>
    <t>=NL("Sum","Item Ledger Entry","Quantity","Entry Type","Sale","Entry No.",I316,"Location Code","@@"&amp;$E$6)</t>
  </si>
  <si>
    <t>=NL("Sum","Item Ledger Entry","Quantity","Entry Type","Positive Adjmt.|Negative Adjmt.","Entry No.",I316,"Location Code","@@"&amp;$E$6)</t>
  </si>
  <si>
    <t>=NL("Sum","Item Ledger Entry","Quantity","Entry Type","Transfer","Entry No.",I316,"Location Code","@@"&amp;$E$6)</t>
  </si>
  <si>
    <t>=NL("Sum","Item Ledger Entry","Quantity","Entry Type","Consumption","Entry No.",I316,"Location Code","@@"&amp;$E$6)</t>
  </si>
  <si>
    <t>=NL("Sum","Item Ledger Entry","Quantity","Entry Type","Output","Entry No.",I316,"Location Code","@@"&amp;$E$6)</t>
  </si>
  <si>
    <t>=E319</t>
  </si>
  <si>
    <t>=NL("First","Item","Description","No.",$E319)</t>
  </si>
  <si>
    <t>=NL("First","Item","Base Unit of Measure","No.",$E319)</t>
  </si>
  <si>
    <t>=NL("Rows","Item Ledger Entry",,"+Posting Date",$L$5,"Item No.","@@"&amp;$D320,"Location Code","@@"&amp;$E$6)</t>
  </si>
  <si>
    <t>=NL("Sum","Item Ledger Entry","Quantity","Entry Type","Purchase","Entry No.",I320,"Location Code","@@"&amp;$E$6)</t>
  </si>
  <si>
    <t>=NL("Sum","Item Ledger Entry","Quantity","Entry Type","Sale","Entry No.",I320,"Location Code","@@"&amp;$E$6)</t>
  </si>
  <si>
    <t>=NL("Sum","Item Ledger Entry","Quantity","Entry Type","Positive Adjmt.|Negative Adjmt.","Entry No.",I320,"Location Code","@@"&amp;$E$6)</t>
  </si>
  <si>
    <t>=NL("Sum","Item Ledger Entry","Quantity","Entry Type","Transfer","Entry No.",I320,"Location Code","@@"&amp;$E$6)</t>
  </si>
  <si>
    <t>=NL("Sum","Item Ledger Entry","Quantity","Entry Type","Consumption","Entry No.",I320,"Location Code","@@"&amp;$E$6)</t>
  </si>
  <si>
    <t>=NL("Sum","Item Ledger Entry","Quantity","Entry Type","Output","Entry No.",I320,"Location Code","@@"&amp;$E$6)</t>
  </si>
  <si>
    <t>=NL("Sum","Item Ledger Entry","Quantity","Entry Type","Purchase","Entry No.",I328,"Location Code","@@"&amp;$E$6)</t>
  </si>
  <si>
    <t>=NL("Sum","Item Ledger Entry","Quantity","Entry Type","Sale","Entry No.",I328,"Location Code","@@"&amp;$E$6)</t>
  </si>
  <si>
    <t>=NL("Sum","Item Ledger Entry","Quantity","Entry Type","Positive Adjmt.|Negative Adjmt.","Entry No.",I328,"Location Code","@@"&amp;$E$6)</t>
  </si>
  <si>
    <t>=NL("Sum","Item Ledger Entry","Quantity","Entry Type","Transfer","Entry No.",I328,"Location Code","@@"&amp;$E$6)</t>
  </si>
  <si>
    <t>=NL("Sum","Item Ledger Entry","Quantity","Entry Type","Consumption","Entry No.",I328,"Location Code","@@"&amp;$E$6)</t>
  </si>
  <si>
    <t>=NL("Sum","Item Ledger Entry","Quantity","Entry Type","Output","Entry No.",I328,"Location Code","@@"&amp;$E$6)</t>
  </si>
  <si>
    <t>=NL("Sum","Item Ledger Entry","Quantity","Entry Type","Purchase","Entry No.",I335,"Location Code","@@"&amp;$E$6)</t>
  </si>
  <si>
    <t>=NL("Sum","Item Ledger Entry","Quantity","Entry Type","Sale","Entry No.",I335,"Location Code","@@"&amp;$E$6)</t>
  </si>
  <si>
    <t>=NL("Sum","Item Ledger Entry","Quantity","Entry Type","Positive Adjmt.|Negative Adjmt.","Entry No.",I335,"Location Code","@@"&amp;$E$6)</t>
  </si>
  <si>
    <t>=NL("Sum","Item Ledger Entry","Quantity","Entry Type","Transfer","Entry No.",I335,"Location Code","@@"&amp;$E$6)</t>
  </si>
  <si>
    <t>=NL("Sum","Item Ledger Entry","Quantity","Entry Type","Consumption","Entry No.",I335,"Location Code","@@"&amp;$E$6)</t>
  </si>
  <si>
    <t>=NL("Sum","Item Ledger Entry","Quantity","Entry Type","Output","Entry No.",I335,"Location Code","@@"&amp;$E$6)</t>
  </si>
  <si>
    <t>=NL("Sum","Item Ledger Entry","Quantity","Entry Type","Purchase","Entry No.",I397,"Location Code","@@"&amp;$E$6)</t>
  </si>
  <si>
    <t>=NL("Sum","Item Ledger Entry","Quantity","Entry Type","Sale","Entry No.",I397,"Location Code","@@"&amp;$E$6)</t>
  </si>
  <si>
    <t>=NL("Sum","Item Ledger Entry","Quantity","Entry Type","Positive Adjmt.|Negative Adjmt.","Entry No.",I397,"Location Code","@@"&amp;$E$6)</t>
  </si>
  <si>
    <t>=NL("Sum","Item Ledger Entry","Quantity","Entry Type","Transfer","Entry No.",I397,"Location Code","@@"&amp;$E$6)</t>
  </si>
  <si>
    <t>=NL("Sum","Item Ledger Entry","Quantity","Entry Type","Consumption","Entry No.",I397,"Location Code","@@"&amp;$E$6)</t>
  </si>
  <si>
    <t>=NL("Sum","Item Ledger Entry","Quantity","Entry Type","Output","Entry No.",I397,"Location Code","@@"&amp;$E$6)</t>
  </si>
  <si>
    <t>=D411</t>
  </si>
  <si>
    <t>=NF($G412,"Posting Date")</t>
  </si>
  <si>
    <t>=NF($G412,"Entry No.")</t>
  </si>
  <si>
    <t>=NF(G412,"Source Type")</t>
  </si>
  <si>
    <t>=NF($G412,"Source No.")</t>
  </si>
  <si>
    <t>=IF($J412="Customer",NL("first",$J412,"Name","No.","@@"&amp;$K412),"")</t>
  </si>
  <si>
    <t>=IF(J412="vendor",NL("first",J412,"Name","No.","@@"&amp;K412),"")</t>
  </si>
  <si>
    <t>=IF($J412="Item",NL("first",$J412,"Description","No.","@@"&amp;$K412),"")</t>
  </si>
  <si>
    <t>=NL("Sum","Item Ledger Entry","Quantity","Entry Type","Purchase","Entry No.",I427,"Location Code","@@"&amp;$E$6)</t>
  </si>
  <si>
    <t>=NL("Sum","Item Ledger Entry","Quantity","Entry Type","Sale","Entry No.",I427,"Location Code","@@"&amp;$E$6)</t>
  </si>
  <si>
    <t>=NL("Sum","Item Ledger Entry","Quantity","Entry Type","Positive Adjmt.|Negative Adjmt.","Entry No.",I427,"Location Code","@@"&amp;$E$6)</t>
  </si>
  <si>
    <t>=NL("Sum","Item Ledger Entry","Quantity","Entry Type","Transfer","Entry No.",I427,"Location Code","@@"&amp;$E$6)</t>
  </si>
  <si>
    <t>=NL("Sum","Item Ledger Entry","Quantity","Entry Type","Consumption","Entry No.",I427,"Location Code","@@"&amp;$E$6)</t>
  </si>
  <si>
    <t>=NL("Sum","Item Ledger Entry","Quantity","Entry Type","Output","Entry No.",I427,"Location Code","@@"&amp;$E$6)</t>
  </si>
  <si>
    <t>=D428</t>
  </si>
  <si>
    <t>=NF($G429,"Posting Date")</t>
  </si>
  <si>
    <t>=NF($G429,"Entry No.")</t>
  </si>
  <si>
    <t>=NF(G429,"Source Type")</t>
  </si>
  <si>
    <t>=NF($G429,"Source No.")</t>
  </si>
  <si>
    <t>=IF($J429="Customer",NL("first",$J429,"Name","No.","@@"&amp;$K429),"")</t>
  </si>
  <si>
    <t>=IF(J429="vendor",NL("first",J429,"Name","No.","@@"&amp;K429),"")</t>
  </si>
  <si>
    <t>=IF($J429="Item",NL("first",$J429,"Description","No.","@@"&amp;$K429),"")</t>
  </si>
  <si>
    <t>=D440</t>
  </si>
  <si>
    <t>=NF($G441,"Posting Date")</t>
  </si>
  <si>
    <t>=NF($G441,"Entry No.")</t>
  </si>
  <si>
    <t>=NF(G441,"Source Type")</t>
  </si>
  <si>
    <t>=NF($G441,"Source No.")</t>
  </si>
  <si>
    <t>=IF($J441="Customer",NL("first",$J441,"Name","No.","@@"&amp;$K441),"")</t>
  </si>
  <si>
    <t>=IF(J441="vendor",NL("first",J441,"Name","No.","@@"&amp;K441),"")</t>
  </si>
  <si>
    <t>=IF($J441="Item",NL("first",$J441,"Description","No.","@@"&amp;$K441),"")</t>
  </si>
  <si>
    <t>=D459</t>
  </si>
  <si>
    <t>=NF($G460,"Posting Date")</t>
  </si>
  <si>
    <t>=NF($G460,"Entry No.")</t>
  </si>
  <si>
    <t>=NF(G460,"Source Type")</t>
  </si>
  <si>
    <t>=NF($G460,"Source No.")</t>
  </si>
  <si>
    <t>=IF($J460="Customer",NL("first",$J460,"Name","No.","@@"&amp;$K460),"")</t>
  </si>
  <si>
    <t>=IF(J460="vendor",NL("first",J460,"Name","No.","@@"&amp;K460),"")</t>
  </si>
  <si>
    <t>=IF($J460="Item",NL("first",$J460,"Description","No.","@@"&amp;$K460),"")</t>
  </si>
  <si>
    <t>=D460</t>
  </si>
  <si>
    <t>=NF($G461,"Posting Date")</t>
  </si>
  <si>
    <t>=NF($G461,"Entry No.")</t>
  </si>
  <si>
    <t>=NF(G461,"Source Type")</t>
  </si>
  <si>
    <t>=NF($G461,"Source No.")</t>
  </si>
  <si>
    <t>=IF($J461="Customer",NL("first",$J461,"Name","No.","@@"&amp;$K461),"")</t>
  </si>
  <si>
    <t>=IF(J461="vendor",NL("first",J461,"Name","No.","@@"&amp;K461),"")</t>
  </si>
  <si>
    <t>=IF($J461="Item",NL("first",$J461,"Description","No.","@@"&amp;$K461),"")</t>
  </si>
  <si>
    <t>=D464</t>
  </si>
  <si>
    <t>=NF($G465,"Posting Date")</t>
  </si>
  <si>
    <t>=NF($G465,"Entry No.")</t>
  </si>
  <si>
    <t>=NF(G465,"Source Type")</t>
  </si>
  <si>
    <t>=NF($G465,"Source No.")</t>
  </si>
  <si>
    <t>=IF($J465="Customer",NL("first",$J465,"Name","No.","@@"&amp;$K465),"")</t>
  </si>
  <si>
    <t>=IF(J465="vendor",NL("first",J465,"Name","No.","@@"&amp;K465),"")</t>
  </si>
  <si>
    <t>=IF($J465="Item",NL("first",$J465,"Description","No.","@@"&amp;$K465),"")</t>
  </si>
  <si>
    <t>=D473</t>
  </si>
  <si>
    <t>=NF($G474,"Posting Date")</t>
  </si>
  <si>
    <t>=NF($G474,"Entry No.")</t>
  </si>
  <si>
    <t>=NF(G474,"Source Type")</t>
  </si>
  <si>
    <t>=NF($G474,"Source No.")</t>
  </si>
  <si>
    <t>=IF($J474="Customer",NL("first",$J474,"Name","No.","@@"&amp;$K474),"")</t>
  </si>
  <si>
    <t>=IF(J474="vendor",NL("first",J474,"Name","No.","@@"&amp;K474),"")</t>
  </si>
  <si>
    <t>=IF($J474="Item",NL("first",$J474,"Description","No.","@@"&amp;$K474),"")</t>
  </si>
  <si>
    <t>=D474</t>
  </si>
  <si>
    <t>=NF($G475,"Posting Date")</t>
  </si>
  <si>
    <t>=NF($G475,"Entry No.")</t>
  </si>
  <si>
    <t>=NF(G475,"Source Type")</t>
  </si>
  <si>
    <t>=NF($G475,"Source No.")</t>
  </si>
  <si>
    <t>=IF($J475="Customer",NL("first",$J475,"Name","No.","@@"&amp;$K475),"")</t>
  </si>
  <si>
    <t>=IF(J475="vendor",NL("first",J475,"Name","No.","@@"&amp;K475),"")</t>
  </si>
  <si>
    <t>=IF($J475="Item",NL("first",$J475,"Description","No.","@@"&amp;$K475),"")</t>
  </si>
  <si>
    <t>=D483</t>
  </si>
  <si>
    <t>=NF($G484,"Posting Date")</t>
  </si>
  <si>
    <t>=NF($G484,"Entry No.")</t>
  </si>
  <si>
    <t>=NF(G484,"Source Type")</t>
  </si>
  <si>
    <t>=NF($G484,"Source No.")</t>
  </si>
  <si>
    <t>=IF($J484="Customer",NL("first",$J484,"Name","No.","@@"&amp;$K484),"")</t>
  </si>
  <si>
    <t>=IF(J484="vendor",NL("first",J484,"Name","No.","@@"&amp;K484),"")</t>
  </si>
  <si>
    <t>=IF($J484="Item",NL("first",$J484,"Description","No.","@@"&amp;$K484),"")</t>
  </si>
  <si>
    <t>=(SUBTOTAL(9,O27:O28))</t>
  </si>
  <si>
    <t>=(SUBTOTAL(9,P27:P28))</t>
  </si>
  <si>
    <t>=(SUBTOTAL(9,Q27:Q28))</t>
  </si>
  <si>
    <t>=(SUBTOTAL(9,R27:R28))</t>
  </si>
  <si>
    <t>=(SUBTOTAL(9,S27:S28))</t>
  </si>
  <si>
    <t>=(SUBTOTAL(9,T27:T28))</t>
  </si>
  <si>
    <t>=SUBTOTAL(9,O27:T28)</t>
  </si>
  <si>
    <t>=E30</t>
  </si>
  <si>
    <t>=NL("First","Item","Description","No.",$E30)</t>
  </si>
  <si>
    <t>=NL("First","Item","Base Unit of Measure","No.",$E30)</t>
  </si>
  <si>
    <t>=(SUBTOTAL(9,O31:O33))</t>
  </si>
  <si>
    <t>=(SUBTOTAL(9,P31:P33))</t>
  </si>
  <si>
    <t>=(SUBTOTAL(9,Q31:Q33))</t>
  </si>
  <si>
    <t>=(SUBTOTAL(9,R31:R33))</t>
  </si>
  <si>
    <t>=(SUBTOTAL(9,S31:S33))</t>
  </si>
  <si>
    <t>=(SUBTOTAL(9,T31:T33))</t>
  </si>
  <si>
    <t>=SUBTOTAL(9,O31:T33)</t>
  </si>
  <si>
    <t>=NL("Rows","Item Ledger Entry",,"+Posting Date",$L$5,"Item No.","@@"&amp;$D31,"Location Code","@@"&amp;$E$6)</t>
  </si>
  <si>
    <t>=E66</t>
  </si>
  <si>
    <t>=NL("First","Item","Description","No.",$E66)</t>
  </si>
  <si>
    <t>=NL("First","Item","Base Unit of Measure","No.",$E66)</t>
  </si>
  <si>
    <t>=NL("Rows","Item Ledger Entry",,"+Posting Date",$L$5,"Item No.","@@"&amp;$D67,"Location Code","@@"&amp;$E$6)</t>
  </si>
  <si>
    <t>=E84</t>
  </si>
  <si>
    <t>=NL("First","Item","Description","No.",$E84)</t>
  </si>
  <si>
    <t>=NL("First","Item","Base Unit of Measure","No.",$E84)</t>
  </si>
  <si>
    <t>=NL("Rows","Item Ledger Entry",,"+Posting Date",$L$5,"Item No.","@@"&amp;$D85,"Location Code","@@"&amp;$E$6)</t>
  </si>
  <si>
    <t>=E109</t>
  </si>
  <si>
    <t>=NL("First","Item","Description","No.",$E109)</t>
  </si>
  <si>
    <t>=NL("First","Item","Base Unit of Measure","No.",$E109)</t>
  </si>
  <si>
    <t>=NL("Rows","Item Ledger Entry",,"+Posting Date",$L$5,"Item No.","@@"&amp;$D110,"Location Code","@@"&amp;$E$6)</t>
  </si>
  <si>
    <t>=E149</t>
  </si>
  <si>
    <t>=NL("First","Item","Description","No.",$E149)</t>
  </si>
  <si>
    <t>=NL("First","Item","Base Unit of Measure","No.",$E149)</t>
  </si>
  <si>
    <t>=NL("Rows","Item Ledger Entry",,"+Posting Date",$L$5,"Item No.","@@"&amp;$D150,"Location Code","@@"&amp;$E$6)</t>
  </si>
  <si>
    <t>=E153</t>
  </si>
  <si>
    <t>=NL("First","Item","Description","No.",$E153)</t>
  </si>
  <si>
    <t>=NL("First","Item","Base Unit of Measure","No.",$E153)</t>
  </si>
  <si>
    <t>=NL("Rows","Item Ledger Entry",,"+Posting Date",$L$5,"Item No.","@@"&amp;$D154,"Location Code","@@"&amp;$E$6)</t>
  </si>
  <si>
    <t>=NL("Sum","Item Ledger Entry","Quantity","Entry Type","Purchase","Entry No.",I166,"Location Code","@@"&amp;$E$6)</t>
  </si>
  <si>
    <t>=NL("Sum","Item Ledger Entry","Quantity","Entry Type","Sale","Entry No.",I166,"Location Code","@@"&amp;$E$6)</t>
  </si>
  <si>
    <t>=NL("Sum","Item Ledger Entry","Quantity","Entry Type","Positive Adjmt.|Negative Adjmt.","Entry No.",I166,"Location Code","@@"&amp;$E$6)</t>
  </si>
  <si>
    <t>=NL("Sum","Item Ledger Entry","Quantity","Entry Type","Transfer","Entry No.",I166,"Location Code","@@"&amp;$E$6)</t>
  </si>
  <si>
    <t>=NL("Sum","Item Ledger Entry","Quantity","Entry Type","Consumption","Entry No.",I166,"Location Code","@@"&amp;$E$6)</t>
  </si>
  <si>
    <t>=NL("Sum","Item Ledger Entry","Quantity","Entry Type","Output","Entry No.",I166,"Location Code","@@"&amp;$E$6)</t>
  </si>
  <si>
    <t>=E169</t>
  </si>
  <si>
    <t>=NL("First","Item","Description","No.",$E169)</t>
  </si>
  <si>
    <t>=NL("First","Item","Base Unit of Measure","No.",$E169)</t>
  </si>
  <si>
    <t>=(SUBTOTAL(9,O170:O172))</t>
  </si>
  <si>
    <t>=(SUBTOTAL(9,P170:P172))</t>
  </si>
  <si>
    <t>=(SUBTOTAL(9,Q170:Q172))</t>
  </si>
  <si>
    <t>=(SUBTOTAL(9,R170:R172))</t>
  </si>
  <si>
    <t>=(SUBTOTAL(9,S170:S172))</t>
  </si>
  <si>
    <t>=(SUBTOTAL(9,T170:T172))</t>
  </si>
  <si>
    <t>=SUBTOTAL(9,O170:T172)</t>
  </si>
  <si>
    <t>=NL("Rows","Item Ledger Entry",,"+Posting Date",$L$5,"Item No.","@@"&amp;$D170,"Location Code","@@"&amp;$E$6)</t>
  </si>
  <si>
    <t>=NL("Sum","Item Ledger Entry","Quantity","Entry Type","Purchase","Entry No.",I170,"Location Code","@@"&amp;$E$6)</t>
  </si>
  <si>
    <t>=NL("Sum","Item Ledger Entry","Quantity","Entry Type","Sale","Entry No.",I170,"Location Code","@@"&amp;$E$6)</t>
  </si>
  <si>
    <t>=NL("Sum","Item Ledger Entry","Quantity","Entry Type","Positive Adjmt.|Negative Adjmt.","Entry No.",I170,"Location Code","@@"&amp;$E$6)</t>
  </si>
  <si>
    <t>=NL("Sum","Item Ledger Entry","Quantity","Entry Type","Transfer","Entry No.",I170,"Location Code","@@"&amp;$E$6)</t>
  </si>
  <si>
    <t>=NL("Sum","Item Ledger Entry","Quantity","Entry Type","Consumption","Entry No.",I170,"Location Code","@@"&amp;$E$6)</t>
  </si>
  <si>
    <t>=NL("Sum","Item Ledger Entry","Quantity","Entry Type","Output","Entry No.",I170,"Location Code","@@"&amp;$E$6)</t>
  </si>
  <si>
    <t>=NL("Sum","Item Ledger Entry","Quantity","Entry Type","Purchase","Entry No.",I180,"Location Code","@@"&amp;$E$6)</t>
  </si>
  <si>
    <t>=NL("Sum","Item Ledger Entry","Quantity","Entry Type","Sale","Entry No.",I180,"Location Code","@@"&amp;$E$6)</t>
  </si>
  <si>
    <t>=NL("Sum","Item Ledger Entry","Quantity","Entry Type","Positive Adjmt.|Negative Adjmt.","Entry No.",I180,"Location Code","@@"&amp;$E$6)</t>
  </si>
  <si>
    <t>=NL("Sum","Item Ledger Entry","Quantity","Entry Type","Transfer","Entry No.",I180,"Location Code","@@"&amp;$E$6)</t>
  </si>
  <si>
    <t>=NL("Sum","Item Ledger Entry","Quantity","Entry Type","Consumption","Entry No.",I180,"Location Code","@@"&amp;$E$6)</t>
  </si>
  <si>
    <t>=NL("Sum","Item Ledger Entry","Quantity","Entry Type","Output","Entry No.",I180,"Location Code","@@"&amp;$E$6)</t>
  </si>
  <si>
    <t>=E183</t>
  </si>
  <si>
    <t>=NL("First","Item","Description","No.",$E183)</t>
  </si>
  <si>
    <t>=NL("First","Item","Base Unit of Measure","No.",$E183)</t>
  </si>
  <si>
    <t>=NL("Rows","Item Ledger Entry",,"+Posting Date",$L$5,"Item No.","@@"&amp;$D184,"Location Code","@@"&amp;$E$6)</t>
  </si>
  <si>
    <t>=NL("Sum","Item Ledger Entry","Quantity","Entry Type","Purchase","Entry No.",I184,"Location Code","@@"&amp;$E$6)</t>
  </si>
  <si>
    <t>=NL("Sum","Item Ledger Entry","Quantity","Entry Type","Sale","Entry No.",I184,"Location Code","@@"&amp;$E$6)</t>
  </si>
  <si>
    <t>=NL("Sum","Item Ledger Entry","Quantity","Entry Type","Positive Adjmt.|Negative Adjmt.","Entry No.",I184,"Location Code","@@"&amp;$E$6)</t>
  </si>
  <si>
    <t>=NL("Sum","Item Ledger Entry","Quantity","Entry Type","Transfer","Entry No.",I184,"Location Code","@@"&amp;$E$6)</t>
  </si>
  <si>
    <t>=NL("Sum","Item Ledger Entry","Quantity","Entry Type","Consumption","Entry No.",I184,"Location Code","@@"&amp;$E$6)</t>
  </si>
  <si>
    <t>=NL("Sum","Item Ledger Entry","Quantity","Entry Type","Output","Entry No.",I184,"Location Code","@@"&amp;$E$6)</t>
  </si>
  <si>
    <t>=NL("Sum","Item Ledger Entry","Quantity","Entry Type","Purchase","Entry No.",I188,"Location Code","@@"&amp;$E$6)</t>
  </si>
  <si>
    <t>=NL("Sum","Item Ledger Entry","Quantity","Entry Type","Sale","Entry No.",I188,"Location Code","@@"&amp;$E$6)</t>
  </si>
  <si>
    <t>=NL("Sum","Item Ledger Entry","Quantity","Entry Type","Positive Adjmt.|Negative Adjmt.","Entry No.",I188,"Location Code","@@"&amp;$E$6)</t>
  </si>
  <si>
    <t>=NL("Sum","Item Ledger Entry","Quantity","Entry Type","Transfer","Entry No.",I188,"Location Code","@@"&amp;$E$6)</t>
  </si>
  <si>
    <t>=NL("Sum","Item Ledger Entry","Quantity","Entry Type","Consumption","Entry No.",I188,"Location Code","@@"&amp;$E$6)</t>
  </si>
  <si>
    <t>=NL("Sum","Item Ledger Entry","Quantity","Entry Type","Output","Entry No.",I188,"Location Code","@@"&amp;$E$6)</t>
  </si>
  <si>
    <t>=E191</t>
  </si>
  <si>
    <t>=NL("First","Item","Description","No.",$E191)</t>
  </si>
  <si>
    <t>=NL("First","Item","Base Unit of Measure","No.",$E191)</t>
  </si>
  <si>
    <t>=NL("Rows","Item Ledger Entry",,"+Posting Date",$L$5,"Item No.","@@"&amp;$D192,"Location Code","@@"&amp;$E$6)</t>
  </si>
  <si>
    <t>=E205</t>
  </si>
  <si>
    <t>=NL("First","Item","Description","No.",$E205)</t>
  </si>
  <si>
    <t>=NL("First","Item","Base Unit of Measure","No.",$E205)</t>
  </si>
  <si>
    <t>=NL("Rows","Item Ledger Entry",,"+Posting Date",$L$5,"Item No.","@@"&amp;$D206,"Location Code","@@"&amp;$E$6)</t>
  </si>
  <si>
    <t>=NL("Sum","Item Ledger Entry","Quantity","Entry Type","Purchase","Entry No.",I206,"Location Code","@@"&amp;$E$6)</t>
  </si>
  <si>
    <t>=NL("Sum","Item Ledger Entry","Quantity","Entry Type","Sale","Entry No.",I206,"Location Code","@@"&amp;$E$6)</t>
  </si>
  <si>
    <t>=NL("Sum","Item Ledger Entry","Quantity","Entry Type","Positive Adjmt.|Negative Adjmt.","Entry No.",I206,"Location Code","@@"&amp;$E$6)</t>
  </si>
  <si>
    <t>=NL("Sum","Item Ledger Entry","Quantity","Entry Type","Transfer","Entry No.",I206,"Location Code","@@"&amp;$E$6)</t>
  </si>
  <si>
    <t>=NL("Sum","Item Ledger Entry","Quantity","Entry Type","Consumption","Entry No.",I206,"Location Code","@@"&amp;$E$6)</t>
  </si>
  <si>
    <t>=NL("Sum","Item Ledger Entry","Quantity","Entry Type","Output","Entry No.",I206,"Location Code","@@"&amp;$E$6)</t>
  </si>
  <si>
    <t>=D219</t>
  </si>
  <si>
    <t>=NF($G220,"Posting Date")</t>
  </si>
  <si>
    <t>=NF($G220,"Entry No.")</t>
  </si>
  <si>
    <t>=NF(G220,"Source Type")</t>
  </si>
  <si>
    <t>=NF($G220,"Source No.")</t>
  </si>
  <si>
    <t>=IF($J220="Customer",NL("first",$J220,"Name","No.","@@"&amp;$K220),"")</t>
  </si>
  <si>
    <t>=IF(J220="vendor",NL("first",J220,"Name","No.","@@"&amp;K220),"")</t>
  </si>
  <si>
    <t>=IF($J220="Item",NL("first",$J220,"Description","No.","@@"&amp;$K220),"")</t>
  </si>
  <si>
    <t>=NL("Sum","Item Ledger Entry","Quantity","Entry Type","Purchase","Entry No.",I234,"Location Code","@@"&amp;$E$6)</t>
  </si>
  <si>
    <t>=NL("Sum","Item Ledger Entry","Quantity","Entry Type","Sale","Entry No.",I234,"Location Code","@@"&amp;$E$6)</t>
  </si>
  <si>
    <t>=NL("Sum","Item Ledger Entry","Quantity","Entry Type","Positive Adjmt.|Negative Adjmt.","Entry No.",I234,"Location Code","@@"&amp;$E$6)</t>
  </si>
  <si>
    <t>=NL("Sum","Item Ledger Entry","Quantity","Entry Type","Transfer","Entry No.",I234,"Location Code","@@"&amp;$E$6)</t>
  </si>
  <si>
    <t>=NL("Sum","Item Ledger Entry","Quantity","Entry Type","Consumption","Entry No.",I234,"Location Code","@@"&amp;$E$6)</t>
  </si>
  <si>
    <t>=NL("Sum","Item Ledger Entry","Quantity","Entry Type","Output","Entry No.",I234,"Location Code","@@"&amp;$E$6)</t>
  </si>
  <si>
    <t>=E237</t>
  </si>
  <si>
    <t>=NL("First","Item","Description","No.",$E237)</t>
  </si>
  <si>
    <t>=NL("First","Item","Base Unit of Measure","No.",$E237)</t>
  </si>
  <si>
    <t>=NL("Rows","Item Ledger Entry",,"+Posting Date",$L$5,"Item No.","@@"&amp;$D238,"Location Code","@@"&amp;$E$6)</t>
  </si>
  <si>
    <t>=E245</t>
  </si>
  <si>
    <t>=NL("First","Item","Description","No.",$E245)</t>
  </si>
  <si>
    <t>=NL("First","Item","Base Unit of Measure","No.",$E245)</t>
  </si>
  <si>
    <t>=NL("Sum","Item Ledger Entry","Quantity","Entry Type","Purchase","Entry No.",I246,"Location Code","@@"&amp;$E$6)</t>
  </si>
  <si>
    <t>=NL("Sum","Item Ledger Entry","Quantity","Entry Type","Sale","Entry No.",I246,"Location Code","@@"&amp;$E$6)</t>
  </si>
  <si>
    <t>=NL("Sum","Item Ledger Entry","Quantity","Entry Type","Positive Adjmt.|Negative Adjmt.","Entry No.",I246,"Location Code","@@"&amp;$E$6)</t>
  </si>
  <si>
    <t>=NL("Sum","Item Ledger Entry","Quantity","Entry Type","Transfer","Entry No.",I246,"Location Code","@@"&amp;$E$6)</t>
  </si>
  <si>
    <t>=NL("Sum","Item Ledger Entry","Quantity","Entry Type","Consumption","Entry No.",I246,"Location Code","@@"&amp;$E$6)</t>
  </si>
  <si>
    <t>=NL("Sum","Item Ledger Entry","Quantity","Entry Type","Output","Entry No.",I246,"Location Code","@@"&amp;$E$6)</t>
  </si>
  <si>
    <t>=E250</t>
  </si>
  <si>
    <t>=NL("First","Item","Description","No.",$E250)</t>
  </si>
  <si>
    <t>=NL("First","Item","Base Unit of Measure","No.",$E250)</t>
  </si>
  <si>
    <t>=E281</t>
  </si>
  <si>
    <t>=NL("First","Item","Description","No.",$E281)</t>
  </si>
  <si>
    <t>=NL("First","Item","Base Unit of Measure","No.",$E281)</t>
  </si>
  <si>
    <t>=NL("Sum","Item Ledger Entry","Quantity","Entry Type","Purchase","Entry No.",I285,"Location Code","@@"&amp;$E$6)</t>
  </si>
  <si>
    <t>=NL("Sum","Item Ledger Entry","Quantity","Entry Type","Sale","Entry No.",I285,"Location Code","@@"&amp;$E$6)</t>
  </si>
  <si>
    <t>=NL("Sum","Item Ledger Entry","Quantity","Entry Type","Positive Adjmt.|Negative Adjmt.","Entry No.",I285,"Location Code","@@"&amp;$E$6)</t>
  </si>
  <si>
    <t>=NL("Sum","Item Ledger Entry","Quantity","Entry Type","Transfer","Entry No.",I285,"Location Code","@@"&amp;$E$6)</t>
  </si>
  <si>
    <t>=NL("Sum","Item Ledger Entry","Quantity","Entry Type","Consumption","Entry No.",I285,"Location Code","@@"&amp;$E$6)</t>
  </si>
  <si>
    <t>=NL("Sum","Item Ledger Entry","Quantity","Entry Type","Output","Entry No.",I285,"Location Code","@@"&amp;$E$6)</t>
  </si>
  <si>
    <t>=NL("Sum","Item Ledger Entry","Quantity","Entry Type","Purchase","Entry No.",I324,"Location Code","@@"&amp;$E$6)</t>
  </si>
  <si>
    <t>=NL("Sum","Item Ledger Entry","Quantity","Entry Type","Sale","Entry No.",I324,"Location Code","@@"&amp;$E$6)</t>
  </si>
  <si>
    <t>=NL("Sum","Item Ledger Entry","Quantity","Entry Type","Positive Adjmt.|Negative Adjmt.","Entry No.",I324,"Location Code","@@"&amp;$E$6)</t>
  </si>
  <si>
    <t>=NL("Sum","Item Ledger Entry","Quantity","Entry Type","Transfer","Entry No.",I324,"Location Code","@@"&amp;$E$6)</t>
  </si>
  <si>
    <t>=NL("Sum","Item Ledger Entry","Quantity","Entry Type","Consumption","Entry No.",I324,"Location Code","@@"&amp;$E$6)</t>
  </si>
  <si>
    <t>=NL("Sum","Item Ledger Entry","Quantity","Entry Type","Output","Entry No.",I324,"Location Code","@@"&amp;$E$6)</t>
  </si>
  <si>
    <t>=E339</t>
  </si>
  <si>
    <t>=NL("First","Item","Description","No.",$E339)</t>
  </si>
  <si>
    <t>=NL("First","Item","Base Unit of Measure","No.",$E339)</t>
  </si>
  <si>
    <t>=NL("Rows","Item Ledger Entry",,"+Posting Date",$L$5,"Item No.","@@"&amp;$D340,"Location Code","@@"&amp;$E$6)</t>
  </si>
  <si>
    <t>=NL("Sum","Item Ledger Entry","Quantity","Entry Type","Purchase","Entry No.",I340,"Location Code","@@"&amp;$E$6)</t>
  </si>
  <si>
    <t>=NL("Sum","Item Ledger Entry","Quantity","Entry Type","Sale","Entry No.",I340,"Location Code","@@"&amp;$E$6)</t>
  </si>
  <si>
    <t>=NL("Sum","Item Ledger Entry","Quantity","Entry Type","Positive Adjmt.|Negative Adjmt.","Entry No.",I340,"Location Code","@@"&amp;$E$6)</t>
  </si>
  <si>
    <t>=NL("Sum","Item Ledger Entry","Quantity","Entry Type","Transfer","Entry No.",I340,"Location Code","@@"&amp;$E$6)</t>
  </si>
  <si>
    <t>=NL("Sum","Item Ledger Entry","Quantity","Entry Type","Consumption","Entry No.",I340,"Location Code","@@"&amp;$E$6)</t>
  </si>
  <si>
    <t>=NL("Sum","Item Ledger Entry","Quantity","Entry Type","Output","Entry No.",I340,"Location Code","@@"&amp;$E$6)</t>
  </si>
  <si>
    <t>=(SUBTOTAL(9,O62:O64))</t>
  </si>
  <si>
    <t>=(SUBTOTAL(9,P62:P64))</t>
  </si>
  <si>
    <t>=(SUBTOTAL(9,Q62:Q64))</t>
  </si>
  <si>
    <t>=(SUBTOTAL(9,R62:R64))</t>
  </si>
  <si>
    <t>=(SUBTOTAL(9,S62:S64))</t>
  </si>
  <si>
    <t>=(SUBTOTAL(9,T62:T64))</t>
  </si>
  <si>
    <t>=SUBTOTAL(9,O62:T64)</t>
  </si>
  <si>
    <t>=E102</t>
  </si>
  <si>
    <t>=NL("First","Item","Description","No.",$E102)</t>
  </si>
  <si>
    <t>=NL("First","Item","Base Unit of Measure","No.",$E102)</t>
  </si>
  <si>
    <t>=E107</t>
  </si>
  <si>
    <t>=NL("First","Item","Description","No.",$E107)</t>
  </si>
  <si>
    <t>=NL("First","Item","Base Unit of Measure","No.",$E107)</t>
  </si>
  <si>
    <t>=NL("Rows","Item Ledger Entry",,"+Posting Date",$L$5,"Item No.","@@"&amp;$D108,"Location Code","@@"&amp;$E$6)</t>
  </si>
  <si>
    <t>=E131</t>
  </si>
  <si>
    <t>=NL("First","Item","Description","No.",$E131)</t>
  </si>
  <si>
    <t>=NL("First","Item","Base Unit of Measure","No.",$E131)</t>
  </si>
  <si>
    <t>=E144</t>
  </si>
  <si>
    <t>=NL("First","Item","Description","No.",$E144)</t>
  </si>
  <si>
    <t>=NL("First","Item","Base Unit of Measure","No.",$E144)</t>
  </si>
  <si>
    <t>=NL("Rows","Item Ledger Entry",,"+Posting Date",$L$5,"Item No.","@@"&amp;$D145,"Location Code","@@"&amp;$E$6)</t>
  </si>
  <si>
    <t>=NL("Sum","Item Ledger Entry","Quantity","Entry Type","Purchase","Entry No.",I178,"Location Code","@@"&amp;$E$6)</t>
  </si>
  <si>
    <t>=NL("Sum","Item Ledger Entry","Quantity","Entry Type","Sale","Entry No.",I178,"Location Code","@@"&amp;$E$6)</t>
  </si>
  <si>
    <t>=NL("Sum","Item Ledger Entry","Quantity","Entry Type","Positive Adjmt.|Negative Adjmt.","Entry No.",I178,"Location Code","@@"&amp;$E$6)</t>
  </si>
  <si>
    <t>=NL("Sum","Item Ledger Entry","Quantity","Entry Type","Transfer","Entry No.",I178,"Location Code","@@"&amp;$E$6)</t>
  </si>
  <si>
    <t>=NL("Sum","Item Ledger Entry","Quantity","Entry Type","Consumption","Entry No.",I178,"Location Code","@@"&amp;$E$6)</t>
  </si>
  <si>
    <t>=NL("Sum","Item Ledger Entry","Quantity","Entry Type","Output","Entry No.",I178,"Location Code","@@"&amp;$E$6)</t>
  </si>
  <si>
    <t>=E181</t>
  </si>
  <si>
    <t>=NL("First","Item","Description","No.",$E181)</t>
  </si>
  <si>
    <t>=NL("First","Item","Base Unit of Measure","No.",$E181)</t>
  </si>
  <si>
    <t>=(SUBTOTAL(9,O182:O183))</t>
  </si>
  <si>
    <t>=(SUBTOTAL(9,P182:P183))</t>
  </si>
  <si>
    <t>=(SUBTOTAL(9,Q182:Q183))</t>
  </si>
  <si>
    <t>=(SUBTOTAL(9,R182:R183))</t>
  </si>
  <si>
    <t>=(SUBTOTAL(9,S182:S183))</t>
  </si>
  <si>
    <t>=(SUBTOTAL(9,T182:T183))</t>
  </si>
  <si>
    <t>=SUBTOTAL(9,O182:T183)</t>
  </si>
  <si>
    <t>=E195</t>
  </si>
  <si>
    <t>=NL("First","Item","Description","No.",$E195)</t>
  </si>
  <si>
    <t>=NL("First","Item","Base Unit of Measure","No.",$E195)</t>
  </si>
  <si>
    <t>=NL("Rows","Item Ledger Entry",,"+Posting Date",$L$5,"Item No.","@@"&amp;$D196,"Location Code","@@"&amp;$E$6)</t>
  </si>
  <si>
    <t>=NL("Sum","Item Ledger Entry","Quantity","Entry Type","Purchase","Entry No.",I196,"Location Code","@@"&amp;$E$6)</t>
  </si>
  <si>
    <t>=NL("Sum","Item Ledger Entry","Quantity","Entry Type","Sale","Entry No.",I196,"Location Code","@@"&amp;$E$6)</t>
  </si>
  <si>
    <t>=NL("Sum","Item Ledger Entry","Quantity","Entry Type","Positive Adjmt.|Negative Adjmt.","Entry No.",I196,"Location Code","@@"&amp;$E$6)</t>
  </si>
  <si>
    <t>=NL("Sum","Item Ledger Entry","Quantity","Entry Type","Transfer","Entry No.",I196,"Location Code","@@"&amp;$E$6)</t>
  </si>
  <si>
    <t>=NL("Sum","Item Ledger Entry","Quantity","Entry Type","Consumption","Entry No.",I196,"Location Code","@@"&amp;$E$6)</t>
  </si>
  <si>
    <t>=NL("Sum","Item Ledger Entry","Quantity","Entry Type","Output","Entry No.",I196,"Location Code","@@"&amp;$E$6)</t>
  </si>
  <si>
    <t>=NL("Sum","Item Ledger Entry","Quantity","Entry Type","Purchase","Entry No.",I210,"Location Code","@@"&amp;$E$6)</t>
  </si>
  <si>
    <t>=NL("Sum","Item Ledger Entry","Quantity","Entry Type","Sale","Entry No.",I210,"Location Code","@@"&amp;$E$6)</t>
  </si>
  <si>
    <t>=NL("Sum","Item Ledger Entry","Quantity","Entry Type","Positive Adjmt.|Negative Adjmt.","Entry No.",I210,"Location Code","@@"&amp;$E$6)</t>
  </si>
  <si>
    <t>=NL("Sum","Item Ledger Entry","Quantity","Entry Type","Transfer","Entry No.",I210,"Location Code","@@"&amp;$E$6)</t>
  </si>
  <si>
    <t>=NL("Sum","Item Ledger Entry","Quantity","Entry Type","Consumption","Entry No.",I210,"Location Code","@@"&amp;$E$6)</t>
  </si>
  <si>
    <t>=NL("Sum","Item Ledger Entry","Quantity","Entry Type","Output","Entry No.",I210,"Location Code","@@"&amp;$E$6)</t>
  </si>
  <si>
    <t>=E213</t>
  </si>
  <si>
    <t>=NL("First","Item","Description","No.",$E213)</t>
  </si>
  <si>
    <t>=NL("First","Item","Base Unit of Measure","No.",$E213)</t>
  </si>
  <si>
    <t>=NL("Rows","Item Ledger Entry",,"+Posting Date",$L$5,"Item No.","@@"&amp;$D214,"Location Code","@@"&amp;$E$6)</t>
  </si>
  <si>
    <t>=NL("Sum","Item Ledger Entry","Quantity","Entry Type","Purchase","Entry No.",I214,"Location Code","@@"&amp;$E$6)</t>
  </si>
  <si>
    <t>=NL("Sum","Item Ledger Entry","Quantity","Entry Type","Sale","Entry No.",I214,"Location Code","@@"&amp;$E$6)</t>
  </si>
  <si>
    <t>=NL("Sum","Item Ledger Entry","Quantity","Entry Type","Positive Adjmt.|Negative Adjmt.","Entry No.",I214,"Location Code","@@"&amp;$E$6)</t>
  </si>
  <si>
    <t>=NL("Sum","Item Ledger Entry","Quantity","Entry Type","Transfer","Entry No.",I214,"Location Code","@@"&amp;$E$6)</t>
  </si>
  <si>
    <t>=NL("Sum","Item Ledger Entry","Quantity","Entry Type","Consumption","Entry No.",I214,"Location Code","@@"&amp;$E$6)</t>
  </si>
  <si>
    <t>=NL("Sum","Item Ledger Entry","Quantity","Entry Type","Output","Entry No.",I214,"Location Code","@@"&amp;$E$6)</t>
  </si>
  <si>
    <t>=NL("Sum","Item Ledger Entry","Quantity","Entry Type","Purchase","Entry No.",I215,"Location Code","@@"&amp;$E$6)</t>
  </si>
  <si>
    <t>=NL("Sum","Item Ledger Entry","Quantity","Entry Type","Sale","Entry No.",I215,"Location Code","@@"&amp;$E$6)</t>
  </si>
  <si>
    <t>=NL("Sum","Item Ledger Entry","Quantity","Entry Type","Positive Adjmt.|Negative Adjmt.","Entry No.",I215,"Location Code","@@"&amp;$E$6)</t>
  </si>
  <si>
    <t>=NL("Sum","Item Ledger Entry","Quantity","Entry Type","Transfer","Entry No.",I215,"Location Code","@@"&amp;$E$6)</t>
  </si>
  <si>
    <t>=NL("Sum","Item Ledger Entry","Quantity","Entry Type","Consumption","Entry No.",I215,"Location Code","@@"&amp;$E$6)</t>
  </si>
  <si>
    <t>=NL("Sum","Item Ledger Entry","Quantity","Entry Type","Output","Entry No.",I215,"Location Code","@@"&amp;$E$6)</t>
  </si>
  <si>
    <t>=NL("Sum","Item Ledger Entry","Quantity","Entry Type","Purchase","Entry No.",I226,"Location Code","@@"&amp;$E$6)</t>
  </si>
  <si>
    <t>=NL("Sum","Item Ledger Entry","Quantity","Entry Type","Sale","Entry No.",I226,"Location Code","@@"&amp;$E$6)</t>
  </si>
  <si>
    <t>=NL("Sum","Item Ledger Entry","Quantity","Entry Type","Positive Adjmt.|Negative Adjmt.","Entry No.",I226,"Location Code","@@"&amp;$E$6)</t>
  </si>
  <si>
    <t>=NL("Sum","Item Ledger Entry","Quantity","Entry Type","Transfer","Entry No.",I226,"Location Code","@@"&amp;$E$6)</t>
  </si>
  <si>
    <t>=NL("Sum","Item Ledger Entry","Quantity","Entry Type","Consumption","Entry No.",I226,"Location Code","@@"&amp;$E$6)</t>
  </si>
  <si>
    <t>=NL("Sum","Item Ledger Entry","Quantity","Entry Type","Output","Entry No.",I226,"Location Code","@@"&amp;$E$6)</t>
  </si>
  <si>
    <t>=NL("Sum","Item Ledger Entry","Quantity","Entry Type","Purchase","Entry No.",I281,"Location Code","@@"&amp;$E$6)</t>
  </si>
  <si>
    <t>=NL("Sum","Item Ledger Entry","Quantity","Entry Type","Sale","Entry No.",I281,"Location Code","@@"&amp;$E$6)</t>
  </si>
  <si>
    <t>=NL("Sum","Item Ledger Entry","Quantity","Entry Type","Positive Adjmt.|Negative Adjmt.","Entry No.",I281,"Location Code","@@"&amp;$E$6)</t>
  </si>
  <si>
    <t>=NL("Sum","Item Ledger Entry","Quantity","Entry Type","Transfer","Entry No.",I281,"Location Code","@@"&amp;$E$6)</t>
  </si>
  <si>
    <t>=NL("Sum","Item Ledger Entry","Quantity","Entry Type","Consumption","Entry No.",I281,"Location Code","@@"&amp;$E$6)</t>
  </si>
  <si>
    <t>=NL("Sum","Item Ledger Entry","Quantity","Entry Type","Output","Entry No.",I281,"Location Code","@@"&amp;$E$6)</t>
  </si>
  <si>
    <t>=E300</t>
  </si>
  <si>
    <t>=NL("First","Item","Description","No.",$E300)</t>
  </si>
  <si>
    <t>=NL("First","Item","Base Unit of Measure","No.",$E300)</t>
  </si>
  <si>
    <t>=NL("Rows","Item Ledger Entry",,"+Posting Date",$L$5,"Item No.","@@"&amp;$D301,"Location Code","@@"&amp;$E$6)</t>
  </si>
  <si>
    <t>=NL("Sum","Item Ledger Entry","Quantity","Entry Type","Purchase","Entry No.",I301,"Location Code","@@"&amp;$E$6)</t>
  </si>
  <si>
    <t>=NL("Sum","Item Ledger Entry","Quantity","Entry Type","Sale","Entry No.",I301,"Location Code","@@"&amp;$E$6)</t>
  </si>
  <si>
    <t>=NL("Sum","Item Ledger Entry","Quantity","Entry Type","Positive Adjmt.|Negative Adjmt.","Entry No.",I301,"Location Code","@@"&amp;$E$6)</t>
  </si>
  <si>
    <t>=NL("Sum","Item Ledger Entry","Quantity","Entry Type","Transfer","Entry No.",I301,"Location Code","@@"&amp;$E$6)</t>
  </si>
  <si>
    <t>=NL("Sum","Item Ledger Entry","Quantity","Entry Type","Consumption","Entry No.",I301,"Location Code","@@"&amp;$E$6)</t>
  </si>
  <si>
    <t>=NL("Sum","Item Ledger Entry","Quantity","Entry Type","Output","Entry No.",I301,"Location Code","@@"&amp;$E$6)</t>
  </si>
  <si>
    <t>=NL("Sum","Item Ledger Entry","Quantity","Entry Type","Purchase","Entry No.",I302,"Location Code","@@"&amp;$E$6)</t>
  </si>
  <si>
    <t>=NL("Sum","Item Ledger Entry","Quantity","Entry Type","Sale","Entry No.",I302,"Location Code","@@"&amp;$E$6)</t>
  </si>
  <si>
    <t>=NL("Sum","Item Ledger Entry","Quantity","Entry Type","Positive Adjmt.|Negative Adjmt.","Entry No.",I302,"Location Code","@@"&amp;$E$6)</t>
  </si>
  <si>
    <t>=NL("Sum","Item Ledger Entry","Quantity","Entry Type","Transfer","Entry No.",I302,"Location Code","@@"&amp;$E$6)</t>
  </si>
  <si>
    <t>=NL("Sum","Item Ledger Entry","Quantity","Entry Type","Consumption","Entry No.",I302,"Location Code","@@"&amp;$E$6)</t>
  </si>
  <si>
    <t>=NL("Sum","Item Ledger Entry","Quantity","Entry Type","Output","Entry No.",I302,"Location Code","@@"&amp;$E$6)</t>
  </si>
  <si>
    <t>=E316</t>
  </si>
  <si>
    <t>=NL("First","Item","Description","No.",$E316)</t>
  </si>
  <si>
    <t>=NL("First","Item","Base Unit of Measure","No.",$E316)</t>
  </si>
  <si>
    <t>=D348</t>
  </si>
  <si>
    <t>=NF($G349,"Posting Date")</t>
  </si>
  <si>
    <t>=NF($G349,"Entry No.")</t>
  </si>
  <si>
    <t>=NF(G349,"Source Type")</t>
  </si>
  <si>
    <t>=NF($G349,"Source No.")</t>
  </si>
  <si>
    <t>=IF($J349="Customer",NL("first",$J349,"Name","No.","@@"&amp;$K349),"")</t>
  </si>
  <si>
    <t>=IF(J349="vendor",NL("first",J349,"Name","No.","@@"&amp;K349),"")</t>
  </si>
  <si>
    <t>=IF($J349="Item",NL("first",$J349,"Description","No.","@@"&amp;$K349),"")</t>
  </si>
  <si>
    <t>=NL("Sum","Item Ledger Entry","Quantity","Entry Type","Purchase","Entry No.",I349,"Location Code","@@"&amp;$E$6)</t>
  </si>
  <si>
    <t>=NL("Sum","Item Ledger Entry","Quantity","Entry Type","Sale","Entry No.",I349,"Location Code","@@"&amp;$E$6)</t>
  </si>
  <si>
    <t>=NL("Sum","Item Ledger Entry","Quantity","Entry Type","Positive Adjmt.|Negative Adjmt.","Entry No.",I349,"Location Code","@@"&amp;$E$6)</t>
  </si>
  <si>
    <t>=NL("Sum","Item Ledger Entry","Quantity","Entry Type","Transfer","Entry No.",I349,"Location Code","@@"&amp;$E$6)</t>
  </si>
  <si>
    <t>=NL("Sum","Item Ledger Entry","Quantity","Entry Type","Consumption","Entry No.",I349,"Location Code","@@"&amp;$E$6)</t>
  </si>
  <si>
    <t>=NL("Sum","Item Ledger Entry","Quantity","Entry Type","Output","Entry No.",I349,"Location Code","@@"&amp;$E$6)</t>
  </si>
  <si>
    <t>=NL("Sum","Item Ledger Entry","Quantity","Entry Type","Purchase","Entry No.",I381,"Location Code","@@"&amp;$E$6)</t>
  </si>
  <si>
    <t>=NL("Sum","Item Ledger Entry","Quantity","Entry Type","Sale","Entry No.",I381,"Location Code","@@"&amp;$E$6)</t>
  </si>
  <si>
    <t>=NL("Sum","Item Ledger Entry","Quantity","Entry Type","Positive Adjmt.|Negative Adjmt.","Entry No.",I381,"Location Code","@@"&amp;$E$6)</t>
  </si>
  <si>
    <t>=NL("Sum","Item Ledger Entry","Quantity","Entry Type","Transfer","Entry No.",I381,"Location Code","@@"&amp;$E$6)</t>
  </si>
  <si>
    <t>=NL("Sum","Item Ledger Entry","Quantity","Entry Type","Consumption","Entry No.",I381,"Location Code","@@"&amp;$E$6)</t>
  </si>
  <si>
    <t>=NL("Sum","Item Ledger Entry","Quantity","Entry Type","Output","Entry No.",I381,"Location Code","@@"&amp;$E$6)</t>
  </si>
  <si>
    <t>=NL("Sum","Item Ledger Entry","Quantity","Entry Type","Purchase","Entry No.",I385,"Location Code","@@"&amp;$E$6)</t>
  </si>
  <si>
    <t>=NL("Sum","Item Ledger Entry","Quantity","Entry Type","Sale","Entry No.",I385,"Location Code","@@"&amp;$E$6)</t>
  </si>
  <si>
    <t>=NL("Sum","Item Ledger Entry","Quantity","Entry Type","Positive Adjmt.|Negative Adjmt.","Entry No.",I385,"Location Code","@@"&amp;$E$6)</t>
  </si>
  <si>
    <t>=NL("Sum","Item Ledger Entry","Quantity","Entry Type","Transfer","Entry No.",I385,"Location Code","@@"&amp;$E$6)</t>
  </si>
  <si>
    <t>=NL("Sum","Item Ledger Entry","Quantity","Entry Type","Consumption","Entry No.",I385,"Location Code","@@"&amp;$E$6)</t>
  </si>
  <si>
    <t>=NL("Sum","Item Ledger Entry","Quantity","Entry Type","Output","Entry No.",I385,"Location Code","@@"&amp;$E$6)</t>
  </si>
  <si>
    <t>=NL("Sum","Item Ledger Entry","Quantity","Entry Type","Purchase","Entry No.",I389,"Location Code","@@"&amp;$E$6)</t>
  </si>
  <si>
    <t>=NL("Sum","Item Ledger Entry","Quantity","Entry Type","Sale","Entry No.",I389,"Location Code","@@"&amp;$E$6)</t>
  </si>
  <si>
    <t>=NL("Sum","Item Ledger Entry","Quantity","Entry Type","Positive Adjmt.|Negative Adjmt.","Entry No.",I389,"Location Code","@@"&amp;$E$6)</t>
  </si>
  <si>
    <t>=NL("Sum","Item Ledger Entry","Quantity","Entry Type","Transfer","Entry No.",I389,"Location Code","@@"&amp;$E$6)</t>
  </si>
  <si>
    <t>=NL("Sum","Item Ledger Entry","Quantity","Entry Type","Consumption","Entry No.",I389,"Location Code","@@"&amp;$E$6)</t>
  </si>
  <si>
    <t>=NL("Sum","Item Ledger Entry","Quantity","Entry Type","Output","Entry No.",I389,"Location Code","@@"&amp;$E$6)</t>
  </si>
  <si>
    <t>=E89</t>
  </si>
  <si>
    <t>=NL("First","Item","Description","No.",$E89)</t>
  </si>
  <si>
    <t>=NL("First","Item","Base Unit of Measure","No.",$E89)</t>
  </si>
  <si>
    <t>=NL("Rows","Item Ledger Entry",,"+Posting Date",$L$5,"Item No.","@@"&amp;$D90,"Location Code","@@"&amp;$E$6)</t>
  </si>
  <si>
    <t>=E103</t>
  </si>
  <si>
    <t>=NL("First","Item","Description","No.",$E103)</t>
  </si>
  <si>
    <t>=NL("First","Item","Base Unit of Measure","No.",$E103)</t>
  </si>
  <si>
    <t>=(SUBTOTAL(9,O104:O105))</t>
  </si>
  <si>
    <t>=(SUBTOTAL(9,P104:P105))</t>
  </si>
  <si>
    <t>=(SUBTOTAL(9,Q104:Q105))</t>
  </si>
  <si>
    <t>=(SUBTOTAL(9,R104:R105))</t>
  </si>
  <si>
    <t>=(SUBTOTAL(9,S104:S105))</t>
  </si>
  <si>
    <t>=(SUBTOTAL(9,T104:T105))</t>
  </si>
  <si>
    <t>=SUBTOTAL(9,O104:T105)</t>
  </si>
  <si>
    <t>=NL("Rows","Item Ledger Entry",,"+Posting Date",$L$5,"Item No.","@@"&amp;$D104,"Location Code","@@"&amp;$E$6)</t>
  </si>
  <si>
    <t>=E46</t>
  </si>
  <si>
    <t>=NL("First","Item","Description","No.",$E46)</t>
  </si>
  <si>
    <t>=NL("First","Item","Base Unit of Measure","No.",$E46)</t>
  </si>
  <si>
    <t>=(SUBTOTAL(9,O47:O49))</t>
  </si>
  <si>
    <t>=(SUBTOTAL(9,P47:P49))</t>
  </si>
  <si>
    <t>=(SUBTOTAL(9,Q47:Q49))</t>
  </si>
  <si>
    <t>=(SUBTOTAL(9,R47:R49))</t>
  </si>
  <si>
    <t>=(SUBTOTAL(9,S47:S49))</t>
  </si>
  <si>
    <t>=(SUBTOTAL(9,T47:T49))</t>
  </si>
  <si>
    <t>=SUBTOTAL(9,O47:T49)</t>
  </si>
  <si>
    <t>=NL("Rows","Item Ledger Entry",,"+Posting Date",$L$5,"Item No.","@@"&amp;$D47,"Location Code","@@"&amp;$E$6)</t>
  </si>
  <si>
    <t>=(SUBTOTAL(9,O90:O92))</t>
  </si>
  <si>
    <t>=(SUBTOTAL(9,P90:P92))</t>
  </si>
  <si>
    <t>=(SUBTOTAL(9,Q90:Q92))</t>
  </si>
  <si>
    <t>=(SUBTOTAL(9,R90:R92))</t>
  </si>
  <si>
    <t>=(SUBTOTAL(9,S90:S92))</t>
  </si>
  <si>
    <t>=(SUBTOTAL(9,T90:T92))</t>
  </si>
  <si>
    <t>=SUBTOTAL(9,O90:T92)</t>
  </si>
  <si>
    <t>=(SUBTOTAL(9,O95:O96))</t>
  </si>
  <si>
    <t>=(SUBTOTAL(9,P95:P96))</t>
  </si>
  <si>
    <t>=(SUBTOTAL(9,Q95:Q96))</t>
  </si>
  <si>
    <t>=(SUBTOTAL(9,R95:R96))</t>
  </si>
  <si>
    <t>=(SUBTOTAL(9,S95:S96))</t>
  </si>
  <si>
    <t>=(SUBTOTAL(9,T95:T96))</t>
  </si>
  <si>
    <t>=SUBTOTAL(9,O95:T96)</t>
  </si>
  <si>
    <t>=E98</t>
  </si>
  <si>
    <t>=NL("First","Item","Description","No.",$E98)</t>
  </si>
  <si>
    <t>=NL("First","Item","Base Unit of Measure","No.",$E98)</t>
  </si>
  <si>
    <t>=NL("Rows","Item Ledger Entry",,"+Posting Date",$L$5,"Item No.","@@"&amp;$D99,"Location Code","@@"&amp;$E$6)</t>
  </si>
  <si>
    <t>=E141</t>
  </si>
  <si>
    <t>=NL("First","Item","Description","No.",$E141)</t>
  </si>
  <si>
    <t>=NL("First","Item","Base Unit of Measure","No.",$E141)</t>
  </si>
  <si>
    <t>=NL("Rows","Item Ledger Entry",,"+Posting Date",$L$5,"Item No.","@@"&amp;$D142,"Location Code","@@"&amp;$E$6)</t>
  </si>
  <si>
    <t>=NL("Sum","Item Ledger Entry","Quantity","Entry Type","Purchase","Entry No.",I275,"Location Code","@@"&amp;$E$6)</t>
  </si>
  <si>
    <t>=NL("Sum","Item Ledger Entry","Quantity","Entry Type","Sale","Entry No.",I275,"Location Code","@@"&amp;$E$6)</t>
  </si>
  <si>
    <t>=NL("Sum","Item Ledger Entry","Quantity","Entry Type","Positive Adjmt.|Negative Adjmt.","Entry No.",I275,"Location Code","@@"&amp;$E$6)</t>
  </si>
  <si>
    <t>=NL("Sum","Item Ledger Entry","Quantity","Entry Type","Transfer","Entry No.",I275,"Location Code","@@"&amp;$E$6)</t>
  </si>
  <si>
    <t>=NL("Sum","Item Ledger Entry","Quantity","Entry Type","Consumption","Entry No.",I275,"Location Code","@@"&amp;$E$6)</t>
  </si>
  <si>
    <t>=NL("Sum","Item Ledger Entry","Quantity","Entry Type","Output","Entry No.",I275,"Location Code","@@"&amp;$E$6)</t>
  </si>
  <si>
    <t>=E278</t>
  </si>
  <si>
    <t>=NL("First","Item","Description","No.",$E278)</t>
  </si>
  <si>
    <t>=NL("First","Item","Base Unit of Measure","No.",$E278)</t>
  </si>
  <si>
    <t>=NL("Rows","Item Ledger Entry",,"+Posting Date",$L$5,"Item No.","@@"&amp;$D279,"Location Code","@@"&amp;$E$6)</t>
  </si>
  <si>
    <t>=E305</t>
  </si>
  <si>
    <t>=NL("First","Item","Description","No.",$E305)</t>
  </si>
  <si>
    <t>=NL("First","Item","Base Unit of Measure","No.",$E305)</t>
  </si>
  <si>
    <t>=NL("Rows","Item Ledger Entry",,"+Posting Date",$L$5,"Item No.","@@"&amp;$D306,"Location Code","@@"&amp;$E$6)</t>
  </si>
  <si>
    <t>=NL("Sum","Item Ledger Entry","Quantity","Entry Type","Purchase","Entry No.",I306,"Location Code","@@"&amp;$E$6)</t>
  </si>
  <si>
    <t>=NL("Sum","Item Ledger Entry","Quantity","Entry Type","Sale","Entry No.",I306,"Location Code","@@"&amp;$E$6)</t>
  </si>
  <si>
    <t>=NL("Sum","Item Ledger Entry","Quantity","Entry Type","Positive Adjmt.|Negative Adjmt.","Entry No.",I306,"Location Code","@@"&amp;$E$6)</t>
  </si>
  <si>
    <t>=NL("Sum","Item Ledger Entry","Quantity","Entry Type","Transfer","Entry No.",I306,"Location Code","@@"&amp;$E$6)</t>
  </si>
  <si>
    <t>=NL("Sum","Item Ledger Entry","Quantity","Entry Type","Consumption","Entry No.",I306,"Location Code","@@"&amp;$E$6)</t>
  </si>
  <si>
    <t>=NL("Sum","Item Ledger Entry","Quantity","Entry Type","Output","Entry No.",I306,"Location Code","@@"&amp;$E$6)</t>
  </si>
  <si>
    <t>="NY-WHSE2"</t>
  </si>
  <si>
    <t>=(SUBTOTAL(9,O86:O87))</t>
  </si>
  <si>
    <t>=(SUBTOTAL(9,P86:P87))</t>
  </si>
  <si>
    <t>=(SUBTOTAL(9,Q86:Q87))</t>
  </si>
  <si>
    <t>=(SUBTOTAL(9,R86:R87))</t>
  </si>
  <si>
    <t>=(SUBTOTAL(9,S86:S87))</t>
  </si>
  <si>
    <t>=(SUBTOTAL(9,T86:T87))</t>
  </si>
  <si>
    <t>=SUBTOTAL(9,O86:T87)</t>
  </si>
  <si>
    <t>Tooltip</t>
  </si>
  <si>
    <t>Enter a date range using the date format used in your NAV instance</t>
  </si>
  <si>
    <t>=NL("Sum","Item Ledger Entry","Quantity","Entry Type","Purchase","Entry No.",I47,"Location Code",$L$7)</t>
  </si>
  <si>
    <t>=NL("Sum","Item Ledger Entry","Quantity","Entry Type","Sale","Entry No.",I47,"Location Code",$L$7)</t>
  </si>
  <si>
    <t>=NL("Sum","Item Ledger Entry","Quantity","Entry Type","Positive Adjmt.|Negative Adjmt.","Entry No.",I47,"Location Code",$L$7)</t>
  </si>
  <si>
    <t>=NL("Sum","Item Ledger Entry","Quantity","Entry Type","Transfer","Entry No.",I47,"Location Code",$L$7)</t>
  </si>
  <si>
    <t>=NL("Sum","Item Ledger Entry","Quantity","Entry Type","Consumption","Entry No.",I47,"Location Code",$L$7)</t>
  </si>
  <si>
    <t>=NL("Sum","Item Ledger Entry","Quantity","Entry Type","Output","Entry No.",I47,"Location Code",$L$7)</t>
  </si>
  <si>
    <t>=NL("Sum","Item Ledger Entry","Quantity","Entry Type","Purchase","Entry No.",I48,"Location Code",$L$7)</t>
  </si>
  <si>
    <t>=NL("Sum","Item Ledger Entry","Quantity","Entry Type","Sale","Entry No.",I48,"Location Code",$L$7)</t>
  </si>
  <si>
    <t>=NL("Sum","Item Ledger Entry","Quantity","Entry Type","Positive Adjmt.|Negative Adjmt.","Entry No.",I48,"Location Code",$L$7)</t>
  </si>
  <si>
    <t>=NL("Sum","Item Ledger Entry","Quantity","Entry Type","Transfer","Entry No.",I48,"Location Code",$L$7)</t>
  </si>
  <si>
    <t>=NL("Sum","Item Ledger Entry","Quantity","Entry Type","Consumption","Entry No.",I48,"Location Code",$L$7)</t>
  </si>
  <si>
    <t>=NL("Sum","Item Ledger Entry","Quantity","Entry Type","Output","Entry No.",I48,"Location Code",$L$7)</t>
  </si>
  <si>
    <t>=D92</t>
  </si>
  <si>
    <t>=IF($J93="Customer",NL("first",$J93,"Name","No.","@@"&amp;$K93),"")</t>
  </si>
  <si>
    <t>=IF(J93="vendor",NL("first",J93,"Name","No.","@@"&amp;K93),"")</t>
  </si>
  <si>
    <t>=IF($J93="Item",NL("first",$J93,"Description","No.","@@"&amp;$K93),"")</t>
  </si>
  <si>
    <t>=NL("Sum","Item Ledger Entry","Quantity","Entry Type","Purchase","Entry No.",I99,"Location Code",$L$7)</t>
  </si>
  <si>
    <t>=NL("Sum","Item Ledger Entry","Quantity","Entry Type","Sale","Entry No.",I99,"Location Code",$L$7)</t>
  </si>
  <si>
    <t>=NL("Sum","Item Ledger Entry","Quantity","Entry Type","Positive Adjmt.|Negative Adjmt.","Entry No.",I99,"Location Code",$L$7)</t>
  </si>
  <si>
    <t>=NL("Sum","Item Ledger Entry","Quantity","Entry Type","Transfer","Entry No.",I99,"Location Code",$L$7)</t>
  </si>
  <si>
    <t>=NL("Sum","Item Ledger Entry","Quantity","Entry Type","Consumption","Entry No.",I99,"Location Code",$L$7)</t>
  </si>
  <si>
    <t>=NL("Sum","Item Ledger Entry","Quantity","Entry Type","Output","Entry No.",I99,"Location Code",$L$7)</t>
  </si>
  <si>
    <t>=D108</t>
  </si>
  <si>
    <t>=IF($J109="Customer",NL("first",$J109,"Name","No.","@@"&amp;$K109),"")</t>
  </si>
  <si>
    <t>=IF(J109="vendor",NL("first",J109,"Name","No.","@@"&amp;K109),"")</t>
  </si>
  <si>
    <t>=IF($J109="Item",NL("first",$J109,"Description","No.","@@"&amp;$K109),"")</t>
  </si>
  <si>
    <t>=E225</t>
  </si>
  <si>
    <t>=NL("First","Item","Description","No.",$E225)</t>
  </si>
  <si>
    <t>=NL("First","Item","Base Unit of Measure","No.",$E225)</t>
  </si>
  <si>
    <t>=D294</t>
  </si>
  <si>
    <t>=NF($G295,"Posting Date")</t>
  </si>
  <si>
    <t>=NF($G295,"Entry No.")</t>
  </si>
  <si>
    <t>=NF(G295,"Source Type")</t>
  </si>
  <si>
    <t>=NF($G295,"Source No.")</t>
  </si>
  <si>
    <t>=IF($J295="Customer",NL("first",$J295,"Name","No.","@@"&amp;$K295),"")</t>
  </si>
  <si>
    <t>=IF(J295="vendor",NL("first",J295,"Name","No.","@@"&amp;K295),"")</t>
  </si>
  <si>
    <t>=IF($J295="Item",NL("first",$J295,"Description","No.","@@"&amp;$K295),"")</t>
  </si>
  <si>
    <t>=NL("Sum","Item Ledger Entry","Quantity","Entry Type","Purchase","Entry No.",I296,"Location Code",$L$7)</t>
  </si>
  <si>
    <t>=NL("Sum","Item Ledger Entry","Quantity","Entry Type","Sale","Entry No.",I296,"Location Code",$L$7)</t>
  </si>
  <si>
    <t>=NL("Sum","Item Ledger Entry","Quantity","Entry Type","Positive Adjmt.|Negative Adjmt.","Entry No.",I296,"Location Code",$L$7)</t>
  </si>
  <si>
    <t>=NL("Sum","Item Ledger Entry","Quantity","Entry Type","Transfer","Entry No.",I296,"Location Code",$L$7)</t>
  </si>
  <si>
    <t>=NL("Sum","Item Ledger Entry","Quantity","Entry Type","Consumption","Entry No.",I296,"Location Code",$L$7)</t>
  </si>
  <si>
    <t>=NL("Sum","Item Ledger Entry","Quantity","Entry Type","Output","Entry No.",I296,"Location Code",$L$7)</t>
  </si>
  <si>
    <t>=D307</t>
  </si>
  <si>
    <t>=IF($J308="Customer",NL("first",$J308,"Name","No.","@@"&amp;$K308),"")</t>
  </si>
  <si>
    <t>=IF(J308="vendor",NL("first",J308,"Name","No.","@@"&amp;K308),"")</t>
  </si>
  <si>
    <t>=IF($J308="Item",NL("first",$J308,"Description","No.","@@"&amp;$K308),"")</t>
  </si>
  <si>
    <t>=E311</t>
  </si>
  <si>
    <t>=NL("First","Item","Description","No.",$E311)</t>
  </si>
  <si>
    <t>=NL("First","Item","Base Unit of Measure","No.",$E311)</t>
  </si>
  <si>
    <t>=D376</t>
  </si>
  <si>
    <t>=NF($G377,"Posting Date")</t>
  </si>
  <si>
    <t>=NF($G377,"Entry No.")</t>
  </si>
  <si>
    <t>=NF(G377,"Source Type")</t>
  </si>
  <si>
    <t>=NF($G377,"Source No.")</t>
  </si>
  <si>
    <t>=IF($J377="Customer",NL("first",$J377,"Name","No.","@@"&amp;$K377),"")</t>
  </si>
  <si>
    <t>=IF(J377="vendor",NL("first",J377,"Name","No.","@@"&amp;K377),"")</t>
  </si>
  <si>
    <t>=IF($J377="Item",NL("first",$J377,"Description","No.","@@"&amp;$K377),"")</t>
  </si>
  <si>
    <t>=NL("Sum","Item Ledger Entry","Quantity","Entry Type","Purchase","Entry No.",I377,"Location Code",$L$7)</t>
  </si>
  <si>
    <t>=NL("Sum","Item Ledger Entry","Quantity","Entry Type","Sale","Entry No.",I377,"Location Code",$L$7)</t>
  </si>
  <si>
    <t>=NL("Sum","Item Ledger Entry","Quantity","Entry Type","Positive Adjmt.|Negative Adjmt.","Entry No.",I377,"Location Code",$L$7)</t>
  </si>
  <si>
    <t>=NL("Sum","Item Ledger Entry","Quantity","Entry Type","Transfer","Entry No.",I377,"Location Code",$L$7)</t>
  </si>
  <si>
    <t>=NL("Sum","Item Ledger Entry","Quantity","Entry Type","Consumption","Entry No.",I377,"Location Code",$L$7)</t>
  </si>
  <si>
    <t>=NL("Sum","Item Ledger Entry","Quantity","Entry Type","Output","Entry No.",I377,"Location Code",$L$7)</t>
  </si>
  <si>
    <t>=E389</t>
  </si>
  <si>
    <t>=NL("First","Item","Description","No.",$E389)</t>
  </si>
  <si>
    <t>=NL("First","Item","Base Unit of Measure","No.",$E389)</t>
  </si>
  <si>
    <t>=NL("Sum","Item Ledger Entry","Quantity","Entry Type","Purchase","Entry No.",I390,"Location Code",$L$7)</t>
  </si>
  <si>
    <t>=NL("Sum","Item Ledger Entry","Quantity","Entry Type","Sale","Entry No.",I390,"Location Code",$L$7)</t>
  </si>
  <si>
    <t>=NL("Sum","Item Ledger Entry","Quantity","Entry Type","Positive Adjmt.|Negative Adjmt.","Entry No.",I390,"Location Code",$L$7)</t>
  </si>
  <si>
    <t>=NL("Sum","Item Ledger Entry","Quantity","Entry Type","Transfer","Entry No.",I390,"Location Code",$L$7)</t>
  </si>
  <si>
    <t>=NL("Sum","Item Ledger Entry","Quantity","Entry Type","Consumption","Entry No.",I390,"Location Code",$L$7)</t>
  </si>
  <si>
    <t>=NL("Sum","Item Ledger Entry","Quantity","Entry Type","Output","Entry No.",I390,"Location Code",$L$7)</t>
  </si>
  <si>
    <t>=NL("Sum","Item Ledger Entry","Quantity","Entry Type","Purchase","Entry No.",I391,"Location Code",$L$7)</t>
  </si>
  <si>
    <t>=NL("Sum","Item Ledger Entry","Quantity","Entry Type","Sale","Entry No.",I391,"Location Code",$L$7)</t>
  </si>
  <si>
    <t>=NL("Sum","Item Ledger Entry","Quantity","Entry Type","Positive Adjmt.|Negative Adjmt.","Entry No.",I391,"Location Code",$L$7)</t>
  </si>
  <si>
    <t>=NL("Sum","Item Ledger Entry","Quantity","Entry Type","Transfer","Entry No.",I391,"Location Code",$L$7)</t>
  </si>
  <si>
    <t>=NL("Sum","Item Ledger Entry","Quantity","Entry Type","Consumption","Entry No.",I391,"Location Code",$L$7)</t>
  </si>
  <si>
    <t>=NL("Sum","Item Ledger Entry","Quantity","Entry Type","Output","Entry No.",I391,"Location Code",$L$7)</t>
  </si>
  <si>
    <t>=NL("Sum","Item Ledger Entry","Quantity","Entry Type","Purchase","Entry No.",I398,"Location Code",$L$7)</t>
  </si>
  <si>
    <t>=NL("Sum","Item Ledger Entry","Quantity","Entry Type","Sale","Entry No.",I398,"Location Code",$L$7)</t>
  </si>
  <si>
    <t>=NL("Sum","Item Ledger Entry","Quantity","Entry Type","Positive Adjmt.|Negative Adjmt.","Entry No.",I398,"Location Code",$L$7)</t>
  </si>
  <si>
    <t>=NL("Sum","Item Ledger Entry","Quantity","Entry Type","Transfer","Entry No.",I398,"Location Code",$L$7)</t>
  </si>
  <si>
    <t>=NL("Sum","Item Ledger Entry","Quantity","Entry Type","Consumption","Entry No.",I398,"Location Code",$L$7)</t>
  </si>
  <si>
    <t>=NL("Sum","Item Ledger Entry","Quantity","Entry Type","Output","Entry No.",I398,"Location Code",$L$7)</t>
  </si>
  <si>
    <t>=D406</t>
  </si>
  <si>
    <t>=IF($J407="Customer",NL("first",$J407,"Name","No.","@@"&amp;$K407),"")</t>
  </si>
  <si>
    <t>=IF(J407="vendor",NL("first",J407,"Name","No.","@@"&amp;K407),"")</t>
  </si>
  <si>
    <t>=IF($J407="Item",NL("first",$J407,"Description","No.","@@"&amp;$K407),"")</t>
  </si>
  <si>
    <t>=D412</t>
  </si>
  <si>
    <t>=IF($J413="Customer",NL("first",$J413,"Name","No.","@@"&amp;$K413),"")</t>
  </si>
  <si>
    <t>=IF(J413="vendor",NL("first",J413,"Name","No.","@@"&amp;K413),"")</t>
  </si>
  <si>
    <t>=IF($J413="Item",NL("first",$J413,"Description","No.","@@"&amp;$K413),"")</t>
  </si>
  <si>
    <t>=D433</t>
  </si>
  <si>
    <t>=NF($G434,"Posting Date")</t>
  </si>
  <si>
    <t>=NF($G434,"Entry No.")</t>
  </si>
  <si>
    <t>=NF(G434,"Source Type")</t>
  </si>
  <si>
    <t>=NF($G434,"Source No.")</t>
  </si>
  <si>
    <t>=IF($J434="Customer",NL("first",$J434,"Name","No.","@@"&amp;$K434),"")</t>
  </si>
  <si>
    <t>=IF(J434="vendor",NL("first",J434,"Name","No.","@@"&amp;K434),"")</t>
  </si>
  <si>
    <t>=IF($J434="Item",NL("first",$J434,"Description","No.","@@"&amp;$K434),"")</t>
  </si>
  <si>
    <t>=NL("Sum","Item Ledger Entry","Quantity","Entry Type","Purchase","Entry No.",I434,"Location Code",$L$7)</t>
  </si>
  <si>
    <t>=NL("Sum","Item Ledger Entry","Quantity","Entry Type","Sale","Entry No.",I434,"Location Code",$L$7)</t>
  </si>
  <si>
    <t>=NL("Sum","Item Ledger Entry","Quantity","Entry Type","Positive Adjmt.|Negative Adjmt.","Entry No.",I434,"Location Code",$L$7)</t>
  </si>
  <si>
    <t>=NL("Sum","Item Ledger Entry","Quantity","Entry Type","Transfer","Entry No.",I434,"Location Code",$L$7)</t>
  </si>
  <si>
    <t>=NL("Sum","Item Ledger Entry","Quantity","Entry Type","Consumption","Entry No.",I434,"Location Code",$L$7)</t>
  </si>
  <si>
    <t>=NL("Sum","Item Ledger Entry","Quantity","Entry Type","Output","Entry No.",I434,"Location Code",$L$7)</t>
  </si>
  <si>
    <t>=E438</t>
  </si>
  <si>
    <t>=NL("First","Item","Description","No.",$E438)</t>
  </si>
  <si>
    <t>=NL("First","Item","Base Unit of Measure","No.",$E438)</t>
  </si>
  <si>
    <t>=D439</t>
  </si>
  <si>
    <t>=NF($G440,"Posting Date")</t>
  </si>
  <si>
    <t>=NF($G440,"Entry No.")</t>
  </si>
  <si>
    <t>=NF(G440,"Source Type")</t>
  </si>
  <si>
    <t>=NF($G440,"Source No.")</t>
  </si>
  <si>
    <t>=IF($J440="Customer",NL("first",$J440,"Name","No.","@@"&amp;$K440),"")</t>
  </si>
  <si>
    <t>=IF(J440="vendor",NL("first",J440,"Name","No.","@@"&amp;K440),"")</t>
  </si>
  <si>
    <t>=IF($J440="Item",NL("first",$J440,"Description","No.","@@"&amp;$K440),"")</t>
  </si>
  <si>
    <t>=NL("Sum","Item Ledger Entry","Quantity","Entry Type","Purchase","Entry No.",I440,"Location Code",$L$7)</t>
  </si>
  <si>
    <t>=NL("Sum","Item Ledger Entry","Quantity","Entry Type","Sale","Entry No.",I440,"Location Code",$L$7)</t>
  </si>
  <si>
    <t>=NL("Sum","Item Ledger Entry","Quantity","Entry Type","Positive Adjmt.|Negative Adjmt.","Entry No.",I440,"Location Code",$L$7)</t>
  </si>
  <si>
    <t>=NL("Sum","Item Ledger Entry","Quantity","Entry Type","Transfer","Entry No.",I440,"Location Code",$L$7)</t>
  </si>
  <si>
    <t>=NL("Sum","Item Ledger Entry","Quantity","Entry Type","Consumption","Entry No.",I440,"Location Code",$L$7)</t>
  </si>
  <si>
    <t>=NL("Sum","Item Ledger Entry","Quantity","Entry Type","Output","Entry No.",I440,"Location Code",$L$7)</t>
  </si>
  <si>
    <t>=NL("Sum","Item Ledger Entry","Quantity","Entry Type","Purchase","Entry No.",I441,"Location Code",$L$7)</t>
  </si>
  <si>
    <t>=NL("Sum","Item Ledger Entry","Quantity","Entry Type","Sale","Entry No.",I441,"Location Code",$L$7)</t>
  </si>
  <si>
    <t>=NL("Sum","Item Ledger Entry","Quantity","Entry Type","Positive Adjmt.|Negative Adjmt.","Entry No.",I441,"Location Code",$L$7)</t>
  </si>
  <si>
    <t>=NL("Sum","Item Ledger Entry","Quantity","Entry Type","Transfer","Entry No.",I441,"Location Code",$L$7)</t>
  </si>
  <si>
    <t>=NL("Sum","Item Ledger Entry","Quantity","Entry Type","Consumption","Entry No.",I441,"Location Code",$L$7)</t>
  </si>
  <si>
    <t>=NL("Sum","Item Ledger Entry","Quantity","Entry Type","Output","Entry No.",I441,"Location Code",$L$7)</t>
  </si>
  <si>
    <t>=D446</t>
  </si>
  <si>
    <t>=NF($G447,"Posting Date")</t>
  </si>
  <si>
    <t>=NF($G447,"Entry No.")</t>
  </si>
  <si>
    <t>=NF(G447,"Source Type")</t>
  </si>
  <si>
    <t>=NF($G447,"Source No.")</t>
  </si>
  <si>
    <t>=IF($J447="Customer",NL("first",$J447,"Name","No.","@@"&amp;$K447),"")</t>
  </si>
  <si>
    <t>=IF(J447="vendor",NL("first",J447,"Name","No.","@@"&amp;K447),"")</t>
  </si>
  <si>
    <t>=IF($J447="Item",NL("first",$J447,"Description","No.","@@"&amp;$K447),"")</t>
  </si>
  <si>
    <t>=NL("Sum","Item Ledger Entry","Quantity","Entry Type","Purchase","Entry No.",I447,"Location Code",$L$7)</t>
  </si>
  <si>
    <t>=NL("Sum","Item Ledger Entry","Quantity","Entry Type","Sale","Entry No.",I447,"Location Code",$L$7)</t>
  </si>
  <si>
    <t>=NL("Sum","Item Ledger Entry","Quantity","Entry Type","Positive Adjmt.|Negative Adjmt.","Entry No.",I447,"Location Code",$L$7)</t>
  </si>
  <si>
    <t>=NL("Sum","Item Ledger Entry","Quantity","Entry Type","Transfer","Entry No.",I447,"Location Code",$L$7)</t>
  </si>
  <si>
    <t>=NL("Sum","Item Ledger Entry","Quantity","Entry Type","Consumption","Entry No.",I447,"Location Code",$L$7)</t>
  </si>
  <si>
    <t>=NL("Sum","Item Ledger Entry","Quantity","Entry Type","Output","Entry No.",I447,"Location Code",$L$7)</t>
  </si>
  <si>
    <t>=D447</t>
  </si>
  <si>
    <t>=NF($G448,"Posting Date")</t>
  </si>
  <si>
    <t>=NF($G448,"Entry No.")</t>
  </si>
  <si>
    <t>=NF(G448,"Source Type")</t>
  </si>
  <si>
    <t>=NF($G448,"Source No.")</t>
  </si>
  <si>
    <t>=IF($J448="Customer",NL("first",$J448,"Name","No.","@@"&amp;$K448),"")</t>
  </si>
  <si>
    <t>=IF(J448="vendor",NL("first",J448,"Name","No.","@@"&amp;K448),"")</t>
  </si>
  <si>
    <t>=IF($J448="Item",NL("first",$J448,"Description","No.","@@"&amp;$K448),"")</t>
  </si>
  <si>
    <t>=E451</t>
  </si>
  <si>
    <t>=NL("First","Item","Description","No.",$E451)</t>
  </si>
  <si>
    <t>=NL("First","Item","Base Unit of Measure","No.",$E451)</t>
  </si>
  <si>
    <t>=E457</t>
  </si>
  <si>
    <t>=NL("First","Item","Description","No.",$E457)</t>
  </si>
  <si>
    <t>=NL("First","Item","Base Unit of Measure","No.",$E457)</t>
  </si>
  <si>
    <t>=D457</t>
  </si>
  <si>
    <t>=IF($J458="Customer",NL("first",$J458,"Name","No.","@@"&amp;$K458),"")</t>
  </si>
  <si>
    <t>=IF(J458="vendor",NL("first",J458,"Name","No.","@@"&amp;K458),"")</t>
  </si>
  <si>
    <t>=IF($J458="Item",NL("first",$J458,"Description","No.","@@"&amp;$K458),"")</t>
  </si>
  <si>
    <t>=D461</t>
  </si>
  <si>
    <t>=IF($J462="Customer",NL("first",$J462,"Name","No.","@@"&amp;$K462),"")</t>
  </si>
  <si>
    <t>=IF(J462="vendor",NL("first",J462,"Name","No.","@@"&amp;K462),"")</t>
  </si>
  <si>
    <t>=IF($J462="Item",NL("first",$J462,"Description","No.","@@"&amp;$K462),"")</t>
  </si>
  <si>
    <t>=D465</t>
  </si>
  <si>
    <t>=IF($J466="Customer",NL("first",$J466,"Name","No.","@@"&amp;$K466),"")</t>
  </si>
  <si>
    <t>=IF(J466="vendor",NL("first",J466,"Name","No.","@@"&amp;K466),"")</t>
  </si>
  <si>
    <t>=IF($J466="Item",NL("first",$J466,"Description","No.","@@"&amp;$K466),"")</t>
  </si>
  <si>
    <t>=D491</t>
  </si>
  <si>
    <t>=NF($G492,"Posting Date")</t>
  </si>
  <si>
    <t>=NF($G492,"Entry No.")</t>
  </si>
  <si>
    <t>=NF(G492,"Source Type")</t>
  </si>
  <si>
    <t>=NF($G492,"Source No.")</t>
  </si>
  <si>
    <t>=IF($J492="Customer",NL("first",$J492,"Name","No.","@@"&amp;$K492),"")</t>
  </si>
  <si>
    <t>=IF(J492="vendor",NL("first",J492,"Name","No.","@@"&amp;K492),"")</t>
  </si>
  <si>
    <t>=IF($J492="Item",NL("first",$J492,"Description","No.","@@"&amp;$K492),"")</t>
  </si>
  <si>
    <t>=D497</t>
  </si>
  <si>
    <t>=NF($G498,"Posting Date")</t>
  </si>
  <si>
    <t>=NF($G498,"Entry No.")</t>
  </si>
  <si>
    <t>=NF(G498,"Source Type")</t>
  </si>
  <si>
    <t>=NF($G498,"Source No.")</t>
  </si>
  <si>
    <t>=IF($J498="Customer",NL("first",$J498,"Name","No.","@@"&amp;$K498),"")</t>
  </si>
  <si>
    <t>=IF(J498="vendor",NL("first",J498,"Name","No.","@@"&amp;K498),"")</t>
  </si>
  <si>
    <t>=IF($J498="Item",NL("first",$J498,"Description","No.","@@"&amp;$K498),"")</t>
  </si>
  <si>
    <t>=NL("Sum","Item Ledger Entry","Quantity","Entry Type","Purchase","Entry No.",I498,"Location Code",$L$7)</t>
  </si>
  <si>
    <t>=NL("Sum","Item Ledger Entry","Quantity","Entry Type","Sale","Entry No.",I498,"Location Code",$L$7)</t>
  </si>
  <si>
    <t>=NL("Sum","Item Ledger Entry","Quantity","Entry Type","Positive Adjmt.|Negative Adjmt.","Entry No.",I498,"Location Code",$L$7)</t>
  </si>
  <si>
    <t>=NL("Sum","Item Ledger Entry","Quantity","Entry Type","Transfer","Entry No.",I498,"Location Code",$L$7)</t>
  </si>
  <si>
    <t>=NL("Sum","Item Ledger Entry","Quantity","Entry Type","Consumption","Entry No.",I498,"Location Code",$L$7)</t>
  </si>
  <si>
    <t>=NL("Sum","Item Ledger Entry","Quantity","Entry Type","Output","Entry No.",I498,"Location Code",$L$7)</t>
  </si>
  <si>
    <t>=E509</t>
  </si>
  <si>
    <t>=NL("First","Item","Description","No.",$E509)</t>
  </si>
  <si>
    <t>=NL("First","Item","Base Unit of Measure","No.",$E509)</t>
  </si>
  <si>
    <t>=D520</t>
  </si>
  <si>
    <t>=IF($J521="Customer",NL("first",$J521,"Name","No.","@@"&amp;$K521),"")</t>
  </si>
  <si>
    <t>=IF(J521="vendor",NL("first",J521,"Name","No.","@@"&amp;K521),"")</t>
  </si>
  <si>
    <t>=IF($J521="Item",NL("first",$J521,"Description","No.","@@"&amp;$K521),"")</t>
  </si>
  <si>
    <t>=D521</t>
  </si>
  <si>
    <t>=IF($J522="Customer",NL("first",$J522,"Name","No.","@@"&amp;$K522),"")</t>
  </si>
  <si>
    <t>=IF(J522="vendor",NL("first",J522,"Name","No.","@@"&amp;K522),"")</t>
  </si>
  <si>
    <t>=IF($J522="Item",NL("first",$J522,"Description","No.","@@"&amp;$K522),"")</t>
  </si>
  <si>
    <t>=E530</t>
  </si>
  <si>
    <t>=NL("First","Item","Description","No.",$E530)</t>
  </si>
  <si>
    <t>=NL("First","Item","Base Unit of Measure","No.",$E530)</t>
  </si>
  <si>
    <t>=D530</t>
  </si>
  <si>
    <t>=IF($J531="Customer",NL("first",$J531,"Name","No.","@@"&amp;$K531),"")</t>
  </si>
  <si>
    <t>=IF(J531="vendor",NL("first",J531,"Name","No.","@@"&amp;K531),"")</t>
  </si>
  <si>
    <t>=IF($J531="Item",NL("first",$J531,"Description","No.","@@"&amp;$K531),"")</t>
  </si>
  <si>
    <t>=D531</t>
  </si>
  <si>
    <t>=IF($J532="Customer",NL("first",$J532,"Name","No.","@@"&amp;$K532),"")</t>
  </si>
  <si>
    <t>=IF(J532="vendor",NL("first",J532,"Name","No.","@@"&amp;K532),"")</t>
  </si>
  <si>
    <t>=IF($J532="Item",NL("first",$J532,"Description","No.","@@"&amp;$K532),"")</t>
  </si>
  <si>
    <t>=D536</t>
  </si>
  <si>
    <t>=IF($J537="Customer",NL("first",$J537,"Name","No.","@@"&amp;$K537),"")</t>
  </si>
  <si>
    <t>=IF(J537="vendor",NL("first",J537,"Name","No.","@@"&amp;K537),"")</t>
  </si>
  <si>
    <t>=IF($J537="Item",NL("first",$J537,"Description","No.","@@"&amp;$K537),"")</t>
  </si>
  <si>
    <t>=D537</t>
  </si>
  <si>
    <t>=IF($J538="Customer",NL("first",$J538,"Name","No.","@@"&amp;$K538),"")</t>
  </si>
  <si>
    <t>=IF(J538="vendor",NL("first",J538,"Name","No.","@@"&amp;K538),"")</t>
  </si>
  <si>
    <t>=IF($J538="Item",NL("first",$J538,"Description","No.","@@"&amp;$K538),"")</t>
  </si>
  <si>
    <t>=D544</t>
  </si>
  <si>
    <t>=IF($J545="Customer",NL("first",$J545,"Name","No.","@@"&amp;$K545),"")</t>
  </si>
  <si>
    <t>=IF(J545="vendor",NL("first",J545,"Name","No.","@@"&amp;K545),"")</t>
  </si>
  <si>
    <t>=IF($J545="Item",NL("first",$J545,"Description","No.","@@"&amp;$K545),"")</t>
  </si>
  <si>
    <t>=D545</t>
  </si>
  <si>
    <t>=IF($J546="Customer",NL("first",$J546,"Name","No.","@@"&amp;$K546),"")</t>
  </si>
  <si>
    <t>=IF(J546="vendor",NL("first",J546,"Name","No.","@@"&amp;K546),"")</t>
  </si>
  <si>
    <t>=IF($J546="Item",NL("first",$J546,"Description","No.","@@"&amp;$K546),"")</t>
  </si>
  <si>
    <t>=D546</t>
  </si>
  <si>
    <t>=IF($J547="Customer",NL("first",$J547,"Name","No.","@@"&amp;$K547),"")</t>
  </si>
  <si>
    <t>=IF(J547="vendor",NL("first",J547,"Name","No.","@@"&amp;K547),"")</t>
  </si>
  <si>
    <t>=IF($J547="Item",NL("first",$J547,"Description","No.","@@"&amp;$K547),"")</t>
  </si>
  <si>
    <t>=E553</t>
  </si>
  <si>
    <t>=NL("First","Item","Description","No.",$E553)</t>
  </si>
  <si>
    <t>=NL("First","Item","Base Unit of Measure","No.",$E553)</t>
  </si>
  <si>
    <t>=D553</t>
  </si>
  <si>
    <t>=IF($J554="Customer",NL("first",$J554,"Name","No.","@@"&amp;$K554),"")</t>
  </si>
  <si>
    <t>=IF(J554="vendor",NL("first",J554,"Name","No.","@@"&amp;K554),"")</t>
  </si>
  <si>
    <t>=IF($J554="Item",NL("first",$J554,"Description","No.","@@"&amp;$K554),"")</t>
  </si>
  <si>
    <t>=D559</t>
  </si>
  <si>
    <t>=IF($J560="Customer",NL("first",$J560,"Name","No.","@@"&amp;$K560),"")</t>
  </si>
  <si>
    <t>=IF(J560="vendor",NL("first",J560,"Name","No.","@@"&amp;K560),"")</t>
  </si>
  <si>
    <t>=IF($J560="Item",NL("first",$J560,"Description","No.","@@"&amp;$K560),"")</t>
  </si>
  <si>
    <t>=D561</t>
  </si>
  <si>
    <t>=IF($J562="Customer",NL("first",$J562,"Name","No.","@@"&amp;$K562),"")</t>
  </si>
  <si>
    <t>=IF(J562="vendor",NL("first",J562,"Name","No.","@@"&amp;K562),"")</t>
  </si>
  <si>
    <t>=IF($J562="Item",NL("first",$J562,"Description","No.","@@"&amp;$K562),"")</t>
  </si>
  <si>
    <t>=D573</t>
  </si>
  <si>
    <t>=IF($J574="Customer",NL("first",$J574,"Name","No.","@@"&amp;$K574),"")</t>
  </si>
  <si>
    <t>=IF(J574="vendor",NL("first",J574,"Name","No.","@@"&amp;K574),"")</t>
  </si>
  <si>
    <t>=IF($J574="Item",NL("first",$J574,"Description","No.","@@"&amp;$K574),"")</t>
  </si>
  <si>
    <t>=D597</t>
  </si>
  <si>
    <t>=IF($J598="Customer",NL("first",$J598,"Name","No.","@@"&amp;$K598),"")</t>
  </si>
  <si>
    <t>=IF(J598="vendor",NL("first",J598,"Name","No.","@@"&amp;K598),"")</t>
  </si>
  <si>
    <t>=IF($J598="Item",NL("first",$J598,"Description","No.","@@"&amp;$K598),"")</t>
  </si>
  <si>
    <t>=D598</t>
  </si>
  <si>
    <t>=IF($J599="Customer",NL("first",$J599,"Name","No.","@@"&amp;$K599),"")</t>
  </si>
  <si>
    <t>=IF(J599="vendor",NL("first",J599,"Name","No.","@@"&amp;K599),"")</t>
  </si>
  <si>
    <t>=IF($J599="Item",NL("first",$J599,"Description","No.","@@"&amp;$K599),"")</t>
  </si>
  <si>
    <t>=E602</t>
  </si>
  <si>
    <t>=NL("First","Item","Description","No.",$E602)</t>
  </si>
  <si>
    <t>=NL("First","Item","Base Unit of Measure","No.",$E602)</t>
  </si>
  <si>
    <t>=D613</t>
  </si>
  <si>
    <t>=IF($J614="Customer",NL("first",$J614,"Name","No.","@@"&amp;$K614),"")</t>
  </si>
  <si>
    <t>=IF(J614="vendor",NL("first",J614,"Name","No.","@@"&amp;K614),"")</t>
  </si>
  <si>
    <t>=IF($J614="Item",NL("first",$J614,"Description","No.","@@"&amp;$K614),"")</t>
  </si>
  <si>
    <t>=D651</t>
  </si>
  <si>
    <t>=IF($J652="Customer",NL("first",$J652,"Name","No.","@@"&amp;$K652),"")</t>
  </si>
  <si>
    <t>=IF(J652="vendor",NL("first",J652,"Name","No.","@@"&amp;K652),"")</t>
  </si>
  <si>
    <t>=IF($J652="Item",NL("first",$J652,"Description","No.","@@"&amp;$K652),"")</t>
  </si>
  <si>
    <t>=D697</t>
  </si>
  <si>
    <t>=IF($J698="Customer",NL("first",$J698,"Name","No.","@@"&amp;$K698),"")</t>
  </si>
  <si>
    <t>=IF(J698="vendor",NL("first",J698,"Name","No.","@@"&amp;K698),"")</t>
  </si>
  <si>
    <t>=IF($J698="Item",NL("first",$J698,"Description","No.","@@"&amp;$K698),"")</t>
  </si>
  <si>
    <t>=NF($G698,"Posting Date")</t>
  </si>
  <si>
    <t>=NF($G698,"Entry No.")</t>
  </si>
  <si>
    <t>=NL("Sum","Item Ledger Entry","Quantity","Entry Type","Purchase","Entry No.",I698,"Location Code",$L$7)</t>
  </si>
  <si>
    <t>=NL("Sum","Item Ledger Entry","Quantity","Entry Type","Sale","Entry No.",I698,"Location Code",$L$7)</t>
  </si>
  <si>
    <t>=NL("Sum","Item Ledger Entry","Quantity","Entry Type","Positive Adjmt.|Negative Adjmt.","Entry No.",I698,"Location Code",$L$7)</t>
  </si>
  <si>
    <t>=NL("Sum","Item Ledger Entry","Quantity","Entry Type","Transfer","Entry No.",I698,"Location Code",$L$7)</t>
  </si>
  <si>
    <t>=NL("Sum","Item Ledger Entry","Quantity","Entry Type","Consumption","Entry No.",I698,"Location Code",$L$7)</t>
  </si>
  <si>
    <t>=NL("Sum","Item Ledger Entry","Quantity","Entry Type","Output","Entry No.",I698,"Location Code",$L$7)</t>
  </si>
  <si>
    <t>=NF(G698,"Source Type")</t>
  </si>
  <si>
    <t>=NF($G698,"Source No.")</t>
  </si>
  <si>
    <t>=NF($G652,"Posting Date")</t>
  </si>
  <si>
    <t>=NF($G652,"Entry No.")</t>
  </si>
  <si>
    <t>=NF(G652,"Source Type")</t>
  </si>
  <si>
    <t>=NF($G652,"Source No.")</t>
  </si>
  <si>
    <t>=NF($G614,"Posting Date")</t>
  </si>
  <si>
    <t>=NF($G614,"Entry No.")</t>
  </si>
  <si>
    <t>=NF(G614,"Source Type")</t>
  </si>
  <si>
    <t>=NF($G614,"Source No.")</t>
  </si>
  <si>
    <t>=NF($G598,"Posting Date")</t>
  </si>
  <si>
    <t>=NF($G599,"Posting Date")</t>
  </si>
  <si>
    <t>=NF($G598,"Entry No.")</t>
  </si>
  <si>
    <t>=NF($G599,"Entry No.")</t>
  </si>
  <si>
    <t>=NL("Sum","Item Ledger Entry","Quantity","Entry Type","Purchase","Entry No.",I598,"Location Code",$L$7)</t>
  </si>
  <si>
    <t>=NL("Sum","Item Ledger Entry","Quantity","Entry Type","Purchase","Entry No.",I599,"Location Code",$L$7)</t>
  </si>
  <si>
    <t>=NL("Sum","Item Ledger Entry","Quantity","Entry Type","Sale","Entry No.",I598,"Location Code",$L$7)</t>
  </si>
  <si>
    <t>=NL("Sum","Item Ledger Entry","Quantity","Entry Type","Sale","Entry No.",I599,"Location Code",$L$7)</t>
  </si>
  <si>
    <t>=NL("Sum","Item Ledger Entry","Quantity","Entry Type","Positive Adjmt.|Negative Adjmt.","Entry No.",I598,"Location Code",$L$7)</t>
  </si>
  <si>
    <t>=NL("Sum","Item Ledger Entry","Quantity","Entry Type","Positive Adjmt.|Negative Adjmt.","Entry No.",I599,"Location Code",$L$7)</t>
  </si>
  <si>
    <t>=NL("Sum","Item Ledger Entry","Quantity","Entry Type","Transfer","Entry No.",I598,"Location Code",$L$7)</t>
  </si>
  <si>
    <t>=NL("Sum","Item Ledger Entry","Quantity","Entry Type","Transfer","Entry No.",I599,"Location Code",$L$7)</t>
  </si>
  <si>
    <t>=NL("Sum","Item Ledger Entry","Quantity","Entry Type","Consumption","Entry No.",I598,"Location Code",$L$7)</t>
  </si>
  <si>
    <t>=NL("Sum","Item Ledger Entry","Quantity","Entry Type","Consumption","Entry No.",I599,"Location Code",$L$7)</t>
  </si>
  <si>
    <t>=NL("Sum","Item Ledger Entry","Quantity","Entry Type","Output","Entry No.",I598,"Location Code",$L$7)</t>
  </si>
  <si>
    <t>=NL("Sum","Item Ledger Entry","Quantity","Entry Type","Output","Entry No.",I599,"Location Code",$L$7)</t>
  </si>
  <si>
    <t>=NF(G598,"Source Type")</t>
  </si>
  <si>
    <t>=NF(G599,"Source Type")</t>
  </si>
  <si>
    <t>=NF($G598,"Source No.")</t>
  </si>
  <si>
    <t>=NF($G599,"Source No.")</t>
  </si>
  <si>
    <t>=NF($G574,"Posting Date")</t>
  </si>
  <si>
    <t>=NF($G574,"Entry No.")</t>
  </si>
  <si>
    <t>=NF(G574,"Source Type")</t>
  </si>
  <si>
    <t>=NF($G574,"Source No.")</t>
  </si>
  <si>
    <t>=NF($G554,"Posting Date")</t>
  </si>
  <si>
    <t>=NF($G560,"Posting Date")</t>
  </si>
  <si>
    <t>=NF($G562,"Posting Date")</t>
  </si>
  <si>
    <t>=NF($G554,"Entry No.")</t>
  </si>
  <si>
    <t>=NF($G560,"Entry No.")</t>
  </si>
  <si>
    <t>=NF($G562,"Entry No.")</t>
  </si>
  <si>
    <t>=NL("Sum","Item Ledger Entry","Quantity","Entry Type","Purchase","Entry No.",I560,"Location Code",$L$7)</t>
  </si>
  <si>
    <t>=NL("Sum","Item Ledger Entry","Quantity","Entry Type","Sale","Entry No.",I560,"Location Code",$L$7)</t>
  </si>
  <si>
    <t>=NL("Sum","Item Ledger Entry","Quantity","Entry Type","Positive Adjmt.|Negative Adjmt.","Entry No.",I560,"Location Code",$L$7)</t>
  </si>
  <si>
    <t>=NL("Sum","Item Ledger Entry","Quantity","Entry Type","Transfer","Entry No.",I560,"Location Code",$L$7)</t>
  </si>
  <si>
    <t>=NL("Sum","Item Ledger Entry","Quantity","Entry Type","Consumption","Entry No.",I560,"Location Code",$L$7)</t>
  </si>
  <si>
    <t>=NL("Sum","Item Ledger Entry","Quantity","Entry Type","Output","Entry No.",I560,"Location Code",$L$7)</t>
  </si>
  <si>
    <t>=NF(G554,"Source Type")</t>
  </si>
  <si>
    <t>=NF(G560,"Source Type")</t>
  </si>
  <si>
    <t>=NF(G562,"Source Type")</t>
  </si>
  <si>
    <t>=NF($G554,"Source No.")</t>
  </si>
  <si>
    <t>=NF($G560,"Source No.")</t>
  </si>
  <si>
    <t>=NF($G562,"Source No.")</t>
  </si>
  <si>
    <t>=NF($G545,"Posting Date")</t>
  </si>
  <si>
    <t>=NF($G546,"Posting Date")</t>
  </si>
  <si>
    <t>=NF($G547,"Posting Date")</t>
  </si>
  <si>
    <t>=NF($G545,"Entry No.")</t>
  </si>
  <si>
    <t>=NF($G546,"Entry No.")</t>
  </si>
  <si>
    <t>=NF($G547,"Entry No.")</t>
  </si>
  <si>
    <t>=NL("Sum","Item Ledger Entry","Quantity","Entry Type","Purchase","Entry No.",I545,"Location Code",$L$7)</t>
  </si>
  <si>
    <t>=NL("Sum","Item Ledger Entry","Quantity","Entry Type","Purchase","Entry No.",I546,"Location Code",$L$7)</t>
  </si>
  <si>
    <t>=NL("Sum","Item Ledger Entry","Quantity","Entry Type","Purchase","Entry No.",I547,"Location Code",$L$7)</t>
  </si>
  <si>
    <t>=NL("Sum","Item Ledger Entry","Quantity","Entry Type","Sale","Entry No.",I545,"Location Code",$L$7)</t>
  </si>
  <si>
    <t>=NL("Sum","Item Ledger Entry","Quantity","Entry Type","Sale","Entry No.",I546,"Location Code",$L$7)</t>
  </si>
  <si>
    <t>=NL("Sum","Item Ledger Entry","Quantity","Entry Type","Sale","Entry No.",I547,"Location Code",$L$7)</t>
  </si>
  <si>
    <t>=NL("Sum","Item Ledger Entry","Quantity","Entry Type","Positive Adjmt.|Negative Adjmt.","Entry No.",I545,"Location Code",$L$7)</t>
  </si>
  <si>
    <t>=NL("Sum","Item Ledger Entry","Quantity","Entry Type","Positive Adjmt.|Negative Adjmt.","Entry No.",I546,"Location Code",$L$7)</t>
  </si>
  <si>
    <t>=NL("Sum","Item Ledger Entry","Quantity","Entry Type","Positive Adjmt.|Negative Adjmt.","Entry No.",I547,"Location Code",$L$7)</t>
  </si>
  <si>
    <t>=NL("Sum","Item Ledger Entry","Quantity","Entry Type","Transfer","Entry No.",I545,"Location Code",$L$7)</t>
  </si>
  <si>
    <t>=NL("Sum","Item Ledger Entry","Quantity","Entry Type","Transfer","Entry No.",I546,"Location Code",$L$7)</t>
  </si>
  <si>
    <t>=NL("Sum","Item Ledger Entry","Quantity","Entry Type","Transfer","Entry No.",I547,"Location Code",$L$7)</t>
  </si>
  <si>
    <t>=NL("Sum","Item Ledger Entry","Quantity","Entry Type","Consumption","Entry No.",I545,"Location Code",$L$7)</t>
  </si>
  <si>
    <t>=NL("Sum","Item Ledger Entry","Quantity","Entry Type","Consumption","Entry No.",I546,"Location Code",$L$7)</t>
  </si>
  <si>
    <t>=NL("Sum","Item Ledger Entry","Quantity","Entry Type","Consumption","Entry No.",I547,"Location Code",$L$7)</t>
  </si>
  <si>
    <t>=NL("Sum","Item Ledger Entry","Quantity","Entry Type","Output","Entry No.",I545,"Location Code",$L$7)</t>
  </si>
  <si>
    <t>=NL("Sum","Item Ledger Entry","Quantity","Entry Type","Output","Entry No.",I546,"Location Code",$L$7)</t>
  </si>
  <si>
    <t>=NL("Sum","Item Ledger Entry","Quantity","Entry Type","Output","Entry No.",I547,"Location Code",$L$7)</t>
  </si>
  <si>
    <t>=NF(G545,"Source Type")</t>
  </si>
  <si>
    <t>=NF(G546,"Source Type")</t>
  </si>
  <si>
    <t>=NF(G547,"Source Type")</t>
  </si>
  <si>
    <t>=NF($G545,"Source No.")</t>
  </si>
  <si>
    <t>=NF($G546,"Source No.")</t>
  </si>
  <si>
    <t>=NF($G547,"Source No.")</t>
  </si>
  <si>
    <t>=NF($G531,"Posting Date")</t>
  </si>
  <si>
    <t>=NF($G532,"Posting Date")</t>
  </si>
  <si>
    <t>=NF($G537,"Posting Date")</t>
  </si>
  <si>
    <t>=NF($G538,"Posting Date")</t>
  </si>
  <si>
    <t>=NF($G531,"Entry No.")</t>
  </si>
  <si>
    <t>=NF($G532,"Entry No.")</t>
  </si>
  <si>
    <t>=NF($G537,"Entry No.")</t>
  </si>
  <si>
    <t>=NF($G538,"Entry No.")</t>
  </si>
  <si>
    <t>=NL("Sum","Item Ledger Entry","Quantity","Entry Type","Purchase","Entry No.",I531,"Location Code",$L$7)</t>
  </si>
  <si>
    <t>=NL("Sum","Item Ledger Entry","Quantity","Entry Type","Purchase","Entry No.",I532,"Location Code",$L$7)</t>
  </si>
  <si>
    <t>=NL("Sum","Item Ledger Entry","Quantity","Entry Type","Sale","Entry No.",I531,"Location Code",$L$7)</t>
  </si>
  <si>
    <t>=NL("Sum","Item Ledger Entry","Quantity","Entry Type","Sale","Entry No.",I532,"Location Code",$L$7)</t>
  </si>
  <si>
    <t>=NL("Sum","Item Ledger Entry","Quantity","Entry Type","Positive Adjmt.|Negative Adjmt.","Entry No.",I531,"Location Code",$L$7)</t>
  </si>
  <si>
    <t>=NL("Sum","Item Ledger Entry","Quantity","Entry Type","Positive Adjmt.|Negative Adjmt.","Entry No.",I532,"Location Code",$L$7)</t>
  </si>
  <si>
    <t>=NL("Sum","Item Ledger Entry","Quantity","Entry Type","Transfer","Entry No.",I531,"Location Code",$L$7)</t>
  </si>
  <si>
    <t>=NL("Sum","Item Ledger Entry","Quantity","Entry Type","Transfer","Entry No.",I532,"Location Code",$L$7)</t>
  </si>
  <si>
    <t>=NL("Sum","Item Ledger Entry","Quantity","Entry Type","Consumption","Entry No.",I531,"Location Code",$L$7)</t>
  </si>
  <si>
    <t>=NL("Sum","Item Ledger Entry","Quantity","Entry Type","Consumption","Entry No.",I532,"Location Code",$L$7)</t>
  </si>
  <si>
    <t>=NL("Sum","Item Ledger Entry","Quantity","Entry Type","Output","Entry No.",I531,"Location Code",$L$7)</t>
  </si>
  <si>
    <t>=NL("Sum","Item Ledger Entry","Quantity","Entry Type","Output","Entry No.",I532,"Location Code",$L$7)</t>
  </si>
  <si>
    <t>=NF(G531,"Source Type")</t>
  </si>
  <si>
    <t>=NF(G532,"Source Type")</t>
  </si>
  <si>
    <t>=NF(G537,"Source Type")</t>
  </si>
  <si>
    <t>=NF(G538,"Source Type")</t>
  </si>
  <si>
    <t>=NF($G531,"Source No.")</t>
  </si>
  <si>
    <t>=NF($G532,"Source No.")</t>
  </si>
  <si>
    <t>=NF($G537,"Source No.")</t>
  </si>
  <si>
    <t>=NF($G538,"Source No.")</t>
  </si>
  <si>
    <t>=NF($G521,"Posting Date")</t>
  </si>
  <si>
    <t>=NF($G522,"Posting Date")</t>
  </si>
  <si>
    <t>=NF($G521,"Entry No.")</t>
  </si>
  <si>
    <t>=NF($G522,"Entry No.")</t>
  </si>
  <si>
    <t>=NL("Sum","Item Ledger Entry","Quantity","Entry Type","Purchase","Entry No.",I521,"Location Code",$L$7)</t>
  </si>
  <si>
    <t>=NL("Sum","Item Ledger Entry","Quantity","Entry Type","Purchase","Entry No.",I522,"Location Code",$L$7)</t>
  </si>
  <si>
    <t>=NL("Sum","Item Ledger Entry","Quantity","Entry Type","Sale","Entry No.",I521,"Location Code",$L$7)</t>
  </si>
  <si>
    <t>=NL("Sum","Item Ledger Entry","Quantity","Entry Type","Sale","Entry No.",I522,"Location Code",$L$7)</t>
  </si>
  <si>
    <t>=NL("Sum","Item Ledger Entry","Quantity","Entry Type","Positive Adjmt.|Negative Adjmt.","Entry No.",I521,"Location Code",$L$7)</t>
  </si>
  <si>
    <t>=NL("Sum","Item Ledger Entry","Quantity","Entry Type","Positive Adjmt.|Negative Adjmt.","Entry No.",I522,"Location Code",$L$7)</t>
  </si>
  <si>
    <t>=NL("Sum","Item Ledger Entry","Quantity","Entry Type","Transfer","Entry No.",I521,"Location Code",$L$7)</t>
  </si>
  <si>
    <t>=NL("Sum","Item Ledger Entry","Quantity","Entry Type","Transfer","Entry No.",I522,"Location Code",$L$7)</t>
  </si>
  <si>
    <t>=NL("Sum","Item Ledger Entry","Quantity","Entry Type","Consumption","Entry No.",I521,"Location Code",$L$7)</t>
  </si>
  <si>
    <t>=NL("Sum","Item Ledger Entry","Quantity","Entry Type","Consumption","Entry No.",I522,"Location Code",$L$7)</t>
  </si>
  <si>
    <t>=NL("Sum","Item Ledger Entry","Quantity","Entry Type","Output","Entry No.",I521,"Location Code",$L$7)</t>
  </si>
  <si>
    <t>=NL("Sum","Item Ledger Entry","Quantity","Entry Type","Output","Entry No.",I522,"Location Code",$L$7)</t>
  </si>
  <si>
    <t>=NF(G521,"Source Type")</t>
  </si>
  <si>
    <t>=NF(G522,"Source Type")</t>
  </si>
  <si>
    <t>=NF($G521,"Source No.")</t>
  </si>
  <si>
    <t>=NF($G522,"Source No.")</t>
  </si>
  <si>
    <t>=NL("Sum","Item Ledger Entry","Quantity","Entry Type","Purchase","Entry No.",I484,"Location Code",$L$7)</t>
  </si>
  <si>
    <t>=NL("Sum","Item Ledger Entry","Quantity","Entry Type","Sale","Entry No.",I484,"Location Code",$L$7)</t>
  </si>
  <si>
    <t>=NL("Sum","Item Ledger Entry","Quantity","Entry Type","Positive Adjmt.|Negative Adjmt.","Entry No.",I484,"Location Code",$L$7)</t>
  </si>
  <si>
    <t>=NL("Sum","Item Ledger Entry","Quantity","Entry Type","Transfer","Entry No.",I484,"Location Code",$L$7)</t>
  </si>
  <si>
    <t>=NL("Sum","Item Ledger Entry","Quantity","Entry Type","Consumption","Entry No.",I484,"Location Code",$L$7)</t>
  </si>
  <si>
    <t>=NL("Sum","Item Ledger Entry","Quantity","Entry Type","Output","Entry No.",I484,"Location Code",$L$7)</t>
  </si>
  <si>
    <t>=NL("Sum","Item Ledger Entry","Quantity","Entry Type","Purchase","Entry No.",I475,"Location Code",$L$7)</t>
  </si>
  <si>
    <t>=NL("Sum","Item Ledger Entry","Quantity","Entry Type","Sale","Entry No.",I475,"Location Code",$L$7)</t>
  </si>
  <si>
    <t>=NL("Sum","Item Ledger Entry","Quantity","Entry Type","Positive Adjmt.|Negative Adjmt.","Entry No.",I475,"Location Code",$L$7)</t>
  </si>
  <si>
    <t>=NL("Sum","Item Ledger Entry","Quantity","Entry Type","Transfer","Entry No.",I475,"Location Code",$L$7)</t>
  </si>
  <si>
    <t>=NL("Sum","Item Ledger Entry","Quantity","Entry Type","Consumption","Entry No.",I475,"Location Code",$L$7)</t>
  </si>
  <si>
    <t>=NL("Sum","Item Ledger Entry","Quantity","Entry Type","Output","Entry No.",I475,"Location Code",$L$7)</t>
  </si>
  <si>
    <t>=NF($G458,"Posting Date")</t>
  </si>
  <si>
    <t>=NF($G462,"Posting Date")</t>
  </si>
  <si>
    <t>=NF($G466,"Posting Date")</t>
  </si>
  <si>
    <t>=NF($G458,"Entry No.")</t>
  </si>
  <si>
    <t>=NF($G462,"Entry No.")</t>
  </si>
  <si>
    <t>=NF($G466,"Entry No.")</t>
  </si>
  <si>
    <t>=NL("Sum","Item Ledger Entry","Quantity","Entry Type","Purchase","Entry No.",I458,"Location Code",$L$7)</t>
  </si>
  <si>
    <t>=NL("Sum","Item Ledger Entry","Quantity","Entry Type","Purchase","Entry No.",I462,"Location Code",$L$7)</t>
  </si>
  <si>
    <t>=NL("Sum","Item Ledger Entry","Quantity","Entry Type","Sale","Entry No.",I458,"Location Code",$L$7)</t>
  </si>
  <si>
    <t>=NL("Sum","Item Ledger Entry","Quantity","Entry Type","Sale","Entry No.",I462,"Location Code",$L$7)</t>
  </si>
  <si>
    <t>=NL("Sum","Item Ledger Entry","Quantity","Entry Type","Positive Adjmt.|Negative Adjmt.","Entry No.",I458,"Location Code",$L$7)</t>
  </si>
  <si>
    <t>=NL("Sum","Item Ledger Entry","Quantity","Entry Type","Positive Adjmt.|Negative Adjmt.","Entry No.",I462,"Location Code",$L$7)</t>
  </si>
  <si>
    <t>=NL("Sum","Item Ledger Entry","Quantity","Entry Type","Transfer","Entry No.",I458,"Location Code",$L$7)</t>
  </si>
  <si>
    <t>=NL("Sum","Item Ledger Entry","Quantity","Entry Type","Transfer","Entry No.",I462,"Location Code",$L$7)</t>
  </si>
  <si>
    <t>=NL("Sum","Item Ledger Entry","Quantity","Entry Type","Consumption","Entry No.",I458,"Location Code",$L$7)</t>
  </si>
  <si>
    <t>=NL("Sum","Item Ledger Entry","Quantity","Entry Type","Consumption","Entry No.",I462,"Location Code",$L$7)</t>
  </si>
  <si>
    <t>=NL("Sum","Item Ledger Entry","Quantity","Entry Type","Output","Entry No.",I458,"Location Code",$L$7)</t>
  </si>
  <si>
    <t>=NL("Sum","Item Ledger Entry","Quantity","Entry Type","Output","Entry No.",I462,"Location Code",$L$7)</t>
  </si>
  <si>
    <t>=NF(G458,"Source Type")</t>
  </si>
  <si>
    <t>=NF(G462,"Source Type")</t>
  </si>
  <si>
    <t>=NF(G466,"Source Type")</t>
  </si>
  <si>
    <t>=NF($G458,"Source No.")</t>
  </si>
  <si>
    <t>=NF($G462,"Source No.")</t>
  </si>
  <si>
    <t>=NF($G466,"Source No.")</t>
  </si>
  <si>
    <t>=NF($G407,"Posting Date")</t>
  </si>
  <si>
    <t>=NF($G413,"Posting Date")</t>
  </si>
  <si>
    <t>=NF($G407,"Entry No.")</t>
  </si>
  <si>
    <t>=NF($G413,"Entry No.")</t>
  </si>
  <si>
    <t>=NL("Sum","Item Ledger Entry","Quantity","Entry Type","Purchase","Entry No.",I412,"Location Code",$L$7)</t>
  </si>
  <si>
    <t>=NL("Sum","Item Ledger Entry","Quantity","Entry Type","Purchase","Entry No.",I413,"Location Code",$L$7)</t>
  </si>
  <si>
    <t>=NL("Sum","Item Ledger Entry","Quantity","Entry Type","Sale","Entry No.",I412,"Location Code",$L$7)</t>
  </si>
  <si>
    <t>=NL("Sum","Item Ledger Entry","Quantity","Entry Type","Sale","Entry No.",I413,"Location Code",$L$7)</t>
  </si>
  <si>
    <t>=NL("Sum","Item Ledger Entry","Quantity","Entry Type","Positive Adjmt.|Negative Adjmt.","Entry No.",I412,"Location Code",$L$7)</t>
  </si>
  <si>
    <t>=NL("Sum","Item Ledger Entry","Quantity","Entry Type","Positive Adjmt.|Negative Adjmt.","Entry No.",I413,"Location Code",$L$7)</t>
  </si>
  <si>
    <t>=NL("Sum","Item Ledger Entry","Quantity","Entry Type","Transfer","Entry No.",I412,"Location Code",$L$7)</t>
  </si>
  <si>
    <t>=NL("Sum","Item Ledger Entry","Quantity","Entry Type","Transfer","Entry No.",I413,"Location Code",$L$7)</t>
  </si>
  <si>
    <t>=NL("Sum","Item Ledger Entry","Quantity","Entry Type","Consumption","Entry No.",I412,"Location Code",$L$7)</t>
  </si>
  <si>
    <t>=NL("Sum","Item Ledger Entry","Quantity","Entry Type","Consumption","Entry No.",I413,"Location Code",$L$7)</t>
  </si>
  <si>
    <t>=NL("Sum","Item Ledger Entry","Quantity","Entry Type","Output","Entry No.",I412,"Location Code",$L$7)</t>
  </si>
  <si>
    <t>=NL("Sum","Item Ledger Entry","Quantity","Entry Type","Output","Entry No.",I413,"Location Code",$L$7)</t>
  </si>
  <si>
    <t>=NF(G407,"Source Type")</t>
  </si>
  <si>
    <t>=NF(G413,"Source Type")</t>
  </si>
  <si>
    <t>=NF($G407,"Source No.")</t>
  </si>
  <si>
    <t>=NF($G413,"Source No.")</t>
  </si>
  <si>
    <t>=NL("Sum","Item Ledger Entry","Quantity","Entry Type","Purchase","Entry No.",I365,"Location Code",$L$7)</t>
  </si>
  <si>
    <t>=NL("Sum","Item Ledger Entry","Quantity","Entry Type","Sale","Entry No.",I365,"Location Code",$L$7)</t>
  </si>
  <si>
    <t>=NL("Sum","Item Ledger Entry","Quantity","Entry Type","Positive Adjmt.|Negative Adjmt.","Entry No.",I365,"Location Code",$L$7)</t>
  </si>
  <si>
    <t>=NL("Sum","Item Ledger Entry","Quantity","Entry Type","Transfer","Entry No.",I365,"Location Code",$L$7)</t>
  </si>
  <si>
    <t>=NL("Sum","Item Ledger Entry","Quantity","Entry Type","Consumption","Entry No.",I365,"Location Code",$L$7)</t>
  </si>
  <si>
    <t>=NL("Sum","Item Ledger Entry","Quantity","Entry Type","Output","Entry No.",I365,"Location Code",$L$7)</t>
  </si>
  <si>
    <t>=NL("Sum","Item Ledger Entry","Quantity","Entry Type","Purchase","Entry No.",I323,"Location Code",$L$7)</t>
  </si>
  <si>
    <t>=NL("Sum","Item Ledger Entry","Quantity","Entry Type","Purchase","Entry No.",I324,"Location Code",$L$7)</t>
  </si>
  <si>
    <t>=NL("Sum","Item Ledger Entry","Quantity","Entry Type","Purchase","Entry No.",I325,"Location Code",$L$7)</t>
  </si>
  <si>
    <t>=NL("Sum","Item Ledger Entry","Quantity","Entry Type","Sale","Entry No.",I323,"Location Code",$L$7)</t>
  </si>
  <si>
    <t>=NL("Sum","Item Ledger Entry","Quantity","Entry Type","Sale","Entry No.",I324,"Location Code",$L$7)</t>
  </si>
  <si>
    <t>=NL("Sum","Item Ledger Entry","Quantity","Entry Type","Sale","Entry No.",I325,"Location Code",$L$7)</t>
  </si>
  <si>
    <t>=NL("Sum","Item Ledger Entry","Quantity","Entry Type","Positive Adjmt.|Negative Adjmt.","Entry No.",I323,"Location Code",$L$7)</t>
  </si>
  <si>
    <t>=NL("Sum","Item Ledger Entry","Quantity","Entry Type","Positive Adjmt.|Negative Adjmt.","Entry No.",I324,"Location Code",$L$7)</t>
  </si>
  <si>
    <t>=NL("Sum","Item Ledger Entry","Quantity","Entry Type","Positive Adjmt.|Negative Adjmt.","Entry No.",I325,"Location Code",$L$7)</t>
  </si>
  <si>
    <t>=NL("Sum","Item Ledger Entry","Quantity","Entry Type","Transfer","Entry No.",I323,"Location Code",$L$7)</t>
  </si>
  <si>
    <t>=NL("Sum","Item Ledger Entry","Quantity","Entry Type","Transfer","Entry No.",I324,"Location Code",$L$7)</t>
  </si>
  <si>
    <t>=NL("Sum","Item Ledger Entry","Quantity","Entry Type","Transfer","Entry No.",I325,"Location Code",$L$7)</t>
  </si>
  <si>
    <t>=NL("Sum","Item Ledger Entry","Quantity","Entry Type","Consumption","Entry No.",I323,"Location Code",$L$7)</t>
  </si>
  <si>
    <t>=NL("Sum","Item Ledger Entry","Quantity","Entry Type","Consumption","Entry No.",I324,"Location Code",$L$7)</t>
  </si>
  <si>
    <t>=NL("Sum","Item Ledger Entry","Quantity","Entry Type","Consumption","Entry No.",I325,"Location Code",$L$7)</t>
  </si>
  <si>
    <t>=NL("Sum","Item Ledger Entry","Quantity","Entry Type","Output","Entry No.",I323,"Location Code",$L$7)</t>
  </si>
  <si>
    <t>=NL("Sum","Item Ledger Entry","Quantity","Entry Type","Output","Entry No.",I324,"Location Code",$L$7)</t>
  </si>
  <si>
    <t>=NL("Sum","Item Ledger Entry","Quantity","Entry Type","Output","Entry No.",I325,"Location Code",$L$7)</t>
  </si>
  <si>
    <t>=NF($G308,"Posting Date")</t>
  </si>
  <si>
    <t>=NF($G308,"Entry No.")</t>
  </si>
  <si>
    <t>=NL("Sum","Item Ledger Entry","Quantity","Entry Type","Purchase","Entry No.",I308,"Location Code",$L$7)</t>
  </si>
  <si>
    <t>=NL("Sum","Item Ledger Entry","Quantity","Entry Type","Sale","Entry No.",I308,"Location Code",$L$7)</t>
  </si>
  <si>
    <t>=NL("Sum","Item Ledger Entry","Quantity","Entry Type","Positive Adjmt.|Negative Adjmt.","Entry No.",I308,"Location Code",$L$7)</t>
  </si>
  <si>
    <t>=NL("Sum","Item Ledger Entry","Quantity","Entry Type","Transfer","Entry No.",I308,"Location Code",$L$7)</t>
  </si>
  <si>
    <t>=NL("Sum","Item Ledger Entry","Quantity","Entry Type","Consumption","Entry No.",I308,"Location Code",$L$7)</t>
  </si>
  <si>
    <t>=NL("Sum","Item Ledger Entry","Quantity","Entry Type","Output","Entry No.",I308,"Location Code",$L$7)</t>
  </si>
  <si>
    <t>=NF(G308,"Source Type")</t>
  </si>
  <si>
    <t>=NF($G308,"Source No.")</t>
  </si>
  <si>
    <t>=NL("Sum","Item Ledger Entry","Quantity","Entry Type","Purchase","Entry No.",I272,"Location Code",$L$7)</t>
  </si>
  <si>
    <t>=NL("Sum","Item Ledger Entry","Quantity","Entry Type","Purchase","Entry No.",I273,"Location Code",$L$7)</t>
  </si>
  <si>
    <t>=NL("Sum","Item Ledger Entry","Quantity","Entry Type","Sale","Entry No.",I272,"Location Code",$L$7)</t>
  </si>
  <si>
    <t>=NL("Sum","Item Ledger Entry","Quantity","Entry Type","Sale","Entry No.",I273,"Location Code",$L$7)</t>
  </si>
  <si>
    <t>=NL("Sum","Item Ledger Entry","Quantity","Entry Type","Positive Adjmt.|Negative Adjmt.","Entry No.",I272,"Location Code",$L$7)</t>
  </si>
  <si>
    <t>=NL("Sum","Item Ledger Entry","Quantity","Entry Type","Positive Adjmt.|Negative Adjmt.","Entry No.",I273,"Location Code",$L$7)</t>
  </si>
  <si>
    <t>=NL("Sum","Item Ledger Entry","Quantity","Entry Type","Transfer","Entry No.",I272,"Location Code",$L$7)</t>
  </si>
  <si>
    <t>=NL("Sum","Item Ledger Entry","Quantity","Entry Type","Transfer","Entry No.",I273,"Location Code",$L$7)</t>
  </si>
  <si>
    <t>=NL("Sum","Item Ledger Entry","Quantity","Entry Type","Consumption","Entry No.",I272,"Location Code",$L$7)</t>
  </si>
  <si>
    <t>=NL("Sum","Item Ledger Entry","Quantity","Entry Type","Consumption","Entry No.",I273,"Location Code",$L$7)</t>
  </si>
  <si>
    <t>=NL("Sum","Item Ledger Entry","Quantity","Entry Type","Output","Entry No.",I272,"Location Code",$L$7)</t>
  </si>
  <si>
    <t>=NL("Sum","Item Ledger Entry","Quantity","Entry Type","Output","Entry No.",I273,"Location Code",$L$7)</t>
  </si>
  <si>
    <t>=NL("Sum","Item Ledger Entry","Quantity","Entry Type","Purchase","Entry No.",I262,"Location Code",$L$7)</t>
  </si>
  <si>
    <t>=NL("Sum","Item Ledger Entry","Quantity","Entry Type","Sale","Entry No.",I262,"Location Code",$L$7)</t>
  </si>
  <si>
    <t>=NL("Sum","Item Ledger Entry","Quantity","Entry Type","Positive Adjmt.|Negative Adjmt.","Entry No.",I262,"Location Code",$L$7)</t>
  </si>
  <si>
    <t>=NL("Sum","Item Ledger Entry","Quantity","Entry Type","Transfer","Entry No.",I262,"Location Code",$L$7)</t>
  </si>
  <si>
    <t>=NL("Sum","Item Ledger Entry","Quantity","Entry Type","Consumption","Entry No.",I262,"Location Code",$L$7)</t>
  </si>
  <si>
    <t>=NL("Sum","Item Ledger Entry","Quantity","Entry Type","Output","Entry No.",I262,"Location Code",$L$7)</t>
  </si>
  <si>
    <t>=NL("Sum","Item Ledger Entry","Quantity","Entry Type","Purchase","Entry No.",I233,"Location Code",$L$7)</t>
  </si>
  <si>
    <t>=NL("Sum","Item Ledger Entry","Quantity","Entry Type","Purchase","Entry No.",I234,"Location Code",$L$7)</t>
  </si>
  <si>
    <t>=NL("Sum","Item Ledger Entry","Quantity","Entry Type","Sale","Entry No.",I233,"Location Code",$L$7)</t>
  </si>
  <si>
    <t>=NL("Sum","Item Ledger Entry","Quantity","Entry Type","Sale","Entry No.",I234,"Location Code",$L$7)</t>
  </si>
  <si>
    <t>=NL("Sum","Item Ledger Entry","Quantity","Entry Type","Positive Adjmt.|Negative Adjmt.","Entry No.",I233,"Location Code",$L$7)</t>
  </si>
  <si>
    <t>=NL("Sum","Item Ledger Entry","Quantity","Entry Type","Positive Adjmt.|Negative Adjmt.","Entry No.",I234,"Location Code",$L$7)</t>
  </si>
  <si>
    <t>=NL("Sum","Item Ledger Entry","Quantity","Entry Type","Transfer","Entry No.",I233,"Location Code",$L$7)</t>
  </si>
  <si>
    <t>=NL("Sum","Item Ledger Entry","Quantity","Entry Type","Transfer","Entry No.",I234,"Location Code",$L$7)</t>
  </si>
  <si>
    <t>=NL("Sum","Item Ledger Entry","Quantity","Entry Type","Consumption","Entry No.",I233,"Location Code",$L$7)</t>
  </si>
  <si>
    <t>=NL("Sum","Item Ledger Entry","Quantity","Entry Type","Consumption","Entry No.",I234,"Location Code",$L$7)</t>
  </si>
  <si>
    <t>=NL("Sum","Item Ledger Entry","Quantity","Entry Type","Output","Entry No.",I233,"Location Code",$L$7)</t>
  </si>
  <si>
    <t>=NL("Sum","Item Ledger Entry","Quantity","Entry Type","Output","Entry No.",I234,"Location Code",$L$7)</t>
  </si>
  <si>
    <t>=NL("Sum","Item Ledger Entry","Quantity","Entry Type","Purchase","Entry No.",I220,"Location Code",$L$7)</t>
  </si>
  <si>
    <t>=NL("Sum","Item Ledger Entry","Quantity","Entry Type","Sale","Entry No.",I220,"Location Code",$L$7)</t>
  </si>
  <si>
    <t>=NL("Sum","Item Ledger Entry","Quantity","Entry Type","Positive Adjmt.|Negative Adjmt.","Entry No.",I220,"Location Code",$L$7)</t>
  </si>
  <si>
    <t>=NL("Sum","Item Ledger Entry","Quantity","Entry Type","Transfer","Entry No.",I220,"Location Code",$L$7)</t>
  </si>
  <si>
    <t>=NL("Sum","Item Ledger Entry","Quantity","Entry Type","Consumption","Entry No.",I220,"Location Code",$L$7)</t>
  </si>
  <si>
    <t>=NL("Sum","Item Ledger Entry","Quantity","Entry Type","Output","Entry No.",I220,"Location Code",$L$7)</t>
  </si>
  <si>
    <t>=NL("Sum","Item Ledger Entry","Quantity","Entry Type","Purchase","Entry No.",I203,"Location Code",$L$7)</t>
  </si>
  <si>
    <t>=NL("Sum","Item Ledger Entry","Quantity","Entry Type","Purchase","Entry No.",I207,"Location Code",$L$7)</t>
  </si>
  <si>
    <t>=NL("Sum","Item Ledger Entry","Quantity","Entry Type","Sale","Entry No.",I203,"Location Code",$L$7)</t>
  </si>
  <si>
    <t>=NL("Sum","Item Ledger Entry","Quantity","Entry Type","Sale","Entry No.",I207,"Location Code",$L$7)</t>
  </si>
  <si>
    <t>=NL("Sum","Item Ledger Entry","Quantity","Entry Type","Positive Adjmt.|Negative Adjmt.","Entry No.",I203,"Location Code",$L$7)</t>
  </si>
  <si>
    <t>=NL("Sum","Item Ledger Entry","Quantity","Entry Type","Positive Adjmt.|Negative Adjmt.","Entry No.",I207,"Location Code",$L$7)</t>
  </si>
  <si>
    <t>=NL("Sum","Item Ledger Entry","Quantity","Entry Type","Transfer","Entry No.",I203,"Location Code",$L$7)</t>
  </si>
  <si>
    <t>=NL("Sum","Item Ledger Entry","Quantity","Entry Type","Transfer","Entry No.",I207,"Location Code",$L$7)</t>
  </si>
  <si>
    <t>=NL("Sum","Item Ledger Entry","Quantity","Entry Type","Consumption","Entry No.",I203,"Location Code",$L$7)</t>
  </si>
  <si>
    <t>=NL("Sum","Item Ledger Entry","Quantity","Entry Type","Consumption","Entry No.",I207,"Location Code",$L$7)</t>
  </si>
  <si>
    <t>=NL("Sum","Item Ledger Entry","Quantity","Entry Type","Output","Entry No.",I203,"Location Code",$L$7)</t>
  </si>
  <si>
    <t>=NL("Sum","Item Ledger Entry","Quantity","Entry Type","Output","Entry No.",I207,"Location Code",$L$7)</t>
  </si>
  <si>
    <t>=NL("Sum","Item Ledger Entry","Quantity","Entry Type","Purchase","Entry No.",I177,"Location Code",$L$7)</t>
  </si>
  <si>
    <t>=NL("Sum","Item Ledger Entry","Quantity","Entry Type","Sale","Entry No.",I177,"Location Code",$L$7)</t>
  </si>
  <si>
    <t>=NL("Sum","Item Ledger Entry","Quantity","Entry Type","Positive Adjmt.|Negative Adjmt.","Entry No.",I177,"Location Code",$L$7)</t>
  </si>
  <si>
    <t>=NL("Sum","Item Ledger Entry","Quantity","Entry Type","Transfer","Entry No.",I177,"Location Code",$L$7)</t>
  </si>
  <si>
    <t>=NL("Sum","Item Ledger Entry","Quantity","Entry Type","Consumption","Entry No.",I177,"Location Code",$L$7)</t>
  </si>
  <si>
    <t>=NL("Sum","Item Ledger Entry","Quantity","Entry Type","Output","Entry No.",I177,"Location Code",$L$7)</t>
  </si>
  <si>
    <t>=NL("Sum","Item Ledger Entry","Quantity","Entry Type","Purchase","Entry No.",I165,"Location Code",$L$7)</t>
  </si>
  <si>
    <t>=NL("Sum","Item Ledger Entry","Quantity","Entry Type","Sale","Entry No.",I165,"Location Code",$L$7)</t>
  </si>
  <si>
    <t>=NL("Sum","Item Ledger Entry","Quantity","Entry Type","Positive Adjmt.|Negative Adjmt.","Entry No.",I165,"Location Code",$L$7)</t>
  </si>
  <si>
    <t>=NL("Sum","Item Ledger Entry","Quantity","Entry Type","Transfer","Entry No.",I165,"Location Code",$L$7)</t>
  </si>
  <si>
    <t>=NL("Sum","Item Ledger Entry","Quantity","Entry Type","Consumption","Entry No.",I165,"Location Code",$L$7)</t>
  </si>
  <si>
    <t>=NL("Sum","Item Ledger Entry","Quantity","Entry Type","Output","Entry No.",I165,"Location Code",$L$7)</t>
  </si>
  <si>
    <t>=NL("Sum","Item Ledger Entry","Quantity","Entry Type","Purchase","Entry No.",I143,"Location Code",$L$7)</t>
  </si>
  <si>
    <t>=NL("Sum","Item Ledger Entry","Quantity","Entry Type","Sale","Entry No.",I143,"Location Code",$L$7)</t>
  </si>
  <si>
    <t>=NL("Sum","Item Ledger Entry","Quantity","Entry Type","Positive Adjmt.|Negative Adjmt.","Entry No.",I143,"Location Code",$L$7)</t>
  </si>
  <si>
    <t>=NL("Sum","Item Ledger Entry","Quantity","Entry Type","Transfer","Entry No.",I143,"Location Code",$L$7)</t>
  </si>
  <si>
    <t>=NL("Sum","Item Ledger Entry","Quantity","Entry Type","Consumption","Entry No.",I143,"Location Code",$L$7)</t>
  </si>
  <si>
    <t>=NL("Sum","Item Ledger Entry","Quantity","Entry Type","Output","Entry No.",I143,"Location Code",$L$7)</t>
  </si>
  <si>
    <t>=NL("Sum","Item Ledger Entry","Quantity","Entry Type","Purchase","Entry No.",I135,"Location Code",$L$7)</t>
  </si>
  <si>
    <t>=NL("Sum","Item Ledger Entry","Quantity","Entry Type","Purchase","Entry No.",I136,"Location Code",$L$7)</t>
  </si>
  <si>
    <t>=NL("Sum","Item Ledger Entry","Quantity","Entry Type","Sale","Entry No.",I135,"Location Code",$L$7)</t>
  </si>
  <si>
    <t>=NL("Sum","Item Ledger Entry","Quantity","Entry Type","Sale","Entry No.",I136,"Location Code",$L$7)</t>
  </si>
  <si>
    <t>=NL("Sum","Item Ledger Entry","Quantity","Entry Type","Positive Adjmt.|Negative Adjmt.","Entry No.",I135,"Location Code",$L$7)</t>
  </si>
  <si>
    <t>=NL("Sum","Item Ledger Entry","Quantity","Entry Type","Positive Adjmt.|Negative Adjmt.","Entry No.",I136,"Location Code",$L$7)</t>
  </si>
  <si>
    <t>=NL("Sum","Item Ledger Entry","Quantity","Entry Type","Transfer","Entry No.",I135,"Location Code",$L$7)</t>
  </si>
  <si>
    <t>=NL("Sum","Item Ledger Entry","Quantity","Entry Type","Transfer","Entry No.",I136,"Location Code",$L$7)</t>
  </si>
  <si>
    <t>=NL("Sum","Item Ledger Entry","Quantity","Entry Type","Consumption","Entry No.",I135,"Location Code",$L$7)</t>
  </si>
  <si>
    <t>=NL("Sum","Item Ledger Entry","Quantity","Entry Type","Consumption","Entry No.",I136,"Location Code",$L$7)</t>
  </si>
  <si>
    <t>=NL("Sum","Item Ledger Entry","Quantity","Entry Type","Output","Entry No.",I135,"Location Code",$L$7)</t>
  </si>
  <si>
    <t>=NL("Sum","Item Ledger Entry","Quantity","Entry Type","Output","Entry No.",I136,"Location Code",$L$7)</t>
  </si>
  <si>
    <t>=NF($G109,"Posting Date")</t>
  </si>
  <si>
    <t>=NF($G109,"Entry No.")</t>
  </si>
  <si>
    <t>=NL("Sum","Item Ledger Entry","Quantity","Entry Type","Purchase","Entry No.",I110,"Location Code",$L$7)</t>
  </si>
  <si>
    <t>=NL("Sum","Item Ledger Entry","Quantity","Entry Type","Sale","Entry No.",I110,"Location Code",$L$7)</t>
  </si>
  <si>
    <t>=NL("Sum","Item Ledger Entry","Quantity","Entry Type","Positive Adjmt.|Negative Adjmt.","Entry No.",I110,"Location Code",$L$7)</t>
  </si>
  <si>
    <t>=NL("Sum","Item Ledger Entry","Quantity","Entry Type","Transfer","Entry No.",I110,"Location Code",$L$7)</t>
  </si>
  <si>
    <t>=NL("Sum","Item Ledger Entry","Quantity","Entry Type","Consumption","Entry No.",I110,"Location Code",$L$7)</t>
  </si>
  <si>
    <t>=NL("Sum","Item Ledger Entry","Quantity","Entry Type","Output","Entry No.",I110,"Location Code",$L$7)</t>
  </si>
  <si>
    <t>=NF(G109,"Source Type")</t>
  </si>
  <si>
    <t>=NF($G109,"Source No.")</t>
  </si>
  <si>
    <t>=NF($G93,"Posting Date")</t>
  </si>
  <si>
    <t>=NF($G93,"Entry No.")</t>
  </si>
  <si>
    <t>=NL("Sum","Item Ledger Entry","Quantity","Entry Type","Purchase","Entry No.",I93,"Location Code",$L$7)</t>
  </si>
  <si>
    <t>=NL("Sum","Item Ledger Entry","Quantity","Entry Type","Sale","Entry No.",I93,"Location Code",$L$7)</t>
  </si>
  <si>
    <t>=NL("Sum","Item Ledger Entry","Quantity","Entry Type","Positive Adjmt.|Negative Adjmt.","Entry No.",I93,"Location Code",$L$7)</t>
  </si>
  <si>
    <t>=NL("Sum","Item Ledger Entry","Quantity","Entry Type","Transfer","Entry No.",I93,"Location Code",$L$7)</t>
  </si>
  <si>
    <t>=NL("Sum","Item Ledger Entry","Quantity","Entry Type","Consumption","Entry No.",I93,"Location Code",$L$7)</t>
  </si>
  <si>
    <t>=NL("Sum","Item Ledger Entry","Quantity","Entry Type","Output","Entry No.",I93,"Location Code",$L$7)</t>
  </si>
  <si>
    <t>=NF(G93,"Source Type")</t>
  </si>
  <si>
    <t>=NF($G93,"Source No.")</t>
  </si>
  <si>
    <t>=NL("Sum","Item Ledger Entry","Quantity","Entry Type","Purchase","Entry No.",I66,"Location Code",$L$7)</t>
  </si>
  <si>
    <t>=NL("Sum","Item Ledger Entry","Quantity","Entry Type","Purchase","Entry No.",I67,"Location Code",$L$7)</t>
  </si>
  <si>
    <t>=NL("Sum","Item Ledger Entry","Quantity","Entry Type","Sale","Entry No.",I66,"Location Code",$L$7)</t>
  </si>
  <si>
    <t>=NL("Sum","Item Ledger Entry","Quantity","Entry Type","Sale","Entry No.",I67,"Location Code",$L$7)</t>
  </si>
  <si>
    <t>=NL("Sum","Item Ledger Entry","Quantity","Entry Type","Positive Adjmt.|Negative Adjmt.","Entry No.",I66,"Location Code",$L$7)</t>
  </si>
  <si>
    <t>=NL("Sum","Item Ledger Entry","Quantity","Entry Type","Positive Adjmt.|Negative Adjmt.","Entry No.",I67,"Location Code",$L$7)</t>
  </si>
  <si>
    <t>=NL("Sum","Item Ledger Entry","Quantity","Entry Type","Transfer","Entry No.",I66,"Location Code",$L$7)</t>
  </si>
  <si>
    <t>=NL("Sum","Item Ledger Entry","Quantity","Entry Type","Transfer","Entry No.",I67,"Location Code",$L$7)</t>
  </si>
  <si>
    <t>=NL("Sum","Item Ledger Entry","Quantity","Entry Type","Consumption","Entry No.",I66,"Location Code",$L$7)</t>
  </si>
  <si>
    <t>=NL("Sum","Item Ledger Entry","Quantity","Entry Type","Consumption","Entry No.",I67,"Location Code",$L$7)</t>
  </si>
  <si>
    <t>=NL("Sum","Item Ledger Entry","Quantity","Entry Type","Output","Entry No.",I66,"Location Code",$L$7)</t>
  </si>
  <si>
    <t>=NL("Sum","Item Ledger Entry","Quantity","Entry Type","Output","Entry No.",I67,"Location Code",$L$7)</t>
  </si>
  <si>
    <t>=NL("Sum","Item Ledger Entry","Quantity","Entry Type","Purchase","Entry No.",I28,"Location Code",$L$7)</t>
  </si>
  <si>
    <t>=NL("Sum","Item Ledger Entry","Quantity","Entry Type","Sale","Entry No.",I28,"Location Code",$L$7)</t>
  </si>
  <si>
    <t>=NL("Sum","Item Ledger Entry","Quantity","Entry Type","Positive Adjmt.|Negative Adjmt.","Entry No.",I28,"Location Code",$L$7)</t>
  </si>
  <si>
    <t>=NL("Sum","Item Ledger Entry","Quantity","Entry Type","Transfer","Entry No.",I28,"Location Code",$L$7)</t>
  </si>
  <si>
    <t>=NL("Sum","Item Ledger Entry","Quantity","Entry Type","Consumption","Entry No.",I28,"Location Code",$L$7)</t>
  </si>
  <si>
    <t>=NL("Sum","Item Ledger Entry","Quantity","Entry Type","Output","Entry No.",I28,"Location Code",$L$7)</t>
  </si>
  <si>
    <t>=NL("Sum","Item Ledger Entry","Quantity","Entry Type","Purchase","Entry No.",I69,"Location Code","@@"&amp;$E$6)</t>
  </si>
  <si>
    <t>=NL("Sum","Item Ledger Entry","Quantity","Entry Type","Sale","Entry No.",I69,"Location Code","@@"&amp;$E$6)</t>
  </si>
  <si>
    <t>=NL("Sum","Item Ledger Entry","Quantity","Entry Type","Positive Adjmt.|Negative Adjmt.","Entry No.",I69,"Location Code","@@"&amp;$E$6)</t>
  </si>
  <si>
    <t>=NL("Sum","Item Ledger Entry","Quantity","Entry Type","Transfer","Entry No.",I69,"Location Code","@@"&amp;$E$6)</t>
  </si>
  <si>
    <t>=NL("Sum","Item Ledger Entry","Quantity","Entry Type","Consumption","Entry No.",I69,"Location Code","@@"&amp;$E$6)</t>
  </si>
  <si>
    <t>=NL("Sum","Item Ledger Entry","Quantity","Entry Type","Output","Entry No.",I69,"Location Code","@@"&amp;$E$6)</t>
  </si>
  <si>
    <t>=E72</t>
  </si>
  <si>
    <t>=NL("First","Item","Description","No.",$E72)</t>
  </si>
  <si>
    <t>=NL("First","Item","Base Unit of Measure","No.",$E72)</t>
  </si>
  <si>
    <t>=(SUBTOTAL(9,O73:O74))</t>
  </si>
  <si>
    <t>=(SUBTOTAL(9,P73:P74))</t>
  </si>
  <si>
    <t>=(SUBTOTAL(9,Q73:Q74))</t>
  </si>
  <si>
    <t>=(SUBTOTAL(9,R73:R74))</t>
  </si>
  <si>
    <t>=(SUBTOTAL(9,S73:S74))</t>
  </si>
  <si>
    <t>=(SUBTOTAL(9,T73:T74))</t>
  </si>
  <si>
    <t>=SUBTOTAL(9,O73:T74)</t>
  </si>
  <si>
    <t>=NL("Rows","Item Ledger Entry",,"+Posting Date",$L$5,"Item No.","@@"&amp;$D73,"Location Code","@@"&amp;$E$6)</t>
  </si>
  <si>
    <t>=E76</t>
  </si>
  <si>
    <t>=NL("First","Item","Description","No.",$E76)</t>
  </si>
  <si>
    <t>=NL("First","Item","Base Unit of Measure","No.",$E76)</t>
  </si>
  <si>
    <t>=(SUBTOTAL(9,O77:O78))</t>
  </si>
  <si>
    <t>=(SUBTOTAL(9,P77:P78))</t>
  </si>
  <si>
    <t>=(SUBTOTAL(9,Q77:Q78))</t>
  </si>
  <si>
    <t>=(SUBTOTAL(9,R77:R78))</t>
  </si>
  <si>
    <t>=(SUBTOTAL(9,S77:S78))</t>
  </si>
  <si>
    <t>=(SUBTOTAL(9,T77:T78))</t>
  </si>
  <si>
    <t>=SUBTOTAL(9,O77:T78)</t>
  </si>
  <si>
    <t>=D76</t>
  </si>
  <si>
    <t>=NL("Rows","Item Ledger Entry",,"+Posting Date",$L$5,"Item No.","@@"&amp;$D77,"Location Code","@@"&amp;$E$6)</t>
  </si>
  <si>
    <t>=NF($G77,"Posting Date")</t>
  </si>
  <si>
    <t>=NF($G77,"Entry No.")</t>
  </si>
  <si>
    <t>=NF(G77,"Source Type")</t>
  </si>
  <si>
    <t>=NF($G77,"Source No.")</t>
  </si>
  <si>
    <t>=IF($J77="Customer",NL("first",$J77,"Name","No.","@@"&amp;$K77),"")</t>
  </si>
  <si>
    <t>=IF(J77="vendor",NL("first",J77,"Name","No.","@@"&amp;K77),"")</t>
  </si>
  <si>
    <t>=IF($J77="Item",NL("first",$J77,"Description","No.","@@"&amp;$K77),"")</t>
  </si>
  <si>
    <t>=NL("Sum","Item Ledger Entry","Quantity","Entry Type","Purchase","Entry No.",I77,"Location Code","@@"&amp;$E$6)</t>
  </si>
  <si>
    <t>=NL("Sum","Item Ledger Entry","Quantity","Entry Type","Sale","Entry No.",I77,"Location Code","@@"&amp;$E$6)</t>
  </si>
  <si>
    <t>=NL("Sum","Item Ledger Entry","Quantity","Entry Type","Positive Adjmt.|Negative Adjmt.","Entry No.",I77,"Location Code","@@"&amp;$E$6)</t>
  </si>
  <si>
    <t>=NL("Sum","Item Ledger Entry","Quantity","Entry Type","Transfer","Entry No.",I77,"Location Code","@@"&amp;$E$6)</t>
  </si>
  <si>
    <t>=NL("Sum","Item Ledger Entry","Quantity","Entry Type","Consumption","Entry No.",I77,"Location Code","@@"&amp;$E$6)</t>
  </si>
  <si>
    <t>=NL("Sum","Item Ledger Entry","Quantity","Entry Type","Output","Entry No.",I77,"Location Code","@@"&amp;$E$6)</t>
  </si>
  <si>
    <t>=E80</t>
  </si>
  <si>
    <t>=NL("First","Item","Description","No.",$E80)</t>
  </si>
  <si>
    <t>=NL("First","Item","Base Unit of Measure","No.",$E80)</t>
  </si>
  <si>
    <t>=NL("Rows","Item Ledger Entry",,"+Posting Date",$L$5,"Item No.","@@"&amp;$D81,"Location Code","@@"&amp;$E$6)</t>
  </si>
  <si>
    <t>=(SUBTOTAL(9,O99:O101))</t>
  </si>
  <si>
    <t>=(SUBTOTAL(9,P99:P101))</t>
  </si>
  <si>
    <t>=(SUBTOTAL(9,Q99:Q101))</t>
  </si>
  <si>
    <t>=(SUBTOTAL(9,R99:R101))</t>
  </si>
  <si>
    <t>=(SUBTOTAL(9,S99:S101))</t>
  </si>
  <si>
    <t>=(SUBTOTAL(9,T99:T101))</t>
  </si>
  <si>
    <t>=SUBTOTAL(9,O99:T101)</t>
  </si>
  <si>
    <t>=NL("Sum","Item Ledger Entry","Quantity","Entry Type","Purchase","Entry No.",I109,"Location Code","@@"&amp;$E$6)</t>
  </si>
  <si>
    <t>=NL("Sum","Item Ledger Entry","Quantity","Entry Type","Sale","Entry No.",I109,"Location Code","@@"&amp;$E$6)</t>
  </si>
  <si>
    <t>=NL("Sum","Item Ledger Entry","Quantity","Entry Type","Positive Adjmt.|Negative Adjmt.","Entry No.",I109,"Location Code","@@"&amp;$E$6)</t>
  </si>
  <si>
    <t>=NL("Sum","Item Ledger Entry","Quantity","Entry Type","Transfer","Entry No.",I109,"Location Code","@@"&amp;$E$6)</t>
  </si>
  <si>
    <t>=NL("Sum","Item Ledger Entry","Quantity","Entry Type","Consumption","Entry No.",I109,"Location Code","@@"&amp;$E$6)</t>
  </si>
  <si>
    <t>=NL("Sum","Item Ledger Entry","Quantity","Entry Type","Output","Entry No.",I109,"Location Code","@@"&amp;$E$6)</t>
  </si>
  <si>
    <t>=E173</t>
  </si>
  <si>
    <t>=NL("First","Item","Description","No.",$E173)</t>
  </si>
  <si>
    <t>=NL("First","Item","Base Unit of Measure","No.",$E173)</t>
  </si>
  <si>
    <t>=(SUBTOTAL(9,O183:O184))</t>
  </si>
  <si>
    <t>=(SUBTOTAL(9,P183:P184))</t>
  </si>
  <si>
    <t>=(SUBTOTAL(9,Q183:Q184))</t>
  </si>
  <si>
    <t>=(SUBTOTAL(9,R183:R184))</t>
  </si>
  <si>
    <t>=(SUBTOTAL(9,S183:S184))</t>
  </si>
  <si>
    <t>=(SUBTOTAL(9,T183:T184))</t>
  </si>
  <si>
    <t>=SUBTOTAL(9,O183:T184)</t>
  </si>
  <si>
    <t>=E186</t>
  </si>
  <si>
    <t>=NL("First","Item","Description","No.",$E186)</t>
  </si>
  <si>
    <t>=NL("First","Item","Base Unit of Measure","No.",$E186)</t>
  </si>
  <si>
    <t>=NL("Rows","Item Ledger Entry",,"+Posting Date",$L$5,"Item No.","@@"&amp;$D187,"Location Code","@@"&amp;$E$6)</t>
  </si>
  <si>
    <t>=(SUBTOTAL(9,O196:O197))</t>
  </si>
  <si>
    <t>=(SUBTOTAL(9,P196:P197))</t>
  </si>
  <si>
    <t>=(SUBTOTAL(9,Q196:Q197))</t>
  </si>
  <si>
    <t>=(SUBTOTAL(9,R196:R197))</t>
  </si>
  <si>
    <t>=(SUBTOTAL(9,S196:S197))</t>
  </si>
  <si>
    <t>=(SUBTOTAL(9,T196:T197))</t>
  </si>
  <si>
    <t>=SUBTOTAL(9,O196:T197)</t>
  </si>
  <si>
    <t>=E199</t>
  </si>
  <si>
    <t>=NL("First","Item","Description","No.",$E199)</t>
  </si>
  <si>
    <t>=NL("First","Item","Base Unit of Measure","No.",$E199)</t>
  </si>
  <si>
    <t>=NL("Rows","Item Ledger Entry",,"+Posting Date",$L$5,"Item No.","@@"&amp;$D200,"Location Code","@@"&amp;$E$6)</t>
  </si>
  <si>
    <t>=NL("Sum","Item Ledger Entry","Quantity","Entry Type","Purchase","Entry No.",I200,"Location Code","@@"&amp;$E$6)</t>
  </si>
  <si>
    <t>=NL("Sum","Item Ledger Entry","Quantity","Entry Type","Sale","Entry No.",I200,"Location Code","@@"&amp;$E$6)</t>
  </si>
  <si>
    <t>=NL("Sum","Item Ledger Entry","Quantity","Entry Type","Positive Adjmt.|Negative Adjmt.","Entry No.",I200,"Location Code","@@"&amp;$E$6)</t>
  </si>
  <si>
    <t>=NL("Sum","Item Ledger Entry","Quantity","Entry Type","Transfer","Entry No.",I200,"Location Code","@@"&amp;$E$6)</t>
  </si>
  <si>
    <t>=NL("Sum","Item Ledger Entry","Quantity","Entry Type","Consumption","Entry No.",I200,"Location Code","@@"&amp;$E$6)</t>
  </si>
  <si>
    <t>=NL("Sum","Item Ledger Entry","Quantity","Entry Type","Output","Entry No.",I200,"Location Code","@@"&amp;$E$6)</t>
  </si>
  <si>
    <t>=(SUBTOTAL(9,O210:O211))</t>
  </si>
  <si>
    <t>=(SUBTOTAL(9,P210:P211))</t>
  </si>
  <si>
    <t>=(SUBTOTAL(9,Q210:Q211))</t>
  </si>
  <si>
    <t>=(SUBTOTAL(9,R210:R211))</t>
  </si>
  <si>
    <t>=(SUBTOTAL(9,S210:S211))</t>
  </si>
  <si>
    <t>=(SUBTOTAL(9,T210:T211))</t>
  </si>
  <si>
    <t>=SUBTOTAL(9,O210:T211)</t>
  </si>
  <si>
    <t>=NL("Rows","Item Ledger Entry",,"+Posting Date",$L$5,"Item No.","@@"&amp;$D210,"Location Code","@@"&amp;$E$6)</t>
  </si>
  <si>
    <t>=(SUBTOTAL(9,O214:O215))</t>
  </si>
  <si>
    <t>=(SUBTOTAL(9,P214:P215))</t>
  </si>
  <si>
    <t>=(SUBTOTAL(9,Q214:Q215))</t>
  </si>
  <si>
    <t>=(SUBTOTAL(9,R214:R215))</t>
  </si>
  <si>
    <t>=(SUBTOTAL(9,S214:S215))</t>
  </si>
  <si>
    <t>=(SUBTOTAL(9,T214:T215))</t>
  </si>
  <si>
    <t>=SUBTOTAL(9,O214:T215)</t>
  </si>
  <si>
    <t>=E217</t>
  </si>
  <si>
    <t>=NL("First","Item","Description","No.",$E217)</t>
  </si>
  <si>
    <t>=NL("First","Item","Base Unit of Measure","No.",$E217)</t>
  </si>
  <si>
    <t>=(SUBTOTAL(9,O218:O219))</t>
  </si>
  <si>
    <t>=(SUBTOTAL(9,P218:P219))</t>
  </si>
  <si>
    <t>=(SUBTOTAL(9,Q218:Q219))</t>
  </si>
  <si>
    <t>=(SUBTOTAL(9,R218:R219))</t>
  </si>
  <si>
    <t>=(SUBTOTAL(9,S218:S219))</t>
  </si>
  <si>
    <t>=(SUBTOTAL(9,T218:T219))</t>
  </si>
  <si>
    <t>=SUBTOTAL(9,O218:T219)</t>
  </si>
  <si>
    <t>=NL("Rows","Item Ledger Entry",,"+Posting Date",$L$5,"Item No.","@@"&amp;$D218,"Location Code","@@"&amp;$E$6)</t>
  </si>
  <si>
    <t>=(SUBTOTAL(9,O222:O223))</t>
  </si>
  <si>
    <t>=(SUBTOTAL(9,P222:P223))</t>
  </si>
  <si>
    <t>=(SUBTOTAL(9,Q222:Q223))</t>
  </si>
  <si>
    <t>=(SUBTOTAL(9,R222:R223))</t>
  </si>
  <si>
    <t>=(SUBTOTAL(9,S222:S223))</t>
  </si>
  <si>
    <t>=(SUBTOTAL(9,T222:T223))</t>
  </si>
  <si>
    <t>=SUBTOTAL(9,O222:T223)</t>
  </si>
  <si>
    <t>=NL("Rows","Item Ledger Entry",,"+Posting Date",$L$5,"Item No.","@@"&amp;$D226,"Location Code","@@"&amp;$E$6)</t>
  </si>
  <si>
    <t>=NL("Sum","Item Ledger Entry","Quantity","Entry Type","Purchase","Entry No.",I334,"Location Code","@@"&amp;$E$6)</t>
  </si>
  <si>
    <t>=NL("Sum","Item Ledger Entry","Quantity","Entry Type","Sale","Entry No.",I334,"Location Code","@@"&amp;$E$6)</t>
  </si>
  <si>
    <t>=NL("Sum","Item Ledger Entry","Quantity","Entry Type","Positive Adjmt.|Negative Adjmt.","Entry No.",I334,"Location Code","@@"&amp;$E$6)</t>
  </si>
  <si>
    <t>=NL("Sum","Item Ledger Entry","Quantity","Entry Type","Transfer","Entry No.",I334,"Location Code","@@"&amp;$E$6)</t>
  </si>
  <si>
    <t>=NL("Sum","Item Ledger Entry","Quantity","Entry Type","Consumption","Entry No.",I334,"Location Code","@@"&amp;$E$6)</t>
  </si>
  <si>
    <t>=NL("Sum","Item Ledger Entry","Quantity","Entry Type","Output","Entry No.",I334,"Location Code","@@"&amp;$E$6)</t>
  </si>
  <si>
    <t>=E338</t>
  </si>
  <si>
    <t>=NL("First","Item","Description","No.",$E338)</t>
  </si>
  <si>
    <t>=NL("First","Item","Base Unit of Measure","No.",$E338)</t>
  </si>
  <si>
    <t>=NL("Rows","Item Ledger Entry",,"+Posting Date",$L$5,"Item No.","@@"&amp;$D339,"Location Code","@@"&amp;$E$6)</t>
  </si>
  <si>
    <t>=NL("Sum","Item Ledger Entry","Quantity","Entry Type","Purchase","Entry No.",I339,"Location Code","@@"&amp;$E$6)</t>
  </si>
  <si>
    <t>=NL("Sum","Item Ledger Entry","Quantity","Entry Type","Sale","Entry No.",I339,"Location Code","@@"&amp;$E$6)</t>
  </si>
  <si>
    <t>=NL("Sum","Item Ledger Entry","Quantity","Entry Type","Positive Adjmt.|Negative Adjmt.","Entry No.",I339,"Location Code","@@"&amp;$E$6)</t>
  </si>
  <si>
    <t>=NL("Sum","Item Ledger Entry","Quantity","Entry Type","Transfer","Entry No.",I339,"Location Code","@@"&amp;$E$6)</t>
  </si>
  <si>
    <t>=NL("Sum","Item Ledger Entry","Quantity","Entry Type","Consumption","Entry No.",I339,"Location Code","@@"&amp;$E$6)</t>
  </si>
  <si>
    <t>=NL("Sum","Item Ledger Entry","Quantity","Entry Type","Output","Entry No.",I339,"Location Code","@@"&amp;$E$6)</t>
  </si>
  <si>
    <t>=NL("Sum","Item Ledger Entry","Quantity","Entry Type","Purchase","Entry No.",I344,"Location Code","@@"&amp;$E$6)</t>
  </si>
  <si>
    <t>=NL("Sum","Item Ledger Entry","Quantity","Entry Type","Sale","Entry No.",I344,"Location Code","@@"&amp;$E$6)</t>
  </si>
  <si>
    <t>=NL("Sum","Item Ledger Entry","Quantity","Entry Type","Positive Adjmt.|Negative Adjmt.","Entry No.",I344,"Location Code","@@"&amp;$E$6)</t>
  </si>
  <si>
    <t>=NL("Sum","Item Ledger Entry","Quantity","Entry Type","Transfer","Entry No.",I344,"Location Code","@@"&amp;$E$6)</t>
  </si>
  <si>
    <t>=NL("Sum","Item Ledger Entry","Quantity","Entry Type","Consumption","Entry No.",I344,"Location Code","@@"&amp;$E$6)</t>
  </si>
  <si>
    <t>=NL("Sum","Item Ledger Entry","Quantity","Entry Type","Output","Entry No.",I344,"Location Code","@@"&amp;$E$6)</t>
  </si>
  <si>
    <t>=NL("Sum","Item Ledger Entry","Quantity","Entry Type","Purchase","Entry No.",I377,"Location Code","@@"&amp;$E$6)</t>
  </si>
  <si>
    <t>=NL("Sum","Item Ledger Entry","Quantity","Entry Type","Sale","Entry No.",I377,"Location Code","@@"&amp;$E$6)</t>
  </si>
  <si>
    <t>=NL("Sum","Item Ledger Entry","Quantity","Entry Type","Positive Adjmt.|Negative Adjmt.","Entry No.",I377,"Location Code","@@"&amp;$E$6)</t>
  </si>
  <si>
    <t>=NL("Sum","Item Ledger Entry","Quantity","Entry Type","Transfer","Entry No.",I377,"Location Code","@@"&amp;$E$6)</t>
  </si>
  <si>
    <t>=NL("Sum","Item Ledger Entry","Quantity","Entry Type","Consumption","Entry No.",I377,"Location Code","@@"&amp;$E$6)</t>
  </si>
  <si>
    <t>=NL("Sum","Item Ledger Entry","Quantity","Entry Type","Output","Entry No.",I377,"Location Code","@@"&amp;$E$6)</t>
  </si>
  <si>
    <t>=(SUBTOTAL(9,O42:O44))</t>
  </si>
  <si>
    <t>=(SUBTOTAL(9,P42:P44))</t>
  </si>
  <si>
    <t>=(SUBTOTAL(9,Q42:Q44))</t>
  </si>
  <si>
    <t>=(SUBTOTAL(9,R42:R44))</t>
  </si>
  <si>
    <t>=(SUBTOTAL(9,S42:S44))</t>
  </si>
  <si>
    <t>=(SUBTOTAL(9,T42:T44))</t>
  </si>
  <si>
    <t>=SUBTOTAL(9,O42:T44)</t>
  </si>
  <si>
    <t>=E96</t>
  </si>
  <si>
    <t>=NL("First","Item","Description","No.",$E96)</t>
  </si>
  <si>
    <t>=NL("First","Item","Base Unit of Measure","No.",$E96)</t>
  </si>
  <si>
    <t>=D112</t>
  </si>
  <si>
    <t>=NF($G113,"Posting Date")</t>
  </si>
  <si>
    <t>=NF($G113,"Entry No.")</t>
  </si>
  <si>
    <t>=NF(G113,"Source Type")</t>
  </si>
  <si>
    <t>=NF($G113,"Source No.")</t>
  </si>
  <si>
    <t>=IF($J113="Customer",NL("first",$J113,"Name","No.","@@"&amp;$K113),"")</t>
  </si>
  <si>
    <t>=IF(J113="vendor",NL("first",J113,"Name","No.","@@"&amp;K113),"")</t>
  </si>
  <si>
    <t>=IF($J113="Item",NL("first",$J113,"Description","No.","@@"&amp;$K113),"")</t>
  </si>
  <si>
    <t>=NL("Sum","Item Ledger Entry","Quantity","Entry Type","Purchase","Entry No.",I113,"Location Code","@@"&amp;$E$6)</t>
  </si>
  <si>
    <t>=NL("Sum","Item Ledger Entry","Quantity","Entry Type","Sale","Entry No.",I113,"Location Code","@@"&amp;$E$6)</t>
  </si>
  <si>
    <t>=NL("Sum","Item Ledger Entry","Quantity","Entry Type","Positive Adjmt.|Negative Adjmt.","Entry No.",I113,"Location Code","@@"&amp;$E$6)</t>
  </si>
  <si>
    <t>=NL("Sum","Item Ledger Entry","Quantity","Entry Type","Transfer","Entry No.",I113,"Location Code","@@"&amp;$E$6)</t>
  </si>
  <si>
    <t>=NL("Sum","Item Ledger Entry","Quantity","Entry Type","Consumption","Entry No.",I113,"Location Code","@@"&amp;$E$6)</t>
  </si>
  <si>
    <t>=NL("Sum","Item Ledger Entry","Quantity","Entry Type","Output","Entry No.",I113,"Location Code","@@"&amp;$E$6)</t>
  </si>
  <si>
    <t>=E125</t>
  </si>
  <si>
    <t>=NL("First","Item","Description","No.",$E125)</t>
  </si>
  <si>
    <t>=NL("First","Item","Base Unit of Measure","No.",$E125)</t>
  </si>
  <si>
    <t>=NL("Rows","Item Ledger Entry",,"+Posting Date",$L$5,"Item No.","@@"&amp;$D126,"Location Code","@@"&amp;$E$6)</t>
  </si>
  <si>
    <t>=NL("Sum","Item Ledger Entry","Quantity","Entry Type","Purchase","Entry No.",I126,"Location Code","@@"&amp;$E$6)</t>
  </si>
  <si>
    <t>=NL("Sum","Item Ledger Entry","Quantity","Entry Type","Sale","Entry No.",I126,"Location Code","@@"&amp;$E$6)</t>
  </si>
  <si>
    <t>=NL("Sum","Item Ledger Entry","Quantity","Entry Type","Positive Adjmt.|Negative Adjmt.","Entry No.",I126,"Location Code","@@"&amp;$E$6)</t>
  </si>
  <si>
    <t>=NL("Sum","Item Ledger Entry","Quantity","Entry Type","Transfer","Entry No.",I126,"Location Code","@@"&amp;$E$6)</t>
  </si>
  <si>
    <t>=NL("Sum","Item Ledger Entry","Quantity","Entry Type","Consumption","Entry No.",I126,"Location Code","@@"&amp;$E$6)</t>
  </si>
  <si>
    <t>=NL("Sum","Item Ledger Entry","Quantity","Entry Type","Output","Entry No.",I126,"Location Code","@@"&amp;$E$6)</t>
  </si>
  <si>
    <t>=D285</t>
  </si>
  <si>
    <t>=NF($G286,"Posting Date")</t>
  </si>
  <si>
    <t>=NF($G286,"Entry No.")</t>
  </si>
  <si>
    <t>=NF(G286,"Source Type")</t>
  </si>
  <si>
    <t>=NF($G286,"Source No.")</t>
  </si>
  <si>
    <t>=IF($J286="Customer",NL("first",$J286,"Name","No.","@@"&amp;$K286),"")</t>
  </si>
  <si>
    <t>=IF(J286="vendor",NL("first",J286,"Name","No.","@@"&amp;K286),"")</t>
  </si>
  <si>
    <t>=IF($J286="Item",NL("first",$J286,"Description","No.","@@"&amp;$K286),"")</t>
  </si>
  <si>
    <t>=NL("Sum","Item Ledger Entry","Quantity","Entry Type","Purchase","Entry No.",I286,"Location Code","@@"&amp;$E$6)</t>
  </si>
  <si>
    <t>=NL("Sum","Item Ledger Entry","Quantity","Entry Type","Sale","Entry No.",I286,"Location Code","@@"&amp;$E$6)</t>
  </si>
  <si>
    <t>=NL("Sum","Item Ledger Entry","Quantity","Entry Type","Positive Adjmt.|Negative Adjmt.","Entry No.",I286,"Location Code","@@"&amp;$E$6)</t>
  </si>
  <si>
    <t>=NL("Sum","Item Ledger Entry","Quantity","Entry Type","Transfer","Entry No.",I286,"Location Code","@@"&amp;$E$6)</t>
  </si>
  <si>
    <t>=NL("Sum","Item Ledger Entry","Quantity","Entry Type","Consumption","Entry No.",I286,"Location Code","@@"&amp;$E$6)</t>
  </si>
  <si>
    <t>=NL("Sum","Item Ledger Entry","Quantity","Entry Type","Output","Entry No.",I286,"Location Code","@@"&amp;$E$6)</t>
  </si>
  <si>
    <t>=E364</t>
  </si>
  <si>
    <t>=NL("First","Item","Description","No.",$E364)</t>
  </si>
  <si>
    <t>=NL("First","Item","Base Unit of Measure","No.",$E364)</t>
  </si>
  <si>
    <t>=(SUBTOTAL(9,O365:O367))</t>
  </si>
  <si>
    <t>=(SUBTOTAL(9,P365:P367))</t>
  </si>
  <si>
    <t>=(SUBTOTAL(9,Q365:Q367))</t>
  </si>
  <si>
    <t>=(SUBTOTAL(9,R365:R367))</t>
  </si>
  <si>
    <t>=(SUBTOTAL(9,S365:S367))</t>
  </si>
  <si>
    <t>=(SUBTOTAL(9,T365:T367))</t>
  </si>
  <si>
    <t>=SUBTOTAL(9,O365:T367)</t>
  </si>
  <si>
    <t>=E369</t>
  </si>
  <si>
    <t>=NL("First","Item","Description","No.",$E369)</t>
  </si>
  <si>
    <t>=NL("First","Item","Base Unit of Measure","No.",$E369)</t>
  </si>
  <si>
    <t>=D405</t>
  </si>
  <si>
    <t>=NF($G406,"Posting Date")</t>
  </si>
  <si>
    <t>=NF($G406,"Entry No.")</t>
  </si>
  <si>
    <t>=NF(G406,"Source Type")</t>
  </si>
  <si>
    <t>=NF($G406,"Source No.")</t>
  </si>
  <si>
    <t>=IF($J406="Customer",NL("first",$J406,"Name","No.","@@"&amp;$K406),"")</t>
  </si>
  <si>
    <t>=IF(J406="vendor",NL("first",J406,"Name","No.","@@"&amp;K406),"")</t>
  </si>
  <si>
    <t>=IF($J406="Item",NL("first",$J406,"Description","No.","@@"&amp;$K406),"")</t>
  </si>
  <si>
    <t>=NL("Sum","Item Ledger Entry","Quantity","Entry Type","Purchase","Entry No.",I406,"Location Code","@@"&amp;$E$6)</t>
  </si>
  <si>
    <t>=NL("Sum","Item Ledger Entry","Quantity","Entry Type","Sale","Entry No.",I406,"Location Code","@@"&amp;$E$6)</t>
  </si>
  <si>
    <t>=NL("Sum","Item Ledger Entry","Quantity","Entry Type","Positive Adjmt.|Negative Adjmt.","Entry No.",I406,"Location Code","@@"&amp;$E$6)</t>
  </si>
  <si>
    <t>=NL("Sum","Item Ledger Entry","Quantity","Entry Type","Transfer","Entry No.",I406,"Location Code","@@"&amp;$E$6)</t>
  </si>
  <si>
    <t>=NL("Sum","Item Ledger Entry","Quantity","Entry Type","Consumption","Entry No.",I406,"Location Code","@@"&amp;$E$6)</t>
  </si>
  <si>
    <t>=NL("Sum","Item Ledger Entry","Quantity","Entry Type","Output","Entry No.",I406,"Location Code","@@"&amp;$E$6)</t>
  </si>
  <si>
    <t>=NL("Sum","Item Ledger Entry","Quantity","Entry Type","Purchase","Entry No.",I415,"Location Code","@@"&amp;$E$6)</t>
  </si>
  <si>
    <t>=NL("Sum","Item Ledger Entry","Quantity","Entry Type","Sale","Entry No.",I415,"Location Code","@@"&amp;$E$6)</t>
  </si>
  <si>
    <t>=NL("Sum","Item Ledger Entry","Quantity","Entry Type","Positive Adjmt.|Negative Adjmt.","Entry No.",I415,"Location Code","@@"&amp;$E$6)</t>
  </si>
  <si>
    <t>=NL("Sum","Item Ledger Entry","Quantity","Entry Type","Transfer","Entry No.",I415,"Location Code","@@"&amp;$E$6)</t>
  </si>
  <si>
    <t>=NL("Sum","Item Ledger Entry","Quantity","Entry Type","Consumption","Entry No.",I415,"Location Code","@@"&amp;$E$6)</t>
  </si>
  <si>
    <t>=NL("Sum","Item Ledger Entry","Quantity","Entry Type","Output","Entry No.",I415,"Location Code","@@"&amp;$E$6)</t>
  </si>
  <si>
    <t>=D418</t>
  </si>
  <si>
    <t>=NF($G419,"Posting Date")</t>
  </si>
  <si>
    <t>=NF($G419,"Entry No.")</t>
  </si>
  <si>
    <t>=NF(G419,"Source Type")</t>
  </si>
  <si>
    <t>=NF($G419,"Source No.")</t>
  </si>
  <si>
    <t>=IF($J419="Customer",NL("first",$J419,"Name","No.","@@"&amp;$K419),"")</t>
  </si>
  <si>
    <t>=IF(J419="vendor",NL("first",J419,"Name","No.","@@"&amp;K419),"")</t>
  </si>
  <si>
    <t>=IF($J419="Item",NL("first",$J419,"Description","No.","@@"&amp;$K419),"")</t>
  </si>
  <si>
    <t>=NL("Sum","Item Ledger Entry","Quantity","Entry Type","Purchase","Entry No.",I419,"Location Code","@@"&amp;$E$6)</t>
  </si>
  <si>
    <t>=NL("Sum","Item Ledger Entry","Quantity","Entry Type","Sale","Entry No.",I419,"Location Code","@@"&amp;$E$6)</t>
  </si>
  <si>
    <t>=NL("Sum","Item Ledger Entry","Quantity","Entry Type","Positive Adjmt.|Negative Adjmt.","Entry No.",I419,"Location Code","@@"&amp;$E$6)</t>
  </si>
  <si>
    <t>=NL("Sum","Item Ledger Entry","Quantity","Entry Type","Transfer","Entry No.",I419,"Location Code","@@"&amp;$E$6)</t>
  </si>
  <si>
    <t>=NL("Sum","Item Ledger Entry","Quantity","Entry Type","Consumption","Entry No.",I419,"Location Code","@@"&amp;$E$6)</t>
  </si>
  <si>
    <t>=NL("Sum","Item Ledger Entry","Quantity","Entry Type","Output","Entry No.",I419,"Location Code","@@"&amp;$E$6)</t>
  </si>
  <si>
    <t>=E422</t>
  </si>
  <si>
    <t>=NL("First","Item","Description","No.",$E422)</t>
  </si>
  <si>
    <t>=NL("First","Item","Base Unit of Measure","No.",$E422)</t>
  </si>
  <si>
    <t>=NL("Rows","Item Ledger Entry",,"+Posting Date",$L$5,"Item No.","@@"&amp;$D423,"Location Code","@@"&amp;$E$6)</t>
  </si>
  <si>
    <t>=NL("Sum","Item Ledger Entry","Quantity","Entry Type","Purchase","Entry No.",I423,"Location Code","@@"&amp;$E$6)</t>
  </si>
  <si>
    <t>=NL("Sum","Item Ledger Entry","Quantity","Entry Type","Sale","Entry No.",I423,"Location Code","@@"&amp;$E$6)</t>
  </si>
  <si>
    <t>=NL("Sum","Item Ledger Entry","Quantity","Entry Type","Positive Adjmt.|Negative Adjmt.","Entry No.",I423,"Location Code","@@"&amp;$E$6)</t>
  </si>
  <si>
    <t>=NL("Sum","Item Ledger Entry","Quantity","Entry Type","Transfer","Entry No.",I423,"Location Code","@@"&amp;$E$6)</t>
  </si>
  <si>
    <t>=NL("Sum","Item Ledger Entry","Quantity","Entry Type","Consumption","Entry No.",I423,"Location Code","@@"&amp;$E$6)</t>
  </si>
  <si>
    <t>=NL("Sum","Item Ledger Entry","Quantity","Entry Type","Output","Entry No.",I423,"Location Code","@@"&amp;$E$6)</t>
  </si>
  <si>
    <t>=E439</t>
  </si>
  <si>
    <t>=NL("First","Item","Description","No.",$E439)</t>
  </si>
  <si>
    <t>=NL("First","Item","Base Unit of Measure","No.",$E439)</t>
  </si>
  <si>
    <t>=(SUBTOTAL(9,O101:O102))</t>
  </si>
  <si>
    <t>=(SUBTOTAL(9,P101:P102))</t>
  </si>
  <si>
    <t>=(SUBTOTAL(9,Q101:Q102))</t>
  </si>
  <si>
    <t>=(SUBTOTAL(9,R101:R102))</t>
  </si>
  <si>
    <t>=(SUBTOTAL(9,S101:S102))</t>
  </si>
  <si>
    <t>=(SUBTOTAL(9,T101:T102))</t>
  </si>
  <si>
    <t>=SUBTOTAL(9,O101:T102)</t>
  </si>
  <si>
    <t>=NL("Sum","Item Ledger Entry","Quantity","Entry Type","Purchase","Entry No.",I118,"Location Code","@@"&amp;$E$6)</t>
  </si>
  <si>
    <t>=NL("Sum","Item Ledger Entry","Quantity","Entry Type","Sale","Entry No.",I118,"Location Code","@@"&amp;$E$6)</t>
  </si>
  <si>
    <t>=NL("Sum","Item Ledger Entry","Quantity","Entry Type","Positive Adjmt.|Negative Adjmt.","Entry No.",I118,"Location Code","@@"&amp;$E$6)</t>
  </si>
  <si>
    <t>=NL("Sum","Item Ledger Entry","Quantity","Entry Type","Transfer","Entry No.",I118,"Location Code","@@"&amp;$E$6)</t>
  </si>
  <si>
    <t>=NL("Sum","Item Ledger Entry","Quantity","Entry Type","Consumption","Entry No.",I118,"Location Code","@@"&amp;$E$6)</t>
  </si>
  <si>
    <t>=NL("Sum","Item Ledger Entry","Quantity","Entry Type","Output","Entry No.",I118,"Location Code","@@"&amp;$E$6)</t>
  </si>
  <si>
    <t>=NL("Sum","Item Ledger Entry","Quantity","Entry Type","Purchase","Entry No.",I148,"Location Code","@@"&amp;$E$6)</t>
  </si>
  <si>
    <t>=NL("Sum","Item Ledger Entry","Quantity","Entry Type","Sale","Entry No.",I148,"Location Code","@@"&amp;$E$6)</t>
  </si>
  <si>
    <t>=NL("Sum","Item Ledger Entry","Quantity","Entry Type","Positive Adjmt.|Negative Adjmt.","Entry No.",I148,"Location Code","@@"&amp;$E$6)</t>
  </si>
  <si>
    <t>=NL("Sum","Item Ledger Entry","Quantity","Entry Type","Transfer","Entry No.",I148,"Location Code","@@"&amp;$E$6)</t>
  </si>
  <si>
    <t>=NL("Sum","Item Ledger Entry","Quantity","Entry Type","Consumption","Entry No.",I148,"Location Code","@@"&amp;$E$6)</t>
  </si>
  <si>
    <t>=NL("Sum","Item Ledger Entry","Quantity","Entry Type","Output","Entry No.",I148,"Location Code","@@"&amp;$E$6)</t>
  </si>
  <si>
    <t>=(SUBTOTAL(9,O192:O193))</t>
  </si>
  <si>
    <t>=(SUBTOTAL(9,P192:P193))</t>
  </si>
  <si>
    <t>=(SUBTOTAL(9,Q192:Q193))</t>
  </si>
  <si>
    <t>=(SUBTOTAL(9,R192:R193))</t>
  </si>
  <si>
    <t>=(SUBTOTAL(9,S192:S193))</t>
  </si>
  <si>
    <t>=(SUBTOTAL(9,T192:T193))</t>
  </si>
  <si>
    <t>=SUBTOTAL(9,O192:T193)</t>
  </si>
  <si>
    <t>=(SUBTOTAL(9,O200:O203))</t>
  </si>
  <si>
    <t>=(SUBTOTAL(9,P200:P203))</t>
  </si>
  <si>
    <t>=(SUBTOTAL(9,Q200:Q203))</t>
  </si>
  <si>
    <t>=(SUBTOTAL(9,R200:R203))</t>
  </si>
  <si>
    <t>=(SUBTOTAL(9,S200:S203))</t>
  </si>
  <si>
    <t>=(SUBTOTAL(9,T200:T203))</t>
  </si>
  <si>
    <t>=SUBTOTAL(9,O200:T203)</t>
  </si>
  <si>
    <t>=(SUBTOTAL(9,O206:O207))</t>
  </si>
  <si>
    <t>=(SUBTOTAL(9,P206:P207))</t>
  </si>
  <si>
    <t>=(SUBTOTAL(9,Q206:Q207))</t>
  </si>
  <si>
    <t>=(SUBTOTAL(9,R206:R207))</t>
  </si>
  <si>
    <t>=(SUBTOTAL(9,S206:S207))</t>
  </si>
  <si>
    <t>=(SUBTOTAL(9,T206:T207))</t>
  </si>
  <si>
    <t>=SUBTOTAL(9,O206:T207)</t>
  </si>
  <si>
    <t>=E290</t>
  </si>
  <si>
    <t>=NL("First","Item","Description","No.",$E290)</t>
  </si>
  <si>
    <t>=NL("First","Item","Base Unit of Measure","No.",$E290)</t>
  </si>
  <si>
    <t>=NL("Rows","Item Ledger Entry",,"+Posting Date",$L$5,"Item No.","@@"&amp;$D291,"Location Code","@@"&amp;$E$6)</t>
  </si>
  <si>
    <t>=NL("Sum","Item Ledger Entry","Quantity","Entry Type","Purchase","Entry No.",I291,"Location Code","@@"&amp;$E$6)</t>
  </si>
  <si>
    <t>=NL("Sum","Item Ledger Entry","Quantity","Entry Type","Sale","Entry No.",I291,"Location Code","@@"&amp;$E$6)</t>
  </si>
  <si>
    <t>=NL("Sum","Item Ledger Entry","Quantity","Entry Type","Positive Adjmt.|Negative Adjmt.","Entry No.",I291,"Location Code","@@"&amp;$E$6)</t>
  </si>
  <si>
    <t>=NL("Sum","Item Ledger Entry","Quantity","Entry Type","Transfer","Entry No.",I291,"Location Code","@@"&amp;$E$6)</t>
  </si>
  <si>
    <t>=NL("Sum","Item Ledger Entry","Quantity","Entry Type","Consumption","Entry No.",I291,"Location Code","@@"&amp;$E$6)</t>
  </si>
  <si>
    <t>=NL("Sum","Item Ledger Entry","Quantity","Entry Type","Output","Entry No.",I291,"Location Code","@@"&amp;$E$6)</t>
  </si>
  <si>
    <t>=E348</t>
  </si>
  <si>
    <t>=NL("First","Item","Description","No.",$E348)</t>
  </si>
  <si>
    <t>=NL("First","Item","Base Unit of Measure","No.",$E348)</t>
  </si>
  <si>
    <t>=NL("Rows","Item Ledger Entry",,"+Posting Date",$L$5,"Item No.","@@"&amp;$D349,"Location Code","@@"&amp;$E$6)</t>
  </si>
  <si>
    <t>=(SUBTOTAL(9,O122:O123))</t>
  </si>
  <si>
    <t>=(SUBTOTAL(9,P122:P123))</t>
  </si>
  <si>
    <t>=(SUBTOTAL(9,Q122:Q123))</t>
  </si>
  <si>
    <t>=(SUBTOTAL(9,R122:R123))</t>
  </si>
  <si>
    <t>=(SUBTOTAL(9,S122:S123))</t>
  </si>
  <si>
    <t>=(SUBTOTAL(9,T122:T123))</t>
  </si>
  <si>
    <t>=SUBTOTAL(9,O122:T123)</t>
  </si>
  <si>
    <t>=NL("Rows","Item Ledger Entry",,"+Posting Date",$L$5,"Item No.","@@"&amp;$D122,"Location Code","@@"&amp;$E$6)</t>
  </si>
  <si>
    <t>=NL("Rows","Item Ledger Entry",,"+Posting Date",$L$5,"Item No.","@@"&amp;$D130,"Location Code","@@"&amp;$E$6)</t>
  </si>
  <si>
    <t>=(SUBTOTAL(9,O175:O177))</t>
  </si>
  <si>
    <t>=(SUBTOTAL(9,P175:P177))</t>
  </si>
  <si>
    <t>=(SUBTOTAL(9,Q175:Q177))</t>
  </si>
  <si>
    <t>=(SUBTOTAL(9,R175:R177))</t>
  </si>
  <si>
    <t>=(SUBTOTAL(9,S175:S177))</t>
  </si>
  <si>
    <t>=(SUBTOTAL(9,T175:T177))</t>
  </si>
  <si>
    <t>=SUBTOTAL(9,O175:T177)</t>
  </si>
  <si>
    <t>=E179</t>
  </si>
  <si>
    <t>=NL("First","Item","Description","No.",$E179)</t>
  </si>
  <si>
    <t>=NL("First","Item","Base Unit of Measure","No.",$E179)</t>
  </si>
  <si>
    <t>=(SUBTOTAL(9,O180:O181))</t>
  </si>
  <si>
    <t>=(SUBTOTAL(9,P180:P181))</t>
  </si>
  <si>
    <t>=(SUBTOTAL(9,Q180:Q181))</t>
  </si>
  <si>
    <t>=(SUBTOTAL(9,R180:R181))</t>
  </si>
  <si>
    <t>=(SUBTOTAL(9,S180:S181))</t>
  </si>
  <si>
    <t>=(SUBTOTAL(9,T180:T181))</t>
  </si>
  <si>
    <t>=SUBTOTAL(9,O180:T181)</t>
  </si>
  <si>
    <t>=NL("Rows","Item Ledger Entry",,"+Posting Date",$L$5,"Item No.","@@"&amp;$D180,"Location Code","@@"&amp;$E$6)</t>
  </si>
  <si>
    <t>=E214</t>
  </si>
  <si>
    <t>=NL("First","Item","Description","No.",$E214)</t>
  </si>
  <si>
    <t>=NL("First","Item","Base Unit of Measure","No.",$E214)</t>
  </si>
  <si>
    <t>=E323</t>
  </si>
  <si>
    <t>=NL("First","Item","Description","No.",$E323)</t>
  </si>
  <si>
    <t>=NL("First","Item","Base Unit of Measure","No.",$E323)</t>
  </si>
  <si>
    <t>=(SUBTOTAL(9,O324:O325))</t>
  </si>
  <si>
    <t>=(SUBTOTAL(9,P324:P325))</t>
  </si>
  <si>
    <t>=(SUBTOTAL(9,Q324:Q325))</t>
  </si>
  <si>
    <t>=(SUBTOTAL(9,R324:R325))</t>
  </si>
  <si>
    <t>=(SUBTOTAL(9,S324:S325))</t>
  </si>
  <si>
    <t>=(SUBTOTAL(9,T324:T325))</t>
  </si>
  <si>
    <t>=SUBTOTAL(9,O324:T325)</t>
  </si>
  <si>
    <t>=NL("Rows","Item Ledger Entry",,"+Posting Date",$L$5,"Item No.","@@"&amp;$D324,"Location Code","@@"&amp;$E$6)</t>
  </si>
  <si>
    <t>=E327</t>
  </si>
  <si>
    <t>=NL("First","Item","Description","No.",$E327)</t>
  </si>
  <si>
    <t>=NL("First","Item","Base Unit of Measure","No.",$E327)</t>
  </si>
  <si>
    <t>=NL("Rows","Item Ledger Entry",,"+Posting Date",$L$5,"Item No.","@@"&amp;$D328,"Location Code","@@"&amp;$E$6)</t>
  </si>
  <si>
    <t>=NL("Sum","Item Ledger Entry","Quantity","Entry Type","Purchase","Entry No.",I333,"Location Code","@@"&amp;$E$6)</t>
  </si>
  <si>
    <t>=NL("Sum","Item Ledger Entry","Quantity","Entry Type","Sale","Entry No.",I333,"Location Code","@@"&amp;$E$6)</t>
  </si>
  <si>
    <t>=NL("Sum","Item Ledger Entry","Quantity","Entry Type","Positive Adjmt.|Negative Adjmt.","Entry No.",I333,"Location Code","@@"&amp;$E$6)</t>
  </si>
  <si>
    <t>=NL("Sum","Item Ledger Entry","Quantity","Entry Type","Transfer","Entry No.",I333,"Location Code","@@"&amp;$E$6)</t>
  </si>
  <si>
    <t>=NL("Sum","Item Ledger Entry","Quantity","Entry Type","Consumption","Entry No.",I333,"Location Code","@@"&amp;$E$6)</t>
  </si>
  <si>
    <t>=NL("Sum","Item Ledger Entry","Quantity","Entry Type","Output","Entry No.",I333,"Location Code","@@"&amp;$E$6)</t>
  </si>
  <si>
    <t>=E343</t>
  </si>
  <si>
    <t>=NL("First","Item","Description","No.",$E343)</t>
  </si>
  <si>
    <t>=NL("First","Item","Base Unit of Measure","No.",$E343)</t>
  </si>
  <si>
    <t>=NL("Rows","Item Ledger Entry",,"+Posting Date",$L$5,"Item No.","@@"&amp;$D344,"Location Code","@@"&amp;$E$6)</t>
  </si>
  <si>
    <t>=E112</t>
  </si>
  <si>
    <t>=NL("First","Item","Description","No.",$E112)</t>
  </si>
  <si>
    <t>=NL("First","Item","Base Unit of Measure","No.",$E112)</t>
  </si>
  <si>
    <t>=NL("Rows","Item Ledger Entry",,"+Posting Date",$L$5,"Item No.","@@"&amp;$D113,"Location Code","@@"&amp;$E$6)</t>
  </si>
  <si>
    <t>=(SUBTOTAL(9,O187:O189))</t>
  </si>
  <si>
    <t>=(SUBTOTAL(9,P187:P189))</t>
  </si>
  <si>
    <t>=(SUBTOTAL(9,Q187:Q189))</t>
  </si>
  <si>
    <t>=(SUBTOTAL(9,R187:R189))</t>
  </si>
  <si>
    <t>=(SUBTOTAL(9,S187:S189))</t>
  </si>
  <si>
    <t>=(SUBTOTAL(9,T187:T189))</t>
  </si>
  <si>
    <t>=SUBTOTAL(9,O187:T189)</t>
  </si>
  <si>
    <t>=E229</t>
  </si>
  <si>
    <t>=NL("First","Item","Description","No.",$E229)</t>
  </si>
  <si>
    <t>=NL("First","Item","Base Unit of Measure","No.",$E229)</t>
  </si>
  <si>
    <t>=(SUBTOTAL(9,O230:O231))</t>
  </si>
  <si>
    <t>=(SUBTOTAL(9,P230:P231))</t>
  </si>
  <si>
    <t>=(SUBTOTAL(9,Q230:Q231))</t>
  </si>
  <si>
    <t>=(SUBTOTAL(9,R230:R231))</t>
  </si>
  <si>
    <t>=(SUBTOTAL(9,S230:S231))</t>
  </si>
  <si>
    <t>=(SUBTOTAL(9,T230:T231))</t>
  </si>
  <si>
    <t>=SUBTOTAL(9,O230:T231)</t>
  </si>
  <si>
    <t>=NL("Rows","Item Ledger Entry",,"+Posting Date",$L$5,"Item No.","@@"&amp;$D230,"Location Code","@@"&amp;$E$6)</t>
  </si>
  <si>
    <t>=NL("Sum","Item Ledger Entry","Quantity","Entry Type","Purchase","Entry No.",I230,"Location Code","@@"&amp;$E$6)</t>
  </si>
  <si>
    <t>=NL("Sum","Item Ledger Entry","Quantity","Entry Type","Sale","Entry No.",I230,"Location Code","@@"&amp;$E$6)</t>
  </si>
  <si>
    <t>=NL("Sum","Item Ledger Entry","Quantity","Entry Type","Positive Adjmt.|Negative Adjmt.","Entry No.",I230,"Location Code","@@"&amp;$E$6)</t>
  </si>
  <si>
    <t>=NL("Sum","Item Ledger Entry","Quantity","Entry Type","Transfer","Entry No.",I230,"Location Code","@@"&amp;$E$6)</t>
  </si>
  <si>
    <t>=NL("Sum","Item Ledger Entry","Quantity","Entry Type","Consumption","Entry No.",I230,"Location Code","@@"&amp;$E$6)</t>
  </si>
  <si>
    <t>=NL("Sum","Item Ledger Entry","Quantity","Entry Type","Output","Entry No.",I230,"Location Code","@@"&amp;$E$6)</t>
  </si>
  <si>
    <t>=E233</t>
  </si>
  <si>
    <t>=NL("First","Item","Description","No.",$E233)</t>
  </si>
  <si>
    <t>=NL("First","Item","Base Unit of Measure","No.",$E233)</t>
  </si>
  <si>
    <t>=(SUBTOTAL(9,O234:O235))</t>
  </si>
  <si>
    <t>=(SUBTOTAL(9,P234:P235))</t>
  </si>
  <si>
    <t>=(SUBTOTAL(9,Q234:Q235))</t>
  </si>
  <si>
    <t>=(SUBTOTAL(9,R234:R235))</t>
  </si>
  <si>
    <t>=(SUBTOTAL(9,S234:S235))</t>
  </si>
  <si>
    <t>=(SUBTOTAL(9,T234:T235))</t>
  </si>
  <si>
    <t>=SUBTOTAL(9,O234:T235)</t>
  </si>
  <si>
    <t>=NL("Rows","Item Ledger Entry",,"+Posting Date",$L$5,"Item No.","@@"&amp;$D234,"Location Code","@@"&amp;$E$6)</t>
  </si>
  <si>
    <t>=NL("Rows","Item Ledger Entry",,"+Posting Date",$L$5,"Item No.","@@"&amp;$D23,"Location Code",$L$7)</t>
  </si>
  <si>
    <t>=NL("Rows","Item Ledger Entry",,"+Posting Date",$L$5,"Item No.","@@"&amp;$D41,"Location Code",$L$7)</t>
  </si>
  <si>
    <t>=NL("Rows","Item Ledger Entry",,"+Posting Date",$L$5,"Item No.","@@"&amp;$D62,"Location Code",$L$7)</t>
  </si>
  <si>
    <t>=NL("Rows","Item Ledger Entry",,"+Posting Date",$L$5,"Item No.","@@"&amp;$D110,"Location Code",$L$7)</t>
  </si>
  <si>
    <t>=NL("Rows","Item Ledger Entry",,"+Posting Date",$L$5,"Item No.","@@"&amp;$D128,"Location Code",$L$7)</t>
  </si>
  <si>
    <t>=NL("Rows","Item Ledger Entry",,"+Posting Date",$L$5,"Item No.","@@"&amp;$D141,"Location Code",$L$7)</t>
  </si>
  <si>
    <t>=D146</t>
  </si>
  <si>
    <t>=IF($J147="Customer",NL("first",$J147,"Name","No.","@@"&amp;$K147),"")</t>
  </si>
  <si>
    <t>=IF(J147="vendor",NL("first",J147,"Name","No.","@@"&amp;K147),"")</t>
  </si>
  <si>
    <t>=IF($J147="Item",NL("first",$J147,"Description","No.","@@"&amp;$K147),"")</t>
  </si>
  <si>
    <t>=D155</t>
  </si>
  <si>
    <t>=IF($J156="Customer",NL("first",$J156,"Name","No.","@@"&amp;$K156),"")</t>
  </si>
  <si>
    <t>=IF(J156="vendor",NL("first",J156,"Name","No.","@@"&amp;K156),"")</t>
  </si>
  <si>
    <t>=IF($J156="Item",NL("first",$J156,"Description","No.","@@"&amp;$K156),"")</t>
  </si>
  <si>
    <t>=E176</t>
  </si>
  <si>
    <t>=NL("First","Item","Description","No.",$E176)</t>
  </si>
  <si>
    <t>=NL("First","Item","Base Unit of Measure","No.",$E176)</t>
  </si>
  <si>
    <t>=E187</t>
  </si>
  <si>
    <t>="C100017"</t>
  </si>
  <si>
    <t>=NL("First","Item","Description","No.",$E187)</t>
  </si>
  <si>
    <t>=NL("First","Item","Base Unit of Measure","No.",$E187)</t>
  </si>
  <si>
    <t>=NL("Rows","Item Ledger Entry",,"+Posting Date",$L$5,"Item No.","@@"&amp;$D215,"Location Code",$L$7)</t>
  </si>
  <si>
    <t>=D223</t>
  </si>
  <si>
    <t>=IF($J224="Customer",NL("first",$J224,"Name","No.","@@"&amp;$K224),"")</t>
  </si>
  <si>
    <t>=IF(J224="vendor",NL("first",J224,"Name","No.","@@"&amp;K224),"")</t>
  </si>
  <si>
    <t>=IF($J224="Item",NL("first",$J224,"Description","No.","@@"&amp;$K224),"")</t>
  </si>
  <si>
    <t>=D266</t>
  </si>
  <si>
    <t>=IF($J267="Customer",NL("first",$J267,"Name","No.","@@"&amp;$K267),"")</t>
  </si>
  <si>
    <t>=IF(J267="vendor",NL("first",J267,"Name","No.","@@"&amp;K267),"")</t>
  </si>
  <si>
    <t>=IF($J267="Item",NL("first",$J267,"Description","No.","@@"&amp;$K267),"")</t>
  </si>
  <si>
    <t>=E315</t>
  </si>
  <si>
    <t>=NL("First","Item","Description","No.",$E315)</t>
  </si>
  <si>
    <t>=NL("First","Item","Base Unit of Measure","No.",$E315)</t>
  </si>
  <si>
    <t>=D317</t>
  </si>
  <si>
    <t>=IF($J318="Customer",NL("first",$J318,"Name","No.","@@"&amp;$K318),"")</t>
  </si>
  <si>
    <t>=IF(J318="vendor",NL("first",J318,"Name","No.","@@"&amp;K318),"")</t>
  </si>
  <si>
    <t>=IF($J318="Item",NL("first",$J318,"Description","No.","@@"&amp;$K318),"")</t>
  </si>
  <si>
    <t>=D326</t>
  </si>
  <si>
    <t>=IF($J327="Customer",NL("first",$J327,"Name","No.","@@"&amp;$K327),"")</t>
  </si>
  <si>
    <t>=IF(J327="vendor",NL("first",J327,"Name","No.","@@"&amp;K327),"")</t>
  </si>
  <si>
    <t>=IF($J327="Item",NL("first",$J327,"Description","No.","@@"&amp;$K327),"")</t>
  </si>
  <si>
    <t>=D351</t>
  </si>
  <si>
    <t>=IF($J352="Customer",NL("first",$J352,"Name","No.","@@"&amp;$K352),"")</t>
  </si>
  <si>
    <t>=IF(J352="vendor",NL("first",J352,"Name","No.","@@"&amp;K352),"")</t>
  </si>
  <si>
    <t>=IF($J352="Item",NL("first",$J352,"Description","No.","@@"&amp;$K352),"")</t>
  </si>
  <si>
    <t>=NL("Rows","Item Ledger Entry",,"+Posting Date",$L$5,"Item No.","@@"&amp;$D370,"Location Code",$L$7)</t>
  </si>
  <si>
    <t>=D371</t>
  </si>
  <si>
    <t>=IF($J372="Customer",NL("first",$J372,"Name","No.","@@"&amp;$K372),"")</t>
  </si>
  <si>
    <t>=IF(J372="vendor",NL("first",J372,"Name","No.","@@"&amp;K372),"")</t>
  </si>
  <si>
    <t>=IF($J372="Item",NL("first",$J372,"Description","No.","@@"&amp;$K372),"")</t>
  </si>
  <si>
    <t>=D372</t>
  </si>
  <si>
    <t>=IF($J373="Customer",NL("first",$J373,"Name","No.","@@"&amp;$K373),"")</t>
  </si>
  <si>
    <t>=IF(J373="vendor",NL("first",J373,"Name","No.","@@"&amp;K373),"")</t>
  </si>
  <si>
    <t>=IF($J373="Item",NL("first",$J373,"Description","No.","@@"&amp;$K373),"")</t>
  </si>
  <si>
    <t>=D391</t>
  </si>
  <si>
    <t>=IF($J392="Customer",NL("first",$J392,"Name","No.","@@"&amp;$K392),"")</t>
  </si>
  <si>
    <t>=IF(J392="vendor",NL("first",J392,"Name","No.","@@"&amp;K392),"")</t>
  </si>
  <si>
    <t>=IF($J392="Item",NL("first",$J392,"Description","No.","@@"&amp;$K392),"")</t>
  </si>
  <si>
    <t>=D398</t>
  </si>
  <si>
    <t>=IF($J399="Customer",NL("first",$J399,"Name","No.","@@"&amp;$K399),"")</t>
  </si>
  <si>
    <t>=IF(J399="vendor",NL("first",J399,"Name","No.","@@"&amp;K399),"")</t>
  </si>
  <si>
    <t>=IF($J399="Item",NL("first",$J399,"Description","No.","@@"&amp;$K399),"")</t>
  </si>
  <si>
    <t>=D399</t>
  </si>
  <si>
    <t>=IF($J400="Customer",NL("first",$J400,"Name","No.","@@"&amp;$K400),"")</t>
  </si>
  <si>
    <t>=IF(J400="vendor",NL("first",J400,"Name","No.","@@"&amp;K400),"")</t>
  </si>
  <si>
    <t>=IF($J400="Item",NL("first",$J400,"Description","No.","@@"&amp;$K400),"")</t>
  </si>
  <si>
    <t>=D400</t>
  </si>
  <si>
    <t>=IF($J401="Customer",NL("first",$J401,"Name","No.","@@"&amp;$K401),"")</t>
  </si>
  <si>
    <t>=IF(J401="vendor",NL("first",J401,"Name","No.","@@"&amp;K401),"")</t>
  </si>
  <si>
    <t>=IF($J401="Item",NL("first",$J401,"Description","No.","@@"&amp;$K401),"")</t>
  </si>
  <si>
    <t>=D417</t>
  </si>
  <si>
    <t>=IF($J418="Customer",NL("first",$J418,"Name","No.","@@"&amp;$K418),"")</t>
  </si>
  <si>
    <t>=IF(J418="vendor",NL("first",J418,"Name","No.","@@"&amp;K418),"")</t>
  </si>
  <si>
    <t>=IF($J418="Item",NL("first",$J418,"Description","No.","@@"&amp;$K418),"")</t>
  </si>
  <si>
    <t>=D419</t>
  </si>
  <si>
    <t>=IF($J420="Customer",NL("first",$J420,"Name","No.","@@"&amp;$K420),"")</t>
  </si>
  <si>
    <t>=IF(J420="vendor",NL("first",J420,"Name","No.","@@"&amp;K420),"")</t>
  </si>
  <si>
    <t>=IF($J420="Item",NL("first",$J420,"Description","No.","@@"&amp;$K420),"")</t>
  </si>
  <si>
    <t>=D441</t>
  </si>
  <si>
    <t>=IF($J442="Customer",NL("first",$J442,"Name","No.","@@"&amp;$K442),"")</t>
  </si>
  <si>
    <t>=IF(J442="vendor",NL("first",J442,"Name","No.","@@"&amp;K442),"")</t>
  </si>
  <si>
    <t>=IF($J442="Item",NL("first",$J442,"Description","No.","@@"&amp;$K442),"")</t>
  </si>
  <si>
    <t>=D442</t>
  </si>
  <si>
    <t>=IF($J443="Customer",NL("first",$J443,"Name","No.","@@"&amp;$K443),"")</t>
  </si>
  <si>
    <t>=IF(J443="vendor",NL("first",J443,"Name","No.","@@"&amp;K443),"")</t>
  </si>
  <si>
    <t>=IF($J443="Item",NL("first",$J443,"Description","No.","@@"&amp;$K443),"")</t>
  </si>
  <si>
    <t>=E450</t>
  </si>
  <si>
    <t>=NL("First","Item","Description","No.",$E450)</t>
  </si>
  <si>
    <t>=NL("First","Item","Base Unit of Measure","No.",$E450)</t>
  </si>
  <si>
    <t>=D450</t>
  </si>
  <si>
    <t>=IF($J451="Customer",NL("first",$J451,"Name","No.","@@"&amp;$K451),"")</t>
  </si>
  <si>
    <t>=IF(J451="vendor",NL("first",J451,"Name","No.","@@"&amp;K451),"")</t>
  </si>
  <si>
    <t>=IF($J451="Item",NL("first",$J451,"Description","No.","@@"&amp;$K451),"")</t>
  </si>
  <si>
    <t>=D454</t>
  </si>
  <si>
    <t>=IF($J455="Customer",NL("first",$J455,"Name","No.","@@"&amp;$K455),"")</t>
  </si>
  <si>
    <t>=IF(J455="vendor",NL("first",J455,"Name","No.","@@"&amp;K455),"")</t>
  </si>
  <si>
    <t>=IF($J455="Item",NL("first",$J455,"Description","No.","@@"&amp;$K455),"")</t>
  </si>
  <si>
    <t>=D455</t>
  </si>
  <si>
    <t>=IF($J456="Customer",NL("first",$J456,"Name","No.","@@"&amp;$K456),"")</t>
  </si>
  <si>
    <t>=IF(J456="vendor",NL("first",J456,"Name","No.","@@"&amp;K456),"")</t>
  </si>
  <si>
    <t>=IF($J456="Item",NL("first",$J456,"Description","No.","@@"&amp;$K456),"")</t>
  </si>
  <si>
    <t>=D469</t>
  </si>
  <si>
    <t>=IF($J470="Customer",NL("first",$J470,"Name","No.","@@"&amp;$K470),"")</t>
  </si>
  <si>
    <t>=IF(J470="vendor",NL("first",J470,"Name","No.","@@"&amp;K470),"")</t>
  </si>
  <si>
    <t>=IF($J470="Item",NL("first",$J470,"Description","No.","@@"&amp;$K470),"")</t>
  </si>
  <si>
    <t>=D470</t>
  </si>
  <si>
    <t>=IF($J471="Customer",NL("first",$J471,"Name","No.","@@"&amp;$K471),"")</t>
  </si>
  <si>
    <t>=IF(J471="vendor",NL("first",J471,"Name","No.","@@"&amp;K471),"")</t>
  </si>
  <si>
    <t>=IF($J471="Item",NL("first",$J471,"Description","No.","@@"&amp;$K471),"")</t>
  </si>
  <si>
    <t>=D478</t>
  </si>
  <si>
    <t>=IF($J479="Customer",NL("first",$J479,"Name","No.","@@"&amp;$K479),"")</t>
  </si>
  <si>
    <t>=IF(J479="vendor",NL("first",J479,"Name","No.","@@"&amp;K479),"")</t>
  </si>
  <si>
    <t>=IF($J479="Item",NL("first",$J479,"Description","No.","@@"&amp;$K479),"")</t>
  </si>
  <si>
    <t>=D486</t>
  </si>
  <si>
    <t>=IF($J487="Customer",NL("first",$J487,"Name","No.","@@"&amp;$K487),"")</t>
  </si>
  <si>
    <t>=IF(J487="vendor",NL("first",J487,"Name","No.","@@"&amp;K487),"")</t>
  </si>
  <si>
    <t>=IF($J487="Item",NL("first",$J487,"Description","No.","@@"&amp;$K487),"")</t>
  </si>
  <si>
    <t>=D487</t>
  </si>
  <si>
    <t>=IF($J488="Customer",NL("first",$J488,"Name","No.","@@"&amp;$K488),"")</t>
  </si>
  <si>
    <t>=IF(J488="vendor",NL("first",J488,"Name","No.","@@"&amp;K488),"")</t>
  </si>
  <si>
    <t>=IF($J488="Item",NL("first",$J488,"Description","No.","@@"&amp;$K488),"")</t>
  </si>
  <si>
    <t>=D488</t>
  </si>
  <si>
    <t>=IF($J489="Customer",NL("first",$J489,"Name","No.","@@"&amp;$K489),"")</t>
  </si>
  <si>
    <t>=IF(J489="vendor",NL("first",J489,"Name","No.","@@"&amp;K489),"")</t>
  </si>
  <si>
    <t>=IF($J489="Item",NL("first",$J489,"Description","No.","@@"&amp;$K489),"")</t>
  </si>
  <si>
    <t>=D495</t>
  </si>
  <si>
    <t>=IF($J496="Customer",NL("first",$J496,"Name","No.","@@"&amp;$K496),"")</t>
  </si>
  <si>
    <t>=IF(J496="vendor",NL("first",J496,"Name","No.","@@"&amp;K496),"")</t>
  </si>
  <si>
    <t>=IF($J496="Item",NL("first",$J496,"Description","No.","@@"&amp;$K496),"")</t>
  </si>
  <si>
    <t>=D500</t>
  </si>
  <si>
    <t>=IF($J501="Customer",NL("first",$J501,"Name","No.","@@"&amp;$K501),"")</t>
  </si>
  <si>
    <t>=IF(J501="vendor",NL("first",J501,"Name","No.","@@"&amp;K501),"")</t>
  </si>
  <si>
    <t>=IF($J501="Item",NL("first",$J501,"Description","No.","@@"&amp;$K501),"")</t>
  </si>
  <si>
    <t>=D501</t>
  </si>
  <si>
    <t>=IF($J502="Customer",NL("first",$J502,"Name","No.","@@"&amp;$K502),"")</t>
  </si>
  <si>
    <t>=IF(J502="vendor",NL("first",J502,"Name","No.","@@"&amp;K502),"")</t>
  </si>
  <si>
    <t>=IF($J502="Item",NL("first",$J502,"Description","No.","@@"&amp;$K502),"")</t>
  </si>
  <si>
    <t>=D506</t>
  </si>
  <si>
    <t>=IF($J507="Customer",NL("first",$J507,"Name","No.","@@"&amp;$K507),"")</t>
  </si>
  <si>
    <t>=IF(J507="vendor",NL("first",J507,"Name","No.","@@"&amp;K507),"")</t>
  </si>
  <si>
    <t>=IF($J507="Item",NL("first",$J507,"Description","No.","@@"&amp;$K507),"")</t>
  </si>
  <si>
    <t>=D516</t>
  </si>
  <si>
    <t>=IF($J517="Customer",NL("first",$J517,"Name","No.","@@"&amp;$K517),"")</t>
  </si>
  <si>
    <t>=IF(J517="vendor",NL("first",J517,"Name","No.","@@"&amp;K517),"")</t>
  </si>
  <si>
    <t>=IF($J517="Item",NL("first",$J517,"Description","No.","@@"&amp;$K517),"")</t>
  </si>
  <si>
    <t>=D539</t>
  </si>
  <si>
    <t>=IF($J540="Customer",NL("first",$J540,"Name","No.","@@"&amp;$K540),"")</t>
  </si>
  <si>
    <t>=IF(J540="vendor",NL("first",J540,"Name","No.","@@"&amp;K540),"")</t>
  </si>
  <si>
    <t>=IF($J540="Item",NL("first",$J540,"Description","No.","@@"&amp;$K540),"")</t>
  </si>
  <si>
    <t>=D540</t>
  </si>
  <si>
    <t>=IF($J541="Customer",NL("first",$J541,"Name","No.","@@"&amp;$K541),"")</t>
  </si>
  <si>
    <t>=IF(J541="vendor",NL("first",J541,"Name","No.","@@"&amp;K541),"")</t>
  </si>
  <si>
    <t>=IF($J541="Item",NL("first",$J541,"Description","No.","@@"&amp;$K541),"")</t>
  </si>
  <si>
    <t>=D541</t>
  </si>
  <si>
    <t>=IF($J542="Customer",NL("first",$J542,"Name","No.","@@"&amp;$K542),"")</t>
  </si>
  <si>
    <t>=IF(J542="vendor",NL("first",J542,"Name","No.","@@"&amp;K542),"")</t>
  </si>
  <si>
    <t>=IF($J542="Item",NL("first",$J542,"Description","No.","@@"&amp;$K542),"")</t>
  </si>
  <si>
    <t>=D564</t>
  </si>
  <si>
    <t>=IF($J565="Customer",NL("first",$J565,"Name","No.","@@"&amp;$K565),"")</t>
  </si>
  <si>
    <t>=IF(J565="vendor",NL("first",J565,"Name","No.","@@"&amp;K565),"")</t>
  </si>
  <si>
    <t>=IF($J565="Item",NL("first",$J565,"Description","No.","@@"&amp;$K565),"")</t>
  </si>
  <si>
    <t>=D565</t>
  </si>
  <si>
    <t>=IF($J566="Customer",NL("first",$J566,"Name","No.","@@"&amp;$K566),"")</t>
  </si>
  <si>
    <t>=IF(J566="vendor",NL("first",J566,"Name","No.","@@"&amp;K566),"")</t>
  </si>
  <si>
    <t>=IF($J566="Item",NL("first",$J566,"Description","No.","@@"&amp;$K566),"")</t>
  </si>
  <si>
    <t>=D586</t>
  </si>
  <si>
    <t>=IF($J587="Customer",NL("first",$J587,"Name","No.","@@"&amp;$K587),"")</t>
  </si>
  <si>
    <t>=IF(J587="vendor",NL("first",J587,"Name","No.","@@"&amp;K587),"")</t>
  </si>
  <si>
    <t>=IF($J587="Item",NL("first",$J587,"Description","No.","@@"&amp;$K587),"")</t>
  </si>
  <si>
    <t>=D587</t>
  </si>
  <si>
    <t>=IF($J588="Customer",NL("first",$J588,"Name","No.","@@"&amp;$K588),"")</t>
  </si>
  <si>
    <t>=IF(J588="vendor",NL("first",J588,"Name","No.","@@"&amp;K588),"")</t>
  </si>
  <si>
    <t>=IF($J588="Item",NL("first",$J588,"Description","No.","@@"&amp;$K588),"")</t>
  </si>
  <si>
    <t>=D588</t>
  </si>
  <si>
    <t>=IF($J589="Customer",NL("first",$J589,"Name","No.","@@"&amp;$K589),"")</t>
  </si>
  <si>
    <t>=IF(J589="vendor",NL("first",J589,"Name","No.","@@"&amp;K589),"")</t>
  </si>
  <si>
    <t>=IF($J589="Item",NL("first",$J589,"Description","No.","@@"&amp;$K589),"")</t>
  </si>
  <si>
    <t>=E592</t>
  </si>
  <si>
    <t>=NL("First","Item","Description","No.",$E592)</t>
  </si>
  <si>
    <t>=NL("First","Item","Base Unit of Measure","No.",$E592)</t>
  </si>
  <si>
    <t>=NL("Rows","Item Ledger Entry",,"+Posting Date",$L$5,"Item No.","@@"&amp;$D593,"Location Code",$L$7)</t>
  </si>
  <si>
    <t>=D626</t>
  </si>
  <si>
    <t>=IF($J627="Customer",NL("first",$J627,"Name","No.","@@"&amp;$K627),"")</t>
  </si>
  <si>
    <t>=IF(J627="vendor",NL("first",J627,"Name","No.","@@"&amp;K627),"")</t>
  </si>
  <si>
    <t>=IF($J627="Item",NL("first",$J627,"Description","No.","@@"&amp;$K627),"")</t>
  </si>
  <si>
    <t>=D642</t>
  </si>
  <si>
    <t>=IF($J643="Customer",NL("first",$J643,"Name","No.","@@"&amp;$K643),"")</t>
  </si>
  <si>
    <t>=IF(J643="vendor",NL("first",J643,"Name","No.","@@"&amp;K643),"")</t>
  </si>
  <si>
    <t>=IF($J643="Item",NL("first",$J643,"Description","No.","@@"&amp;$K643),"")</t>
  </si>
  <si>
    <t>=D643</t>
  </si>
  <si>
    <t>=IF($J644="Customer",NL("first",$J644,"Name","No.","@@"&amp;$K644),"")</t>
  </si>
  <si>
    <t>=IF(J644="vendor",NL("first",J644,"Name","No.","@@"&amp;K644),"")</t>
  </si>
  <si>
    <t>=IF($J644="Item",NL("first",$J644,"Description","No.","@@"&amp;$K644),"")</t>
  </si>
  <si>
    <t>=D644</t>
  </si>
  <si>
    <t>=IF($J645="Customer",NL("first",$J645,"Name","No.","@@"&amp;$K645),"")</t>
  </si>
  <si>
    <t>=IF(J645="vendor",NL("first",J645,"Name","No.","@@"&amp;K645),"")</t>
  </si>
  <si>
    <t>=IF($J645="Item",NL("first",$J645,"Description","No.","@@"&amp;$K645),"")</t>
  </si>
  <si>
    <t>=D660</t>
  </si>
  <si>
    <t>=IF($J661="Customer",NL("first",$J661,"Name","No.","@@"&amp;$K661),"")</t>
  </si>
  <si>
    <t>=IF(J661="vendor",NL("first",J661,"Name","No.","@@"&amp;K661),"")</t>
  </si>
  <si>
    <t>=IF($J661="Item",NL("first",$J661,"Description","No.","@@"&amp;$K661),"")</t>
  </si>
  <si>
    <t>=D661</t>
  </si>
  <si>
    <t>=IF($J662="Customer",NL("first",$J662,"Name","No.","@@"&amp;$K662),"")</t>
  </si>
  <si>
    <t>=IF(J662="vendor",NL("first",J662,"Name","No.","@@"&amp;K662),"")</t>
  </si>
  <si>
    <t>=IF($J662="Item",NL("first",$J662,"Description","No.","@@"&amp;$K662),"")</t>
  </si>
  <si>
    <t>=D673</t>
  </si>
  <si>
    <t>=IF($J674="Customer",NL("first",$J674,"Name","No.","@@"&amp;$K674),"")</t>
  </si>
  <si>
    <t>=IF(J674="vendor",NL("first",J674,"Name","No.","@@"&amp;K674),"")</t>
  </si>
  <si>
    <t>=IF($J674="Item",NL("first",$J674,"Description","No.","@@"&amp;$K674),"")</t>
  </si>
  <si>
    <t>=E705</t>
  </si>
  <si>
    <t>=NL("First","Item","Description","No.",$E705)</t>
  </si>
  <si>
    <t>=NL("First","Item","Base Unit of Measure","No.",$E705)</t>
  </si>
  <si>
    <t>=NL("Rows","Item Ledger Entry",,"+Posting Date",$L$5,"Item No.","@@"&amp;$D706,"Location Code",$L$7)</t>
  </si>
  <si>
    <t>=D706</t>
  </si>
  <si>
    <t>=IF($J707="Customer",NL("first",$J707,"Name","No.","@@"&amp;$K707),"")</t>
  </si>
  <si>
    <t>=IF(J707="vendor",NL("first",J707,"Name","No.","@@"&amp;K707),"")</t>
  </si>
  <si>
    <t>=IF($J707="Item",NL("first",$J707,"Description","No.","@@"&amp;$K707),"")</t>
  </si>
  <si>
    <t>=E718</t>
  </si>
  <si>
    <t>=NL("First","Item","Description","No.",$E718)</t>
  </si>
  <si>
    <t>=NL("First","Item","Base Unit of Measure","No.",$E718)</t>
  </si>
  <si>
    <t>=D718</t>
  </si>
  <si>
    <t>=NL("Rows","Item Ledger Entry",,"+Posting Date",$L$5,"Item No.","@@"&amp;$D719,"Location Code",$L$7)</t>
  </si>
  <si>
    <t>=IF($J719="Customer",NL("first",$J719,"Name","No.","@@"&amp;$K719),"")</t>
  </si>
  <si>
    <t>=IF(J719="vendor",NL("first",J719,"Name","No.","@@"&amp;K719),"")</t>
  </si>
  <si>
    <t>=IF($J719="Item",NL("first",$J719,"Description","No.","@@"&amp;$K719),"")</t>
  </si>
  <si>
    <t>="C100067"</t>
  </si>
  <si>
    <t>="E100034"</t>
  </si>
  <si>
    <t>="E100043"</t>
  </si>
  <si>
    <t>="S200004"</t>
  </si>
  <si>
    <t>="S200005"</t>
  </si>
  <si>
    <t>="S200012"</t>
  </si>
  <si>
    <t>="S200013"</t>
  </si>
  <si>
    <t>="S200016"</t>
  </si>
  <si>
    <t>="S200017"</t>
  </si>
  <si>
    <t>="S200018"</t>
  </si>
  <si>
    <t>="S200019"</t>
  </si>
  <si>
    <t>="S200020"</t>
  </si>
  <si>
    <t>="S200023"</t>
  </si>
  <si>
    <t>="S200024"</t>
  </si>
  <si>
    <t>="S200030"</t>
  </si>
  <si>
    <t>=NL("Sum","Item Ledger Entry","Quantity","Entry Type","Purchase","Entry No.",I18,"Location Code",$L$7)</t>
  </si>
  <si>
    <t>=NL("Sum","Item Ledger Entry","Quantity","Entry Type","Sale","Entry No.",I18,"Location Code",$L$7)</t>
  </si>
  <si>
    <t>=NL("Sum","Item Ledger Entry","Quantity","Entry Type","Positive Adjmt.|Negative Adjmt.","Entry No.",I18,"Location Code",$L$7)</t>
  </si>
  <si>
    <t>=NL("Sum","Item Ledger Entry","Quantity","Entry Type","Transfer","Entry No.",I18,"Location Code",$L$7)</t>
  </si>
  <si>
    <t>=NL("Sum","Item Ledger Entry","Quantity","Entry Type","Consumption","Entry No.",I18,"Location Code",$L$7)</t>
  </si>
  <si>
    <t>=NL("Sum","Item Ledger Entry","Quantity","Entry Type","Output","Entry No.",I18,"Location Code",$L$7)</t>
  </si>
  <si>
    <t>=NF($G719,"Posting Date")</t>
  </si>
  <si>
    <t>=NF($G719,"Entry No.")</t>
  </si>
  <si>
    <t>=NL("Sum","Item Ledger Entry","Quantity","Entry Type","Purchase","Entry No.",I719,"Location Code",$L$7)</t>
  </si>
  <si>
    <t>=NL("Sum","Item Ledger Entry","Quantity","Entry Type","Sale","Entry No.",I719,"Location Code",$L$7)</t>
  </si>
  <si>
    <t>=NL("Sum","Item Ledger Entry","Quantity","Entry Type","Positive Adjmt.|Negative Adjmt.","Entry No.",I719,"Location Code",$L$7)</t>
  </si>
  <si>
    <t>=NL("Sum","Item Ledger Entry","Quantity","Entry Type","Transfer","Entry No.",I719,"Location Code",$L$7)</t>
  </si>
  <si>
    <t>=NL("Sum","Item Ledger Entry","Quantity","Entry Type","Consumption","Entry No.",I719,"Location Code",$L$7)</t>
  </si>
  <si>
    <t>=NL("Sum","Item Ledger Entry","Quantity","Entry Type","Output","Entry No.",I719,"Location Code",$L$7)</t>
  </si>
  <si>
    <t>=NF(G719,"Source Type")</t>
  </si>
  <si>
    <t>=NF($G719,"Source No.")</t>
  </si>
  <si>
    <t>=NF($G707,"Posting Date")</t>
  </si>
  <si>
    <t>=NF($G707,"Entry No.")</t>
  </si>
  <si>
    <t>=NL("Sum","Item Ledger Entry","Quantity","Entry Type","Purchase","Entry No.",I707,"Location Code",$L$7)</t>
  </si>
  <si>
    <t>=NL("Sum","Item Ledger Entry","Quantity","Entry Type","Sale","Entry No.",I707,"Location Code",$L$7)</t>
  </si>
  <si>
    <t>=NL("Sum","Item Ledger Entry","Quantity","Entry Type","Positive Adjmt.|Negative Adjmt.","Entry No.",I707,"Location Code",$L$7)</t>
  </si>
  <si>
    <t>=NL("Sum","Item Ledger Entry","Quantity","Entry Type","Transfer","Entry No.",I707,"Location Code",$L$7)</t>
  </si>
  <si>
    <t>=NL("Sum","Item Ledger Entry","Quantity","Entry Type","Consumption","Entry No.",I707,"Location Code",$L$7)</t>
  </si>
  <si>
    <t>=NL("Sum","Item Ledger Entry","Quantity","Entry Type","Output","Entry No.",I707,"Location Code",$L$7)</t>
  </si>
  <si>
    <t>=NF(G707,"Source Type")</t>
  </si>
  <si>
    <t>=NF($G707,"Source No.")</t>
  </si>
  <si>
    <t>=NF($G674,"Posting Date")</t>
  </si>
  <si>
    <t>=NF($G674,"Entry No.")</t>
  </si>
  <si>
    <t>=NL("Sum","Item Ledger Entry","Quantity","Entry Type","Purchase","Entry No.",I674,"Location Code",$L$7)</t>
  </si>
  <si>
    <t>=NL("Sum","Item Ledger Entry","Quantity","Entry Type","Sale","Entry No.",I674,"Location Code",$L$7)</t>
  </si>
  <si>
    <t>=NL("Sum","Item Ledger Entry","Quantity","Entry Type","Positive Adjmt.|Negative Adjmt.","Entry No.",I674,"Location Code",$L$7)</t>
  </si>
  <si>
    <t>=NL("Sum","Item Ledger Entry","Quantity","Entry Type","Transfer","Entry No.",I674,"Location Code",$L$7)</t>
  </si>
  <si>
    <t>=NL("Sum","Item Ledger Entry","Quantity","Entry Type","Consumption","Entry No.",I674,"Location Code",$L$7)</t>
  </si>
  <si>
    <t>=NL("Sum","Item Ledger Entry","Quantity","Entry Type","Output","Entry No.",I674,"Location Code",$L$7)</t>
  </si>
  <si>
    <t>=NF(G674,"Source Type")</t>
  </si>
  <si>
    <t>=NF($G674,"Source No.")</t>
  </si>
  <si>
    <t>=NF($G661,"Posting Date")</t>
  </si>
  <si>
    <t>=NF($G662,"Posting Date")</t>
  </si>
  <si>
    <t>=NF($G661,"Entry No.")</t>
  </si>
  <si>
    <t>=NF($G662,"Entry No.")</t>
  </si>
  <si>
    <t>=NL("Sum","Item Ledger Entry","Quantity","Entry Type","Purchase","Entry No.",I661,"Location Code",$L$7)</t>
  </si>
  <si>
    <t>=NL("Sum","Item Ledger Entry","Quantity","Entry Type","Purchase","Entry No.",I662,"Location Code",$L$7)</t>
  </si>
  <si>
    <t>=NL("Sum","Item Ledger Entry","Quantity","Entry Type","Sale","Entry No.",I661,"Location Code",$L$7)</t>
  </si>
  <si>
    <t>=NL("Sum","Item Ledger Entry","Quantity","Entry Type","Sale","Entry No.",I662,"Location Code",$L$7)</t>
  </si>
  <si>
    <t>=NL("Sum","Item Ledger Entry","Quantity","Entry Type","Positive Adjmt.|Negative Adjmt.","Entry No.",I661,"Location Code",$L$7)</t>
  </si>
  <si>
    <t>=NL("Sum","Item Ledger Entry","Quantity","Entry Type","Positive Adjmt.|Negative Adjmt.","Entry No.",I662,"Location Code",$L$7)</t>
  </si>
  <si>
    <t>=NL("Sum","Item Ledger Entry","Quantity","Entry Type","Transfer","Entry No.",I661,"Location Code",$L$7)</t>
  </si>
  <si>
    <t>=NL("Sum","Item Ledger Entry","Quantity","Entry Type","Transfer","Entry No.",I662,"Location Code",$L$7)</t>
  </si>
  <si>
    <t>=NL("Sum","Item Ledger Entry","Quantity","Entry Type","Consumption","Entry No.",I661,"Location Code",$L$7)</t>
  </si>
  <si>
    <t>=NL("Sum","Item Ledger Entry","Quantity","Entry Type","Consumption","Entry No.",I662,"Location Code",$L$7)</t>
  </si>
  <si>
    <t>=NL("Sum","Item Ledger Entry","Quantity","Entry Type","Output","Entry No.",I661,"Location Code",$L$7)</t>
  </si>
  <si>
    <t>=NL("Sum","Item Ledger Entry","Quantity","Entry Type","Output","Entry No.",I662,"Location Code",$L$7)</t>
  </si>
  <si>
    <t>=NF(G661,"Source Type")</t>
  </si>
  <si>
    <t>=NF(G662,"Source Type")</t>
  </si>
  <si>
    <t>=NF($G661,"Source No.")</t>
  </si>
  <si>
    <t>=NF($G662,"Source No.")</t>
  </si>
  <si>
    <t>=NF($G643,"Posting Date")</t>
  </si>
  <si>
    <t>=NF($G644,"Posting Date")</t>
  </si>
  <si>
    <t>=NF($G645,"Posting Date")</t>
  </si>
  <si>
    <t>=NF($G643,"Entry No.")</t>
  </si>
  <si>
    <t>=NF($G644,"Entry No.")</t>
  </si>
  <si>
    <t>=NF($G645,"Entry No.")</t>
  </si>
  <si>
    <t>=NL("Sum","Item Ledger Entry","Quantity","Entry Type","Purchase","Entry No.",I643,"Location Code",$L$7)</t>
  </si>
  <si>
    <t>=NL("Sum","Item Ledger Entry","Quantity","Entry Type","Purchase","Entry No.",I644,"Location Code",$L$7)</t>
  </si>
  <si>
    <t>=NL("Sum","Item Ledger Entry","Quantity","Entry Type","Purchase","Entry No.",I645,"Location Code",$L$7)</t>
  </si>
  <si>
    <t>=NL("Sum","Item Ledger Entry","Quantity","Entry Type","Sale","Entry No.",I643,"Location Code",$L$7)</t>
  </si>
  <si>
    <t>=NL("Sum","Item Ledger Entry","Quantity","Entry Type","Sale","Entry No.",I644,"Location Code",$L$7)</t>
  </si>
  <si>
    <t>=NL("Sum","Item Ledger Entry","Quantity","Entry Type","Sale","Entry No.",I645,"Location Code",$L$7)</t>
  </si>
  <si>
    <t>=NL("Sum","Item Ledger Entry","Quantity","Entry Type","Positive Adjmt.|Negative Adjmt.","Entry No.",I643,"Location Code",$L$7)</t>
  </si>
  <si>
    <t>=NL("Sum","Item Ledger Entry","Quantity","Entry Type","Positive Adjmt.|Negative Adjmt.","Entry No.",I644,"Location Code",$L$7)</t>
  </si>
  <si>
    <t>=NL("Sum","Item Ledger Entry","Quantity","Entry Type","Positive Adjmt.|Negative Adjmt.","Entry No.",I645,"Location Code",$L$7)</t>
  </si>
  <si>
    <t>=NL("Sum","Item Ledger Entry","Quantity","Entry Type","Transfer","Entry No.",I643,"Location Code",$L$7)</t>
  </si>
  <si>
    <t>=NL("Sum","Item Ledger Entry","Quantity","Entry Type","Transfer","Entry No.",I644,"Location Code",$L$7)</t>
  </si>
  <si>
    <t>=NL("Sum","Item Ledger Entry","Quantity","Entry Type","Transfer","Entry No.",I645,"Location Code",$L$7)</t>
  </si>
  <si>
    <t>=NL("Sum","Item Ledger Entry","Quantity","Entry Type","Consumption","Entry No.",I643,"Location Code",$L$7)</t>
  </si>
  <si>
    <t>=NL("Sum","Item Ledger Entry","Quantity","Entry Type","Consumption","Entry No.",I644,"Location Code",$L$7)</t>
  </si>
  <si>
    <t>=NL("Sum","Item Ledger Entry","Quantity","Entry Type","Consumption","Entry No.",I645,"Location Code",$L$7)</t>
  </si>
  <si>
    <t>=NL("Sum","Item Ledger Entry","Quantity","Entry Type","Output","Entry No.",I643,"Location Code",$L$7)</t>
  </si>
  <si>
    <t>=NL("Sum","Item Ledger Entry","Quantity","Entry Type","Output","Entry No.",I644,"Location Code",$L$7)</t>
  </si>
  <si>
    <t>=NL("Sum","Item Ledger Entry","Quantity","Entry Type","Output","Entry No.",I645,"Location Code",$L$7)</t>
  </si>
  <si>
    <t>=NF(G643,"Source Type")</t>
  </si>
  <si>
    <t>=NF(G644,"Source Type")</t>
  </si>
  <si>
    <t>=NF(G645,"Source Type")</t>
  </si>
  <si>
    <t>=NF($G643,"Source No.")</t>
  </si>
  <si>
    <t>=NF($G644,"Source No.")</t>
  </si>
  <si>
    <t>=NF($G645,"Source No.")</t>
  </si>
  <si>
    <t>=NF($G627,"Posting Date")</t>
  </si>
  <si>
    <t>=NF($G627,"Entry No.")</t>
  </si>
  <si>
    <t>=NL("Sum","Item Ledger Entry","Quantity","Entry Type","Purchase","Entry No.",I627,"Location Code",$L$7)</t>
  </si>
  <si>
    <t>=NL("Sum","Item Ledger Entry","Quantity","Entry Type","Sale","Entry No.",I627,"Location Code",$L$7)</t>
  </si>
  <si>
    <t>=NL("Sum","Item Ledger Entry","Quantity","Entry Type","Positive Adjmt.|Negative Adjmt.","Entry No.",I627,"Location Code",$L$7)</t>
  </si>
  <si>
    <t>=NL("Sum","Item Ledger Entry","Quantity","Entry Type","Transfer","Entry No.",I627,"Location Code",$L$7)</t>
  </si>
  <si>
    <t>=NL("Sum","Item Ledger Entry","Quantity","Entry Type","Consumption","Entry No.",I627,"Location Code",$L$7)</t>
  </si>
  <si>
    <t>=NL("Sum","Item Ledger Entry","Quantity","Entry Type","Output","Entry No.",I627,"Location Code",$L$7)</t>
  </si>
  <si>
    <t>=NF(G627,"Source Type")</t>
  </si>
  <si>
    <t>=NF($G627,"Source No.")</t>
  </si>
  <si>
    <t>=NF($G587,"Posting Date")</t>
  </si>
  <si>
    <t>=NF($G588,"Posting Date")</t>
  </si>
  <si>
    <t>=NF($G589,"Posting Date")</t>
  </si>
  <si>
    <t>=NF($G587,"Entry No.")</t>
  </si>
  <si>
    <t>=NF($G588,"Entry No.")</t>
  </si>
  <si>
    <t>=NF($G589,"Entry No.")</t>
  </si>
  <si>
    <t>=NL("Sum","Item Ledger Entry","Quantity","Entry Type","Purchase","Entry No.",I587,"Location Code",$L$7)</t>
  </si>
  <si>
    <t>=NL("Sum","Item Ledger Entry","Quantity","Entry Type","Purchase","Entry No.",I588,"Location Code",$L$7)</t>
  </si>
  <si>
    <t>=NL("Sum","Item Ledger Entry","Quantity","Entry Type","Purchase","Entry No.",I589,"Location Code",$L$7)</t>
  </si>
  <si>
    <t>=NL("Sum","Item Ledger Entry","Quantity","Entry Type","Sale","Entry No.",I587,"Location Code",$L$7)</t>
  </si>
  <si>
    <t>=NL("Sum","Item Ledger Entry","Quantity","Entry Type","Sale","Entry No.",I588,"Location Code",$L$7)</t>
  </si>
  <si>
    <t>=NL("Sum","Item Ledger Entry","Quantity","Entry Type","Sale","Entry No.",I589,"Location Code",$L$7)</t>
  </si>
  <si>
    <t>=NL("Sum","Item Ledger Entry","Quantity","Entry Type","Positive Adjmt.|Negative Adjmt.","Entry No.",I587,"Location Code",$L$7)</t>
  </si>
  <si>
    <t>=NL("Sum","Item Ledger Entry","Quantity","Entry Type","Positive Adjmt.|Negative Adjmt.","Entry No.",I588,"Location Code",$L$7)</t>
  </si>
  <si>
    <t>=NL("Sum","Item Ledger Entry","Quantity","Entry Type","Positive Adjmt.|Negative Adjmt.","Entry No.",I589,"Location Code",$L$7)</t>
  </si>
  <si>
    <t>=NL("Sum","Item Ledger Entry","Quantity","Entry Type","Transfer","Entry No.",I587,"Location Code",$L$7)</t>
  </si>
  <si>
    <t>=NL("Sum","Item Ledger Entry","Quantity","Entry Type","Transfer","Entry No.",I588,"Location Code",$L$7)</t>
  </si>
  <si>
    <t>=NL("Sum","Item Ledger Entry","Quantity","Entry Type","Transfer","Entry No.",I589,"Location Code",$L$7)</t>
  </si>
  <si>
    <t>=NL("Sum","Item Ledger Entry","Quantity","Entry Type","Consumption","Entry No.",I587,"Location Code",$L$7)</t>
  </si>
  <si>
    <t>=NL("Sum","Item Ledger Entry","Quantity","Entry Type","Consumption","Entry No.",I588,"Location Code",$L$7)</t>
  </si>
  <si>
    <t>=NL("Sum","Item Ledger Entry","Quantity","Entry Type","Consumption","Entry No.",I589,"Location Code",$L$7)</t>
  </si>
  <si>
    <t>=NL("Sum","Item Ledger Entry","Quantity","Entry Type","Output","Entry No.",I587,"Location Code",$L$7)</t>
  </si>
  <si>
    <t>=NL("Sum","Item Ledger Entry","Quantity","Entry Type","Output","Entry No.",I588,"Location Code",$L$7)</t>
  </si>
  <si>
    <t>=NL("Sum","Item Ledger Entry","Quantity","Entry Type","Output","Entry No.",I589,"Location Code",$L$7)</t>
  </si>
  <si>
    <t>=NF(G587,"Source Type")</t>
  </si>
  <si>
    <t>=NF(G588,"Source Type")</t>
  </si>
  <si>
    <t>=NF(G589,"Source Type")</t>
  </si>
  <si>
    <t>=NF($G587,"Source No.")</t>
  </si>
  <si>
    <t>=NF($G588,"Source No.")</t>
  </si>
  <si>
    <t>=NF($G589,"Source No.")</t>
  </si>
  <si>
    <t>=NF($G565,"Posting Date")</t>
  </si>
  <si>
    <t>=NF($G566,"Posting Date")</t>
  </si>
  <si>
    <t>=NF($G565,"Entry No.")</t>
  </si>
  <si>
    <t>=NF($G566,"Entry No.")</t>
  </si>
  <si>
    <t>=NL("Sum","Item Ledger Entry","Quantity","Entry Type","Purchase","Entry No.",I565,"Location Code",$L$7)</t>
  </si>
  <si>
    <t>=NL("Sum","Item Ledger Entry","Quantity","Entry Type","Purchase","Entry No.",I566,"Location Code",$L$7)</t>
  </si>
  <si>
    <t>=NL("Sum","Item Ledger Entry","Quantity","Entry Type","Sale","Entry No.",I565,"Location Code",$L$7)</t>
  </si>
  <si>
    <t>=NL("Sum","Item Ledger Entry","Quantity","Entry Type","Sale","Entry No.",I566,"Location Code",$L$7)</t>
  </si>
  <si>
    <t>=NL("Sum","Item Ledger Entry","Quantity","Entry Type","Positive Adjmt.|Negative Adjmt.","Entry No.",I565,"Location Code",$L$7)</t>
  </si>
  <si>
    <t>=NL("Sum","Item Ledger Entry","Quantity","Entry Type","Positive Adjmt.|Negative Adjmt.","Entry No.",I566,"Location Code",$L$7)</t>
  </si>
  <si>
    <t>=NL("Sum","Item Ledger Entry","Quantity","Entry Type","Transfer","Entry No.",I565,"Location Code",$L$7)</t>
  </si>
  <si>
    <t>=NL("Sum","Item Ledger Entry","Quantity","Entry Type","Transfer","Entry No.",I566,"Location Code",$L$7)</t>
  </si>
  <si>
    <t>=NL("Sum","Item Ledger Entry","Quantity","Entry Type","Consumption","Entry No.",I565,"Location Code",$L$7)</t>
  </si>
  <si>
    <t>=NL("Sum","Item Ledger Entry","Quantity","Entry Type","Consumption","Entry No.",I566,"Location Code",$L$7)</t>
  </si>
  <si>
    <t>=NL("Sum","Item Ledger Entry","Quantity","Entry Type","Output","Entry No.",I565,"Location Code",$L$7)</t>
  </si>
  <si>
    <t>=NL("Sum","Item Ledger Entry","Quantity","Entry Type","Output","Entry No.",I566,"Location Code",$L$7)</t>
  </si>
  <si>
    <t>=NF(G565,"Source Type")</t>
  </si>
  <si>
    <t>=NF(G566,"Source Type")</t>
  </si>
  <si>
    <t>=NF($G565,"Source No.")</t>
  </si>
  <si>
    <t>=NF($G566,"Source No.")</t>
  </si>
  <si>
    <t>=NF($G540,"Posting Date")</t>
  </si>
  <si>
    <t>=NF($G541,"Posting Date")</t>
  </si>
  <si>
    <t>=NF($G542,"Posting Date")</t>
  </si>
  <si>
    <t>=NF($G540,"Entry No.")</t>
  </si>
  <si>
    <t>=NF($G541,"Entry No.")</t>
  </si>
  <si>
    <t>=NF($G542,"Entry No.")</t>
  </si>
  <si>
    <t>=NL("Sum","Item Ledger Entry","Quantity","Entry Type","Purchase","Entry No.",I540,"Location Code",$L$7)</t>
  </si>
  <si>
    <t>=NL("Sum","Item Ledger Entry","Quantity","Entry Type","Purchase","Entry No.",I541,"Location Code",$L$7)</t>
  </si>
  <si>
    <t>=NL("Sum","Item Ledger Entry","Quantity","Entry Type","Sale","Entry No.",I540,"Location Code",$L$7)</t>
  </si>
  <si>
    <t>=NL("Sum","Item Ledger Entry","Quantity","Entry Type","Sale","Entry No.",I541,"Location Code",$L$7)</t>
  </si>
  <si>
    <t>=NL("Sum","Item Ledger Entry","Quantity","Entry Type","Positive Adjmt.|Negative Adjmt.","Entry No.",I540,"Location Code",$L$7)</t>
  </si>
  <si>
    <t>=NL("Sum","Item Ledger Entry","Quantity","Entry Type","Positive Adjmt.|Negative Adjmt.","Entry No.",I541,"Location Code",$L$7)</t>
  </si>
  <si>
    <t>=NL("Sum","Item Ledger Entry","Quantity","Entry Type","Transfer","Entry No.",I540,"Location Code",$L$7)</t>
  </si>
  <si>
    <t>=NL("Sum","Item Ledger Entry","Quantity","Entry Type","Transfer","Entry No.",I541,"Location Code",$L$7)</t>
  </si>
  <si>
    <t>=NL("Sum","Item Ledger Entry","Quantity","Entry Type","Consumption","Entry No.",I540,"Location Code",$L$7)</t>
  </si>
  <si>
    <t>=NL("Sum","Item Ledger Entry","Quantity","Entry Type","Consumption","Entry No.",I541,"Location Code",$L$7)</t>
  </si>
  <si>
    <t>=NL("Sum","Item Ledger Entry","Quantity","Entry Type","Output","Entry No.",I540,"Location Code",$L$7)</t>
  </si>
  <si>
    <t>=NL("Sum","Item Ledger Entry","Quantity","Entry Type","Output","Entry No.",I541,"Location Code",$L$7)</t>
  </si>
  <si>
    <t>=NF(G540,"Source Type")</t>
  </si>
  <si>
    <t>=NF(G541,"Source Type")</t>
  </si>
  <si>
    <t>=NF(G542,"Source Type")</t>
  </si>
  <si>
    <t>=NF($G540,"Source No.")</t>
  </si>
  <si>
    <t>=NF($G541,"Source No.")</t>
  </si>
  <si>
    <t>=NF($G542,"Source No.")</t>
  </si>
  <si>
    <t>=NF($G517,"Posting Date")</t>
  </si>
  <si>
    <t>=NF($G517,"Entry No.")</t>
  </si>
  <si>
    <t>=NL("Sum","Item Ledger Entry","Quantity","Entry Type","Purchase","Entry No.",I517,"Location Code",$L$7)</t>
  </si>
  <si>
    <t>=NL("Sum","Item Ledger Entry","Quantity","Entry Type","Sale","Entry No.",I517,"Location Code",$L$7)</t>
  </si>
  <si>
    <t>=NL("Sum","Item Ledger Entry","Quantity","Entry Type","Positive Adjmt.|Negative Adjmt.","Entry No.",I517,"Location Code",$L$7)</t>
  </si>
  <si>
    <t>=NL("Sum","Item Ledger Entry","Quantity","Entry Type","Transfer","Entry No.",I517,"Location Code",$L$7)</t>
  </si>
  <si>
    <t>=NL("Sum","Item Ledger Entry","Quantity","Entry Type","Consumption","Entry No.",I517,"Location Code",$L$7)</t>
  </si>
  <si>
    <t>=NL("Sum","Item Ledger Entry","Quantity","Entry Type","Output","Entry No.",I517,"Location Code",$L$7)</t>
  </si>
  <si>
    <t>=NF(G517,"Source Type")</t>
  </si>
  <si>
    <t>=NF($G517,"Source No.")</t>
  </si>
  <si>
    <t>=NF($G496,"Posting Date")</t>
  </si>
  <si>
    <t>=NF($G501,"Posting Date")</t>
  </si>
  <si>
    <t>=NF($G502,"Posting Date")</t>
  </si>
  <si>
    <t>=NF($G507,"Posting Date")</t>
  </si>
  <si>
    <t>=NF($G496,"Entry No.")</t>
  </si>
  <si>
    <t>=NF($G501,"Entry No.")</t>
  </si>
  <si>
    <t>=NF($G502,"Entry No.")</t>
  </si>
  <si>
    <t>=NF($G507,"Entry No.")</t>
  </si>
  <si>
    <t>=NL("Sum","Item Ledger Entry","Quantity","Entry Type","Purchase","Entry No.",I502,"Location Code",$L$7)</t>
  </si>
  <si>
    <t>=NL("Sum","Item Ledger Entry","Quantity","Entry Type","Purchase","Entry No.",I507,"Location Code",$L$7)</t>
  </si>
  <si>
    <t>=NL("Sum","Item Ledger Entry","Quantity","Entry Type","Sale","Entry No.",I502,"Location Code",$L$7)</t>
  </si>
  <si>
    <t>=NL("Sum","Item Ledger Entry","Quantity","Entry Type","Sale","Entry No.",I507,"Location Code",$L$7)</t>
  </si>
  <si>
    <t>=NL("Sum","Item Ledger Entry","Quantity","Entry Type","Positive Adjmt.|Negative Adjmt.","Entry No.",I502,"Location Code",$L$7)</t>
  </si>
  <si>
    <t>=NL("Sum","Item Ledger Entry","Quantity","Entry Type","Positive Adjmt.|Negative Adjmt.","Entry No.",I507,"Location Code",$L$7)</t>
  </si>
  <si>
    <t>=NL("Sum","Item Ledger Entry","Quantity","Entry Type","Transfer","Entry No.",I502,"Location Code",$L$7)</t>
  </si>
  <si>
    <t>=NL("Sum","Item Ledger Entry","Quantity","Entry Type","Transfer","Entry No.",I507,"Location Code",$L$7)</t>
  </si>
  <si>
    <t>=NL("Sum","Item Ledger Entry","Quantity","Entry Type","Consumption","Entry No.",I502,"Location Code",$L$7)</t>
  </si>
  <si>
    <t>=NL("Sum","Item Ledger Entry","Quantity","Entry Type","Consumption","Entry No.",I507,"Location Code",$L$7)</t>
  </si>
  <si>
    <t>=NL("Sum","Item Ledger Entry","Quantity","Entry Type","Output","Entry No.",I502,"Location Code",$L$7)</t>
  </si>
  <si>
    <t>=NL("Sum","Item Ledger Entry","Quantity","Entry Type","Output","Entry No.",I507,"Location Code",$L$7)</t>
  </si>
  <si>
    <t>=NF(G496,"Source Type")</t>
  </si>
  <si>
    <t>=NF(G501,"Source Type")</t>
  </si>
  <si>
    <t>=NF(G502,"Source Type")</t>
  </si>
  <si>
    <t>=NF(G507,"Source Type")</t>
  </si>
  <si>
    <t>=NF($G496,"Source No.")</t>
  </si>
  <si>
    <t>=NF($G501,"Source No.")</t>
  </si>
  <si>
    <t>=NF($G502,"Source No.")</t>
  </si>
  <si>
    <t>=NF($G507,"Source No.")</t>
  </si>
  <si>
    <t>=NF($G470,"Posting Date")</t>
  </si>
  <si>
    <t>=NF($G471,"Posting Date")</t>
  </si>
  <si>
    <t>=NF($G479,"Posting Date")</t>
  </si>
  <si>
    <t>=NF($G487,"Posting Date")</t>
  </si>
  <si>
    <t>=NF($G488,"Posting Date")</t>
  </si>
  <si>
    <t>=NF($G489,"Posting Date")</t>
  </si>
  <si>
    <t>=NF($G470,"Entry No.")</t>
  </si>
  <si>
    <t>=NF($G471,"Entry No.")</t>
  </si>
  <si>
    <t>=NF($G479,"Entry No.")</t>
  </si>
  <si>
    <t>=NF($G487,"Entry No.")</t>
  </si>
  <si>
    <t>=NF($G488,"Entry No.")</t>
  </si>
  <si>
    <t>=NF($G489,"Entry No.")</t>
  </si>
  <si>
    <t>=NL("Sum","Item Ledger Entry","Quantity","Entry Type","Purchase","Entry No.",I471,"Location Code",$L$7)</t>
  </si>
  <si>
    <t>=NL("Sum","Item Ledger Entry","Quantity","Entry Type","Purchase","Entry No.",I488,"Location Code",$L$7)</t>
  </si>
  <si>
    <t>=NL("Sum","Item Ledger Entry","Quantity","Entry Type","Purchase","Entry No.",I489,"Location Code",$L$7)</t>
  </si>
  <si>
    <t>=NL("Sum","Item Ledger Entry","Quantity","Entry Type","Sale","Entry No.",I471,"Location Code",$L$7)</t>
  </si>
  <si>
    <t>=NL("Sum","Item Ledger Entry","Quantity","Entry Type","Sale","Entry No.",I488,"Location Code",$L$7)</t>
  </si>
  <si>
    <t>=NL("Sum","Item Ledger Entry","Quantity","Entry Type","Sale","Entry No.",I489,"Location Code",$L$7)</t>
  </si>
  <si>
    <t>=NL("Sum","Item Ledger Entry","Quantity","Entry Type","Positive Adjmt.|Negative Adjmt.","Entry No.",I471,"Location Code",$L$7)</t>
  </si>
  <si>
    <t>=NL("Sum","Item Ledger Entry","Quantity","Entry Type","Positive Adjmt.|Negative Adjmt.","Entry No.",I488,"Location Code",$L$7)</t>
  </si>
  <si>
    <t>=NL("Sum","Item Ledger Entry","Quantity","Entry Type","Positive Adjmt.|Negative Adjmt.","Entry No.",I489,"Location Code",$L$7)</t>
  </si>
  <si>
    <t>=NL("Sum","Item Ledger Entry","Quantity","Entry Type","Transfer","Entry No.",I471,"Location Code",$L$7)</t>
  </si>
  <si>
    <t>=NL("Sum","Item Ledger Entry","Quantity","Entry Type","Transfer","Entry No.",I488,"Location Code",$L$7)</t>
  </si>
  <si>
    <t>=NL("Sum","Item Ledger Entry","Quantity","Entry Type","Transfer","Entry No.",I489,"Location Code",$L$7)</t>
  </si>
  <si>
    <t>=NL("Sum","Item Ledger Entry","Quantity","Entry Type","Consumption","Entry No.",I471,"Location Code",$L$7)</t>
  </si>
  <si>
    <t>=NL("Sum","Item Ledger Entry","Quantity","Entry Type","Consumption","Entry No.",I488,"Location Code",$L$7)</t>
  </si>
  <si>
    <t>=NL("Sum","Item Ledger Entry","Quantity","Entry Type","Consumption","Entry No.",I489,"Location Code",$L$7)</t>
  </si>
  <si>
    <t>=NL("Sum","Item Ledger Entry","Quantity","Entry Type","Output","Entry No.",I471,"Location Code",$L$7)</t>
  </si>
  <si>
    <t>=NL("Sum","Item Ledger Entry","Quantity","Entry Type","Output","Entry No.",I488,"Location Code",$L$7)</t>
  </si>
  <si>
    <t>=NL("Sum","Item Ledger Entry","Quantity","Entry Type","Output","Entry No.",I489,"Location Code",$L$7)</t>
  </si>
  <si>
    <t>=NF(G470,"Source Type")</t>
  </si>
  <si>
    <t>=NF(G471,"Source Type")</t>
  </si>
  <si>
    <t>=NF(G479,"Source Type")</t>
  </si>
  <si>
    <t>=NF(G487,"Source Type")</t>
  </si>
  <si>
    <t>=NF(G488,"Source Type")</t>
  </si>
  <si>
    <t>=NF(G489,"Source Type")</t>
  </si>
  <si>
    <t>=NF($G470,"Source No.")</t>
  </si>
  <si>
    <t>=NF($G471,"Source No.")</t>
  </si>
  <si>
    <t>=NF($G479,"Source No.")</t>
  </si>
  <si>
    <t>=NF($G487,"Source No.")</t>
  </si>
  <si>
    <t>=NF($G488,"Source No.")</t>
  </si>
  <si>
    <t>=NF($G489,"Source No.")</t>
  </si>
  <si>
    <t>=NF($G451,"Posting Date")</t>
  </si>
  <si>
    <t>=NF($G455,"Posting Date")</t>
  </si>
  <si>
    <t>=NF($G456,"Posting Date")</t>
  </si>
  <si>
    <t>=NF($G451,"Entry No.")</t>
  </si>
  <si>
    <t>=NF($G455,"Entry No.")</t>
  </si>
  <si>
    <t>=NF($G456,"Entry No.")</t>
  </si>
  <si>
    <t>=NF(G451,"Source Type")</t>
  </si>
  <si>
    <t>=NF(G455,"Source Type")</t>
  </si>
  <si>
    <t>=NF(G456,"Source Type")</t>
  </si>
  <si>
    <t>=NF($G451,"Source No.")</t>
  </si>
  <si>
    <t>=NF($G455,"Source No.")</t>
  </si>
  <si>
    <t>=NF($G456,"Source No.")</t>
  </si>
  <si>
    <t>=NF($G442,"Posting Date")</t>
  </si>
  <si>
    <t>=NF($G443,"Posting Date")</t>
  </si>
  <si>
    <t>=NF($G442,"Entry No.")</t>
  </si>
  <si>
    <t>=NF($G443,"Entry No.")</t>
  </si>
  <si>
    <t>=NL("Sum","Item Ledger Entry","Quantity","Entry Type","Purchase","Entry No.",I436,"Location Code",$L$7)</t>
  </si>
  <si>
    <t>=NL("Sum","Item Ledger Entry","Quantity","Entry Type","Purchase","Entry No.",I442,"Location Code",$L$7)</t>
  </si>
  <si>
    <t>=NL("Sum","Item Ledger Entry","Quantity","Entry Type","Purchase","Entry No.",I443,"Location Code",$L$7)</t>
  </si>
  <si>
    <t>=NL("Sum","Item Ledger Entry","Quantity","Entry Type","Sale","Entry No.",I436,"Location Code",$L$7)</t>
  </si>
  <si>
    <t>=NL("Sum","Item Ledger Entry","Quantity","Entry Type","Sale","Entry No.",I442,"Location Code",$L$7)</t>
  </si>
  <si>
    <t>=NL("Sum","Item Ledger Entry","Quantity","Entry Type","Sale","Entry No.",I443,"Location Code",$L$7)</t>
  </si>
  <si>
    <t>=NL("Sum","Item Ledger Entry","Quantity","Entry Type","Positive Adjmt.|Negative Adjmt.","Entry No.",I436,"Location Code",$L$7)</t>
  </si>
  <si>
    <t>=NL("Sum","Item Ledger Entry","Quantity","Entry Type","Positive Adjmt.|Negative Adjmt.","Entry No.",I442,"Location Code",$L$7)</t>
  </si>
  <si>
    <t>=NL("Sum","Item Ledger Entry","Quantity","Entry Type","Positive Adjmt.|Negative Adjmt.","Entry No.",I443,"Location Code",$L$7)</t>
  </si>
  <si>
    <t>=NL("Sum","Item Ledger Entry","Quantity","Entry Type","Transfer","Entry No.",I436,"Location Code",$L$7)</t>
  </si>
  <si>
    <t>=NL("Sum","Item Ledger Entry","Quantity","Entry Type","Transfer","Entry No.",I442,"Location Code",$L$7)</t>
  </si>
  <si>
    <t>=NL("Sum","Item Ledger Entry","Quantity","Entry Type","Transfer","Entry No.",I443,"Location Code",$L$7)</t>
  </si>
  <si>
    <t>=NL("Sum","Item Ledger Entry","Quantity","Entry Type","Consumption","Entry No.",I436,"Location Code",$L$7)</t>
  </si>
  <si>
    <t>=NL("Sum","Item Ledger Entry","Quantity","Entry Type","Consumption","Entry No.",I442,"Location Code",$L$7)</t>
  </si>
  <si>
    <t>=NL("Sum","Item Ledger Entry","Quantity","Entry Type","Consumption","Entry No.",I443,"Location Code",$L$7)</t>
  </si>
  <si>
    <t>=NL("Sum","Item Ledger Entry","Quantity","Entry Type","Output","Entry No.",I436,"Location Code",$L$7)</t>
  </si>
  <si>
    <t>=NL("Sum","Item Ledger Entry","Quantity","Entry Type","Output","Entry No.",I442,"Location Code",$L$7)</t>
  </si>
  <si>
    <t>=NL("Sum","Item Ledger Entry","Quantity","Entry Type","Output","Entry No.",I443,"Location Code",$L$7)</t>
  </si>
  <si>
    <t>=NF(G442,"Source Type")</t>
  </si>
  <si>
    <t>=NF(G443,"Source Type")</t>
  </si>
  <si>
    <t>=NF($G442,"Source No.")</t>
  </si>
  <si>
    <t>=NF($G443,"Source No.")</t>
  </si>
  <si>
    <t>=NF($G418,"Posting Date")</t>
  </si>
  <si>
    <t>=NF($G420,"Posting Date")</t>
  </si>
  <si>
    <t>=NF($G418,"Entry No.")</t>
  </si>
  <si>
    <t>=NF($G420,"Entry No.")</t>
  </si>
  <si>
    <t>=NL("Sum","Item Ledger Entry","Quantity","Entry Type","Purchase","Entry No.",I418,"Location Code",$L$7)</t>
  </si>
  <si>
    <t>=NL("Sum","Item Ledger Entry","Quantity","Entry Type","Purchase","Entry No.",I419,"Location Code",$L$7)</t>
  </si>
  <si>
    <t>=NL("Sum","Item Ledger Entry","Quantity","Entry Type","Purchase","Entry No.",I420,"Location Code",$L$7)</t>
  </si>
  <si>
    <t>=NL("Sum","Item Ledger Entry","Quantity","Entry Type","Sale","Entry No.",I418,"Location Code",$L$7)</t>
  </si>
  <si>
    <t>=NL("Sum","Item Ledger Entry","Quantity","Entry Type","Sale","Entry No.",I419,"Location Code",$L$7)</t>
  </si>
  <si>
    <t>=NL("Sum","Item Ledger Entry","Quantity","Entry Type","Sale","Entry No.",I420,"Location Code",$L$7)</t>
  </si>
  <si>
    <t>=NL("Sum","Item Ledger Entry","Quantity","Entry Type","Positive Adjmt.|Negative Adjmt.","Entry No.",I418,"Location Code",$L$7)</t>
  </si>
  <si>
    <t>=NL("Sum","Item Ledger Entry","Quantity","Entry Type","Positive Adjmt.|Negative Adjmt.","Entry No.",I419,"Location Code",$L$7)</t>
  </si>
  <si>
    <t>=NL("Sum","Item Ledger Entry","Quantity","Entry Type","Positive Adjmt.|Negative Adjmt.","Entry No.",I420,"Location Code",$L$7)</t>
  </si>
  <si>
    <t>=NL("Sum","Item Ledger Entry","Quantity","Entry Type","Transfer","Entry No.",I418,"Location Code",$L$7)</t>
  </si>
  <si>
    <t>=NL("Sum","Item Ledger Entry","Quantity","Entry Type","Transfer","Entry No.",I419,"Location Code",$L$7)</t>
  </si>
  <si>
    <t>=NL("Sum","Item Ledger Entry","Quantity","Entry Type","Transfer","Entry No.",I420,"Location Code",$L$7)</t>
  </si>
  <si>
    <t>=NL("Sum","Item Ledger Entry","Quantity","Entry Type","Consumption","Entry No.",I418,"Location Code",$L$7)</t>
  </si>
  <si>
    <t>=NL("Sum","Item Ledger Entry","Quantity","Entry Type","Consumption","Entry No.",I419,"Location Code",$L$7)</t>
  </si>
  <si>
    <t>=NL("Sum","Item Ledger Entry","Quantity","Entry Type","Consumption","Entry No.",I420,"Location Code",$L$7)</t>
  </si>
  <si>
    <t>=NL("Sum","Item Ledger Entry","Quantity","Entry Type","Output","Entry No.",I418,"Location Code",$L$7)</t>
  </si>
  <si>
    <t>=NL("Sum","Item Ledger Entry","Quantity","Entry Type","Output","Entry No.",I419,"Location Code",$L$7)</t>
  </si>
  <si>
    <t>=NL("Sum","Item Ledger Entry","Quantity","Entry Type","Output","Entry No.",I420,"Location Code",$L$7)</t>
  </si>
  <si>
    <t>=NF(G418,"Source Type")</t>
  </si>
  <si>
    <t>=NF(G420,"Source Type")</t>
  </si>
  <si>
    <t>=NF($G418,"Source No.")</t>
  </si>
  <si>
    <t>=NF($G420,"Source No.")</t>
  </si>
  <si>
    <t>=NF($G392,"Posting Date")</t>
  </si>
  <si>
    <t>=NF($G399,"Posting Date")</t>
  </si>
  <si>
    <t>=NF($G400,"Posting Date")</t>
  </si>
  <si>
    <t>=NF($G401,"Posting Date")</t>
  </si>
  <si>
    <t>=NF($G392,"Entry No.")</t>
  </si>
  <si>
    <t>=NF($G399,"Entry No.")</t>
  </si>
  <si>
    <t>=NF($G400,"Entry No.")</t>
  </si>
  <si>
    <t>=NF($G401,"Entry No.")</t>
  </si>
  <si>
    <t>=NL("Sum","Item Ledger Entry","Quantity","Entry Type","Purchase","Entry No.",I392,"Location Code",$L$7)</t>
  </si>
  <si>
    <t>=NL("Sum","Item Ledger Entry","Quantity","Entry Type","Purchase","Entry No.",I393,"Location Code",$L$7)</t>
  </si>
  <si>
    <t>=NL("Sum","Item Ledger Entry","Quantity","Entry Type","Purchase","Entry No.",I394,"Location Code",$L$7)</t>
  </si>
  <si>
    <t>=NL("Sum","Item Ledger Entry","Quantity","Entry Type","Purchase","Entry No.",I399,"Location Code",$L$7)</t>
  </si>
  <si>
    <t>=NL("Sum","Item Ledger Entry","Quantity","Entry Type","Purchase","Entry No.",I400,"Location Code",$L$7)</t>
  </si>
  <si>
    <t>=NL("Sum","Item Ledger Entry","Quantity","Entry Type","Purchase","Entry No.",I401,"Location Code",$L$7)</t>
  </si>
  <si>
    <t>=NL("Sum","Item Ledger Entry","Quantity","Entry Type","Sale","Entry No.",I392,"Location Code",$L$7)</t>
  </si>
  <si>
    <t>=NL("Sum","Item Ledger Entry","Quantity","Entry Type","Sale","Entry No.",I393,"Location Code",$L$7)</t>
  </si>
  <si>
    <t>=NL("Sum","Item Ledger Entry","Quantity","Entry Type","Sale","Entry No.",I394,"Location Code",$L$7)</t>
  </si>
  <si>
    <t>=NL("Sum","Item Ledger Entry","Quantity","Entry Type","Sale","Entry No.",I399,"Location Code",$L$7)</t>
  </si>
  <si>
    <t>=NL("Sum","Item Ledger Entry","Quantity","Entry Type","Sale","Entry No.",I400,"Location Code",$L$7)</t>
  </si>
  <si>
    <t>=NL("Sum","Item Ledger Entry","Quantity","Entry Type","Sale","Entry No.",I401,"Location Code",$L$7)</t>
  </si>
  <si>
    <t>=NL("Sum","Item Ledger Entry","Quantity","Entry Type","Positive Adjmt.|Negative Adjmt.","Entry No.",I392,"Location Code",$L$7)</t>
  </si>
  <si>
    <t>=NL("Sum","Item Ledger Entry","Quantity","Entry Type","Positive Adjmt.|Negative Adjmt.","Entry No.",I393,"Location Code",$L$7)</t>
  </si>
  <si>
    <t>=NL("Sum","Item Ledger Entry","Quantity","Entry Type","Positive Adjmt.|Negative Adjmt.","Entry No.",I394,"Location Code",$L$7)</t>
  </si>
  <si>
    <t>=NL("Sum","Item Ledger Entry","Quantity","Entry Type","Positive Adjmt.|Negative Adjmt.","Entry No.",I399,"Location Code",$L$7)</t>
  </si>
  <si>
    <t>=NL("Sum","Item Ledger Entry","Quantity","Entry Type","Positive Adjmt.|Negative Adjmt.","Entry No.",I400,"Location Code",$L$7)</t>
  </si>
  <si>
    <t>=NL("Sum","Item Ledger Entry","Quantity","Entry Type","Positive Adjmt.|Negative Adjmt.","Entry No.",I401,"Location Code",$L$7)</t>
  </si>
  <si>
    <t>=NL("Sum","Item Ledger Entry","Quantity","Entry Type","Transfer","Entry No.",I392,"Location Code",$L$7)</t>
  </si>
  <si>
    <t>=NL("Sum","Item Ledger Entry","Quantity","Entry Type","Transfer","Entry No.",I393,"Location Code",$L$7)</t>
  </si>
  <si>
    <t>=NL("Sum","Item Ledger Entry","Quantity","Entry Type","Transfer","Entry No.",I394,"Location Code",$L$7)</t>
  </si>
  <si>
    <t>=NL("Sum","Item Ledger Entry","Quantity","Entry Type","Transfer","Entry No.",I399,"Location Code",$L$7)</t>
  </si>
  <si>
    <t>=NL("Sum","Item Ledger Entry","Quantity","Entry Type","Transfer","Entry No.",I400,"Location Code",$L$7)</t>
  </si>
  <si>
    <t>=NL("Sum","Item Ledger Entry","Quantity","Entry Type","Transfer","Entry No.",I401,"Location Code",$L$7)</t>
  </si>
  <si>
    <t>=NL("Sum","Item Ledger Entry","Quantity","Entry Type","Consumption","Entry No.",I392,"Location Code",$L$7)</t>
  </si>
  <si>
    <t>=NL("Sum","Item Ledger Entry","Quantity","Entry Type","Consumption","Entry No.",I393,"Location Code",$L$7)</t>
  </si>
  <si>
    <t>=NL("Sum","Item Ledger Entry","Quantity","Entry Type","Consumption","Entry No.",I394,"Location Code",$L$7)</t>
  </si>
  <si>
    <t>=NL("Sum","Item Ledger Entry","Quantity","Entry Type","Consumption","Entry No.",I399,"Location Code",$L$7)</t>
  </si>
  <si>
    <t>=NL("Sum","Item Ledger Entry","Quantity","Entry Type","Consumption","Entry No.",I400,"Location Code",$L$7)</t>
  </si>
  <si>
    <t>=NL("Sum","Item Ledger Entry","Quantity","Entry Type","Consumption","Entry No.",I401,"Location Code",$L$7)</t>
  </si>
  <si>
    <t>=NL("Sum","Item Ledger Entry","Quantity","Entry Type","Output","Entry No.",I392,"Location Code",$L$7)</t>
  </si>
  <si>
    <t>=NL("Sum","Item Ledger Entry","Quantity","Entry Type","Output","Entry No.",I393,"Location Code",$L$7)</t>
  </si>
  <si>
    <t>=NL("Sum","Item Ledger Entry","Quantity","Entry Type","Output","Entry No.",I394,"Location Code",$L$7)</t>
  </si>
  <si>
    <t>=NL("Sum","Item Ledger Entry","Quantity","Entry Type","Output","Entry No.",I399,"Location Code",$L$7)</t>
  </si>
  <si>
    <t>=NL("Sum","Item Ledger Entry","Quantity","Entry Type","Output","Entry No.",I400,"Location Code",$L$7)</t>
  </si>
  <si>
    <t>=NL("Sum","Item Ledger Entry","Quantity","Entry Type","Output","Entry No.",I401,"Location Code",$L$7)</t>
  </si>
  <si>
    <t>=NF(G392,"Source Type")</t>
  </si>
  <si>
    <t>=NF(G399,"Source Type")</t>
  </si>
  <si>
    <t>=NF(G400,"Source Type")</t>
  </si>
  <si>
    <t>=NF(G401,"Source Type")</t>
  </si>
  <si>
    <t>=NF($G392,"Source No.")</t>
  </si>
  <si>
    <t>=NF($G399,"Source No.")</t>
  </si>
  <si>
    <t>=NF($G400,"Source No.")</t>
  </si>
  <si>
    <t>=NF($G401,"Source No.")</t>
  </si>
  <si>
    <t>=NF($G372,"Posting Date")</t>
  </si>
  <si>
    <t>=NF($G373,"Posting Date")</t>
  </si>
  <si>
    <t>=NF($G372,"Entry No.")</t>
  </si>
  <si>
    <t>=NF($G373,"Entry No.")</t>
  </si>
  <si>
    <t>=NL("Sum","Item Ledger Entry","Quantity","Entry Type","Purchase","Entry No.",I372,"Location Code",$L$7)</t>
  </si>
  <si>
    <t>=NL("Sum","Item Ledger Entry","Quantity","Entry Type","Purchase","Entry No.",I373,"Location Code",$L$7)</t>
  </si>
  <si>
    <t>=NL("Sum","Item Ledger Entry","Quantity","Entry Type","Sale","Entry No.",I372,"Location Code",$L$7)</t>
  </si>
  <si>
    <t>=NL("Sum","Item Ledger Entry","Quantity","Entry Type","Sale","Entry No.",I373,"Location Code",$L$7)</t>
  </si>
  <si>
    <t>=NL("Sum","Item Ledger Entry","Quantity","Entry Type","Positive Adjmt.|Negative Adjmt.","Entry No.",I372,"Location Code",$L$7)</t>
  </si>
  <si>
    <t>=NL("Sum","Item Ledger Entry","Quantity","Entry Type","Positive Adjmt.|Negative Adjmt.","Entry No.",I373,"Location Code",$L$7)</t>
  </si>
  <si>
    <t>=NL("Sum","Item Ledger Entry","Quantity","Entry Type","Transfer","Entry No.",I372,"Location Code",$L$7)</t>
  </si>
  <si>
    <t>=NL("Sum","Item Ledger Entry","Quantity","Entry Type","Transfer","Entry No.",I373,"Location Code",$L$7)</t>
  </si>
  <si>
    <t>=NL("Sum","Item Ledger Entry","Quantity","Entry Type","Consumption","Entry No.",I372,"Location Code",$L$7)</t>
  </si>
  <si>
    <t>=NL("Sum","Item Ledger Entry","Quantity","Entry Type","Consumption","Entry No.",I373,"Location Code",$L$7)</t>
  </si>
  <si>
    <t>=NL("Sum","Item Ledger Entry","Quantity","Entry Type","Output","Entry No.",I372,"Location Code",$L$7)</t>
  </si>
  <si>
    <t>=NL("Sum","Item Ledger Entry","Quantity","Entry Type","Output","Entry No.",I373,"Location Code",$L$7)</t>
  </si>
  <si>
    <t>=NF(G372,"Source Type")</t>
  </si>
  <si>
    <t>=NF(G373,"Source Type")</t>
  </si>
  <si>
    <t>=NF($G372,"Source No.")</t>
  </si>
  <si>
    <t>=NF($G373,"Source No.")</t>
  </si>
  <si>
    <t>=NF($G352,"Posting Date")</t>
  </si>
  <si>
    <t>=NF($G352,"Entry No.")</t>
  </si>
  <si>
    <t>=NL("Sum","Item Ledger Entry","Quantity","Entry Type","Purchase","Entry No.",I341,"Location Code",$L$7)</t>
  </si>
  <si>
    <t>=NL("Sum","Item Ledger Entry","Quantity","Entry Type","Purchase","Entry No.",I351,"Location Code",$L$7)</t>
  </si>
  <si>
    <t>=NL("Sum","Item Ledger Entry","Quantity","Entry Type","Purchase","Entry No.",I352,"Location Code",$L$7)</t>
  </si>
  <si>
    <t>=NL("Sum","Item Ledger Entry","Quantity","Entry Type","Purchase","Entry No.",I353,"Location Code",$L$7)</t>
  </si>
  <si>
    <t>=NL("Sum","Item Ledger Entry","Quantity","Entry Type","Purchase","Entry No.",I360,"Location Code",$L$7)</t>
  </si>
  <si>
    <t>=NL("Sum","Item Ledger Entry","Quantity","Entry Type","Purchase","Entry No.",I366,"Location Code",$L$7)</t>
  </si>
  <si>
    <t>=NL("Sum","Item Ledger Entry","Quantity","Entry Type","Sale","Entry No.",I341,"Location Code",$L$7)</t>
  </si>
  <si>
    <t>=NL("Sum","Item Ledger Entry","Quantity","Entry Type","Sale","Entry No.",I351,"Location Code",$L$7)</t>
  </si>
  <si>
    <t>=NL("Sum","Item Ledger Entry","Quantity","Entry Type","Sale","Entry No.",I352,"Location Code",$L$7)</t>
  </si>
  <si>
    <t>=NL("Sum","Item Ledger Entry","Quantity","Entry Type","Sale","Entry No.",I353,"Location Code",$L$7)</t>
  </si>
  <si>
    <t>=NL("Sum","Item Ledger Entry","Quantity","Entry Type","Sale","Entry No.",I360,"Location Code",$L$7)</t>
  </si>
  <si>
    <t>=NL("Sum","Item Ledger Entry","Quantity","Entry Type","Sale","Entry No.",I366,"Location Code",$L$7)</t>
  </si>
  <si>
    <t>=NL("Sum","Item Ledger Entry","Quantity","Entry Type","Positive Adjmt.|Negative Adjmt.","Entry No.",I341,"Location Code",$L$7)</t>
  </si>
  <si>
    <t>=NL("Sum","Item Ledger Entry","Quantity","Entry Type","Positive Adjmt.|Negative Adjmt.","Entry No.",I351,"Location Code",$L$7)</t>
  </si>
  <si>
    <t>=NL("Sum","Item Ledger Entry","Quantity","Entry Type","Positive Adjmt.|Negative Adjmt.","Entry No.",I352,"Location Code",$L$7)</t>
  </si>
  <si>
    <t>=NL("Sum","Item Ledger Entry","Quantity","Entry Type","Positive Adjmt.|Negative Adjmt.","Entry No.",I353,"Location Code",$L$7)</t>
  </si>
  <si>
    <t>=NL("Sum","Item Ledger Entry","Quantity","Entry Type","Positive Adjmt.|Negative Adjmt.","Entry No.",I360,"Location Code",$L$7)</t>
  </si>
  <si>
    <t>=NL("Sum","Item Ledger Entry","Quantity","Entry Type","Positive Adjmt.|Negative Adjmt.","Entry No.",I366,"Location Code",$L$7)</t>
  </si>
  <si>
    <t>=NL("Sum","Item Ledger Entry","Quantity","Entry Type","Transfer","Entry No.",I341,"Location Code",$L$7)</t>
  </si>
  <si>
    <t>=NL("Sum","Item Ledger Entry","Quantity","Entry Type","Transfer","Entry No.",I351,"Location Code",$L$7)</t>
  </si>
  <si>
    <t>=NL("Sum","Item Ledger Entry","Quantity","Entry Type","Transfer","Entry No.",I352,"Location Code",$L$7)</t>
  </si>
  <si>
    <t>=NL("Sum","Item Ledger Entry","Quantity","Entry Type","Transfer","Entry No.",I353,"Location Code",$L$7)</t>
  </si>
  <si>
    <t>=NL("Sum","Item Ledger Entry","Quantity","Entry Type","Transfer","Entry No.",I360,"Location Code",$L$7)</t>
  </si>
  <si>
    <t>=NL("Sum","Item Ledger Entry","Quantity","Entry Type","Transfer","Entry No.",I366,"Location Code",$L$7)</t>
  </si>
  <si>
    <t>=NL("Sum","Item Ledger Entry","Quantity","Entry Type","Consumption","Entry No.",I341,"Location Code",$L$7)</t>
  </si>
  <si>
    <t>=NL("Sum","Item Ledger Entry","Quantity","Entry Type","Consumption","Entry No.",I351,"Location Code",$L$7)</t>
  </si>
  <si>
    <t>=NL("Sum","Item Ledger Entry","Quantity","Entry Type","Consumption","Entry No.",I352,"Location Code",$L$7)</t>
  </si>
  <si>
    <t>=NL("Sum","Item Ledger Entry","Quantity","Entry Type","Consumption","Entry No.",I353,"Location Code",$L$7)</t>
  </si>
  <si>
    <t>=NL("Sum","Item Ledger Entry","Quantity","Entry Type","Consumption","Entry No.",I360,"Location Code",$L$7)</t>
  </si>
  <si>
    <t>=NL("Sum","Item Ledger Entry","Quantity","Entry Type","Consumption","Entry No.",I366,"Location Code",$L$7)</t>
  </si>
  <si>
    <t>=NL("Sum","Item Ledger Entry","Quantity","Entry Type","Output","Entry No.",I341,"Location Code",$L$7)</t>
  </si>
  <si>
    <t>=NL("Sum","Item Ledger Entry","Quantity","Entry Type","Output","Entry No.",I351,"Location Code",$L$7)</t>
  </si>
  <si>
    <t>=NL("Sum","Item Ledger Entry","Quantity","Entry Type","Output","Entry No.",I352,"Location Code",$L$7)</t>
  </si>
  <si>
    <t>=NL("Sum","Item Ledger Entry","Quantity","Entry Type","Output","Entry No.",I353,"Location Code",$L$7)</t>
  </si>
  <si>
    <t>=NL("Sum","Item Ledger Entry","Quantity","Entry Type","Output","Entry No.",I360,"Location Code",$L$7)</t>
  </si>
  <si>
    <t>=NL("Sum","Item Ledger Entry","Quantity","Entry Type","Output","Entry No.",I366,"Location Code",$L$7)</t>
  </si>
  <si>
    <t>=NF(G352,"Source Type")</t>
  </si>
  <si>
    <t>=NF($G352,"Source No.")</t>
  </si>
  <si>
    <t>=NF($G318,"Posting Date")</t>
  </si>
  <si>
    <t>=NF($G327,"Posting Date")</t>
  </si>
  <si>
    <t>=NF($G318,"Entry No.")</t>
  </si>
  <si>
    <t>=NF($G327,"Entry No.")</t>
  </si>
  <si>
    <t>=NL("Sum","Item Ledger Entry","Quantity","Entry Type","Purchase","Entry No.",I317,"Location Code",$L$7)</t>
  </si>
  <si>
    <t>=NL("Sum","Item Ledger Entry","Quantity","Entry Type","Purchase","Entry No.",I318,"Location Code",$L$7)</t>
  </si>
  <si>
    <t>=NL("Sum","Item Ledger Entry","Quantity","Entry Type","Purchase","Entry No.",I333,"Location Code",$L$7)</t>
  </si>
  <si>
    <t>=NL("Sum","Item Ledger Entry","Quantity","Entry Type","Purchase","Entry No.",I334,"Location Code",$L$7)</t>
  </si>
  <si>
    <t>=NL("Sum","Item Ledger Entry","Quantity","Entry Type","Purchase","Entry No.",I335,"Location Code",$L$7)</t>
  </si>
  <si>
    <t>=NL("Sum","Item Ledger Entry","Quantity","Entry Type","Sale","Entry No.",I317,"Location Code",$L$7)</t>
  </si>
  <si>
    <t>=NL("Sum","Item Ledger Entry","Quantity","Entry Type","Sale","Entry No.",I318,"Location Code",$L$7)</t>
  </si>
  <si>
    <t>=NL("Sum","Item Ledger Entry","Quantity","Entry Type","Sale","Entry No.",I333,"Location Code",$L$7)</t>
  </si>
  <si>
    <t>=NL("Sum","Item Ledger Entry","Quantity","Entry Type","Sale","Entry No.",I334,"Location Code",$L$7)</t>
  </si>
  <si>
    <t>=NL("Sum","Item Ledger Entry","Quantity","Entry Type","Sale","Entry No.",I335,"Location Code",$L$7)</t>
  </si>
  <si>
    <t>=NL("Sum","Item Ledger Entry","Quantity","Entry Type","Positive Adjmt.|Negative Adjmt.","Entry No.",I317,"Location Code",$L$7)</t>
  </si>
  <si>
    <t>=NL("Sum","Item Ledger Entry","Quantity","Entry Type","Positive Adjmt.|Negative Adjmt.","Entry No.",I318,"Location Code",$L$7)</t>
  </si>
  <si>
    <t>=NL("Sum","Item Ledger Entry","Quantity","Entry Type","Positive Adjmt.|Negative Adjmt.","Entry No.",I333,"Location Code",$L$7)</t>
  </si>
  <si>
    <t>=NL("Sum","Item Ledger Entry","Quantity","Entry Type","Positive Adjmt.|Negative Adjmt.","Entry No.",I334,"Location Code",$L$7)</t>
  </si>
  <si>
    <t>=NL("Sum","Item Ledger Entry","Quantity","Entry Type","Positive Adjmt.|Negative Adjmt.","Entry No.",I335,"Location Code",$L$7)</t>
  </si>
  <si>
    <t>=NL("Sum","Item Ledger Entry","Quantity","Entry Type","Transfer","Entry No.",I317,"Location Code",$L$7)</t>
  </si>
  <si>
    <t>=NL("Sum","Item Ledger Entry","Quantity","Entry Type","Transfer","Entry No.",I318,"Location Code",$L$7)</t>
  </si>
  <si>
    <t>=NL("Sum","Item Ledger Entry","Quantity","Entry Type","Transfer","Entry No.",I333,"Location Code",$L$7)</t>
  </si>
  <si>
    <t>=NL("Sum","Item Ledger Entry","Quantity","Entry Type","Transfer","Entry No.",I334,"Location Code",$L$7)</t>
  </si>
  <si>
    <t>=NL("Sum","Item Ledger Entry","Quantity","Entry Type","Transfer","Entry No.",I335,"Location Code",$L$7)</t>
  </si>
  <si>
    <t>=NL("Sum","Item Ledger Entry","Quantity","Entry Type","Consumption","Entry No.",I317,"Location Code",$L$7)</t>
  </si>
  <si>
    <t>=NL("Sum","Item Ledger Entry","Quantity","Entry Type","Consumption","Entry No.",I318,"Location Code",$L$7)</t>
  </si>
  <si>
    <t>=NL("Sum","Item Ledger Entry","Quantity","Entry Type","Consumption","Entry No.",I333,"Location Code",$L$7)</t>
  </si>
  <si>
    <t>=NL("Sum","Item Ledger Entry","Quantity","Entry Type","Consumption","Entry No.",I334,"Location Code",$L$7)</t>
  </si>
  <si>
    <t>=NL("Sum","Item Ledger Entry","Quantity","Entry Type","Consumption","Entry No.",I335,"Location Code",$L$7)</t>
  </si>
  <si>
    <t>=NL("Sum","Item Ledger Entry","Quantity","Entry Type","Output","Entry No.",I317,"Location Code",$L$7)</t>
  </si>
  <si>
    <t>=NL("Sum","Item Ledger Entry","Quantity","Entry Type","Output","Entry No.",I318,"Location Code",$L$7)</t>
  </si>
  <si>
    <t>=NL("Sum","Item Ledger Entry","Quantity","Entry Type","Output","Entry No.",I333,"Location Code",$L$7)</t>
  </si>
  <si>
    <t>=NL("Sum","Item Ledger Entry","Quantity","Entry Type","Output","Entry No.",I334,"Location Code",$L$7)</t>
  </si>
  <si>
    <t>=NL("Sum","Item Ledger Entry","Quantity","Entry Type","Output","Entry No.",I335,"Location Code",$L$7)</t>
  </si>
  <si>
    <t>=NF(G318,"Source Type")</t>
  </si>
  <si>
    <t>=NF(G327,"Source Type")</t>
  </si>
  <si>
    <t>=NF($G318,"Source No.")</t>
  </si>
  <si>
    <t>=NF($G327,"Source No.")</t>
  </si>
  <si>
    <t>=NL("Sum","Item Ledger Entry","Quantity","Entry Type","Purchase","Entry No.",I286,"Location Code",$L$7)</t>
  </si>
  <si>
    <t>=NL("Sum","Item Ledger Entry","Quantity","Entry Type","Purchase","Entry No.",I287,"Location Code",$L$7)</t>
  </si>
  <si>
    <t>=NL("Sum","Item Ledger Entry","Quantity","Entry Type","Purchase","Entry No.",I288,"Location Code",$L$7)</t>
  </si>
  <si>
    <t>=NL("Sum","Item Ledger Entry","Quantity","Entry Type","Purchase","Entry No.",I292,"Location Code",$L$7)</t>
  </si>
  <si>
    <t>=NL("Sum","Item Ledger Entry","Quantity","Entry Type","Sale","Entry No.",I286,"Location Code",$L$7)</t>
  </si>
  <si>
    <t>=NL("Sum","Item Ledger Entry","Quantity","Entry Type","Sale","Entry No.",I287,"Location Code",$L$7)</t>
  </si>
  <si>
    <t>=NL("Sum","Item Ledger Entry","Quantity","Entry Type","Sale","Entry No.",I288,"Location Code",$L$7)</t>
  </si>
  <si>
    <t>=NL("Sum","Item Ledger Entry","Quantity","Entry Type","Sale","Entry No.",I292,"Location Code",$L$7)</t>
  </si>
  <si>
    <t>=NL("Sum","Item Ledger Entry","Quantity","Entry Type","Positive Adjmt.|Negative Adjmt.","Entry No.",I286,"Location Code",$L$7)</t>
  </si>
  <si>
    <t>=NL("Sum","Item Ledger Entry","Quantity","Entry Type","Positive Adjmt.|Negative Adjmt.","Entry No.",I287,"Location Code",$L$7)</t>
  </si>
  <si>
    <t>=NL("Sum","Item Ledger Entry","Quantity","Entry Type","Positive Adjmt.|Negative Adjmt.","Entry No.",I288,"Location Code",$L$7)</t>
  </si>
  <si>
    <t>=NL("Sum","Item Ledger Entry","Quantity","Entry Type","Positive Adjmt.|Negative Adjmt.","Entry No.",I292,"Location Code",$L$7)</t>
  </si>
  <si>
    <t>=NL("Sum","Item Ledger Entry","Quantity","Entry Type","Transfer","Entry No.",I286,"Location Code",$L$7)</t>
  </si>
  <si>
    <t>=NL("Sum","Item Ledger Entry","Quantity","Entry Type","Transfer","Entry No.",I287,"Location Code",$L$7)</t>
  </si>
  <si>
    <t>=NL("Sum","Item Ledger Entry","Quantity","Entry Type","Transfer","Entry No.",I288,"Location Code",$L$7)</t>
  </si>
  <si>
    <t>=NL("Sum","Item Ledger Entry","Quantity","Entry Type","Transfer","Entry No.",I292,"Location Code",$L$7)</t>
  </si>
  <si>
    <t>=NL("Sum","Item Ledger Entry","Quantity","Entry Type","Consumption","Entry No.",I286,"Location Code",$L$7)</t>
  </si>
  <si>
    <t>=NL("Sum","Item Ledger Entry","Quantity","Entry Type","Consumption","Entry No.",I287,"Location Code",$L$7)</t>
  </si>
  <si>
    <t>=NL("Sum","Item Ledger Entry","Quantity","Entry Type","Consumption","Entry No.",I288,"Location Code",$L$7)</t>
  </si>
  <si>
    <t>=NL("Sum","Item Ledger Entry","Quantity","Entry Type","Consumption","Entry No.",I292,"Location Code",$L$7)</t>
  </si>
  <si>
    <t>=NL("Sum","Item Ledger Entry","Quantity","Entry Type","Output","Entry No.",I286,"Location Code",$L$7)</t>
  </si>
  <si>
    <t>=NL("Sum","Item Ledger Entry","Quantity","Entry Type","Output","Entry No.",I287,"Location Code",$L$7)</t>
  </si>
  <si>
    <t>=NL("Sum","Item Ledger Entry","Quantity","Entry Type","Output","Entry No.",I288,"Location Code",$L$7)</t>
  </si>
  <si>
    <t>=NL("Sum","Item Ledger Entry","Quantity","Entry Type","Output","Entry No.",I292,"Location Code",$L$7)</t>
  </si>
  <si>
    <t>=NF($G267,"Posting Date")</t>
  </si>
  <si>
    <t>=NF($G267,"Entry No.")</t>
  </si>
  <si>
    <t>=NL("Sum","Item Ledger Entry","Quantity","Entry Type","Purchase","Entry No.",I266,"Location Code",$L$7)</t>
  </si>
  <si>
    <t>=NL("Sum","Item Ledger Entry","Quantity","Entry Type","Purchase","Entry No.",I267,"Location Code",$L$7)</t>
  </si>
  <si>
    <t>=NL("Sum","Item Ledger Entry","Quantity","Entry Type","Purchase","Entry No.",I277,"Location Code",$L$7)</t>
  </si>
  <si>
    <t>=NL("Sum","Item Ledger Entry","Quantity","Entry Type","Purchase","Entry No.",I278,"Location Code",$L$7)</t>
  </si>
  <si>
    <t>=NL("Sum","Item Ledger Entry","Quantity","Entry Type","Sale","Entry No.",I266,"Location Code",$L$7)</t>
  </si>
  <si>
    <t>=NL("Sum","Item Ledger Entry","Quantity","Entry Type","Sale","Entry No.",I267,"Location Code",$L$7)</t>
  </si>
  <si>
    <t>=NL("Sum","Item Ledger Entry","Quantity","Entry Type","Sale","Entry No.",I277,"Location Code",$L$7)</t>
  </si>
  <si>
    <t>=NL("Sum","Item Ledger Entry","Quantity","Entry Type","Sale","Entry No.",I278,"Location Code",$L$7)</t>
  </si>
  <si>
    <t>=NL("Sum","Item Ledger Entry","Quantity","Entry Type","Positive Adjmt.|Negative Adjmt.","Entry No.",I266,"Location Code",$L$7)</t>
  </si>
  <si>
    <t>=NL("Sum","Item Ledger Entry","Quantity","Entry Type","Positive Adjmt.|Negative Adjmt.","Entry No.",I267,"Location Code",$L$7)</t>
  </si>
  <si>
    <t>=NL("Sum","Item Ledger Entry","Quantity","Entry Type","Positive Adjmt.|Negative Adjmt.","Entry No.",I277,"Location Code",$L$7)</t>
  </si>
  <si>
    <t>=NL("Sum","Item Ledger Entry","Quantity","Entry Type","Positive Adjmt.|Negative Adjmt.","Entry No.",I278,"Location Code",$L$7)</t>
  </si>
  <si>
    <t>=NL("Sum","Item Ledger Entry","Quantity","Entry Type","Transfer","Entry No.",I266,"Location Code",$L$7)</t>
  </si>
  <si>
    <t>=NL("Sum","Item Ledger Entry","Quantity","Entry Type","Transfer","Entry No.",I267,"Location Code",$L$7)</t>
  </si>
  <si>
    <t>=NL("Sum","Item Ledger Entry","Quantity","Entry Type","Transfer","Entry No.",I277,"Location Code",$L$7)</t>
  </si>
  <si>
    <t>=NL("Sum","Item Ledger Entry","Quantity","Entry Type","Transfer","Entry No.",I278,"Location Code",$L$7)</t>
  </si>
  <si>
    <t>=NL("Sum","Item Ledger Entry","Quantity","Entry Type","Consumption","Entry No.",I266,"Location Code",$L$7)</t>
  </si>
  <si>
    <t>=NL("Sum","Item Ledger Entry","Quantity","Entry Type","Consumption","Entry No.",I267,"Location Code",$L$7)</t>
  </si>
  <si>
    <t>=NL("Sum","Item Ledger Entry","Quantity","Entry Type","Consumption","Entry No.",I277,"Location Code",$L$7)</t>
  </si>
  <si>
    <t>=NL("Sum","Item Ledger Entry","Quantity","Entry Type","Consumption","Entry No.",I278,"Location Code",$L$7)</t>
  </si>
  <si>
    <t>=NL("Sum","Item Ledger Entry","Quantity","Entry Type","Output","Entry No.",I266,"Location Code",$L$7)</t>
  </si>
  <si>
    <t>=NL("Sum","Item Ledger Entry","Quantity","Entry Type","Output","Entry No.",I267,"Location Code",$L$7)</t>
  </si>
  <si>
    <t>=NL("Sum","Item Ledger Entry","Quantity","Entry Type","Output","Entry No.",I277,"Location Code",$L$7)</t>
  </si>
  <si>
    <t>=NL("Sum","Item Ledger Entry","Quantity","Entry Type","Output","Entry No.",I278,"Location Code",$L$7)</t>
  </si>
  <si>
    <t>=NF(G267,"Source Type")</t>
  </si>
  <si>
    <t>=NF($G267,"Source No.")</t>
  </si>
  <si>
    <t>=NL("Sum","Item Ledger Entry","Quantity","Entry Type","Purchase","Entry No.",I247,"Location Code",$L$7)</t>
  </si>
  <si>
    <t>=NL("Sum","Item Ledger Entry","Quantity","Entry Type","Sale","Entry No.",I247,"Location Code",$L$7)</t>
  </si>
  <si>
    <t>=NL("Sum","Item Ledger Entry","Quantity","Entry Type","Positive Adjmt.|Negative Adjmt.","Entry No.",I247,"Location Code",$L$7)</t>
  </si>
  <si>
    <t>=NL("Sum","Item Ledger Entry","Quantity","Entry Type","Transfer","Entry No.",I247,"Location Code",$L$7)</t>
  </si>
  <si>
    <t>=NL("Sum","Item Ledger Entry","Quantity","Entry Type","Consumption","Entry No.",I247,"Location Code",$L$7)</t>
  </si>
  <si>
    <t>=NL("Sum","Item Ledger Entry","Quantity","Entry Type","Output","Entry No.",I247,"Location Code",$L$7)</t>
  </si>
  <si>
    <t>=NF($G224,"Posting Date")</t>
  </si>
  <si>
    <t>=NF($G224,"Entry No.")</t>
  </si>
  <si>
    <t>=NL("Sum","Item Ledger Entry","Quantity","Entry Type","Purchase","Entry No.",I224,"Location Code",$L$7)</t>
  </si>
  <si>
    <t>=NL("Sum","Item Ledger Entry","Quantity","Entry Type","Purchase","Entry No.",I225,"Location Code",$L$7)</t>
  </si>
  <si>
    <t>=NL("Sum","Item Ledger Entry","Quantity","Entry Type","Sale","Entry No.",I224,"Location Code",$L$7)</t>
  </si>
  <si>
    <t>=NL("Sum","Item Ledger Entry","Quantity","Entry Type","Sale","Entry No.",I225,"Location Code",$L$7)</t>
  </si>
  <si>
    <t>=NL("Sum","Item Ledger Entry","Quantity","Entry Type","Positive Adjmt.|Negative Adjmt.","Entry No.",I224,"Location Code",$L$7)</t>
  </si>
  <si>
    <t>=NL("Sum","Item Ledger Entry","Quantity","Entry Type","Positive Adjmt.|Negative Adjmt.","Entry No.",I225,"Location Code",$L$7)</t>
  </si>
  <si>
    <t>=NL("Sum","Item Ledger Entry","Quantity","Entry Type","Transfer","Entry No.",I224,"Location Code",$L$7)</t>
  </si>
  <si>
    <t>=NL("Sum","Item Ledger Entry","Quantity","Entry Type","Transfer","Entry No.",I225,"Location Code",$L$7)</t>
  </si>
  <si>
    <t>=NL("Sum","Item Ledger Entry","Quantity","Entry Type","Consumption","Entry No.",I224,"Location Code",$L$7)</t>
  </si>
  <si>
    <t>=NL("Sum","Item Ledger Entry","Quantity","Entry Type","Consumption","Entry No.",I225,"Location Code",$L$7)</t>
  </si>
  <si>
    <t>=NL("Sum","Item Ledger Entry","Quantity","Entry Type","Output","Entry No.",I224,"Location Code",$L$7)</t>
  </si>
  <si>
    <t>=NL("Sum","Item Ledger Entry","Quantity","Entry Type","Output","Entry No.",I225,"Location Code",$L$7)</t>
  </si>
  <si>
    <t>=NF(G224,"Source Type")</t>
  </si>
  <si>
    <t>=NF($G224,"Source No.")</t>
  </si>
  <si>
    <t>=NL("Sum","Item Ledger Entry","Quantity","Entry Type","Purchase","Entry No.",I211,"Location Code",$L$7)</t>
  </si>
  <si>
    <t>=NL("Sum","Item Ledger Entry","Quantity","Entry Type","Sale","Entry No.",I211,"Location Code",$L$7)</t>
  </si>
  <si>
    <t>=NL("Sum","Item Ledger Entry","Quantity","Entry Type","Positive Adjmt.|Negative Adjmt.","Entry No.",I211,"Location Code",$L$7)</t>
  </si>
  <si>
    <t>=NL("Sum","Item Ledger Entry","Quantity","Entry Type","Transfer","Entry No.",I211,"Location Code",$L$7)</t>
  </si>
  <si>
    <t>=NL("Sum","Item Ledger Entry","Quantity","Entry Type","Consumption","Entry No.",I211,"Location Code",$L$7)</t>
  </si>
  <si>
    <t>=NL("Sum","Item Ledger Entry","Quantity","Entry Type","Output","Entry No.",I211,"Location Code",$L$7)</t>
  </si>
  <si>
    <t>=NL("Sum","Item Ledger Entry","Quantity","Entry Type","Purchase","Entry No.",I188,"Location Code",$L$7)</t>
  </si>
  <si>
    <t>=NL("Sum","Item Ledger Entry","Quantity","Entry Type","Purchase","Entry No.",I198,"Location Code",$L$7)</t>
  </si>
  <si>
    <t>=NL("Sum","Item Ledger Entry","Quantity","Entry Type","Sale","Entry No.",I188,"Location Code",$L$7)</t>
  </si>
  <si>
    <t>=NL("Sum","Item Ledger Entry","Quantity","Entry Type","Sale","Entry No.",I198,"Location Code",$L$7)</t>
  </si>
  <si>
    <t>=NL("Sum","Item Ledger Entry","Quantity","Entry Type","Positive Adjmt.|Negative Adjmt.","Entry No.",I188,"Location Code",$L$7)</t>
  </si>
  <si>
    <t>=NL("Sum","Item Ledger Entry","Quantity","Entry Type","Positive Adjmt.|Negative Adjmt.","Entry No.",I198,"Location Code",$L$7)</t>
  </si>
  <si>
    <t>=NL("Sum","Item Ledger Entry","Quantity","Entry Type","Transfer","Entry No.",I188,"Location Code",$L$7)</t>
  </si>
  <si>
    <t>=NL("Sum","Item Ledger Entry","Quantity","Entry Type","Transfer","Entry No.",I198,"Location Code",$L$7)</t>
  </si>
  <si>
    <t>=NL("Sum","Item Ledger Entry","Quantity","Entry Type","Consumption","Entry No.",I188,"Location Code",$L$7)</t>
  </si>
  <si>
    <t>=NL("Sum","Item Ledger Entry","Quantity","Entry Type","Consumption","Entry No.",I198,"Location Code",$L$7)</t>
  </si>
  <si>
    <t>=NL("Sum","Item Ledger Entry","Quantity","Entry Type","Output","Entry No.",I188,"Location Code",$L$7)</t>
  </si>
  <si>
    <t>=NL("Sum","Item Ledger Entry","Quantity","Entry Type","Output","Entry No.",I198,"Location Code",$L$7)</t>
  </si>
  <si>
    <t>=NL("Sum","Item Ledger Entry","Quantity","Entry Type","Purchase","Entry No.",I182,"Location Code",$L$7)</t>
  </si>
  <si>
    <t>=NL("Sum","Item Ledger Entry","Quantity","Entry Type","Sale","Entry No.",I182,"Location Code",$L$7)</t>
  </si>
  <si>
    <t>=NL("Sum","Item Ledger Entry","Quantity","Entry Type","Positive Adjmt.|Negative Adjmt.","Entry No.",I182,"Location Code",$L$7)</t>
  </si>
  <si>
    <t>=NL("Sum","Item Ledger Entry","Quantity","Entry Type","Transfer","Entry No.",I182,"Location Code",$L$7)</t>
  </si>
  <si>
    <t>=NL("Sum","Item Ledger Entry","Quantity","Entry Type","Consumption","Entry No.",I182,"Location Code",$L$7)</t>
  </si>
  <si>
    <t>=NL("Sum","Item Ledger Entry","Quantity","Entry Type","Output","Entry No.",I182,"Location Code",$L$7)</t>
  </si>
  <si>
    <t>=NL("Sum","Item Ledger Entry","Quantity","Entry Type","Purchase","Entry No.",I169,"Location Code",$L$7)</t>
  </si>
  <si>
    <t>=NL("Sum","Item Ledger Entry","Quantity","Entry Type","Purchase","Entry No.",I170,"Location Code",$L$7)</t>
  </si>
  <si>
    <t>=NL("Sum","Item Ledger Entry","Quantity","Entry Type","Sale","Entry No.",I169,"Location Code",$L$7)</t>
  </si>
  <si>
    <t>=NL("Sum","Item Ledger Entry","Quantity","Entry Type","Sale","Entry No.",I170,"Location Code",$L$7)</t>
  </si>
  <si>
    <t>=NL("Sum","Item Ledger Entry","Quantity","Entry Type","Positive Adjmt.|Negative Adjmt.","Entry No.",I169,"Location Code",$L$7)</t>
  </si>
  <si>
    <t>=NL("Sum","Item Ledger Entry","Quantity","Entry Type","Positive Adjmt.|Negative Adjmt.","Entry No.",I170,"Location Code",$L$7)</t>
  </si>
  <si>
    <t>=NL("Sum","Item Ledger Entry","Quantity","Entry Type","Transfer","Entry No.",I169,"Location Code",$L$7)</t>
  </si>
  <si>
    <t>=NL("Sum","Item Ledger Entry","Quantity","Entry Type","Transfer","Entry No.",I170,"Location Code",$L$7)</t>
  </si>
  <si>
    <t>=NL("Sum","Item Ledger Entry","Quantity","Entry Type","Consumption","Entry No.",I169,"Location Code",$L$7)</t>
  </si>
  <si>
    <t>=NL("Sum","Item Ledger Entry","Quantity","Entry Type","Consumption","Entry No.",I170,"Location Code",$L$7)</t>
  </si>
  <si>
    <t>=NL("Sum","Item Ledger Entry","Quantity","Entry Type","Output","Entry No.",I169,"Location Code",$L$7)</t>
  </si>
  <si>
    <t>=NL("Sum","Item Ledger Entry","Quantity","Entry Type","Output","Entry No.",I170,"Location Code",$L$7)</t>
  </si>
  <si>
    <t>=NF($G156,"Posting Date")</t>
  </si>
  <si>
    <t>=NF($G156,"Entry No.")</t>
  </si>
  <si>
    <t>=NL("Sum","Item Ledger Entry","Quantity","Entry Type","Purchase","Entry No.",I157,"Location Code",$L$7)</t>
  </si>
  <si>
    <t>=NL("Sum","Item Ledger Entry","Quantity","Entry Type","Purchase","Entry No.",I158,"Location Code",$L$7)</t>
  </si>
  <si>
    <t>=NL("Sum","Item Ledger Entry","Quantity","Entry Type","Sale","Entry No.",I157,"Location Code",$L$7)</t>
  </si>
  <si>
    <t>=NL("Sum","Item Ledger Entry","Quantity","Entry Type","Sale","Entry No.",I158,"Location Code",$L$7)</t>
  </si>
  <si>
    <t>=NL("Sum","Item Ledger Entry","Quantity","Entry Type","Positive Adjmt.|Negative Adjmt.","Entry No.",I157,"Location Code",$L$7)</t>
  </si>
  <si>
    <t>=NL("Sum","Item Ledger Entry","Quantity","Entry Type","Positive Adjmt.|Negative Adjmt.","Entry No.",I158,"Location Code",$L$7)</t>
  </si>
  <si>
    <t>=NL("Sum","Item Ledger Entry","Quantity","Entry Type","Transfer","Entry No.",I157,"Location Code",$L$7)</t>
  </si>
  <si>
    <t>=NL("Sum","Item Ledger Entry","Quantity","Entry Type","Transfer","Entry No.",I158,"Location Code",$L$7)</t>
  </si>
  <si>
    <t>=NL("Sum","Item Ledger Entry","Quantity","Entry Type","Consumption","Entry No.",I157,"Location Code",$L$7)</t>
  </si>
  <si>
    <t>=NL("Sum","Item Ledger Entry","Quantity","Entry Type","Consumption","Entry No.",I158,"Location Code",$L$7)</t>
  </si>
  <si>
    <t>=NL("Sum","Item Ledger Entry","Quantity","Entry Type","Output","Entry No.",I157,"Location Code",$L$7)</t>
  </si>
  <si>
    <t>=NL("Sum","Item Ledger Entry","Quantity","Entry Type","Output","Entry No.",I158,"Location Code",$L$7)</t>
  </si>
  <si>
    <t>=NF(G156,"Source Type")</t>
  </si>
  <si>
    <t>=NF($G156,"Source No.")</t>
  </si>
  <si>
    <t>=NF($G147,"Posting Date")</t>
  </si>
  <si>
    <t>=NF($G147,"Entry No.")</t>
  </si>
  <si>
    <t>=NL("Sum","Item Ledger Entry","Quantity","Entry Type","Purchase","Entry No.",I147,"Location Code",$L$7)</t>
  </si>
  <si>
    <t>=NL("Sum","Item Ledger Entry","Quantity","Entry Type","Purchase","Entry No.",I148,"Location Code",$L$7)</t>
  </si>
  <si>
    <t>=NL("Sum","Item Ledger Entry","Quantity","Entry Type","Sale","Entry No.",I147,"Location Code",$L$7)</t>
  </si>
  <si>
    <t>=NL("Sum","Item Ledger Entry","Quantity","Entry Type","Sale","Entry No.",I148,"Location Code",$L$7)</t>
  </si>
  <si>
    <t>=NL("Sum","Item Ledger Entry","Quantity","Entry Type","Positive Adjmt.|Negative Adjmt.","Entry No.",I147,"Location Code",$L$7)</t>
  </si>
  <si>
    <t>=NL("Sum","Item Ledger Entry","Quantity","Entry Type","Positive Adjmt.|Negative Adjmt.","Entry No.",I148,"Location Code",$L$7)</t>
  </si>
  <si>
    <t>=NL("Sum","Item Ledger Entry","Quantity","Entry Type","Transfer","Entry No.",I147,"Location Code",$L$7)</t>
  </si>
  <si>
    <t>=NL("Sum","Item Ledger Entry","Quantity","Entry Type","Transfer","Entry No.",I148,"Location Code",$L$7)</t>
  </si>
  <si>
    <t>=NL("Sum","Item Ledger Entry","Quantity","Entry Type","Consumption","Entry No.",I147,"Location Code",$L$7)</t>
  </si>
  <si>
    <t>=NL("Sum","Item Ledger Entry","Quantity","Entry Type","Consumption","Entry No.",I148,"Location Code",$L$7)</t>
  </si>
  <si>
    <t>=NL("Sum","Item Ledger Entry","Quantity","Entry Type","Output","Entry No.",I147,"Location Code",$L$7)</t>
  </si>
  <si>
    <t>=NL("Sum","Item Ledger Entry","Quantity","Entry Type","Output","Entry No.",I148,"Location Code",$L$7)</t>
  </si>
  <si>
    <t>=NF(G147,"Source Type")</t>
  </si>
  <si>
    <t>=NF($G147,"Source No.")</t>
  </si>
  <si>
    <t>=NL("Sum","Item Ledger Entry","Quantity","Entry Type","Purchase","Entry No.",I128,"Location Code",$L$7)</t>
  </si>
  <si>
    <t>=NL("Sum","Item Ledger Entry","Quantity","Entry Type","Purchase","Entry No.",I137,"Location Code",$L$7)</t>
  </si>
  <si>
    <t>=NL("Sum","Item Ledger Entry","Quantity","Entry Type","Sale","Entry No.",I128,"Location Code",$L$7)</t>
  </si>
  <si>
    <t>=NL("Sum","Item Ledger Entry","Quantity","Entry Type","Sale","Entry No.",I137,"Location Code",$L$7)</t>
  </si>
  <si>
    <t>=NL("Sum","Item Ledger Entry","Quantity","Entry Type","Positive Adjmt.|Negative Adjmt.","Entry No.",I128,"Location Code",$L$7)</t>
  </si>
  <si>
    <t>=NL("Sum","Item Ledger Entry","Quantity","Entry Type","Positive Adjmt.|Negative Adjmt.","Entry No.",I137,"Location Code",$L$7)</t>
  </si>
  <si>
    <t>=NL("Sum","Item Ledger Entry","Quantity","Entry Type","Transfer","Entry No.",I128,"Location Code",$L$7)</t>
  </si>
  <si>
    <t>=NL("Sum","Item Ledger Entry","Quantity","Entry Type","Transfer","Entry No.",I137,"Location Code",$L$7)</t>
  </si>
  <si>
    <t>=NL("Sum","Item Ledger Entry","Quantity","Entry Type","Consumption","Entry No.",I128,"Location Code",$L$7)</t>
  </si>
  <si>
    <t>=NL("Sum","Item Ledger Entry","Quantity","Entry Type","Consumption","Entry No.",I137,"Location Code",$L$7)</t>
  </si>
  <si>
    <t>=NL("Sum","Item Ledger Entry","Quantity","Entry Type","Output","Entry No.",I128,"Location Code",$L$7)</t>
  </si>
  <si>
    <t>=NL("Sum","Item Ledger Entry","Quantity","Entry Type","Output","Entry No.",I137,"Location Code",$L$7)</t>
  </si>
  <si>
    <t>=NL("Sum","Item Ledger Entry","Quantity","Entry Type","Purchase","Entry No.",I111,"Location Code",$L$7)</t>
  </si>
  <si>
    <t>=NL("Sum","Item Ledger Entry","Quantity","Entry Type","Purchase","Entry No.",I121,"Location Code",$L$7)</t>
  </si>
  <si>
    <t>=NL("Sum","Item Ledger Entry","Quantity","Entry Type","Sale","Entry No.",I111,"Location Code",$L$7)</t>
  </si>
  <si>
    <t>=NL("Sum","Item Ledger Entry","Quantity","Entry Type","Sale","Entry No.",I121,"Location Code",$L$7)</t>
  </si>
  <si>
    <t>=NL("Sum","Item Ledger Entry","Quantity","Entry Type","Positive Adjmt.|Negative Adjmt.","Entry No.",I111,"Location Code",$L$7)</t>
  </si>
  <si>
    <t>=NL("Sum","Item Ledger Entry","Quantity","Entry Type","Positive Adjmt.|Negative Adjmt.","Entry No.",I121,"Location Code",$L$7)</t>
  </si>
  <si>
    <t>=NL("Sum","Item Ledger Entry","Quantity","Entry Type","Transfer","Entry No.",I111,"Location Code",$L$7)</t>
  </si>
  <si>
    <t>=NL("Sum","Item Ledger Entry","Quantity","Entry Type","Transfer","Entry No.",I121,"Location Code",$L$7)</t>
  </si>
  <si>
    <t>=NL("Sum","Item Ledger Entry","Quantity","Entry Type","Consumption","Entry No.",I111,"Location Code",$L$7)</t>
  </si>
  <si>
    <t>=NL("Sum","Item Ledger Entry","Quantity","Entry Type","Consumption","Entry No.",I121,"Location Code",$L$7)</t>
  </si>
  <si>
    <t>=NL("Sum","Item Ledger Entry","Quantity","Entry Type","Output","Entry No.",I111,"Location Code",$L$7)</t>
  </si>
  <si>
    <t>=NL("Sum","Item Ledger Entry","Quantity","Entry Type","Output","Entry No.",I121,"Location Code",$L$7)</t>
  </si>
  <si>
    <t>=NL("Sum","Item Ledger Entry","Quantity","Entry Type","Purchase","Entry No.",I97,"Location Code",$L$7)</t>
  </si>
  <si>
    <t>=NL("Sum","Item Ledger Entry","Quantity","Entry Type","Purchase","Entry No.",I98,"Location Code",$L$7)</t>
  </si>
  <si>
    <t>=NL("Sum","Item Ledger Entry","Quantity","Entry Type","Purchase","Entry No.",I103,"Location Code",$L$7)</t>
  </si>
  <si>
    <t>=NL("Sum","Item Ledger Entry","Quantity","Entry Type","Purchase","Entry No.",I104,"Location Code",$L$7)</t>
  </si>
  <si>
    <t>=NL("Sum","Item Ledger Entry","Quantity","Entry Type","Purchase","Entry No.",I105,"Location Code",$L$7)</t>
  </si>
  <si>
    <t>=NL("Sum","Item Ledger Entry","Quantity","Entry Type","Sale","Entry No.",I97,"Location Code",$L$7)</t>
  </si>
  <si>
    <t>=NL("Sum","Item Ledger Entry","Quantity","Entry Type","Sale","Entry No.",I98,"Location Code",$L$7)</t>
  </si>
  <si>
    <t>=NL("Sum","Item Ledger Entry","Quantity","Entry Type","Sale","Entry No.",I103,"Location Code",$L$7)</t>
  </si>
  <si>
    <t>=NL("Sum","Item Ledger Entry","Quantity","Entry Type","Sale","Entry No.",I104,"Location Code",$L$7)</t>
  </si>
  <si>
    <t>=NL("Sum","Item Ledger Entry","Quantity","Entry Type","Sale","Entry No.",I105,"Location Code",$L$7)</t>
  </si>
  <si>
    <t>=NL("Sum","Item Ledger Entry","Quantity","Entry Type","Positive Adjmt.|Negative Adjmt.","Entry No.",I97,"Location Code",$L$7)</t>
  </si>
  <si>
    <t>=NL("Sum","Item Ledger Entry","Quantity","Entry Type","Positive Adjmt.|Negative Adjmt.","Entry No.",I98,"Location Code",$L$7)</t>
  </si>
  <si>
    <t>=NL("Sum","Item Ledger Entry","Quantity","Entry Type","Positive Adjmt.|Negative Adjmt.","Entry No.",I103,"Location Code",$L$7)</t>
  </si>
  <si>
    <t>=NL("Sum","Item Ledger Entry","Quantity","Entry Type","Positive Adjmt.|Negative Adjmt.","Entry No.",I104,"Location Code",$L$7)</t>
  </si>
  <si>
    <t>=NL("Sum","Item Ledger Entry","Quantity","Entry Type","Positive Adjmt.|Negative Adjmt.","Entry No.",I105,"Location Code",$L$7)</t>
  </si>
  <si>
    <t>=NL("Sum","Item Ledger Entry","Quantity","Entry Type","Transfer","Entry No.",I97,"Location Code",$L$7)</t>
  </si>
  <si>
    <t>=NL("Sum","Item Ledger Entry","Quantity","Entry Type","Transfer","Entry No.",I98,"Location Code",$L$7)</t>
  </si>
  <si>
    <t>=NL("Sum","Item Ledger Entry","Quantity","Entry Type","Transfer","Entry No.",I103,"Location Code",$L$7)</t>
  </si>
  <si>
    <t>=NL("Sum","Item Ledger Entry","Quantity","Entry Type","Transfer","Entry No.",I104,"Location Code",$L$7)</t>
  </si>
  <si>
    <t>=NL("Sum","Item Ledger Entry","Quantity","Entry Type","Transfer","Entry No.",I105,"Location Code",$L$7)</t>
  </si>
  <si>
    <t>=NL("Sum","Item Ledger Entry","Quantity","Entry Type","Consumption","Entry No.",I97,"Location Code",$L$7)</t>
  </si>
  <si>
    <t>=NL("Sum","Item Ledger Entry","Quantity","Entry Type","Consumption","Entry No.",I98,"Location Code",$L$7)</t>
  </si>
  <si>
    <t>=NL("Sum","Item Ledger Entry","Quantity","Entry Type","Consumption","Entry No.",I103,"Location Code",$L$7)</t>
  </si>
  <si>
    <t>=NL("Sum","Item Ledger Entry","Quantity","Entry Type","Consumption","Entry No.",I104,"Location Code",$L$7)</t>
  </si>
  <si>
    <t>=NL("Sum","Item Ledger Entry","Quantity","Entry Type","Consumption","Entry No.",I105,"Location Code",$L$7)</t>
  </si>
  <si>
    <t>=NL("Sum","Item Ledger Entry","Quantity","Entry Type","Output","Entry No.",I97,"Location Code",$L$7)</t>
  </si>
  <si>
    <t>=NL("Sum","Item Ledger Entry","Quantity","Entry Type","Output","Entry No.",I98,"Location Code",$L$7)</t>
  </si>
  <si>
    <t>=NL("Sum","Item Ledger Entry","Quantity","Entry Type","Output","Entry No.",I103,"Location Code",$L$7)</t>
  </si>
  <si>
    <t>=NL("Sum","Item Ledger Entry","Quantity","Entry Type","Output","Entry No.",I104,"Location Code",$L$7)</t>
  </si>
  <si>
    <t>=NL("Sum","Item Ledger Entry","Quantity","Entry Type","Output","Entry No.",I105,"Location Code",$L$7)</t>
  </si>
  <si>
    <t>=NL("Sum","Item Ledger Entry","Quantity","Entry Type","Purchase","Entry No.",I62,"Location Code",$L$7)</t>
  </si>
  <si>
    <t>=NL("Sum","Item Ledger Entry","Quantity","Entry Type","Purchase","Entry No.",I71,"Location Code",$L$7)</t>
  </si>
  <si>
    <t>=NL("Sum","Item Ledger Entry","Quantity","Entry Type","Purchase","Entry No.",I77,"Location Code",$L$7)</t>
  </si>
  <si>
    <t>=NL("Sum","Item Ledger Entry","Quantity","Entry Type","Purchase","Entry No.",I81,"Location Code",$L$7)</t>
  </si>
  <si>
    <t>=NL("Sum","Item Ledger Entry","Quantity","Entry Type","Purchase","Entry No.",I82,"Location Code",$L$7)</t>
  </si>
  <si>
    <t>=NL("Sum","Item Ledger Entry","Quantity","Entry Type","Sale","Entry No.",I62,"Location Code",$L$7)</t>
  </si>
  <si>
    <t>=NL("Sum","Item Ledger Entry","Quantity","Entry Type","Sale","Entry No.",I71,"Location Code",$L$7)</t>
  </si>
  <si>
    <t>=NL("Sum","Item Ledger Entry","Quantity","Entry Type","Sale","Entry No.",I77,"Location Code",$L$7)</t>
  </si>
  <si>
    <t>=NL("Sum","Item Ledger Entry","Quantity","Entry Type","Sale","Entry No.",I81,"Location Code",$L$7)</t>
  </si>
  <si>
    <t>=NL("Sum","Item Ledger Entry","Quantity","Entry Type","Sale","Entry No.",I82,"Location Code",$L$7)</t>
  </si>
  <si>
    <t>=NL("Sum","Item Ledger Entry","Quantity","Entry Type","Positive Adjmt.|Negative Adjmt.","Entry No.",I62,"Location Code",$L$7)</t>
  </si>
  <si>
    <t>=NL("Sum","Item Ledger Entry","Quantity","Entry Type","Positive Adjmt.|Negative Adjmt.","Entry No.",I71,"Location Code",$L$7)</t>
  </si>
  <si>
    <t>=NL("Sum","Item Ledger Entry","Quantity","Entry Type","Positive Adjmt.|Negative Adjmt.","Entry No.",I77,"Location Code",$L$7)</t>
  </si>
  <si>
    <t>=NL("Sum","Item Ledger Entry","Quantity","Entry Type","Positive Adjmt.|Negative Adjmt.","Entry No.",I81,"Location Code",$L$7)</t>
  </si>
  <si>
    <t>=NL("Sum","Item Ledger Entry","Quantity","Entry Type","Positive Adjmt.|Negative Adjmt.","Entry No.",I82,"Location Code",$L$7)</t>
  </si>
  <si>
    <t>=NL("Sum","Item Ledger Entry","Quantity","Entry Type","Transfer","Entry No.",I62,"Location Code",$L$7)</t>
  </si>
  <si>
    <t>=NL("Sum","Item Ledger Entry","Quantity","Entry Type","Transfer","Entry No.",I71,"Location Code",$L$7)</t>
  </si>
  <si>
    <t>=NL("Sum","Item Ledger Entry","Quantity","Entry Type","Transfer","Entry No.",I77,"Location Code",$L$7)</t>
  </si>
  <si>
    <t>=NL("Sum","Item Ledger Entry","Quantity","Entry Type","Transfer","Entry No.",I81,"Location Code",$L$7)</t>
  </si>
  <si>
    <t>=NL("Sum","Item Ledger Entry","Quantity","Entry Type","Transfer","Entry No.",I82,"Location Code",$L$7)</t>
  </si>
  <si>
    <t>=NL("Sum","Item Ledger Entry","Quantity","Entry Type","Consumption","Entry No.",I62,"Location Code",$L$7)</t>
  </si>
  <si>
    <t>=NL("Sum","Item Ledger Entry","Quantity","Entry Type","Consumption","Entry No.",I71,"Location Code",$L$7)</t>
  </si>
  <si>
    <t>=NL("Sum","Item Ledger Entry","Quantity","Entry Type","Consumption","Entry No.",I77,"Location Code",$L$7)</t>
  </si>
  <si>
    <t>=NL("Sum","Item Ledger Entry","Quantity","Entry Type","Consumption","Entry No.",I81,"Location Code",$L$7)</t>
  </si>
  <si>
    <t>=NL("Sum","Item Ledger Entry","Quantity","Entry Type","Consumption","Entry No.",I82,"Location Code",$L$7)</t>
  </si>
  <si>
    <t>=NL("Sum","Item Ledger Entry","Quantity","Entry Type","Output","Entry No.",I62,"Location Code",$L$7)</t>
  </si>
  <si>
    <t>=NL("Sum","Item Ledger Entry","Quantity","Entry Type","Output","Entry No.",I71,"Location Code",$L$7)</t>
  </si>
  <si>
    <t>=NL("Sum","Item Ledger Entry","Quantity","Entry Type","Output","Entry No.",I77,"Location Code",$L$7)</t>
  </si>
  <si>
    <t>=NL("Sum","Item Ledger Entry","Quantity","Entry Type","Output","Entry No.",I81,"Location Code",$L$7)</t>
  </si>
  <si>
    <t>=NL("Sum","Item Ledger Entry","Quantity","Entry Type","Output","Entry No.",I82,"Location Code",$L$7)</t>
  </si>
  <si>
    <t>=NL("Sum","Item Ledger Entry","Quantity","Entry Type","Purchase","Entry No.",I43,"Location Code",$L$7)</t>
  </si>
  <si>
    <t>=NL("Sum","Item Ledger Entry","Quantity","Entry Type","Purchase","Entry No.",I50,"Location Code",$L$7)</t>
  </si>
  <si>
    <t>=NL("Sum","Item Ledger Entry","Quantity","Entry Type","Sale","Entry No.",I43,"Location Code",$L$7)</t>
  </si>
  <si>
    <t>=NL("Sum","Item Ledger Entry","Quantity","Entry Type","Sale","Entry No.",I50,"Location Code",$L$7)</t>
  </si>
  <si>
    <t>=NL("Sum","Item Ledger Entry","Quantity","Entry Type","Positive Adjmt.|Negative Adjmt.","Entry No.",I43,"Location Code",$L$7)</t>
  </si>
  <si>
    <t>=NL("Sum","Item Ledger Entry","Quantity","Entry Type","Positive Adjmt.|Negative Adjmt.","Entry No.",I50,"Location Code",$L$7)</t>
  </si>
  <si>
    <t>=NL("Sum","Item Ledger Entry","Quantity","Entry Type","Transfer","Entry No.",I43,"Location Code",$L$7)</t>
  </si>
  <si>
    <t>=NL("Sum","Item Ledger Entry","Quantity","Entry Type","Transfer","Entry No.",I50,"Location Code",$L$7)</t>
  </si>
  <si>
    <t>=NL("Sum","Item Ledger Entry","Quantity","Entry Type","Consumption","Entry No.",I43,"Location Code",$L$7)</t>
  </si>
  <si>
    <t>=NL("Sum","Item Ledger Entry","Quantity","Entry Type","Consumption","Entry No.",I50,"Location Code",$L$7)</t>
  </si>
  <si>
    <t>=NL("Sum","Item Ledger Entry","Quantity","Entry Type","Output","Entry No.",I43,"Location Code",$L$7)</t>
  </si>
  <si>
    <t>=NL("Sum","Item Ledger Entry","Quantity","Entry Type","Output","Entry No.",I50,"Location Code",$L$7)</t>
  </si>
  <si>
    <t>=NL("Sum","Item Ledger Entry","Quantity","Entry Type","Purchase","Entry No.",I35,"Location Code",$L$7)</t>
  </si>
  <si>
    <t>=NL("Sum","Item Ledger Entry","Quantity","Entry Type","Purchase","Entry No.",I36,"Location Code",$L$7)</t>
  </si>
  <si>
    <t>=NL("Sum","Item Ledger Entry","Quantity","Entry Type","Purchase","Entry No.",I37,"Location Code",$L$7)</t>
  </si>
  <si>
    <t>=NL("Sum","Item Ledger Entry","Quantity","Entry Type","Sale","Entry No.",I35,"Location Code",$L$7)</t>
  </si>
  <si>
    <t>=NL("Sum","Item Ledger Entry","Quantity","Entry Type","Sale","Entry No.",I36,"Location Code",$L$7)</t>
  </si>
  <si>
    <t>=NL("Sum","Item Ledger Entry","Quantity","Entry Type","Sale","Entry No.",I37,"Location Code",$L$7)</t>
  </si>
  <si>
    <t>=NL("Sum","Item Ledger Entry","Quantity","Entry Type","Positive Adjmt.|Negative Adjmt.","Entry No.",I35,"Location Code",$L$7)</t>
  </si>
  <si>
    <t>=NL("Sum","Item Ledger Entry","Quantity","Entry Type","Positive Adjmt.|Negative Adjmt.","Entry No.",I36,"Location Code",$L$7)</t>
  </si>
  <si>
    <t>=NL("Sum","Item Ledger Entry","Quantity","Entry Type","Positive Adjmt.|Negative Adjmt.","Entry No.",I37,"Location Code",$L$7)</t>
  </si>
  <si>
    <t>=NL("Sum","Item Ledger Entry","Quantity","Entry Type","Transfer","Entry No.",I35,"Location Code",$L$7)</t>
  </si>
  <si>
    <t>=NL("Sum","Item Ledger Entry","Quantity","Entry Type","Transfer","Entry No.",I36,"Location Code",$L$7)</t>
  </si>
  <si>
    <t>=NL("Sum","Item Ledger Entry","Quantity","Entry Type","Transfer","Entry No.",I37,"Location Code",$L$7)</t>
  </si>
  <si>
    <t>=NL("Sum","Item Ledger Entry","Quantity","Entry Type","Consumption","Entry No.",I35,"Location Code",$L$7)</t>
  </si>
  <si>
    <t>=NL("Sum","Item Ledger Entry","Quantity","Entry Type","Consumption","Entry No.",I36,"Location Code",$L$7)</t>
  </si>
  <si>
    <t>=NL("Sum","Item Ledger Entry","Quantity","Entry Type","Consumption","Entry No.",I37,"Location Code",$L$7)</t>
  </si>
  <si>
    <t>=NL("Sum","Item Ledger Entry","Quantity","Entry Type","Output","Entry No.",I35,"Location Code",$L$7)</t>
  </si>
  <si>
    <t>=NL("Sum","Item Ledger Entry","Quantity","Entry Type","Output","Entry No.",I36,"Location Code",$L$7)</t>
  </si>
  <si>
    <t>=NL("Sum","Item Ledger Entry","Quantity","Entry Type","Output","Entry No.",I37,"Location Code",$L$7)</t>
  </si>
  <si>
    <t>=E114</t>
  </si>
  <si>
    <t>=NL("First","Item","Description","No.",$E114)</t>
  </si>
  <si>
    <t>=NL("First","Item","Base Unit of Measure","No.",$E114)</t>
  </si>
  <si>
    <t>=(SUBTOTAL(9,O115:O118))</t>
  </si>
  <si>
    <t>=(SUBTOTAL(9,P115:P118))</t>
  </si>
  <si>
    <t>=(SUBTOTAL(9,Q115:Q118))</t>
  </si>
  <si>
    <t>=(SUBTOTAL(9,R115:R118))</t>
  </si>
  <si>
    <t>=(SUBTOTAL(9,S115:S118))</t>
  </si>
  <si>
    <t>=(SUBTOTAL(9,T115:T118))</t>
  </si>
  <si>
    <t>=SUBTOTAL(9,O115:T118)</t>
  </si>
  <si>
    <t>=E124</t>
  </si>
  <si>
    <t>=NL("First","Item","Description","No.",$E124)</t>
  </si>
  <si>
    <t>=NL("First","Item","Base Unit of Measure","No.",$E124)</t>
  </si>
  <si>
    <t>=NL("Rows","Item Ledger Entry",,"+Posting Date",$L$5,"Item No.","@@"&amp;$D125,"Location Code","@@"&amp;$E$6)</t>
  </si>
  <si>
    <t>=(SUBTOTAL(9,O142:O144))</t>
  </si>
  <si>
    <t>=(SUBTOTAL(9,P142:P144))</t>
  </si>
  <si>
    <t>=(SUBTOTAL(9,Q142:Q144))</t>
  </si>
  <si>
    <t>=(SUBTOTAL(9,R142:R144))</t>
  </si>
  <si>
    <t>=(SUBTOTAL(9,S142:S144))</t>
  </si>
  <si>
    <t>=(SUBTOTAL(9,T142:T144))</t>
  </si>
  <si>
    <t>=SUBTOTAL(9,O142:T144)</t>
  </si>
  <si>
    <t>=E146</t>
  </si>
  <si>
    <t>=NL("First","Item","Description","No.",$E146)</t>
  </si>
  <si>
    <t>=NL("First","Item","Base Unit of Measure","No.",$E146)</t>
  </si>
  <si>
    <t>=(SUBTOTAL(9,O147:O149))</t>
  </si>
  <si>
    <t>=(SUBTOTAL(9,P147:P149))</t>
  </si>
  <si>
    <t>=(SUBTOTAL(9,Q147:Q149))</t>
  </si>
  <si>
    <t>=(SUBTOTAL(9,R147:R149))</t>
  </si>
  <si>
    <t>=(SUBTOTAL(9,S147:S149))</t>
  </si>
  <si>
    <t>=(SUBTOTAL(9,T147:T149))</t>
  </si>
  <si>
    <t>=SUBTOTAL(9,O147:T149)</t>
  </si>
  <si>
    <t>=NL("Rows","Item Ledger Entry",,"+Posting Date",$L$5,"Item No.","@@"&amp;$D147,"Location Code","@@"&amp;$E$6)</t>
  </si>
  <si>
    <t>=NL("Sum","Item Ledger Entry","Quantity","Entry Type","Purchase","Entry No.",I147,"Location Code","@@"&amp;$E$6)</t>
  </si>
  <si>
    <t>=NL("Sum","Item Ledger Entry","Quantity","Entry Type","Sale","Entry No.",I147,"Location Code","@@"&amp;$E$6)</t>
  </si>
  <si>
    <t>=NL("Sum","Item Ledger Entry","Quantity","Entry Type","Positive Adjmt.|Negative Adjmt.","Entry No.",I147,"Location Code","@@"&amp;$E$6)</t>
  </si>
  <si>
    <t>=NL("Sum","Item Ledger Entry","Quantity","Entry Type","Transfer","Entry No.",I147,"Location Code","@@"&amp;$E$6)</t>
  </si>
  <si>
    <t>=NL("Sum","Item Ledger Entry","Quantity","Entry Type","Consumption","Entry No.",I147,"Location Code","@@"&amp;$E$6)</t>
  </si>
  <si>
    <t>=NL("Sum","Item Ledger Entry","Quantity","Entry Type","Output","Entry No.",I147,"Location Code","@@"&amp;$E$6)</t>
  </si>
  <si>
    <t>=E151</t>
  </si>
  <si>
    <t>=NL("First","Item","Description","No.",$E151)</t>
  </si>
  <si>
    <t>=NL("First","Item","Base Unit of Measure","No.",$E151)</t>
  </si>
  <si>
    <t>=NL("Sum","Item Ledger Entry","Quantity","Entry Type","Purchase","Entry No.",I156,"Location Code","@@"&amp;$E$6)</t>
  </si>
  <si>
    <t>=NL("Sum","Item Ledger Entry","Quantity","Entry Type","Sale","Entry No.",I156,"Location Code","@@"&amp;$E$6)</t>
  </si>
  <si>
    <t>=NL("Sum","Item Ledger Entry","Quantity","Entry Type","Positive Adjmt.|Negative Adjmt.","Entry No.",I156,"Location Code","@@"&amp;$E$6)</t>
  </si>
  <si>
    <t>=NL("Sum","Item Ledger Entry","Quantity","Entry Type","Transfer","Entry No.",I156,"Location Code","@@"&amp;$E$6)</t>
  </si>
  <si>
    <t>=NL("Sum","Item Ledger Entry","Quantity","Entry Type","Consumption","Entry No.",I156,"Location Code","@@"&amp;$E$6)</t>
  </si>
  <si>
    <t>=NL("Sum","Item Ledger Entry","Quantity","Entry Type","Output","Entry No.",I156,"Location Code","@@"&amp;$E$6)</t>
  </si>
  <si>
    <t>=E159</t>
  </si>
  <si>
    <t>=NL("First","Item","Description","No.",$E159)</t>
  </si>
  <si>
    <t>=NL("First","Item","Base Unit of Measure","No.",$E159)</t>
  </si>
  <si>
    <t>=(SUBTOTAL(9,O160:O162))</t>
  </si>
  <si>
    <t>=(SUBTOTAL(9,P160:P162))</t>
  </si>
  <si>
    <t>=(SUBTOTAL(9,Q160:Q162))</t>
  </si>
  <si>
    <t>=(SUBTOTAL(9,R160:R162))</t>
  </si>
  <si>
    <t>=(SUBTOTAL(9,S160:S162))</t>
  </si>
  <si>
    <t>=(SUBTOTAL(9,T160:T162))</t>
  </si>
  <si>
    <t>=SUBTOTAL(9,O160:T162)</t>
  </si>
  <si>
    <t>=NL("Rows","Item Ledger Entry",,"+Posting Date",$L$5,"Item No.","@@"&amp;$D160,"Location Code","@@"&amp;$E$6)</t>
  </si>
  <si>
    <t>=(SUBTOTAL(9,O173:O174))</t>
  </si>
  <si>
    <t>=(SUBTOTAL(9,P173:P174))</t>
  </si>
  <si>
    <t>=(SUBTOTAL(9,Q173:Q174))</t>
  </si>
  <si>
    <t>=(SUBTOTAL(9,R173:R174))</t>
  </si>
  <si>
    <t>=(SUBTOTAL(9,S173:S174))</t>
  </si>
  <si>
    <t>=(SUBTOTAL(9,T173:T174))</t>
  </si>
  <si>
    <t>=SUBTOTAL(9,O173:T174)</t>
  </si>
  <si>
    <t>=NL("Rows","Item Ledger Entry",,"+Posting Date",$L$5,"Item No.","@@"&amp;$D177,"Location Code","@@"&amp;$E$6)</t>
  </si>
  <si>
    <t>=NL("Sum","Item Ledger Entry","Quantity","Entry Type","Purchase","Entry No.",I177,"Location Code","@@"&amp;$E$6)</t>
  </si>
  <si>
    <t>=NL("Sum","Item Ledger Entry","Quantity","Entry Type","Sale","Entry No.",I177,"Location Code","@@"&amp;$E$6)</t>
  </si>
  <si>
    <t>=NL("Sum","Item Ledger Entry","Quantity","Entry Type","Positive Adjmt.|Negative Adjmt.","Entry No.",I177,"Location Code","@@"&amp;$E$6)</t>
  </si>
  <si>
    <t>=NL("Sum","Item Ledger Entry","Quantity","Entry Type","Transfer","Entry No.",I177,"Location Code","@@"&amp;$E$6)</t>
  </si>
  <si>
    <t>=NL("Sum","Item Ledger Entry","Quantity","Entry Type","Consumption","Entry No.",I177,"Location Code","@@"&amp;$E$6)</t>
  </si>
  <si>
    <t>=NL("Sum","Item Ledger Entry","Quantity","Entry Type","Output","Entry No.",I177,"Location Code","@@"&amp;$E$6)</t>
  </si>
  <si>
    <t>=(SUBTOTAL(9,O202:O204))</t>
  </si>
  <si>
    <t>=(SUBTOTAL(9,P202:P204))</t>
  </si>
  <si>
    <t>=(SUBTOTAL(9,Q202:Q204))</t>
  </si>
  <si>
    <t>=(SUBTOTAL(9,R202:R204))</t>
  </si>
  <si>
    <t>=(SUBTOTAL(9,S202:S204))</t>
  </si>
  <si>
    <t>=(SUBTOTAL(9,T202:T204))</t>
  </si>
  <si>
    <t>=SUBTOTAL(9,O202:T204)</t>
  </si>
  <si>
    <t>=E206</t>
  </si>
  <si>
    <t>=NL("First","Item","Description","No.",$E206)</t>
  </si>
  <si>
    <t>=NL("First","Item","Base Unit of Measure","No.",$E206)</t>
  </si>
  <si>
    <t>=(SUBTOTAL(9,O207:O208))</t>
  </si>
  <si>
    <t>=(SUBTOTAL(9,P207:P208))</t>
  </si>
  <si>
    <t>=(SUBTOTAL(9,Q207:Q208))</t>
  </si>
  <si>
    <t>=(SUBTOTAL(9,R207:R208))</t>
  </si>
  <si>
    <t>=(SUBTOTAL(9,S207:S208))</t>
  </si>
  <si>
    <t>=(SUBTOTAL(9,T207:T208))</t>
  </si>
  <si>
    <t>=SUBTOTAL(9,O207:T208)</t>
  </si>
  <si>
    <t>=E210</t>
  </si>
  <si>
    <t>=NL("First","Item","Description","No.",$E210)</t>
  </si>
  <si>
    <t>=NL("First","Item","Base Unit of Measure","No.",$E210)</t>
  </si>
  <si>
    <t>=(SUBTOTAL(9,O211:O212))</t>
  </si>
  <si>
    <t>=(SUBTOTAL(9,P211:P212))</t>
  </si>
  <si>
    <t>=(SUBTOTAL(9,Q211:Q212))</t>
  </si>
  <si>
    <t>=(SUBTOTAL(9,R211:R212))</t>
  </si>
  <si>
    <t>=(SUBTOTAL(9,S211:S212))</t>
  </si>
  <si>
    <t>=(SUBTOTAL(9,T211:T212))</t>
  </si>
  <si>
    <t>=SUBTOTAL(9,O211:T212)</t>
  </si>
  <si>
    <t>=(SUBTOTAL(9,O215:O216))</t>
  </si>
  <si>
    <t>=(SUBTOTAL(9,P215:P216))</t>
  </si>
  <si>
    <t>=(SUBTOTAL(9,Q215:Q216))</t>
  </si>
  <si>
    <t>=(SUBTOTAL(9,R215:R216))</t>
  </si>
  <si>
    <t>=(SUBTOTAL(9,S215:S216))</t>
  </si>
  <si>
    <t>=(SUBTOTAL(9,T215:T216))</t>
  </si>
  <si>
    <t>=SUBTOTAL(9,O215:T216)</t>
  </si>
  <si>
    <t>=E218</t>
  </si>
  <si>
    <t>=NL("First","Item","Description","No.",$E218)</t>
  </si>
  <si>
    <t>=NL("First","Item","Base Unit of Measure","No.",$E218)</t>
  </si>
  <si>
    <t>=(SUBTOTAL(9,O219:O221))</t>
  </si>
  <si>
    <t>=(SUBTOTAL(9,P219:P221))</t>
  </si>
  <si>
    <t>=(SUBTOTAL(9,Q219:Q221))</t>
  </si>
  <si>
    <t>=(SUBTOTAL(9,R219:R221))</t>
  </si>
  <si>
    <t>=(SUBTOTAL(9,S219:S221))</t>
  </si>
  <si>
    <t>=(SUBTOTAL(9,T219:T221))</t>
  </si>
  <si>
    <t>=SUBTOTAL(9,O219:T221)</t>
  </si>
  <si>
    <t>=NL("Rows","Item Ledger Entry",,"+Posting Date",$L$5,"Item No.","@@"&amp;$D219,"Location Code","@@"&amp;$E$6)</t>
  </si>
  <si>
    <t>=NL("Sum","Item Ledger Entry","Quantity","Entry Type","Purchase","Entry No.",I219,"Location Code","@@"&amp;$E$6)</t>
  </si>
  <si>
    <t>=NL("Sum","Item Ledger Entry","Quantity","Entry Type","Sale","Entry No.",I219,"Location Code","@@"&amp;$E$6)</t>
  </si>
  <si>
    <t>=NL("Sum","Item Ledger Entry","Quantity","Entry Type","Positive Adjmt.|Negative Adjmt.","Entry No.",I219,"Location Code","@@"&amp;$E$6)</t>
  </si>
  <si>
    <t>=NL("Sum","Item Ledger Entry","Quantity","Entry Type","Transfer","Entry No.",I219,"Location Code","@@"&amp;$E$6)</t>
  </si>
  <si>
    <t>=NL("Sum","Item Ledger Entry","Quantity","Entry Type","Consumption","Entry No.",I219,"Location Code","@@"&amp;$E$6)</t>
  </si>
  <si>
    <t>=NL("Sum","Item Ledger Entry","Quantity","Entry Type","Output","Entry No.",I219,"Location Code","@@"&amp;$E$6)</t>
  </si>
  <si>
    <t>=E223</t>
  </si>
  <si>
    <t>=NL("First","Item","Description","No.",$E223)</t>
  </si>
  <si>
    <t>=NL("First","Item","Base Unit of Measure","No.",$E223)</t>
  </si>
  <si>
    <t>=NL("Sum","Item Ledger Entry","Quantity","Entry Type","Purchase","Entry No.",I224,"Location Code","@@"&amp;$E$6)</t>
  </si>
  <si>
    <t>=NL("Sum","Item Ledger Entry","Quantity","Entry Type","Sale","Entry No.",I224,"Location Code","@@"&amp;$E$6)</t>
  </si>
  <si>
    <t>=NL("Sum","Item Ledger Entry","Quantity","Entry Type","Positive Adjmt.|Negative Adjmt.","Entry No.",I224,"Location Code","@@"&amp;$E$6)</t>
  </si>
  <si>
    <t>=NL("Sum","Item Ledger Entry","Quantity","Entry Type","Transfer","Entry No.",I224,"Location Code","@@"&amp;$E$6)</t>
  </si>
  <si>
    <t>=NL("Sum","Item Ledger Entry","Quantity","Entry Type","Consumption","Entry No.",I224,"Location Code","@@"&amp;$E$6)</t>
  </si>
  <si>
    <t>=NL("Sum","Item Ledger Entry","Quantity","Entry Type","Output","Entry No.",I224,"Location Code","@@"&amp;$E$6)</t>
  </si>
  <si>
    <t>=E227</t>
  </si>
  <si>
    <t>=NL("First","Item","Description","No.",$E227)</t>
  </si>
  <si>
    <t>=NL("First","Item","Base Unit of Measure","No.",$E227)</t>
  </si>
  <si>
    <t>=NL("Rows","Item Ledger Entry",,"+Posting Date",$L$5,"Item No.","@@"&amp;$D228,"Location Code","@@"&amp;$E$6)</t>
  </si>
  <si>
    <t>=NL("Sum","Item Ledger Entry","Quantity","Entry Type","Purchase","Entry No.",I228,"Location Code","@@"&amp;$E$6)</t>
  </si>
  <si>
    <t>=NL("Sum","Item Ledger Entry","Quantity","Entry Type","Sale","Entry No.",I228,"Location Code","@@"&amp;$E$6)</t>
  </si>
  <si>
    <t>=NL("Sum","Item Ledger Entry","Quantity","Entry Type","Positive Adjmt.|Negative Adjmt.","Entry No.",I228,"Location Code","@@"&amp;$E$6)</t>
  </si>
  <si>
    <t>=NL("Sum","Item Ledger Entry","Quantity","Entry Type","Transfer","Entry No.",I228,"Location Code","@@"&amp;$E$6)</t>
  </si>
  <si>
    <t>=NL("Sum","Item Ledger Entry","Quantity","Entry Type","Consumption","Entry No.",I228,"Location Code","@@"&amp;$E$6)</t>
  </si>
  <si>
    <t>=NL("Sum","Item Ledger Entry","Quantity","Entry Type","Output","Entry No.",I228,"Location Code","@@"&amp;$E$6)</t>
  </si>
  <si>
    <t>=NL("Sum","Item Ledger Entry","Quantity","Entry Type","Purchase","Entry No.",I229,"Location Code","@@"&amp;$E$6)</t>
  </si>
  <si>
    <t>=NL("Sum","Item Ledger Entry","Quantity","Entry Type","Sale","Entry No.",I229,"Location Code","@@"&amp;$E$6)</t>
  </si>
  <si>
    <t>=NL("Sum","Item Ledger Entry","Quantity","Entry Type","Positive Adjmt.|Negative Adjmt.","Entry No.",I229,"Location Code","@@"&amp;$E$6)</t>
  </si>
  <si>
    <t>=NL("Sum","Item Ledger Entry","Quantity","Entry Type","Transfer","Entry No.",I229,"Location Code","@@"&amp;$E$6)</t>
  </si>
  <si>
    <t>=NL("Sum","Item Ledger Entry","Quantity","Entry Type","Consumption","Entry No.",I229,"Location Code","@@"&amp;$E$6)</t>
  </si>
  <si>
    <t>=NL("Sum","Item Ledger Entry","Quantity","Entry Type","Output","Entry No.",I229,"Location Code","@@"&amp;$E$6)</t>
  </si>
  <si>
    <t>=E232</t>
  </si>
  <si>
    <t>=NL("First","Item","Description","No.",$E232)</t>
  </si>
  <si>
    <t>=NL("First","Item","Base Unit of Measure","No.",$E232)</t>
  </si>
  <si>
    <t>=E270</t>
  </si>
  <si>
    <t>=NL("First","Item","Description","No.",$E270)</t>
  </si>
  <si>
    <t>=NL("First","Item","Base Unit of Measure","No.",$E270)</t>
  </si>
  <si>
    <t>=NL("Rows","Item Ledger Entry",,"+Posting Date",$L$5,"Item No.","@@"&amp;$D271,"Location Code","@@"&amp;$E$6)</t>
  </si>
  <si>
    <t>=(SUBTOTAL(9,O283:O284))</t>
  </si>
  <si>
    <t>=(SUBTOTAL(9,P283:P284))</t>
  </si>
  <si>
    <t>=(SUBTOTAL(9,Q283:Q284))</t>
  </si>
  <si>
    <t>=(SUBTOTAL(9,R283:R284))</t>
  </si>
  <si>
    <t>=(SUBTOTAL(9,S283:S284))</t>
  </si>
  <si>
    <t>=(SUBTOTAL(9,T283:T284))</t>
  </si>
  <si>
    <t>=SUBTOTAL(9,O283:T284)</t>
  </si>
  <si>
    <t>=E286</t>
  </si>
  <si>
    <t>=NL("First","Item","Description","No.",$E286)</t>
  </si>
  <si>
    <t>=NL("First","Item","Base Unit of Measure","No.",$E286)</t>
  </si>
  <si>
    <t>=NL("Rows","Item Ledger Entry",,"+Posting Date",$L$5,"Item No.","@@"&amp;$D287,"Location Code","@@"&amp;$E$6)</t>
  </si>
  <si>
    <t>=NL("Sum","Item Ledger Entry","Quantity","Entry Type","Purchase","Entry No.",I307,"Location Code","@@"&amp;$E$6)</t>
  </si>
  <si>
    <t>=NL("Sum","Item Ledger Entry","Quantity","Entry Type","Sale","Entry No.",I307,"Location Code","@@"&amp;$E$6)</t>
  </si>
  <si>
    <t>=NL("Sum","Item Ledger Entry","Quantity","Entry Type","Positive Adjmt.|Negative Adjmt.","Entry No.",I307,"Location Code","@@"&amp;$E$6)</t>
  </si>
  <si>
    <t>=NL("Sum","Item Ledger Entry","Quantity","Entry Type","Transfer","Entry No.",I307,"Location Code","@@"&amp;$E$6)</t>
  </si>
  <si>
    <t>=NL("Sum","Item Ledger Entry","Quantity","Entry Type","Consumption","Entry No.",I307,"Location Code","@@"&amp;$E$6)</t>
  </si>
  <si>
    <t>=NL("Sum","Item Ledger Entry","Quantity","Entry Type","Output","Entry No.",I307,"Location Code","@@"&amp;$E$6)</t>
  </si>
  <si>
    <t>=NL("Sum","Item Ledger Entry","Quantity","Entry Type","Purchase","Entry No.",I312,"Location Code","@@"&amp;$E$6)</t>
  </si>
  <si>
    <t>=NL("Sum","Item Ledger Entry","Quantity","Entry Type","Sale","Entry No.",I312,"Location Code","@@"&amp;$E$6)</t>
  </si>
  <si>
    <t>=NL("Sum","Item Ledger Entry","Quantity","Entry Type","Positive Adjmt.|Negative Adjmt.","Entry No.",I312,"Location Code","@@"&amp;$E$6)</t>
  </si>
  <si>
    <t>=NL("Sum","Item Ledger Entry","Quantity","Entry Type","Transfer","Entry No.",I312,"Location Code","@@"&amp;$E$6)</t>
  </si>
  <si>
    <t>=NL("Sum","Item Ledger Entry","Quantity","Entry Type","Consumption","Entry No.",I312,"Location Code","@@"&amp;$E$6)</t>
  </si>
  <si>
    <t>=NL("Sum","Item Ledger Entry","Quantity","Entry Type","Output","Entry No.",I312,"Location Code","@@"&amp;$E$6)</t>
  </si>
  <si>
    <t>=(SUBTOTAL(9,O316:O317))</t>
  </si>
  <si>
    <t>=(SUBTOTAL(9,P316:P317))</t>
  </si>
  <si>
    <t>=(SUBTOTAL(9,Q316:Q317))</t>
  </si>
  <si>
    <t>=(SUBTOTAL(9,R316:R317))</t>
  </si>
  <si>
    <t>=(SUBTOTAL(9,S316:S317))</t>
  </si>
  <si>
    <t>=(SUBTOTAL(9,T316:T317))</t>
  </si>
  <si>
    <t>=SUBTOTAL(9,O316:T317)</t>
  </si>
  <si>
    <t>=NL("Rows","Item Ledger Entry",,"+Posting Date",$L$5,"Item No.","@@"&amp;$D316,"Location Code","@@"&amp;$E$6)</t>
  </si>
  <si>
    <t>=(SUBTOTAL(9,O320:O321))</t>
  </si>
  <si>
    <t>=(SUBTOTAL(9,P320:P321))</t>
  </si>
  <si>
    <t>=(SUBTOTAL(9,Q320:Q321))</t>
  </si>
  <si>
    <t>=(SUBTOTAL(9,R320:R321))</t>
  </si>
  <si>
    <t>=(SUBTOTAL(9,S320:S321))</t>
  </si>
  <si>
    <t>=(SUBTOTAL(9,T320:T321))</t>
  </si>
  <si>
    <t>=SUBTOTAL(9,O320:T321)</t>
  </si>
  <si>
    <t>=(SUBTOTAL(9,O328:O329))</t>
  </si>
  <si>
    <t>=(SUBTOTAL(9,P328:P329))</t>
  </si>
  <si>
    <t>=(SUBTOTAL(9,Q328:Q329))</t>
  </si>
  <si>
    <t>=(SUBTOTAL(9,R328:R329))</t>
  </si>
  <si>
    <t>=(SUBTOTAL(9,S328:S329))</t>
  </si>
  <si>
    <t>=(SUBTOTAL(9,T328:T329))</t>
  </si>
  <si>
    <t>=SUBTOTAL(9,O328:T329)</t>
  </si>
  <si>
    <t>=E331</t>
  </si>
  <si>
    <t>=NL("First","Item","Description","No.",$E331)</t>
  </si>
  <si>
    <t>=NL("First","Item","Base Unit of Measure","No.",$E331)</t>
  </si>
  <si>
    <t>=(SUBTOTAL(9,O332:O333))</t>
  </si>
  <si>
    <t>=(SUBTOTAL(9,P332:P333))</t>
  </si>
  <si>
    <t>=(SUBTOTAL(9,Q332:Q333))</t>
  </si>
  <si>
    <t>=(SUBTOTAL(9,R332:R333))</t>
  </si>
  <si>
    <t>=(SUBTOTAL(9,S332:S333))</t>
  </si>
  <si>
    <t>=(SUBTOTAL(9,T332:T333))</t>
  </si>
  <si>
    <t>=SUBTOTAL(9,O332:T333)</t>
  </si>
  <si>
    <t>=NL("Rows","Item Ledger Entry",,"+Posting Date",$L$5,"Item No.","@@"&amp;$D332,"Location Code","@@"&amp;$E$6)</t>
  </si>
  <si>
    <t>=NL("Sum","Item Ledger Entry","Quantity","Entry Type","Purchase","Entry No.",I332,"Location Code","@@"&amp;$E$6)</t>
  </si>
  <si>
    <t>=NL("Sum","Item Ledger Entry","Quantity","Entry Type","Sale","Entry No.",I332,"Location Code","@@"&amp;$E$6)</t>
  </si>
  <si>
    <t>=NL("Sum","Item Ledger Entry","Quantity","Entry Type","Positive Adjmt.|Negative Adjmt.","Entry No.",I332,"Location Code","@@"&amp;$E$6)</t>
  </si>
  <si>
    <t>=NL("Sum","Item Ledger Entry","Quantity","Entry Type","Transfer","Entry No.",I332,"Location Code","@@"&amp;$E$6)</t>
  </si>
  <si>
    <t>=NL("Sum","Item Ledger Entry","Quantity","Entry Type","Consumption","Entry No.",I332,"Location Code","@@"&amp;$E$6)</t>
  </si>
  <si>
    <t>=NL("Sum","Item Ledger Entry","Quantity","Entry Type","Output","Entry No.",I332,"Location Code","@@"&amp;$E$6)</t>
  </si>
  <si>
    <t>=(SUBTOTAL(9,O336:O337))</t>
  </si>
  <si>
    <t>=(SUBTOTAL(9,P336:P337))</t>
  </si>
  <si>
    <t>=(SUBTOTAL(9,Q336:Q337))</t>
  </si>
  <si>
    <t>=(SUBTOTAL(9,R336:R337))</t>
  </si>
  <si>
    <t>=(SUBTOTAL(9,S336:S337))</t>
  </si>
  <si>
    <t>=(SUBTOTAL(9,T336:T337))</t>
  </si>
  <si>
    <t>=SUBTOTAL(9,O336:T337)</t>
  </si>
  <si>
    <t>=NL("Rows","Item Ledger Entry",,"+Posting Date",$L$5,"Item No.","@@"&amp;$D336,"Location Code","@@"&amp;$E$6)</t>
  </si>
  <si>
    <t>=(SUBTOTAL(9,O340:O341))</t>
  </si>
  <si>
    <t>=(SUBTOTAL(9,P340:P341))</t>
  </si>
  <si>
    <t>=(SUBTOTAL(9,Q340:Q341))</t>
  </si>
  <si>
    <t>=(SUBTOTAL(9,R340:R341))</t>
  </si>
  <si>
    <t>=(SUBTOTAL(9,S340:S341))</t>
  </si>
  <si>
    <t>=(SUBTOTAL(9,T340:T341))</t>
  </si>
  <si>
    <t>=SUBTOTAL(9,O340:T341)</t>
  </si>
  <si>
    <t>=E428</t>
  </si>
  <si>
    <t>=NL("First","Item","Description","No.",$E428)</t>
  </si>
  <si>
    <t>=NL("First","Item","Base Unit of Measure","No.",$E428)</t>
  </si>
  <si>
    <t>=NL("Sum","Item Ledger Entry","Quantity","Entry Type","Purchase","Entry No.",I364,"Location Code","@@"&amp;$E$6)</t>
  </si>
  <si>
    <t>=NL("Sum","Item Ledger Entry","Quantity","Entry Type","Sale","Entry No.",I364,"Location Code","@@"&amp;$E$6)</t>
  </si>
  <si>
    <t>=NL("Sum","Item Ledger Entry","Quantity","Entry Type","Positive Adjmt.|Negative Adjmt.","Entry No.",I364,"Location Code","@@"&amp;$E$6)</t>
  </si>
  <si>
    <t>=NL("Sum","Item Ledger Entry","Quantity","Entry Type","Transfer","Entry No.",I364,"Location Code","@@"&amp;$E$6)</t>
  </si>
  <si>
    <t>=NL("Sum","Item Ledger Entry","Quantity","Entry Type","Consumption","Entry No.",I364,"Location Code","@@"&amp;$E$6)</t>
  </si>
  <si>
    <t>=NL("Sum","Item Ledger Entry","Quantity","Entry Type","Output","Entry No.",I364,"Location Code","@@"&amp;$E$6)</t>
  </si>
  <si>
    <t>=NL("Sum","Item Ledger Entry","Quantity","Entry Type","Purchase","Entry No.",I267,"Location Code","@@"&amp;$E$6)</t>
  </si>
  <si>
    <t>=NL("Sum","Item Ledger Entry","Quantity","Entry Type","Sale","Entry No.",I267,"Location Code","@@"&amp;$E$6)</t>
  </si>
  <si>
    <t>=NL("Sum","Item Ledger Entry","Quantity","Entry Type","Positive Adjmt.|Negative Adjmt.","Entry No.",I267,"Location Code","@@"&amp;$E$6)</t>
  </si>
  <si>
    <t>=NL("Sum","Item Ledger Entry","Quantity","Entry Type","Transfer","Entry No.",I267,"Location Code","@@"&amp;$E$6)</t>
  </si>
  <si>
    <t>=NL("Sum","Item Ledger Entry","Quantity","Entry Type","Consumption","Entry No.",I267,"Location Code","@@"&amp;$E$6)</t>
  </si>
  <si>
    <t>=NL("Sum","Item Ledger Entry","Quantity","Entry Type","Output","Entry No.",I267,"Location Code","@@"&amp;$E$6)</t>
  </si>
  <si>
    <t>=(SUBTOTAL(9,O196:O198))</t>
  </si>
  <si>
    <t>=(SUBTOTAL(9,P196:P198))</t>
  </si>
  <si>
    <t>=(SUBTOTAL(9,Q196:Q198))</t>
  </si>
  <si>
    <t>=(SUBTOTAL(9,R196:R198))</t>
  </si>
  <si>
    <t>=(SUBTOTAL(9,S196:S198))</t>
  </si>
  <si>
    <t>=(SUBTOTAL(9,T196:T198))</t>
  </si>
  <si>
    <t>=SUBTOTAL(9,O196:T198)</t>
  </si>
  <si>
    <t>=NL("Rows","Item Ledger Entry",,"+Posting Date",$L$5,"Item No.","@@"&amp;$D201,"Location Code","@@"&amp;$E$6)</t>
  </si>
  <si>
    <t>=(SUBTOTAL(9,O238:O240))</t>
  </si>
  <si>
    <t>=(SUBTOTAL(9,P238:P240))</t>
  </si>
  <si>
    <t>=(SUBTOTAL(9,Q238:Q240))</t>
  </si>
  <si>
    <t>=(SUBTOTAL(9,R238:R240))</t>
  </si>
  <si>
    <t>=(SUBTOTAL(9,S238:S240))</t>
  </si>
  <si>
    <t>=(SUBTOTAL(9,T238:T240))</t>
  </si>
  <si>
    <t>=SUBTOTAL(9,O238:T240)</t>
  </si>
  <si>
    <t>=E242</t>
  </si>
  <si>
    <t>=NL("First","Item","Description","No.",$E242)</t>
  </si>
  <si>
    <t>=NL("First","Item","Base Unit of Measure","No.",$E242)</t>
  </si>
  <si>
    <t>=NL("Rows","Item Ledger Entry",,"+Posting Date",$L$5,"Item No.","@@"&amp;$D243,"Location Code","@@"&amp;$E$6)</t>
  </si>
  <si>
    <t>=(SUBTOTAL(9,O271:O274))</t>
  </si>
  <si>
    <t>=(SUBTOTAL(9,P271:P274))</t>
  </si>
  <si>
    <t>=(SUBTOTAL(9,Q271:Q274))</t>
  </si>
  <si>
    <t>=(SUBTOTAL(9,R271:R274))</t>
  </si>
  <si>
    <t>=(SUBTOTAL(9,S271:S274))</t>
  </si>
  <si>
    <t>=(SUBTOTAL(9,T271:T274))</t>
  </si>
  <si>
    <t>=SUBTOTAL(9,O271:T274)</t>
  </si>
  <si>
    <t>=E276</t>
  </si>
  <si>
    <t>=NL("First","Item","Description","No.",$E276)</t>
  </si>
  <si>
    <t>=NL("First","Item","Base Unit of Measure","No.",$E276)</t>
  </si>
  <si>
    <t>=(SUBTOTAL(9,O277:O279))</t>
  </si>
  <si>
    <t>=(SUBTOTAL(9,P277:P279))</t>
  </si>
  <si>
    <t>=(SUBTOTAL(9,Q277:Q279))</t>
  </si>
  <si>
    <t>=(SUBTOTAL(9,R277:R279))</t>
  </si>
  <si>
    <t>=(SUBTOTAL(9,S277:S279))</t>
  </si>
  <si>
    <t>=(SUBTOTAL(9,T277:T279))</t>
  </si>
  <si>
    <t>=SUBTOTAL(9,O277:T279)</t>
  </si>
  <si>
    <t>=E307</t>
  </si>
  <si>
    <t>=NL("First","Item","Description","No.",$E307)</t>
  </si>
  <si>
    <t>=NL("First","Item","Base Unit of Measure","No.",$E307)</t>
  </si>
  <si>
    <t>=E317</t>
  </si>
  <si>
    <t>=NL("First","Item","Description","No.",$E317)</t>
  </si>
  <si>
    <t>=NL("First","Item","Base Unit of Measure","No.",$E317)</t>
  </si>
  <si>
    <t>=NL("Rows","Item Ledger Entry",,"+Posting Date",$L$5,"Item No.","@@"&amp;$D318,"Location Code","@@"&amp;$E$6)</t>
  </si>
  <si>
    <t>=E359</t>
  </si>
  <si>
    <t>=NL("First","Item","Description","No.",$E359)</t>
  </si>
  <si>
    <t>=NL("First","Item","Base Unit of Measure","No.",$E359)</t>
  </si>
  <si>
    <t>=(SUBTOTAL(9,O360:O362))</t>
  </si>
  <si>
    <t>=(SUBTOTAL(9,P360:P362))</t>
  </si>
  <si>
    <t>=(SUBTOTAL(9,Q360:Q362))</t>
  </si>
  <si>
    <t>=(SUBTOTAL(9,R360:R362))</t>
  </si>
  <si>
    <t>=(SUBTOTAL(9,S360:S362))</t>
  </si>
  <si>
    <t>=(SUBTOTAL(9,T360:T362))</t>
  </si>
  <si>
    <t>=SUBTOTAL(9,O360:T362)</t>
  </si>
  <si>
    <t>=NL("Rows","Item Ledger Entry",,"+Posting Date",$L$5,"Item No.","@@"&amp;$D360,"Location Code","@@"&amp;$E$6)</t>
  </si>
  <si>
    <t>=E410</t>
  </si>
  <si>
    <t>=NL("First","Item","Description","No.",$E410)</t>
  </si>
  <si>
    <t>=NL("First","Item","Base Unit of Measure","No.",$E410)</t>
  </si>
  <si>
    <t>=NL("Rows","Item Ledger Entry",,"+Posting Date",$L$5,"Item No.","@@"&amp;$D411,"Location Code","@@"&amp;$E$6)</t>
  </si>
  <si>
    <t>=D430</t>
  </si>
  <si>
    <t>=IF($J431="Customer",NL("first",$J431,"Name","No.","@@"&amp;$K431),"")</t>
  </si>
  <si>
    <t>=IF(J431="vendor",NL("first",J431,"Name","No.","@@"&amp;K431),"")</t>
  </si>
  <si>
    <t>=IF($J431="Item",NL("first",$J431,"Description","No.","@@"&amp;$K431),"")</t>
  </si>
  <si>
    <t>=E446</t>
  </si>
  <si>
    <t>=NL("First","Item","Description","No.",$E446)</t>
  </si>
  <si>
    <t>=NL("First","Item","Base Unit of Measure","No.",$E446)</t>
  </si>
  <si>
    <t>=(SUBTOTAL(9,O447:O448))</t>
  </si>
  <si>
    <t>=(SUBTOTAL(9,P447:P448))</t>
  </si>
  <si>
    <t>=(SUBTOTAL(9,Q447:Q448))</t>
  </si>
  <si>
    <t>=(SUBTOTAL(9,R447:R448))</t>
  </si>
  <si>
    <t>=(SUBTOTAL(9,S447:S448))</t>
  </si>
  <si>
    <t>=(SUBTOTAL(9,T447:T448))</t>
  </si>
  <si>
    <t>=SUBTOTAL(9,O447:T448)</t>
  </si>
  <si>
    <t>=NL("Rows","Item Ledger Entry",,"+Posting Date",$L$5,"Item No.","@@"&amp;$D447,"Location Code","@@"&amp;$E$6)</t>
  </si>
  <si>
    <t>=NL("Sum","Item Ledger Entry","Quantity","Entry Type","Purchase","Entry No.",I447,"Location Code","@@"&amp;$E$6)</t>
  </si>
  <si>
    <t>=NL("Sum","Item Ledger Entry","Quantity","Entry Type","Sale","Entry No.",I447,"Location Code","@@"&amp;$E$6)</t>
  </si>
  <si>
    <t>=NL("Sum","Item Ledger Entry","Quantity","Entry Type","Positive Adjmt.|Negative Adjmt.","Entry No.",I447,"Location Code","@@"&amp;$E$6)</t>
  </si>
  <si>
    <t>=NL("Sum","Item Ledger Entry","Quantity","Entry Type","Transfer","Entry No.",I447,"Location Code","@@"&amp;$E$6)</t>
  </si>
  <si>
    <t>=NL("Sum","Item Ledger Entry","Quantity","Entry Type","Consumption","Entry No.",I447,"Location Code","@@"&amp;$E$6)</t>
  </si>
  <si>
    <t>=NL("Sum","Item Ledger Entry","Quantity","Entry Type","Output","Entry No.",I447,"Location Code","@@"&amp;$E$6)</t>
  </si>
  <si>
    <t>=NL("Rows","Item Ledger Entry",,"+Posting Date",$L$5,"Item No.","@@"&amp;$D451,"Location Code","@@"&amp;$E$6)</t>
  </si>
  <si>
    <t>=NL("Sum","Item Ledger Entry","Quantity","Entry Type","Purchase","Entry No.",I451,"Location Code","@@"&amp;$E$6)</t>
  </si>
  <si>
    <t>=NL("Sum","Item Ledger Entry","Quantity","Entry Type","Sale","Entry No.",I451,"Location Code","@@"&amp;$E$6)</t>
  </si>
  <si>
    <t>=NL("Sum","Item Ledger Entry","Quantity","Entry Type","Positive Adjmt.|Negative Adjmt.","Entry No.",I451,"Location Code","@@"&amp;$E$6)</t>
  </si>
  <si>
    <t>=NL("Sum","Item Ledger Entry","Quantity","Entry Type","Transfer","Entry No.",I451,"Location Code","@@"&amp;$E$6)</t>
  </si>
  <si>
    <t>=NL("Sum","Item Ledger Entry","Quantity","Entry Type","Consumption","Entry No.",I451,"Location Code","@@"&amp;$E$6)</t>
  </si>
  <si>
    <t>=NL("Sum","Item Ledger Entry","Quantity","Entry Type","Output","Entry No.",I451,"Location Code","@@"&amp;$E$6)</t>
  </si>
  <si>
    <t>=NL("Sum","Item Ledger Entry","Quantity","Entry Type","Purchase","Entry No.",I456,"Location Code","@@"&amp;$E$6)</t>
  </si>
  <si>
    <t>=NL("Sum","Item Ledger Entry","Quantity","Entry Type","Sale","Entry No.",I456,"Location Code","@@"&amp;$E$6)</t>
  </si>
  <si>
    <t>=NL("Sum","Item Ledger Entry","Quantity","Entry Type","Positive Adjmt.|Negative Adjmt.","Entry No.",I456,"Location Code","@@"&amp;$E$6)</t>
  </si>
  <si>
    <t>=NL("Sum","Item Ledger Entry","Quantity","Entry Type","Transfer","Entry No.",I456,"Location Code","@@"&amp;$E$6)</t>
  </si>
  <si>
    <t>=NL("Sum","Item Ledger Entry","Quantity","Entry Type","Consumption","Entry No.",I456,"Location Code","@@"&amp;$E$6)</t>
  </si>
  <si>
    <t>=NL("Sum","Item Ledger Entry","Quantity","Entry Type","Output","Entry No.",I456,"Location Code","@@"&amp;$E$6)</t>
  </si>
  <si>
    <t>=NL("Sum","Item Ledger Entry","Quantity","Entry Type","Purchase","Entry No.",I461,"Location Code","@@"&amp;$E$6)</t>
  </si>
  <si>
    <t>=NL("Sum","Item Ledger Entry","Quantity","Entry Type","Sale","Entry No.",I461,"Location Code","@@"&amp;$E$6)</t>
  </si>
  <si>
    <t>=NL("Sum","Item Ledger Entry","Quantity","Entry Type","Positive Adjmt.|Negative Adjmt.","Entry No.",I461,"Location Code","@@"&amp;$E$6)</t>
  </si>
  <si>
    <t>=NL("Sum","Item Ledger Entry","Quantity","Entry Type","Transfer","Entry No.",I461,"Location Code","@@"&amp;$E$6)</t>
  </si>
  <si>
    <t>=NL("Sum","Item Ledger Entry","Quantity","Entry Type","Consumption","Entry No.",I461,"Location Code","@@"&amp;$E$6)</t>
  </si>
  <si>
    <t>=NL("Sum","Item Ledger Entry","Quantity","Entry Type","Output","Entry No.",I461,"Location Code","@@"&amp;$E$6)</t>
  </si>
  <si>
    <t>=E464</t>
  </si>
  <si>
    <t>=NL("First","Item","Description","No.",$E464)</t>
  </si>
  <si>
    <t>=NL("First","Item","Base Unit of Measure","No.",$E464)</t>
  </si>
  <si>
    <t>=NL("Rows","Item Ledger Entry",,"+Posting Date",$L$5,"Item No.","@@"&amp;$D465,"Location Code","@@"&amp;$E$6)</t>
  </si>
  <si>
    <t>=E470</t>
  </si>
  <si>
    <t>=NL("First","Item","Description","No.",$E470)</t>
  </si>
  <si>
    <t>=NL("First","Item","Base Unit of Measure","No.",$E470)</t>
  </si>
  <si>
    <t>=(SUBTOTAL(9,O471:O472))</t>
  </si>
  <si>
    <t>=(SUBTOTAL(9,P471:P472))</t>
  </si>
  <si>
    <t>=(SUBTOTAL(9,Q471:Q472))</t>
  </si>
  <si>
    <t>=(SUBTOTAL(9,R471:R472))</t>
  </si>
  <si>
    <t>=(SUBTOTAL(9,S471:S472))</t>
  </si>
  <si>
    <t>=(SUBTOTAL(9,T471:T472))</t>
  </si>
  <si>
    <t>=SUBTOTAL(9,O471:T472)</t>
  </si>
  <si>
    <t>=E474</t>
  </si>
  <si>
    <t>=NL("First","Item","Description","No.",$E474)</t>
  </si>
  <si>
    <t>=NL("First","Item","Base Unit of Measure","No.",$E474)</t>
  </si>
  <si>
    <t>=(SUBTOTAL(9,O475:O478))</t>
  </si>
  <si>
    <t>=(SUBTOTAL(9,P475:P478))</t>
  </si>
  <si>
    <t>=(SUBTOTAL(9,Q475:Q478))</t>
  </si>
  <si>
    <t>=(SUBTOTAL(9,R475:R478))</t>
  </si>
  <si>
    <t>=(SUBTOTAL(9,S475:S478))</t>
  </si>
  <si>
    <t>=(SUBTOTAL(9,T475:T478))</t>
  </si>
  <si>
    <t>=SUBTOTAL(9,O475:T478)</t>
  </si>
  <si>
    <t>=E486</t>
  </si>
  <si>
    <t>=NL("First","Item","Description","No.",$E486)</t>
  </si>
  <si>
    <t>=NL("First","Item","Base Unit of Measure","No.",$E486)</t>
  </si>
  <si>
    <t>=NL("Rows","Item Ledger Entry",,"+Posting Date",$L$5,"Item No.","@@"&amp;$D487,"Location Code","@@"&amp;$E$6)</t>
  </si>
  <si>
    <t>=NL("Sum","Item Ledger Entry","Quantity","Entry Type","Purchase","Entry No.",I487,"Location Code","@@"&amp;$E$6)</t>
  </si>
  <si>
    <t>=NL("Sum","Item Ledger Entry","Quantity","Entry Type","Sale","Entry No.",I487,"Location Code","@@"&amp;$E$6)</t>
  </si>
  <si>
    <t>=NL("Sum","Item Ledger Entry","Quantity","Entry Type","Positive Adjmt.|Negative Adjmt.","Entry No.",I487,"Location Code","@@"&amp;$E$6)</t>
  </si>
  <si>
    <t>=NL("Sum","Item Ledger Entry","Quantity","Entry Type","Transfer","Entry No.",I487,"Location Code","@@"&amp;$E$6)</t>
  </si>
  <si>
    <t>=NL("Sum","Item Ledger Entry","Quantity","Entry Type","Consumption","Entry No.",I487,"Location Code","@@"&amp;$E$6)</t>
  </si>
  <si>
    <t>=NL("Sum","Item Ledger Entry","Quantity","Entry Type","Output","Entry No.",I487,"Location Code","@@"&amp;$E$6)</t>
  </si>
  <si>
    <t>=NL("Sum","Item Ledger Entry","Quantity","Entry Type","Purchase","Entry No.",I492,"Location Code","@@"&amp;$E$6)</t>
  </si>
  <si>
    <t>=NL("Sum","Item Ledger Entry","Quantity","Entry Type","Sale","Entry No.",I492,"Location Code","@@"&amp;$E$6)</t>
  </si>
  <si>
    <t>=NL("Sum","Item Ledger Entry","Quantity","Entry Type","Positive Adjmt.|Negative Adjmt.","Entry No.",I492,"Location Code","@@"&amp;$E$6)</t>
  </si>
  <si>
    <t>=NL("Sum","Item Ledger Entry","Quantity","Entry Type","Transfer","Entry No.",I492,"Location Code","@@"&amp;$E$6)</t>
  </si>
  <si>
    <t>=NL("Sum","Item Ledger Entry","Quantity","Entry Type","Consumption","Entry No.",I492,"Location Code","@@"&amp;$E$6)</t>
  </si>
  <si>
    <t>=NL("Sum","Item Ledger Entry","Quantity","Entry Type","Output","Entry No.",I492,"Location Code","@@"&amp;$E$6)</t>
  </si>
  <si>
    <t>=E495</t>
  </si>
  <si>
    <t>=NL("First","Item","Description","No.",$E495)</t>
  </si>
  <si>
    <t>=NL("First","Item","Base Unit of Measure","No.",$E495)</t>
  </si>
  <si>
    <t>=NL("Rows","Item Ledger Entry",,"+Posting Date",$L$5,"Item No.","@@"&amp;$D496,"Location Code","@@"&amp;$E$6)</t>
  </si>
  <si>
    <t>=NL("Sum","Item Ledger Entry","Quantity","Entry Type","Purchase","Entry No.",I496,"Location Code","@@"&amp;$E$6)</t>
  </si>
  <si>
    <t>=NL("Sum","Item Ledger Entry","Quantity","Entry Type","Sale","Entry No.",I496,"Location Code","@@"&amp;$E$6)</t>
  </si>
  <si>
    <t>=NL("Sum","Item Ledger Entry","Quantity","Entry Type","Positive Adjmt.|Negative Adjmt.","Entry No.",I496,"Location Code","@@"&amp;$E$6)</t>
  </si>
  <si>
    <t>=NL("Sum","Item Ledger Entry","Quantity","Entry Type","Transfer","Entry No.",I496,"Location Code","@@"&amp;$E$6)</t>
  </si>
  <si>
    <t>=NL("Sum","Item Ledger Entry","Quantity","Entry Type","Consumption","Entry No.",I496,"Location Code","@@"&amp;$E$6)</t>
  </si>
  <si>
    <t>=NL("Sum","Item Ledger Entry","Quantity","Entry Type","Output","Entry No.",I496,"Location Code","@@"&amp;$E$6)</t>
  </si>
  <si>
    <t>=NL("Rows","Item Ledger Entry",,"+Posting Date",$L$5,"Item No.","@@"&amp;$D510,"Location Code","@@"&amp;$E$6)</t>
  </si>
  <si>
    <t>=E515</t>
  </si>
  <si>
    <t>=NL("First","Item","Description","No.",$E515)</t>
  </si>
  <si>
    <t>=NL("First","Item","Base Unit of Measure","No.",$E515)</t>
  </si>
  <si>
    <t>=(SUBTOTAL(9,O516:O518))</t>
  </si>
  <si>
    <t>=(SUBTOTAL(9,P516:P518))</t>
  </si>
  <si>
    <t>=(SUBTOTAL(9,Q516:Q518))</t>
  </si>
  <si>
    <t>=(SUBTOTAL(9,R516:R518))</t>
  </si>
  <si>
    <t>=(SUBTOTAL(9,S516:S518))</t>
  </si>
  <si>
    <t>=(SUBTOTAL(9,T516:T518))</t>
  </si>
  <si>
    <t>=SUBTOTAL(9,O516:T518)</t>
  </si>
  <si>
    <t>=D515</t>
  </si>
  <si>
    <t>=NF($G516,"Posting Date")</t>
  </si>
  <si>
    <t>=NF($G516,"Entry No.")</t>
  </si>
  <si>
    <t>=NF(G516,"Source Type")</t>
  </si>
  <si>
    <t>=NF($G516,"Source No.")</t>
  </si>
  <si>
    <t>=IF($J516="Customer",NL("first",$J516,"Name","No.","@@"&amp;$K516),"")</t>
  </si>
  <si>
    <t>=IF(J516="vendor",NL("first",J516,"Name","No.","@@"&amp;K516),"")</t>
  </si>
  <si>
    <t>=IF($J516="Item",NL("first",$J516,"Description","No.","@@"&amp;$K516),"")</t>
  </si>
  <si>
    <t>=NL("Sum","Item Ledger Entry","Quantity","Entry Type","Purchase","Entry No.",I516,"Location Code","@@"&amp;$E$6)</t>
  </si>
  <si>
    <t>=NL("Sum","Item Ledger Entry","Quantity","Entry Type","Sale","Entry No.",I516,"Location Code","@@"&amp;$E$6)</t>
  </si>
  <si>
    <t>=NL("Sum","Item Ledger Entry","Quantity","Entry Type","Positive Adjmt.|Negative Adjmt.","Entry No.",I516,"Location Code","@@"&amp;$E$6)</t>
  </si>
  <si>
    <t>=NL("Sum","Item Ledger Entry","Quantity","Entry Type","Transfer","Entry No.",I516,"Location Code","@@"&amp;$E$6)</t>
  </si>
  <si>
    <t>=NL("Sum","Item Ledger Entry","Quantity","Entry Type","Consumption","Entry No.",I516,"Location Code","@@"&amp;$E$6)</t>
  </si>
  <si>
    <t>=NL("Sum","Item Ledger Entry","Quantity","Entry Type","Output","Entry No.",I516,"Location Code","@@"&amp;$E$6)</t>
  </si>
  <si>
    <t>=NL("Sum","Item Ledger Entry","Quantity","Entry Type","Purchase","Entry No.",I517,"Location Code","@@"&amp;$E$6)</t>
  </si>
  <si>
    <t>=NL("Sum","Item Ledger Entry","Quantity","Entry Type","Sale","Entry No.",I517,"Location Code","@@"&amp;$E$6)</t>
  </si>
  <si>
    <t>=NL("Sum","Item Ledger Entry","Quantity","Entry Type","Positive Adjmt.|Negative Adjmt.","Entry No.",I517,"Location Code","@@"&amp;$E$6)</t>
  </si>
  <si>
    <t>=NL("Sum","Item Ledger Entry","Quantity","Entry Type","Transfer","Entry No.",I517,"Location Code","@@"&amp;$E$6)</t>
  </si>
  <si>
    <t>=NL("Sum","Item Ledger Entry","Quantity","Entry Type","Consumption","Entry No.",I517,"Location Code","@@"&amp;$E$6)</t>
  </si>
  <si>
    <t>=NL("Sum","Item Ledger Entry","Quantity","Entry Type","Output","Entry No.",I517,"Location Code","@@"&amp;$E$6)</t>
  </si>
  <si>
    <t>=E520</t>
  </si>
  <si>
    <t>=NL("First","Item","Description","No.",$E520)</t>
  </si>
  <si>
    <t>=NL("First","Item","Base Unit of Measure","No.",$E520)</t>
  </si>
  <si>
    <t>=NL("Rows","Item Ledger Entry",,"+Posting Date",$L$5,"Item No.","@@"&amp;$D521,"Location Code","@@"&amp;$E$6)</t>
  </si>
  <si>
    <t>=E539</t>
  </si>
  <si>
    <t>=NL("First","Item","Description","No.",$E539)</t>
  </si>
  <si>
    <t>=NL("First","Item","Base Unit of Measure","No.",$E539)</t>
  </si>
  <si>
    <t>=E551</t>
  </si>
  <si>
    <t>=NL("First","Item","Description","No.",$E551)</t>
  </si>
  <si>
    <t>=NL("First","Item","Base Unit of Measure","No.",$E551)</t>
  </si>
  <si>
    <t>=D551</t>
  </si>
  <si>
    <t>=NF($G552,"Posting Date")</t>
  </si>
  <si>
    <t>=NF($G552,"Entry No.")</t>
  </si>
  <si>
    <t>=NF(G552,"Source Type")</t>
  </si>
  <si>
    <t>=NF($G552,"Source No.")</t>
  </si>
  <si>
    <t>=IF($J552="Customer",NL("first",$J552,"Name","No.","@@"&amp;$K552),"")</t>
  </si>
  <si>
    <t>=IF(J552="vendor",NL("first",J552,"Name","No.","@@"&amp;K552),"")</t>
  </si>
  <si>
    <t>=IF($J552="Item",NL("first",$J552,"Description","No.","@@"&amp;$K552),"")</t>
  </si>
  <si>
    <t>=D576</t>
  </si>
  <si>
    <t>=NF($G577,"Posting Date")</t>
  </si>
  <si>
    <t>=NF($G577,"Entry No.")</t>
  </si>
  <si>
    <t>=NF(G577,"Source Type")</t>
  </si>
  <si>
    <t>=NF($G577,"Source No.")</t>
  </si>
  <si>
    <t>=IF($J577="Customer",NL("first",$J577,"Name","No.","@@"&amp;$K577),"")</t>
  </si>
  <si>
    <t>=IF(J577="vendor",NL("first",J577,"Name","No.","@@"&amp;K577),"")</t>
  </si>
  <si>
    <t>=IF($J577="Item",NL("first",$J577,"Description","No.","@@"&amp;$K577),"")</t>
  </si>
  <si>
    <t>=E580</t>
  </si>
  <si>
    <t>=NL("First","Item","Description","No.",$E580)</t>
  </si>
  <si>
    <t>=NL("First","Item","Base Unit of Measure","No.",$E580)</t>
  </si>
  <si>
    <t>=D614</t>
  </si>
  <si>
    <t>=IF($J615="Customer",NL("first",$J615,"Name","No.","@@"&amp;$K615),"")</t>
  </si>
  <si>
    <t>=IF(J615="vendor",NL("first",J615,"Name","No.","@@"&amp;K615),"")</t>
  </si>
  <si>
    <t>=IF($J615="Item",NL("first",$J615,"Description","No.","@@"&amp;$K615),"")</t>
  </si>
  <si>
    <t>=E640</t>
  </si>
  <si>
    <t>=NL("First","Item","Description","No.",$E640)</t>
  </si>
  <si>
    <t>=NL("First","Item","Base Unit of Measure","No.",$E640)</t>
  </si>
  <si>
    <t>=NF($G615,"Posting Date")</t>
  </si>
  <si>
    <t>=NF($G615,"Entry No.")</t>
  </si>
  <si>
    <t>=NF(G615,"Source Type")</t>
  </si>
  <si>
    <t>=NF($G615,"Source No.")</t>
  </si>
  <si>
    <t>=NL("Sum","Item Ledger Entry","Quantity","Entry Type","Purchase","Entry No.",I558,"Location Code","@@"&amp;$E$6)</t>
  </si>
  <si>
    <t>=NL("Sum","Item Ledger Entry","Quantity","Entry Type","Sale","Entry No.",I558,"Location Code","@@"&amp;$E$6)</t>
  </si>
  <si>
    <t>=NL("Sum","Item Ledger Entry","Quantity","Entry Type","Positive Adjmt.|Negative Adjmt.","Entry No.",I558,"Location Code","@@"&amp;$E$6)</t>
  </si>
  <si>
    <t>=NL("Sum","Item Ledger Entry","Quantity","Entry Type","Transfer","Entry No.",I558,"Location Code","@@"&amp;$E$6)</t>
  </si>
  <si>
    <t>=NL("Sum","Item Ledger Entry","Quantity","Entry Type","Consumption","Entry No.",I558,"Location Code","@@"&amp;$E$6)</t>
  </si>
  <si>
    <t>=NL("Sum","Item Ledger Entry","Quantity","Entry Type","Output","Entry No.",I558,"Location Code","@@"&amp;$E$6)</t>
  </si>
  <si>
    <t>=NL("Sum","Item Ledger Entry","Quantity","Entry Type","Purchase","Entry No.",I542,"Location Code","@@"&amp;$E$6)</t>
  </si>
  <si>
    <t>=NL("Sum","Item Ledger Entry","Quantity","Entry Type","Sale","Entry No.",I542,"Location Code","@@"&amp;$E$6)</t>
  </si>
  <si>
    <t>=NL("Sum","Item Ledger Entry","Quantity","Entry Type","Positive Adjmt.|Negative Adjmt.","Entry No.",I542,"Location Code","@@"&amp;$E$6)</t>
  </si>
  <si>
    <t>=NL("Sum","Item Ledger Entry","Quantity","Entry Type","Transfer","Entry No.",I542,"Location Code","@@"&amp;$E$6)</t>
  </si>
  <si>
    <t>=NL("Sum","Item Ledger Entry","Quantity","Entry Type","Consumption","Entry No.",I542,"Location Code","@@"&amp;$E$6)</t>
  </si>
  <si>
    <t>=NL("Sum","Item Ledger Entry","Quantity","Entry Type","Output","Entry No.",I542,"Location Code","@@"&amp;$E$6)</t>
  </si>
  <si>
    <t>=NL("Sum","Item Ledger Entry","Quantity","Entry Type","Purchase","Entry No.",I527,"Location Code","@@"&amp;$E$6)</t>
  </si>
  <si>
    <t>=NL("Sum","Item Ledger Entry","Quantity","Entry Type","Sale","Entry No.",I527,"Location Code","@@"&amp;$E$6)</t>
  </si>
  <si>
    <t>=NL("Sum","Item Ledger Entry","Quantity","Entry Type","Positive Adjmt.|Negative Adjmt.","Entry No.",I527,"Location Code","@@"&amp;$E$6)</t>
  </si>
  <si>
    <t>=NL("Sum","Item Ledger Entry","Quantity","Entry Type","Transfer","Entry No.",I527,"Location Code","@@"&amp;$E$6)</t>
  </si>
  <si>
    <t>=NL("Sum","Item Ledger Entry","Quantity","Entry Type","Consumption","Entry No.",I527,"Location Code","@@"&amp;$E$6)</t>
  </si>
  <si>
    <t>=NL("Sum","Item Ledger Entry","Quantity","Entry Type","Output","Entry No.",I527,"Location Code","@@"&amp;$E$6)</t>
  </si>
  <si>
    <t>=NL("Sum","Item Ledger Entry","Quantity","Entry Type","Purchase","Entry No.",I521,"Location Code","@@"&amp;$E$6)</t>
  </si>
  <si>
    <t>=NL("Sum","Item Ledger Entry","Quantity","Entry Type","Sale","Entry No.",I521,"Location Code","@@"&amp;$E$6)</t>
  </si>
  <si>
    <t>=NL("Sum","Item Ledger Entry","Quantity","Entry Type","Positive Adjmt.|Negative Adjmt.","Entry No.",I521,"Location Code","@@"&amp;$E$6)</t>
  </si>
  <si>
    <t>=NL("Sum","Item Ledger Entry","Quantity","Entry Type","Transfer","Entry No.",I521,"Location Code","@@"&amp;$E$6)</t>
  </si>
  <si>
    <t>=NL("Sum","Item Ledger Entry","Quantity","Entry Type","Consumption","Entry No.",I521,"Location Code","@@"&amp;$E$6)</t>
  </si>
  <si>
    <t>=NL("Sum","Item Ledger Entry","Quantity","Entry Type","Output","Entry No.",I521,"Location Code","@@"&amp;$E$6)</t>
  </si>
  <si>
    <t>=NL("Sum","Item Ledger Entry","Quantity","Entry Type","Purchase","Entry No.",I510,"Location Code","@@"&amp;$E$6)</t>
  </si>
  <si>
    <t>=NL("Sum","Item Ledger Entry","Quantity","Entry Type","Purchase","Entry No.",I511,"Location Code","@@"&amp;$E$6)</t>
  </si>
  <si>
    <t>=NL("Sum","Item Ledger Entry","Quantity","Entry Type","Sale","Entry No.",I510,"Location Code","@@"&amp;$E$6)</t>
  </si>
  <si>
    <t>=NL("Sum","Item Ledger Entry","Quantity","Entry Type","Sale","Entry No.",I511,"Location Code","@@"&amp;$E$6)</t>
  </si>
  <si>
    <t>=NL("Sum","Item Ledger Entry","Quantity","Entry Type","Positive Adjmt.|Negative Adjmt.","Entry No.",I510,"Location Code","@@"&amp;$E$6)</t>
  </si>
  <si>
    <t>=NL("Sum","Item Ledger Entry","Quantity","Entry Type","Positive Adjmt.|Negative Adjmt.","Entry No.",I511,"Location Code","@@"&amp;$E$6)</t>
  </si>
  <si>
    <t>=NL("Sum","Item Ledger Entry","Quantity","Entry Type","Transfer","Entry No.",I510,"Location Code","@@"&amp;$E$6)</t>
  </si>
  <si>
    <t>=NL("Sum","Item Ledger Entry","Quantity","Entry Type","Transfer","Entry No.",I511,"Location Code","@@"&amp;$E$6)</t>
  </si>
  <si>
    <t>=NL("Sum","Item Ledger Entry","Quantity","Entry Type","Consumption","Entry No.",I510,"Location Code","@@"&amp;$E$6)</t>
  </si>
  <si>
    <t>=NL("Sum","Item Ledger Entry","Quantity","Entry Type","Consumption","Entry No.",I511,"Location Code","@@"&amp;$E$6)</t>
  </si>
  <si>
    <t>=NL("Sum","Item Ledger Entry","Quantity","Entry Type","Output","Entry No.",I510,"Location Code","@@"&amp;$E$6)</t>
  </si>
  <si>
    <t>=NL("Sum","Item Ledger Entry","Quantity","Entry Type","Output","Entry No.",I511,"Location Code","@@"&amp;$E$6)</t>
  </si>
  <si>
    <t>=NL("Sum","Item Ledger Entry","Quantity","Entry Type","Purchase","Entry No.",I505,"Location Code","@@"&amp;$E$6)</t>
  </si>
  <si>
    <t>=NL("Sum","Item Ledger Entry","Quantity","Entry Type","Purchase","Entry No.",I506,"Location Code","@@"&amp;$E$6)</t>
  </si>
  <si>
    <t>=NL("Sum","Item Ledger Entry","Quantity","Entry Type","Sale","Entry No.",I505,"Location Code","@@"&amp;$E$6)</t>
  </si>
  <si>
    <t>=NL("Sum","Item Ledger Entry","Quantity","Entry Type","Sale","Entry No.",I506,"Location Code","@@"&amp;$E$6)</t>
  </si>
  <si>
    <t>=NL("Sum","Item Ledger Entry","Quantity","Entry Type","Positive Adjmt.|Negative Adjmt.","Entry No.",I505,"Location Code","@@"&amp;$E$6)</t>
  </si>
  <si>
    <t>=NL("Sum","Item Ledger Entry","Quantity","Entry Type","Positive Adjmt.|Negative Adjmt.","Entry No.",I506,"Location Code","@@"&amp;$E$6)</t>
  </si>
  <si>
    <t>=NL("Sum","Item Ledger Entry","Quantity","Entry Type","Transfer","Entry No.",I505,"Location Code","@@"&amp;$E$6)</t>
  </si>
  <si>
    <t>=NL("Sum","Item Ledger Entry","Quantity","Entry Type","Transfer","Entry No.",I506,"Location Code","@@"&amp;$E$6)</t>
  </si>
  <si>
    <t>=NL("Sum","Item Ledger Entry","Quantity","Entry Type","Consumption","Entry No.",I505,"Location Code","@@"&amp;$E$6)</t>
  </si>
  <si>
    <t>=NL("Sum","Item Ledger Entry","Quantity","Entry Type","Consumption","Entry No.",I506,"Location Code","@@"&amp;$E$6)</t>
  </si>
  <si>
    <t>=NL("Sum","Item Ledger Entry","Quantity","Entry Type","Output","Entry No.",I505,"Location Code","@@"&amp;$E$6)</t>
  </si>
  <si>
    <t>=NL("Sum","Item Ledger Entry","Quantity","Entry Type","Output","Entry No.",I506,"Location Code","@@"&amp;$E$6)</t>
  </si>
  <si>
    <t>=NL("Sum","Item Ledger Entry","Quantity","Entry Type","Purchase","Entry No.",I483,"Location Code","@@"&amp;$E$6)</t>
  </si>
  <si>
    <t>=NL("Sum","Item Ledger Entry","Quantity","Entry Type","Sale","Entry No.",I483,"Location Code","@@"&amp;$E$6)</t>
  </si>
  <si>
    <t>=NL("Sum","Item Ledger Entry","Quantity","Entry Type","Positive Adjmt.|Negative Adjmt.","Entry No.",I483,"Location Code","@@"&amp;$E$6)</t>
  </si>
  <si>
    <t>=NL("Sum","Item Ledger Entry","Quantity","Entry Type","Transfer","Entry No.",I483,"Location Code","@@"&amp;$E$6)</t>
  </si>
  <si>
    <t>=NL("Sum","Item Ledger Entry","Quantity","Entry Type","Consumption","Entry No.",I483,"Location Code","@@"&amp;$E$6)</t>
  </si>
  <si>
    <t>=NL("Sum","Item Ledger Entry","Quantity","Entry Type","Output","Entry No.",I483,"Location Code","@@"&amp;$E$6)</t>
  </si>
  <si>
    <t>=NL("Sum","Item Ledger Entry","Quantity","Entry Type","Purchase","Entry No.",I475,"Location Code","@@"&amp;$E$6)</t>
  </si>
  <si>
    <t>=NL("Sum","Item Ledger Entry","Quantity","Entry Type","Sale","Entry No.",I475,"Location Code","@@"&amp;$E$6)</t>
  </si>
  <si>
    <t>=NL("Sum","Item Ledger Entry","Quantity","Entry Type","Positive Adjmt.|Negative Adjmt.","Entry No.",I475,"Location Code","@@"&amp;$E$6)</t>
  </si>
  <si>
    <t>=NL("Sum","Item Ledger Entry","Quantity","Entry Type","Transfer","Entry No.",I475,"Location Code","@@"&amp;$E$6)</t>
  </si>
  <si>
    <t>=NL("Sum","Item Ledger Entry","Quantity","Entry Type","Consumption","Entry No.",I475,"Location Code","@@"&amp;$E$6)</t>
  </si>
  <si>
    <t>=NL("Sum","Item Ledger Entry","Quantity","Entry Type","Output","Entry No.",I475,"Location Code","@@"&amp;$E$6)</t>
  </si>
  <si>
    <t>=NL("Sum","Item Ledger Entry","Quantity","Entry Type","Purchase","Entry No.",I465,"Location Code","@@"&amp;$E$6)</t>
  </si>
  <si>
    <t>=NL("Sum","Item Ledger Entry","Quantity","Entry Type","Sale","Entry No.",I465,"Location Code","@@"&amp;$E$6)</t>
  </si>
  <si>
    <t>=NL("Sum","Item Ledger Entry","Quantity","Entry Type","Positive Adjmt.|Negative Adjmt.","Entry No.",I465,"Location Code","@@"&amp;$E$6)</t>
  </si>
  <si>
    <t>=NL("Sum","Item Ledger Entry","Quantity","Entry Type","Transfer","Entry No.",I465,"Location Code","@@"&amp;$E$6)</t>
  </si>
  <si>
    <t>=NL("Sum","Item Ledger Entry","Quantity","Entry Type","Consumption","Entry No.",I465,"Location Code","@@"&amp;$E$6)</t>
  </si>
  <si>
    <t>=NL("Sum","Item Ledger Entry","Quantity","Entry Type","Output","Entry No.",I465,"Location Code","@@"&amp;$E$6)</t>
  </si>
  <si>
    <t>=NL("Sum","Item Ledger Entry","Quantity","Entry Type","Purchase","Entry No.",I443,"Location Code","@@"&amp;$E$6)</t>
  </si>
  <si>
    <t>=NL("Sum","Item Ledger Entry","Quantity","Entry Type","Sale","Entry No.",I443,"Location Code","@@"&amp;$E$6)</t>
  </si>
  <si>
    <t>=NL("Sum","Item Ledger Entry","Quantity","Entry Type","Positive Adjmt.|Negative Adjmt.","Entry No.",I443,"Location Code","@@"&amp;$E$6)</t>
  </si>
  <si>
    <t>=NL("Sum","Item Ledger Entry","Quantity","Entry Type","Transfer","Entry No.",I443,"Location Code","@@"&amp;$E$6)</t>
  </si>
  <si>
    <t>=NL("Sum","Item Ledger Entry","Quantity","Entry Type","Consumption","Entry No.",I443,"Location Code","@@"&amp;$E$6)</t>
  </si>
  <si>
    <t>=NL("Sum","Item Ledger Entry","Quantity","Entry Type","Output","Entry No.",I443,"Location Code","@@"&amp;$E$6)</t>
  </si>
  <si>
    <t>=NF($G431,"Posting Date")</t>
  </si>
  <si>
    <t>=NF($G431,"Entry No.")</t>
  </si>
  <si>
    <t>=NL("Sum","Item Ledger Entry","Quantity","Entry Type","Purchase","Entry No.",I431,"Location Code","@@"&amp;$E$6)</t>
  </si>
  <si>
    <t>=NL("Sum","Item Ledger Entry","Quantity","Entry Type","Sale","Entry No.",I431,"Location Code","@@"&amp;$E$6)</t>
  </si>
  <si>
    <t>=NL("Sum","Item Ledger Entry","Quantity","Entry Type","Positive Adjmt.|Negative Adjmt.","Entry No.",I431,"Location Code","@@"&amp;$E$6)</t>
  </si>
  <si>
    <t>=NL("Sum","Item Ledger Entry","Quantity","Entry Type","Transfer","Entry No.",I431,"Location Code","@@"&amp;$E$6)</t>
  </si>
  <si>
    <t>=NL("Sum","Item Ledger Entry","Quantity","Entry Type","Consumption","Entry No.",I431,"Location Code","@@"&amp;$E$6)</t>
  </si>
  <si>
    <t>=NL("Sum","Item Ledger Entry","Quantity","Entry Type","Output","Entry No.",I431,"Location Code","@@"&amp;$E$6)</t>
  </si>
  <si>
    <t>=NF(G431,"Source Type")</t>
  </si>
  <si>
    <t>=NF($G431,"Source No.")</t>
  </si>
  <si>
    <t>=NL("Sum","Item Ledger Entry","Quantity","Entry Type","Purchase","Entry No.",I411,"Location Code","@@"&amp;$E$6)</t>
  </si>
  <si>
    <t>=NL("Sum","Item Ledger Entry","Quantity","Entry Type","Sale","Entry No.",I411,"Location Code","@@"&amp;$E$6)</t>
  </si>
  <si>
    <t>=NL("Sum","Item Ledger Entry","Quantity","Entry Type","Positive Adjmt.|Negative Adjmt.","Entry No.",I411,"Location Code","@@"&amp;$E$6)</t>
  </si>
  <si>
    <t>=NL("Sum","Item Ledger Entry","Quantity","Entry Type","Transfer","Entry No.",I411,"Location Code","@@"&amp;$E$6)</t>
  </si>
  <si>
    <t>=NL("Sum","Item Ledger Entry","Quantity","Entry Type","Consumption","Entry No.",I411,"Location Code","@@"&amp;$E$6)</t>
  </si>
  <si>
    <t>=NL("Sum","Item Ledger Entry","Quantity","Entry Type","Output","Entry No.",I411,"Location Code","@@"&amp;$E$6)</t>
  </si>
  <si>
    <t>=NL("Sum","Item Ledger Entry","Quantity","Entry Type","Purchase","Entry No.",I407,"Location Code","@@"&amp;$E$6)</t>
  </si>
  <si>
    <t>=NL("Sum","Item Ledger Entry","Quantity","Entry Type","Sale","Entry No.",I407,"Location Code","@@"&amp;$E$6)</t>
  </si>
  <si>
    <t>=NL("Sum","Item Ledger Entry","Quantity","Entry Type","Positive Adjmt.|Negative Adjmt.","Entry No.",I407,"Location Code","@@"&amp;$E$6)</t>
  </si>
  <si>
    <t>=NL("Sum","Item Ledger Entry","Quantity","Entry Type","Transfer","Entry No.",I407,"Location Code","@@"&amp;$E$6)</t>
  </si>
  <si>
    <t>=NL("Sum","Item Ledger Entry","Quantity","Entry Type","Consumption","Entry No.",I407,"Location Code","@@"&amp;$E$6)</t>
  </si>
  <si>
    <t>=NL("Sum","Item Ledger Entry","Quantity","Entry Type","Output","Entry No.",I407,"Location Code","@@"&amp;$E$6)</t>
  </si>
  <si>
    <t>=NL("Sum","Item Ledger Entry","Quantity","Entry Type","Purchase","Entry No.",I356,"Location Code","@@"&amp;$E$6)</t>
  </si>
  <si>
    <t>=NL("Sum","Item Ledger Entry","Quantity","Entry Type","Sale","Entry No.",I356,"Location Code","@@"&amp;$E$6)</t>
  </si>
  <si>
    <t>=NL("Sum","Item Ledger Entry","Quantity","Entry Type","Positive Adjmt.|Negative Adjmt.","Entry No.",I356,"Location Code","@@"&amp;$E$6)</t>
  </si>
  <si>
    <t>=NL("Sum","Item Ledger Entry","Quantity","Entry Type","Transfer","Entry No.",I356,"Location Code","@@"&amp;$E$6)</t>
  </si>
  <si>
    <t>=NL("Sum","Item Ledger Entry","Quantity","Entry Type","Consumption","Entry No.",I356,"Location Code","@@"&amp;$E$6)</t>
  </si>
  <si>
    <t>=NL("Sum","Item Ledger Entry","Quantity","Entry Type","Output","Entry No.",I356,"Location Code","@@"&amp;$E$6)</t>
  </si>
  <si>
    <t>=NL("Sum","Item Ledger Entry","Quantity","Entry Type","Purchase","Entry No.",I318,"Location Code","@@"&amp;$E$6)</t>
  </si>
  <si>
    <t>=NL("Sum","Item Ledger Entry","Quantity","Entry Type","Sale","Entry No.",I318,"Location Code","@@"&amp;$E$6)</t>
  </si>
  <si>
    <t>=NL("Sum","Item Ledger Entry","Quantity","Entry Type","Positive Adjmt.|Negative Adjmt.","Entry No.",I318,"Location Code","@@"&amp;$E$6)</t>
  </si>
  <si>
    <t>=NL("Sum","Item Ledger Entry","Quantity","Entry Type","Transfer","Entry No.",I318,"Location Code","@@"&amp;$E$6)</t>
  </si>
  <si>
    <t>=NL("Sum","Item Ledger Entry","Quantity","Entry Type","Consumption","Entry No.",I318,"Location Code","@@"&amp;$E$6)</t>
  </si>
  <si>
    <t>=NL("Sum","Item Ledger Entry","Quantity","Entry Type","Output","Entry No.",I318,"Location Code","@@"&amp;$E$6)</t>
  </si>
  <si>
    <t>=NL("Sum","Item Ledger Entry","Quantity","Entry Type","Purchase","Entry No.",I151,"Location Code","@@"&amp;$E$6)</t>
  </si>
  <si>
    <t>=NL("Sum","Item Ledger Entry","Quantity","Entry Type","Sale","Entry No.",I151,"Location Code","@@"&amp;$E$6)</t>
  </si>
  <si>
    <t>=NL("Sum","Item Ledger Entry","Quantity","Entry Type","Positive Adjmt.|Negative Adjmt.","Entry No.",I151,"Location Code","@@"&amp;$E$6)</t>
  </si>
  <si>
    <t>=NL("Sum","Item Ledger Entry","Quantity","Entry Type","Transfer","Entry No.",I151,"Location Code","@@"&amp;$E$6)</t>
  </si>
  <si>
    <t>=NL("Sum","Item Ledger Entry","Quantity","Entry Type","Consumption","Entry No.",I151,"Location Code","@@"&amp;$E$6)</t>
  </si>
  <si>
    <t>=NL("Sum","Item Ledger Entry","Quantity","Entry Type","Output","Entry No.",I151,"Location Code","@@"&amp;$E$6)</t>
  </si>
  <si>
    <t>=E55</t>
  </si>
  <si>
    <t>=NL("First","Item","Description","No.",$E55)</t>
  </si>
  <si>
    <t>=NL("First","Item","Base Unit of Measure","No.",$E55)</t>
  </si>
  <si>
    <t>=NL("Rows","Item Ledger Entry",,"+Posting Date",$L$5,"Item No.","@@"&amp;$D56,"Location Code","@@"&amp;$E$6)</t>
  </si>
  <si>
    <t>=E90</t>
  </si>
  <si>
    <t>=NL("First","Item","Description","No.",$E90)</t>
  </si>
  <si>
    <t>=NL("First","Item","Base Unit of Measure","No.",$E90)</t>
  </si>
  <si>
    <t>=(SUBTOTAL(9,O91:O92))</t>
  </si>
  <si>
    <t>=(SUBTOTAL(9,P91:P92))</t>
  </si>
  <si>
    <t>=(SUBTOTAL(9,Q91:Q92))</t>
  </si>
  <si>
    <t>=(SUBTOTAL(9,R91:R92))</t>
  </si>
  <si>
    <t>=(SUBTOTAL(9,S91:S92))</t>
  </si>
  <si>
    <t>=(SUBTOTAL(9,T91:T92))</t>
  </si>
  <si>
    <t>=SUBTOTAL(9,O91:T92)</t>
  </si>
  <si>
    <t>=NL("Rows","Item Ledger Entry",,"+Posting Date",$L$5,"Item No.","@@"&amp;$D91,"Location Code","@@"&amp;$E$6)</t>
  </si>
  <si>
    <t>=(SUBTOTAL(9,O184:O185))</t>
  </si>
  <si>
    <t>=(SUBTOTAL(9,P184:P185))</t>
  </si>
  <si>
    <t>=(SUBTOTAL(9,Q184:Q185))</t>
  </si>
  <si>
    <t>=(SUBTOTAL(9,R184:R185))</t>
  </si>
  <si>
    <t>=(SUBTOTAL(9,S184:S185))</t>
  </si>
  <si>
    <t>=(SUBTOTAL(9,T184:T185))</t>
  </si>
  <si>
    <t>=SUBTOTAL(9,O184:T185)</t>
  </si>
  <si>
    <t>=(SUBTOTAL(9,O188:O189))</t>
  </si>
  <si>
    <t>=(SUBTOTAL(9,P188:P189))</t>
  </si>
  <si>
    <t>=(SUBTOTAL(9,Q188:Q189))</t>
  </si>
  <si>
    <t>=(SUBTOTAL(9,R188:R189))</t>
  </si>
  <si>
    <t>=(SUBTOTAL(9,S188:S189))</t>
  </si>
  <si>
    <t>=(SUBTOTAL(9,T188:T189))</t>
  </si>
  <si>
    <t>=SUBTOTAL(9,O188:T189)</t>
  </si>
  <si>
    <t>=NL("Rows","Item Ledger Entry",,"+Posting Date",$L$5,"Item No.","@@"&amp;$D188,"Location Code","@@"&amp;$E$6)</t>
  </si>
  <si>
    <t>=(SUBTOTAL(9,O131:O135))</t>
  </si>
  <si>
    <t>=(SUBTOTAL(9,P131:P135))</t>
  </si>
  <si>
    <t>=(SUBTOTAL(9,Q131:Q135))</t>
  </si>
  <si>
    <t>=(SUBTOTAL(9,R131:R135))</t>
  </si>
  <si>
    <t>=(SUBTOTAL(9,S131:S135))</t>
  </si>
  <si>
    <t>=(SUBTOTAL(9,T131:T135))</t>
  </si>
  <si>
    <t>=SUBTOTAL(9,O131:T135)</t>
  </si>
  <si>
    <t>=(SUBTOTAL(9,O145:O147))</t>
  </si>
  <si>
    <t>=(SUBTOTAL(9,P145:P147))</t>
  </si>
  <si>
    <t>=(SUBTOTAL(9,Q145:Q147))</t>
  </si>
  <si>
    <t>=(SUBTOTAL(9,R145:R147))</t>
  </si>
  <si>
    <t>=(SUBTOTAL(9,S145:S147))</t>
  </si>
  <si>
    <t>=(SUBTOTAL(9,T145:T147))</t>
  </si>
  <si>
    <t>=SUBTOTAL(9,O145:T147)</t>
  </si>
  <si>
    <t>=E284</t>
  </si>
  <si>
    <t>=NL("First","Item","Description","No.",$E284)</t>
  </si>
  <si>
    <t>=NL("First","Item","Base Unit of Measure","No.",$E284)</t>
  </si>
  <si>
    <t>=NL("Rows","Item Ledger Entry",,"+Posting Date",$L$5,"Item No.","@@"&amp;$D285,"Location Code","@@"&amp;$E$6)</t>
  </si>
  <si>
    <t>=D298</t>
  </si>
  <si>
    <t>=IF($J299="Customer",NL("first",$J299,"Name","No.","@@"&amp;$K299),"")</t>
  </si>
  <si>
    <t>=IF(J299="vendor",NL("first",J299,"Name","No.","@@"&amp;K299),"")</t>
  </si>
  <si>
    <t>=IF($J299="Item",NL("first",$J299,"Description","No.","@@"&amp;$K299),"")</t>
  </si>
  <si>
    <t>=E310</t>
  </si>
  <si>
    <t>=NL("First","Item","Description","No.",$E310)</t>
  </si>
  <si>
    <t>=NL("First","Item","Base Unit of Measure","No.",$E310)</t>
  </si>
  <si>
    <t>=NL("Rows","Item Ledger Entry",,"+Posting Date",$L$5,"Item No.","@@"&amp;$D311,"Location Code","@@"&amp;$E$6)</t>
  </si>
  <si>
    <t>=(SUBTOTAL(9,O318:O319))</t>
  </si>
  <si>
    <t>=(SUBTOTAL(9,P318:P319))</t>
  </si>
  <si>
    <t>=(SUBTOTAL(9,Q318:Q319))</t>
  </si>
  <si>
    <t>=(SUBTOTAL(9,R318:R319))</t>
  </si>
  <si>
    <t>=(SUBTOTAL(9,S318:S319))</t>
  </si>
  <si>
    <t>=(SUBTOTAL(9,T318:T319))</t>
  </si>
  <si>
    <t>=SUBTOTAL(9,O318:T319)</t>
  </si>
  <si>
    <t>=E321</t>
  </si>
  <si>
    <t>=NL("First","Item","Description","No.",$E321)</t>
  </si>
  <si>
    <t>=NL("First","Item","Base Unit of Measure","No.",$E321)</t>
  </si>
  <si>
    <t>=NL("Rows","Item Ledger Entry",,"+Posting Date",$L$5,"Item No.","@@"&amp;$D322,"Location Code","@@"&amp;$E$6)</t>
  </si>
  <si>
    <t>=(SUBTOTAL(9,O370:O374))</t>
  </si>
  <si>
    <t>=(SUBTOTAL(9,P370:P374))</t>
  </si>
  <si>
    <t>=(SUBTOTAL(9,Q370:Q374))</t>
  </si>
  <si>
    <t>=(SUBTOTAL(9,R370:R374))</t>
  </si>
  <si>
    <t>=(SUBTOTAL(9,S370:S374))</t>
  </si>
  <si>
    <t>=(SUBTOTAL(9,T370:T374))</t>
  </si>
  <si>
    <t>=SUBTOTAL(9,O370:T374)</t>
  </si>
  <si>
    <t>=E376</t>
  </si>
  <si>
    <t>=NL("First","Item","Description","No.",$E376)</t>
  </si>
  <si>
    <t>=NL("First","Item","Base Unit of Measure","No.",$E376)</t>
  </si>
  <si>
    <t>=NL("Rows","Item Ledger Entry",,"+Posting Date",$L$5,"Item No.","@@"&amp;$D377,"Location Code","@@"&amp;$E$6)</t>
  </si>
  <si>
    <t>=E459</t>
  </si>
  <si>
    <t>=NL("First","Item","Description","No.",$E459)</t>
  </si>
  <si>
    <t>=NL("First","Item","Base Unit of Measure","No.",$E459)</t>
  </si>
  <si>
    <t>=(SUBTOTAL(9,O460:O462))</t>
  </si>
  <si>
    <t>=(SUBTOTAL(9,P460:P462))</t>
  </si>
  <si>
    <t>=(SUBTOTAL(9,Q460:Q462))</t>
  </si>
  <si>
    <t>=(SUBTOTAL(9,R460:R462))</t>
  </si>
  <si>
    <t>=(SUBTOTAL(9,S460:S462))</t>
  </si>
  <si>
    <t>=(SUBTOTAL(9,T460:T462))</t>
  </si>
  <si>
    <t>=SUBTOTAL(9,O460:T462)</t>
  </si>
  <si>
    <t>=NL("Rows","Item Ledger Entry",,"+Posting Date",$L$5,"Item No.","@@"&amp;$D460,"Location Code","@@"&amp;$E$6)</t>
  </si>
  <si>
    <t>=NL("Sum","Item Ledger Entry","Quantity","Entry Type","Purchase","Entry No.",I460,"Location Code","@@"&amp;$E$6)</t>
  </si>
  <si>
    <t>=NL("Sum","Item Ledger Entry","Quantity","Entry Type","Sale","Entry No.",I460,"Location Code","@@"&amp;$E$6)</t>
  </si>
  <si>
    <t>=NL("Sum","Item Ledger Entry","Quantity","Entry Type","Positive Adjmt.|Negative Adjmt.","Entry No.",I460,"Location Code","@@"&amp;$E$6)</t>
  </si>
  <si>
    <t>=NL("Sum","Item Ledger Entry","Quantity","Entry Type","Transfer","Entry No.",I460,"Location Code","@@"&amp;$E$6)</t>
  </si>
  <si>
    <t>=NL("Sum","Item Ledger Entry","Quantity","Entry Type","Consumption","Entry No.",I460,"Location Code","@@"&amp;$E$6)</t>
  </si>
  <si>
    <t>=NL("Sum","Item Ledger Entry","Quantity","Entry Type","Output","Entry No.",I460,"Location Code","@@"&amp;$E$6)</t>
  </si>
  <si>
    <t>=(SUBTOTAL(9,O465:O466))</t>
  </si>
  <si>
    <t>=(SUBTOTAL(9,P465:P466))</t>
  </si>
  <si>
    <t>=(SUBTOTAL(9,Q465:Q466))</t>
  </si>
  <si>
    <t>=(SUBTOTAL(9,R465:R466))</t>
  </si>
  <si>
    <t>=(SUBTOTAL(9,S465:S466))</t>
  </si>
  <si>
    <t>=(SUBTOTAL(9,T465:T466))</t>
  </si>
  <si>
    <t>=SUBTOTAL(9,O465:T466)</t>
  </si>
  <si>
    <t>=E468</t>
  </si>
  <si>
    <t>=NL("First","Item","Description","No.",$E468)</t>
  </si>
  <si>
    <t>=NL("First","Item","Base Unit of Measure","No.",$E468)</t>
  </si>
  <si>
    <t>=NL("Rows","Item Ledger Entry",,"+Posting Date",$L$5,"Item No.","@@"&amp;$D469,"Location Code","@@"&amp;$E$6)</t>
  </si>
  <si>
    <t>=E500</t>
  </si>
  <si>
    <t>=NL("First","Item","Description","No.",$E500)</t>
  </si>
  <si>
    <t>=NL("First","Item","Base Unit of Measure","No.",$E500)</t>
  </si>
  <si>
    <t>=NL("Rows","Item Ledger Entry",,"+Posting Date",$L$5,"Item No.","@@"&amp;$D501,"Location Code","@@"&amp;$E$6)</t>
  </si>
  <si>
    <t>=D514</t>
  </si>
  <si>
    <t>=IF($J515="Customer",NL("first",$J515,"Name","No.","@@"&amp;$K515),"")</t>
  </si>
  <si>
    <t>=IF(J515="vendor",NL("first",J515,"Name","No.","@@"&amp;K515),"")</t>
  </si>
  <si>
    <t>=IF($J515="Item",NL("first",$J515,"Description","No.","@@"&amp;$K515),"")</t>
  </si>
  <si>
    <t>=E541</t>
  </si>
  <si>
    <t>=NL("First","Item","Description","No.",$E541)</t>
  </si>
  <si>
    <t>=NL("First","Item","Base Unit of Measure","No.",$E541)</t>
  </si>
  <si>
    <t>=NL("Rows","Item Ledger Entry",,"+Posting Date",$L$5,"Item No.","@@"&amp;$D542,"Location Code","@@"&amp;$E$6)</t>
  </si>
  <si>
    <t>=D552</t>
  </si>
  <si>
    <t>=IF($J553="Customer",NL("first",$J553,"Name","No.","@@"&amp;$K553),"")</t>
  </si>
  <si>
    <t>=IF(J553="vendor",NL("first",J553,"Name","No.","@@"&amp;K553),"")</t>
  </si>
  <si>
    <t>=IF($J553="Item",NL("first",$J553,"Description","No.","@@"&amp;$K553),"")</t>
  </si>
  <si>
    <t>=D563</t>
  </si>
  <si>
    <t>=IF($J564="Customer",NL("first",$J564,"Name","No.","@@"&amp;$K564),"")</t>
  </si>
  <si>
    <t>=IF(J564="vendor",NL("first",J564,"Name","No.","@@"&amp;K564),"")</t>
  </si>
  <si>
    <t>=IF($J564="Item",NL("first",$J564,"Description","No.","@@"&amp;$K564),"")</t>
  </si>
  <si>
    <t>=E573</t>
  </si>
  <si>
    <t>=NL("First","Item","Description","No.",$E573)</t>
  </si>
  <si>
    <t>=NL("First","Item","Base Unit of Measure","No.",$E573)</t>
  </si>
  <si>
    <t>=NL("Rows","Item Ledger Entry",,"+Posting Date",$L$5,"Item No.","@@"&amp;$D574,"Location Code","@@"&amp;$E$6)</t>
  </si>
  <si>
    <t>=D577</t>
  </si>
  <si>
    <t>=IF($J578="Customer",NL("first",$J578,"Name","No.","@@"&amp;$K578),"")</t>
  </si>
  <si>
    <t>=IF(J578="vendor",NL("first",J578,"Name","No.","@@"&amp;K578),"")</t>
  </si>
  <si>
    <t>=IF($J578="Item",NL("first",$J578,"Description","No.","@@"&amp;$K578),"")</t>
  </si>
  <si>
    <t>=NF($G578,"Posting Date")</t>
  </si>
  <si>
    <t>=NF($G578,"Entry No.")</t>
  </si>
  <si>
    <t>=NL("Sum","Item Ledger Entry","Quantity","Entry Type","Purchase","Entry No.",I574,"Location Code","@@"&amp;$E$6)</t>
  </si>
  <si>
    <t>=NL("Sum","Item Ledger Entry","Quantity","Entry Type","Purchase","Entry No.",I578,"Location Code","@@"&amp;$E$6)</t>
  </si>
  <si>
    <t>=NL("Sum","Item Ledger Entry","Quantity","Entry Type","Sale","Entry No.",I574,"Location Code","@@"&amp;$E$6)</t>
  </si>
  <si>
    <t>=NL("Sum","Item Ledger Entry","Quantity","Entry Type","Sale","Entry No.",I578,"Location Code","@@"&amp;$E$6)</t>
  </si>
  <si>
    <t>=NL("Sum","Item Ledger Entry","Quantity","Entry Type","Positive Adjmt.|Negative Adjmt.","Entry No.",I574,"Location Code","@@"&amp;$E$6)</t>
  </si>
  <si>
    <t>=NL("Sum","Item Ledger Entry","Quantity","Entry Type","Positive Adjmt.|Negative Adjmt.","Entry No.",I578,"Location Code","@@"&amp;$E$6)</t>
  </si>
  <si>
    <t>=NL("Sum","Item Ledger Entry","Quantity","Entry Type","Transfer","Entry No.",I574,"Location Code","@@"&amp;$E$6)</t>
  </si>
  <si>
    <t>=NL("Sum","Item Ledger Entry","Quantity","Entry Type","Transfer","Entry No.",I578,"Location Code","@@"&amp;$E$6)</t>
  </si>
  <si>
    <t>=NL("Sum","Item Ledger Entry","Quantity","Entry Type","Consumption","Entry No.",I574,"Location Code","@@"&amp;$E$6)</t>
  </si>
  <si>
    <t>=NL("Sum","Item Ledger Entry","Quantity","Entry Type","Consumption","Entry No.",I578,"Location Code","@@"&amp;$E$6)</t>
  </si>
  <si>
    <t>=NL("Sum","Item Ledger Entry","Quantity","Entry Type","Output","Entry No.",I574,"Location Code","@@"&amp;$E$6)</t>
  </si>
  <si>
    <t>=NL("Sum","Item Ledger Entry","Quantity","Entry Type","Output","Entry No.",I578,"Location Code","@@"&amp;$E$6)</t>
  </si>
  <si>
    <t>=NF(G578,"Source Type")</t>
  </si>
  <si>
    <t>=NF($G578,"Source No.")</t>
  </si>
  <si>
    <t>=NL("Sum","Item Ledger Entry","Quantity","Entry Type","Purchase","Entry No.",I570,"Location Code","@@"&amp;$E$6)</t>
  </si>
  <si>
    <t>=NL("Sum","Item Ledger Entry","Quantity","Entry Type","Sale","Entry No.",I570,"Location Code","@@"&amp;$E$6)</t>
  </si>
  <si>
    <t>=NL("Sum","Item Ledger Entry","Quantity","Entry Type","Positive Adjmt.|Negative Adjmt.","Entry No.",I570,"Location Code","@@"&amp;$E$6)</t>
  </si>
  <si>
    <t>=NL("Sum","Item Ledger Entry","Quantity","Entry Type","Transfer","Entry No.",I570,"Location Code","@@"&amp;$E$6)</t>
  </si>
  <si>
    <t>=NL("Sum","Item Ledger Entry","Quantity","Entry Type","Consumption","Entry No.",I570,"Location Code","@@"&amp;$E$6)</t>
  </si>
  <si>
    <t>=NL("Sum","Item Ledger Entry","Quantity","Entry Type","Output","Entry No.",I570,"Location Code","@@"&amp;$E$6)</t>
  </si>
  <si>
    <t>=NF($G564,"Posting Date")</t>
  </si>
  <si>
    <t>=NF($G564,"Entry No.")</t>
  </si>
  <si>
    <t>=NL("Sum","Item Ledger Entry","Quantity","Entry Type","Purchase","Entry No.",I562,"Location Code","@@"&amp;$E$6)</t>
  </si>
  <si>
    <t>=NL("Sum","Item Ledger Entry","Quantity","Entry Type","Sale","Entry No.",I562,"Location Code","@@"&amp;$E$6)</t>
  </si>
  <si>
    <t>=NL("Sum","Item Ledger Entry","Quantity","Entry Type","Positive Adjmt.|Negative Adjmt.","Entry No.",I562,"Location Code","@@"&amp;$E$6)</t>
  </si>
  <si>
    <t>=NL("Sum","Item Ledger Entry","Quantity","Entry Type","Transfer","Entry No.",I562,"Location Code","@@"&amp;$E$6)</t>
  </si>
  <si>
    <t>=NL("Sum","Item Ledger Entry","Quantity","Entry Type","Consumption","Entry No.",I562,"Location Code","@@"&amp;$E$6)</t>
  </si>
  <si>
    <t>=NL("Sum","Item Ledger Entry","Quantity","Entry Type","Output","Entry No.",I562,"Location Code","@@"&amp;$E$6)</t>
  </si>
  <si>
    <t>=NF(G564,"Source Type")</t>
  </si>
  <si>
    <t>=NF($G564,"Source No.")</t>
  </si>
  <si>
    <t>=NF($G553,"Posting Date")</t>
  </si>
  <si>
    <t>=NF($G553,"Entry No.")</t>
  </si>
  <si>
    <t>=NL("Sum","Item Ledger Entry","Quantity","Entry Type","Purchase","Entry No.",I554,"Location Code","@@"&amp;$E$6)</t>
  </si>
  <si>
    <t>=NL("Sum","Item Ledger Entry","Quantity","Entry Type","Sale","Entry No.",I554,"Location Code","@@"&amp;$E$6)</t>
  </si>
  <si>
    <t>=NL("Sum","Item Ledger Entry","Quantity","Entry Type","Positive Adjmt.|Negative Adjmt.","Entry No.",I554,"Location Code","@@"&amp;$E$6)</t>
  </si>
  <si>
    <t>=NL("Sum","Item Ledger Entry","Quantity","Entry Type","Transfer","Entry No.",I554,"Location Code","@@"&amp;$E$6)</t>
  </si>
  <si>
    <t>=NL("Sum","Item Ledger Entry","Quantity","Entry Type","Consumption","Entry No.",I554,"Location Code","@@"&amp;$E$6)</t>
  </si>
  <si>
    <t>=NL("Sum","Item Ledger Entry","Quantity","Entry Type","Output","Entry No.",I554,"Location Code","@@"&amp;$E$6)</t>
  </si>
  <si>
    <t>=NF(G553,"Source Type")</t>
  </si>
  <si>
    <t>=NF($G553,"Source No.")</t>
  </si>
  <si>
    <t>=NL("Sum","Item Ledger Entry","Quantity","Entry Type","Purchase","Entry No.",I537,"Location Code","@@"&amp;$E$6)</t>
  </si>
  <si>
    <t>=NL("Sum","Item Ledger Entry","Quantity","Entry Type","Purchase","Entry No.",I538,"Location Code","@@"&amp;$E$6)</t>
  </si>
  <si>
    <t>=NL("Sum","Item Ledger Entry","Quantity","Entry Type","Sale","Entry No.",I537,"Location Code","@@"&amp;$E$6)</t>
  </si>
  <si>
    <t>=NL("Sum","Item Ledger Entry","Quantity","Entry Type","Sale","Entry No.",I538,"Location Code","@@"&amp;$E$6)</t>
  </si>
  <si>
    <t>=NL("Sum","Item Ledger Entry","Quantity","Entry Type","Positive Adjmt.|Negative Adjmt.","Entry No.",I537,"Location Code","@@"&amp;$E$6)</t>
  </si>
  <si>
    <t>=NL("Sum","Item Ledger Entry","Quantity","Entry Type","Positive Adjmt.|Negative Adjmt.","Entry No.",I538,"Location Code","@@"&amp;$E$6)</t>
  </si>
  <si>
    <t>=NL("Sum","Item Ledger Entry","Quantity","Entry Type","Transfer","Entry No.",I537,"Location Code","@@"&amp;$E$6)</t>
  </si>
  <si>
    <t>=NL("Sum","Item Ledger Entry","Quantity","Entry Type","Transfer","Entry No.",I538,"Location Code","@@"&amp;$E$6)</t>
  </si>
  <si>
    <t>=NL("Sum","Item Ledger Entry","Quantity","Entry Type","Consumption","Entry No.",I537,"Location Code","@@"&amp;$E$6)</t>
  </si>
  <si>
    <t>=NL("Sum","Item Ledger Entry","Quantity","Entry Type","Consumption","Entry No.",I538,"Location Code","@@"&amp;$E$6)</t>
  </si>
  <si>
    <t>=NL("Sum","Item Ledger Entry","Quantity","Entry Type","Output","Entry No.",I537,"Location Code","@@"&amp;$E$6)</t>
  </si>
  <si>
    <t>=NL("Sum","Item Ledger Entry","Quantity","Entry Type","Output","Entry No.",I538,"Location Code","@@"&amp;$E$6)</t>
  </si>
  <si>
    <t>=NF($G515,"Posting Date")</t>
  </si>
  <si>
    <t>=NF($G515,"Entry No.")</t>
  </si>
  <si>
    <t>=NL("Sum","Item Ledger Entry","Quantity","Entry Type","Purchase","Entry No.",I515,"Location Code","@@"&amp;$E$6)</t>
  </si>
  <si>
    <t>=NL("Sum","Item Ledger Entry","Quantity","Entry Type","Sale","Entry No.",I515,"Location Code","@@"&amp;$E$6)</t>
  </si>
  <si>
    <t>=NL("Sum","Item Ledger Entry","Quantity","Entry Type","Positive Adjmt.|Negative Adjmt.","Entry No.",I515,"Location Code","@@"&amp;$E$6)</t>
  </si>
  <si>
    <t>=NL("Sum","Item Ledger Entry","Quantity","Entry Type","Transfer","Entry No.",I515,"Location Code","@@"&amp;$E$6)</t>
  </si>
  <si>
    <t>=NL("Sum","Item Ledger Entry","Quantity","Entry Type","Consumption","Entry No.",I515,"Location Code","@@"&amp;$E$6)</t>
  </si>
  <si>
    <t>=NL("Sum","Item Ledger Entry","Quantity","Entry Type","Output","Entry No.",I515,"Location Code","@@"&amp;$E$6)</t>
  </si>
  <si>
    <t>=NF(G515,"Source Type")</t>
  </si>
  <si>
    <t>=NF($G515,"Source No.")</t>
  </si>
  <si>
    <t>=NL("Sum","Item Ledger Entry","Quantity","Entry Type","Purchase","Entry No.",I501,"Location Code","@@"&amp;$E$6)</t>
  </si>
  <si>
    <t>=NL("Sum","Item Ledger Entry","Quantity","Entry Type","Sale","Entry No.",I501,"Location Code","@@"&amp;$E$6)</t>
  </si>
  <si>
    <t>=NL("Sum","Item Ledger Entry","Quantity","Entry Type","Positive Adjmt.|Negative Adjmt.","Entry No.",I501,"Location Code","@@"&amp;$E$6)</t>
  </si>
  <si>
    <t>=NL("Sum","Item Ledger Entry","Quantity","Entry Type","Transfer","Entry No.",I501,"Location Code","@@"&amp;$E$6)</t>
  </si>
  <si>
    <t>=NL("Sum","Item Ledger Entry","Quantity","Entry Type","Consumption","Entry No.",I501,"Location Code","@@"&amp;$E$6)</t>
  </si>
  <si>
    <t>=NL("Sum","Item Ledger Entry","Quantity","Entry Type","Output","Entry No.",I501,"Location Code","@@"&amp;$E$6)</t>
  </si>
  <si>
    <t>=NL("Sum","Item Ledger Entry","Quantity","Entry Type","Purchase","Entry No.",I497,"Location Code","@@"&amp;$E$6)</t>
  </si>
  <si>
    <t>=NL("Sum","Item Ledger Entry","Quantity","Entry Type","Sale","Entry No.",I497,"Location Code","@@"&amp;$E$6)</t>
  </si>
  <si>
    <t>=NL("Sum","Item Ledger Entry","Quantity","Entry Type","Positive Adjmt.|Negative Adjmt.","Entry No.",I497,"Location Code","@@"&amp;$E$6)</t>
  </si>
  <si>
    <t>=NL("Sum","Item Ledger Entry","Quantity","Entry Type","Transfer","Entry No.",I497,"Location Code","@@"&amp;$E$6)</t>
  </si>
  <si>
    <t>=NL("Sum","Item Ledger Entry","Quantity","Entry Type","Consumption","Entry No.",I497,"Location Code","@@"&amp;$E$6)</t>
  </si>
  <si>
    <t>=NL("Sum","Item Ledger Entry","Quantity","Entry Type","Output","Entry No.",I497,"Location Code","@@"&amp;$E$6)</t>
  </si>
  <si>
    <t>=NL("Sum","Item Ledger Entry","Quantity","Entry Type","Purchase","Entry No.",I469,"Location Code","@@"&amp;$E$6)</t>
  </si>
  <si>
    <t>=NL("Sum","Item Ledger Entry","Quantity","Entry Type","Purchase","Entry No.",I470,"Location Code","@@"&amp;$E$6)</t>
  </si>
  <si>
    <t>=NL("Sum","Item Ledger Entry","Quantity","Entry Type","Sale","Entry No.",I469,"Location Code","@@"&amp;$E$6)</t>
  </si>
  <si>
    <t>=NL("Sum","Item Ledger Entry","Quantity","Entry Type","Sale","Entry No.",I470,"Location Code","@@"&amp;$E$6)</t>
  </si>
  <si>
    <t>=NL("Sum","Item Ledger Entry","Quantity","Entry Type","Positive Adjmt.|Negative Adjmt.","Entry No.",I469,"Location Code","@@"&amp;$E$6)</t>
  </si>
  <si>
    <t>=NL("Sum","Item Ledger Entry","Quantity","Entry Type","Positive Adjmt.|Negative Adjmt.","Entry No.",I470,"Location Code","@@"&amp;$E$6)</t>
  </si>
  <si>
    <t>=NL("Sum","Item Ledger Entry","Quantity","Entry Type","Transfer","Entry No.",I469,"Location Code","@@"&amp;$E$6)</t>
  </si>
  <si>
    <t>=NL("Sum","Item Ledger Entry","Quantity","Entry Type","Transfer","Entry No.",I470,"Location Code","@@"&amp;$E$6)</t>
  </si>
  <si>
    <t>=NL("Sum","Item Ledger Entry","Quantity","Entry Type","Consumption","Entry No.",I469,"Location Code","@@"&amp;$E$6)</t>
  </si>
  <si>
    <t>=NL("Sum","Item Ledger Entry","Quantity","Entry Type","Consumption","Entry No.",I470,"Location Code","@@"&amp;$E$6)</t>
  </si>
  <si>
    <t>=NL("Sum","Item Ledger Entry","Quantity","Entry Type","Output","Entry No.",I469,"Location Code","@@"&amp;$E$6)</t>
  </si>
  <si>
    <t>=NL("Sum","Item Ledger Entry","Quantity","Entry Type","Output","Entry No.",I470,"Location Code","@@"&amp;$E$6)</t>
  </si>
  <si>
    <t>=NL("Sum","Item Ledger Entry","Quantity","Entry Type","Purchase","Entry No.",I373,"Location Code","@@"&amp;$E$6)</t>
  </si>
  <si>
    <t>=NL("Sum","Item Ledger Entry","Quantity","Entry Type","Sale","Entry No.",I373,"Location Code","@@"&amp;$E$6)</t>
  </si>
  <si>
    <t>=NL("Sum","Item Ledger Entry","Quantity","Entry Type","Positive Adjmt.|Negative Adjmt.","Entry No.",I373,"Location Code","@@"&amp;$E$6)</t>
  </si>
  <si>
    <t>=NL("Sum","Item Ledger Entry","Quantity","Entry Type","Transfer","Entry No.",I373,"Location Code","@@"&amp;$E$6)</t>
  </si>
  <si>
    <t>=NL("Sum","Item Ledger Entry","Quantity","Entry Type","Consumption","Entry No.",I373,"Location Code","@@"&amp;$E$6)</t>
  </si>
  <si>
    <t>=NL("Sum","Item Ledger Entry","Quantity","Entry Type","Output","Entry No.",I373,"Location Code","@@"&amp;$E$6)</t>
  </si>
  <si>
    <t>=NL("Sum","Item Ledger Entry","Quantity","Entry Type","Purchase","Entry No.",I350,"Location Code","@@"&amp;$E$6)</t>
  </si>
  <si>
    <t>=NL("Sum","Item Ledger Entry","Quantity","Entry Type","Sale","Entry No.",I350,"Location Code","@@"&amp;$E$6)</t>
  </si>
  <si>
    <t>=NL("Sum","Item Ledger Entry","Quantity","Entry Type","Positive Adjmt.|Negative Adjmt.","Entry No.",I350,"Location Code","@@"&amp;$E$6)</t>
  </si>
  <si>
    <t>=NL("Sum","Item Ledger Entry","Quantity","Entry Type","Transfer","Entry No.",I350,"Location Code","@@"&amp;$E$6)</t>
  </si>
  <si>
    <t>=NL("Sum","Item Ledger Entry","Quantity","Entry Type","Consumption","Entry No.",I350,"Location Code","@@"&amp;$E$6)</t>
  </si>
  <si>
    <t>=NL("Sum","Item Ledger Entry","Quantity","Entry Type","Output","Entry No.",I350,"Location Code","@@"&amp;$E$6)</t>
  </si>
  <si>
    <t>=NL("Sum","Item Ledger Entry","Quantity","Entry Type","Purchase","Entry No.",I327,"Location Code","@@"&amp;$E$6)</t>
  </si>
  <si>
    <t>=NL("Sum","Item Ledger Entry","Quantity","Entry Type","Sale","Entry No.",I327,"Location Code","@@"&amp;$E$6)</t>
  </si>
  <si>
    <t>=NL("Sum","Item Ledger Entry","Quantity","Entry Type","Positive Adjmt.|Negative Adjmt.","Entry No.",I327,"Location Code","@@"&amp;$E$6)</t>
  </si>
  <si>
    <t>=NL("Sum","Item Ledger Entry","Quantity","Entry Type","Transfer","Entry No.",I327,"Location Code","@@"&amp;$E$6)</t>
  </si>
  <si>
    <t>=NL("Sum","Item Ledger Entry","Quantity","Entry Type","Consumption","Entry No.",I327,"Location Code","@@"&amp;$E$6)</t>
  </si>
  <si>
    <t>=NL("Sum","Item Ledger Entry","Quantity","Entry Type","Output","Entry No.",I327,"Location Code","@@"&amp;$E$6)</t>
  </si>
  <si>
    <t>=NF($G299,"Posting Date")</t>
  </si>
  <si>
    <t>=NF($G299,"Entry No.")</t>
  </si>
  <si>
    <t>=NL("Sum","Item Ledger Entry","Quantity","Entry Type","Purchase","Entry No.",I299,"Location Code","@@"&amp;$E$6)</t>
  </si>
  <si>
    <t>=NL("Sum","Item Ledger Entry","Quantity","Entry Type","Sale","Entry No.",I299,"Location Code","@@"&amp;$E$6)</t>
  </si>
  <si>
    <t>=NL("Sum","Item Ledger Entry","Quantity","Entry Type","Positive Adjmt.|Negative Adjmt.","Entry No.",I299,"Location Code","@@"&amp;$E$6)</t>
  </si>
  <si>
    <t>=NL("Sum","Item Ledger Entry","Quantity","Entry Type","Transfer","Entry No.",I299,"Location Code","@@"&amp;$E$6)</t>
  </si>
  <si>
    <t>=NL("Sum","Item Ledger Entry","Quantity","Entry Type","Consumption","Entry No.",I299,"Location Code","@@"&amp;$E$6)</t>
  </si>
  <si>
    <t>=NL("Sum","Item Ledger Entry","Quantity","Entry Type","Output","Entry No.",I299,"Location Code","@@"&amp;$E$6)</t>
  </si>
  <si>
    <t>=NF(G299,"Source Type")</t>
  </si>
  <si>
    <t>=NF($G299,"Source No.")</t>
  </si>
  <si>
    <t>=E70</t>
  </si>
  <si>
    <t>=NL("First","Item","Description","No.",$E70)</t>
  </si>
  <si>
    <t>=NL("First","Item","Base Unit of Measure","No.",$E70)</t>
  </si>
  <si>
    <t>=NL("Rows","Item Ledger Entry",,"+Posting Date",$L$5,"Item No.","@@"&amp;$D71,"Location Code","@@"&amp;$E$6)</t>
  </si>
  <si>
    <t>=(SUBTOTAL(9,O85:O88))</t>
  </si>
  <si>
    <t>=(SUBTOTAL(9,P85:P88))</t>
  </si>
  <si>
    <t>=(SUBTOTAL(9,Q85:Q88))</t>
  </si>
  <si>
    <t>=(SUBTOTAL(9,R85:R88))</t>
  </si>
  <si>
    <t>=(SUBTOTAL(9,S85:S88))</t>
  </si>
  <si>
    <t>=(SUBTOTAL(9,T85:T88))</t>
  </si>
  <si>
    <t>=SUBTOTAL(9,O85:T88)</t>
  </si>
  <si>
    <t>=(SUBTOTAL(9,O91:O94))</t>
  </si>
  <si>
    <t>=(SUBTOTAL(9,P91:P94))</t>
  </si>
  <si>
    <t>=(SUBTOTAL(9,Q91:Q94))</t>
  </si>
  <si>
    <t>=(SUBTOTAL(9,R91:R94))</t>
  </si>
  <si>
    <t>=(SUBTOTAL(9,S91:S94))</t>
  </si>
  <si>
    <t>=(SUBTOTAL(9,T91:T94))</t>
  </si>
  <si>
    <t>=SUBTOTAL(9,O91:T94)</t>
  </si>
  <si>
    <t>=(SUBTOTAL(9,O113:O116))</t>
  </si>
  <si>
    <t>=(SUBTOTAL(9,P113:P116))</t>
  </si>
  <si>
    <t>=(SUBTOTAL(9,Q113:Q116))</t>
  </si>
  <si>
    <t>=(SUBTOTAL(9,R113:R116))</t>
  </si>
  <si>
    <t>=(SUBTOTAL(9,S113:S116))</t>
  </si>
  <si>
    <t>=(SUBTOTAL(9,T113:T116))</t>
  </si>
  <si>
    <t>=SUBTOTAL(9,O113:T116)</t>
  </si>
  <si>
    <t>=E118</t>
  </si>
  <si>
    <t>=NL("First","Item","Description","No.",$E118)</t>
  </si>
  <si>
    <t>=NL("First","Item","Base Unit of Measure","No.",$E118)</t>
  </si>
  <si>
    <t>=NL("Rows","Item Ledger Entry",,"+Posting Date",$L$5,"Item No.","@@"&amp;$D119,"Location Code","@@"&amp;$E$6)</t>
  </si>
  <si>
    <t>=E280</t>
  </si>
  <si>
    <t>=NL("First","Item","Description","No.",$E280)</t>
  </si>
  <si>
    <t>=NL("First","Item","Base Unit of Measure","No.",$E280)</t>
  </si>
  <si>
    <t>=(SUBTOTAL(9,O281:O282))</t>
  </si>
  <si>
    <t>=(SUBTOTAL(9,P281:P282))</t>
  </si>
  <si>
    <t>=(SUBTOTAL(9,Q281:Q282))</t>
  </si>
  <si>
    <t>=(SUBTOTAL(9,R281:R282))</t>
  </si>
  <si>
    <t>=(SUBTOTAL(9,S281:S282))</t>
  </si>
  <si>
    <t>=(SUBTOTAL(9,T281:T282))</t>
  </si>
  <si>
    <t>=SUBTOTAL(9,O281:T282)</t>
  </si>
  <si>
    <t>=NL("Rows","Item Ledger Entry",,"+Posting Date",$L$5,"Item No.","@@"&amp;$D281,"Location Code","@@"&amp;$E$6)</t>
  </si>
  <si>
    <t>=NL("Rows","Item Ledger Entry",,"+Posting Date",$L$5,"Item No.","@@"&amp;$D439,"Location Code","@@"&amp;$E$6)</t>
  </si>
  <si>
    <t>=(SUBTOTAL(9,O496:O498))</t>
  </si>
  <si>
    <t>=(SUBTOTAL(9,P496:P498))</t>
  </si>
  <si>
    <t>=(SUBTOTAL(9,Q496:Q498))</t>
  </si>
  <si>
    <t>=(SUBTOTAL(9,R496:R498))</t>
  </si>
  <si>
    <t>=(SUBTOTAL(9,S496:S498))</t>
  </si>
  <si>
    <t>=(SUBTOTAL(9,T496:T498))</t>
  </si>
  <si>
    <t>=SUBTOTAL(9,O496:T498)</t>
  </si>
  <si>
    <t>=(SUBTOTAL(9,O501:O502))</t>
  </si>
  <si>
    <t>=(SUBTOTAL(9,P501:P502))</t>
  </si>
  <si>
    <t>=(SUBTOTAL(9,Q501:Q502))</t>
  </si>
  <si>
    <t>=(SUBTOTAL(9,R501:R502))</t>
  </si>
  <si>
    <t>=(SUBTOTAL(9,S501:S502))</t>
  </si>
  <si>
    <t>=(SUBTOTAL(9,T501:T502))</t>
  </si>
  <si>
    <t>=SUBTOTAL(9,O501:T502)</t>
  </si>
  <si>
    <t>=E504</t>
  </si>
  <si>
    <t>=NL("First","Item","Description","No.",$E504)</t>
  </si>
  <si>
    <t>=NL("First","Item","Base Unit of Measure","No.",$E504)</t>
  </si>
  <si>
    <t>=(SUBTOTAL(9,O505:O507))</t>
  </si>
  <si>
    <t>=(SUBTOTAL(9,P505:P507))</t>
  </si>
  <si>
    <t>=(SUBTOTAL(9,Q505:Q507))</t>
  </si>
  <si>
    <t>=(SUBTOTAL(9,R505:R507))</t>
  </si>
  <si>
    <t>=(SUBTOTAL(9,S505:S507))</t>
  </si>
  <si>
    <t>=(SUBTOTAL(9,T505:T507))</t>
  </si>
  <si>
    <t>=SUBTOTAL(9,O505:T507)</t>
  </si>
  <si>
    <t>=NL("Rows","Item Ledger Entry",,"+Posting Date",$L$5,"Item No.","@@"&amp;$D505,"Location Code","@@"&amp;$E$6)</t>
  </si>
  <si>
    <t>=E524</t>
  </si>
  <si>
    <t>=NL("First","Item","Description","No.",$E524)</t>
  </si>
  <si>
    <t>=NL("First","Item","Base Unit of Measure","No.",$E524)</t>
  </si>
  <si>
    <t>=NL("Rows","Item Ledger Entry",,"+Posting Date",$L$5,"Item No.","@@"&amp;$D525,"Location Code","@@"&amp;$E$6)</t>
  </si>
  <si>
    <t>=NL("Sum","Item Ledger Entry","Quantity","Entry Type","Purchase","Entry No.",I533,"Location Code","@@"&amp;$E$6)</t>
  </si>
  <si>
    <t>=NL("Sum","Item Ledger Entry","Quantity","Entry Type","Sale","Entry No.",I533,"Location Code","@@"&amp;$E$6)</t>
  </si>
  <si>
    <t>=NL("Sum","Item Ledger Entry","Quantity","Entry Type","Positive Adjmt.|Negative Adjmt.","Entry No.",I533,"Location Code","@@"&amp;$E$6)</t>
  </si>
  <si>
    <t>=NL("Sum","Item Ledger Entry","Quantity","Entry Type","Transfer","Entry No.",I533,"Location Code","@@"&amp;$E$6)</t>
  </si>
  <si>
    <t>=NL("Sum","Item Ledger Entry","Quantity","Entry Type","Consumption","Entry No.",I533,"Location Code","@@"&amp;$E$6)</t>
  </si>
  <si>
    <t>=NL("Sum","Item Ledger Entry","Quantity","Entry Type","Output","Entry No.",I533,"Location Code","@@"&amp;$E$6)</t>
  </si>
  <si>
    <t>=E563</t>
  </si>
  <si>
    <t>=NL("First","Item","Description","No.",$E563)</t>
  </si>
  <si>
    <t>=NL("First","Item","Base Unit of Measure","No.",$E563)</t>
  </si>
  <si>
    <t>=E576</t>
  </si>
  <si>
    <t>=NL("First","Item","Description","No.",$E576)</t>
  </si>
  <si>
    <t>=NL("First","Item","Base Unit of Measure","No.",$E576)</t>
  </si>
  <si>
    <t>=E613</t>
  </si>
  <si>
    <t>=NL("First","Item","Description","No.",$E613)</t>
  </si>
  <si>
    <t>=NL("First","Item","Base Unit of Measure","No.",$E613)</t>
  </si>
  <si>
    <t>=D627</t>
  </si>
  <si>
    <t>=IF($J628="Customer",NL("first",$J628,"Name","No.","@@"&amp;$K628),"")</t>
  </si>
  <si>
    <t>=IF(J628="vendor",NL("first",J628,"Name","No.","@@"&amp;K628),"")</t>
  </si>
  <si>
    <t>=IF($J628="Item",NL("first",$J628,"Description","No.","@@"&amp;$K628),"")</t>
  </si>
  <si>
    <t>=E659</t>
  </si>
  <si>
    <t>=NL("First","Item","Description","No.",$E659)</t>
  </si>
  <si>
    <t>=NL("First","Item","Base Unit of Measure","No.",$E659)</t>
  </si>
  <si>
    <t>=D681</t>
  </si>
  <si>
    <t>=IF($J682="Customer",NL("first",$J682,"Name","No.","@@"&amp;$K682),"")</t>
  </si>
  <si>
    <t>=IF(J682="vendor",NL("first",J682,"Name","No.","@@"&amp;K682),"")</t>
  </si>
  <si>
    <t>=IF($J682="Item",NL("first",$J682,"Description","No.","@@"&amp;$K682),"")</t>
  </si>
  <si>
    <t>=E689</t>
  </si>
  <si>
    <t>=NL("First","Item","Description","No.",$E689)</t>
  </si>
  <si>
    <t>=NL("First","Item","Base Unit of Measure","No.",$E689)</t>
  </si>
  <si>
    <t>=E710</t>
  </si>
  <si>
    <t>=NL("First","Item","Description","No.",$E710)</t>
  </si>
  <si>
    <t>=NL("First","Item","Base Unit of Measure","No.",$E710)</t>
  </si>
  <si>
    <t>=NF($G682,"Posting Date")</t>
  </si>
  <si>
    <t>=NF($G682,"Entry No.")</t>
  </si>
  <si>
    <t>=NF(G682,"Source Type")</t>
  </si>
  <si>
    <t>=NF($G682,"Source No.")</t>
  </si>
  <si>
    <t>=NF($G628,"Posting Date")</t>
  </si>
  <si>
    <t>=NF($G628,"Entry No.")</t>
  </si>
  <si>
    <t>=NF(G628,"Source Type")</t>
  </si>
  <si>
    <t>=NF($G628,"Source No.")</t>
  </si>
  <si>
    <t>=NL("Sum","Item Ledger Entry","Quantity","Entry Type","Purchase","Entry No.",I550,"Location Code","@@"&amp;$E$6)</t>
  </si>
  <si>
    <t>=NL("Sum","Item Ledger Entry","Quantity","Entry Type","Sale","Entry No.",I550,"Location Code","@@"&amp;$E$6)</t>
  </si>
  <si>
    <t>=NL("Sum","Item Ledger Entry","Quantity","Entry Type","Positive Adjmt.|Negative Adjmt.","Entry No.",I550,"Location Code","@@"&amp;$E$6)</t>
  </si>
  <si>
    <t>=NL("Sum","Item Ledger Entry","Quantity","Entry Type","Transfer","Entry No.",I550,"Location Code","@@"&amp;$E$6)</t>
  </si>
  <si>
    <t>=NL("Sum","Item Ledger Entry","Quantity","Entry Type","Consumption","Entry No.",I550,"Location Code","@@"&amp;$E$6)</t>
  </si>
  <si>
    <t>=NL("Sum","Item Ledger Entry","Quantity","Entry Type","Output","Entry No.",I550,"Location Code","@@"&amp;$E$6)</t>
  </si>
  <si>
    <t>=NL("Sum","Item Ledger Entry","Quantity","Entry Type","Purchase","Entry No.",I525,"Location Code","@@"&amp;$E$6)</t>
  </si>
  <si>
    <t>=NL("Sum","Item Ledger Entry","Quantity","Entry Type","Purchase","Entry No.",I526,"Location Code","@@"&amp;$E$6)</t>
  </si>
  <si>
    <t>=NL("Sum","Item Ledger Entry","Quantity","Entry Type","Sale","Entry No.",I525,"Location Code","@@"&amp;$E$6)</t>
  </si>
  <si>
    <t>=NL("Sum","Item Ledger Entry","Quantity","Entry Type","Sale","Entry No.",I526,"Location Code","@@"&amp;$E$6)</t>
  </si>
  <si>
    <t>=NL("Sum","Item Ledger Entry","Quantity","Entry Type","Positive Adjmt.|Negative Adjmt.","Entry No.",I525,"Location Code","@@"&amp;$E$6)</t>
  </si>
  <si>
    <t>=NL("Sum","Item Ledger Entry","Quantity","Entry Type","Positive Adjmt.|Negative Adjmt.","Entry No.",I526,"Location Code","@@"&amp;$E$6)</t>
  </si>
  <si>
    <t>=NL("Sum","Item Ledger Entry","Quantity","Entry Type","Transfer","Entry No.",I525,"Location Code","@@"&amp;$E$6)</t>
  </si>
  <si>
    <t>=NL("Sum","Item Ledger Entry","Quantity","Entry Type","Transfer","Entry No.",I526,"Location Code","@@"&amp;$E$6)</t>
  </si>
  <si>
    <t>=NL("Sum","Item Ledger Entry","Quantity","Entry Type","Consumption","Entry No.",I525,"Location Code","@@"&amp;$E$6)</t>
  </si>
  <si>
    <t>=NL("Sum","Item Ledger Entry","Quantity","Entry Type","Consumption","Entry No.",I526,"Location Code","@@"&amp;$E$6)</t>
  </si>
  <si>
    <t>=NL("Sum","Item Ledger Entry","Quantity","Entry Type","Output","Entry No.",I525,"Location Code","@@"&amp;$E$6)</t>
  </si>
  <si>
    <t>=NL("Sum","Item Ledger Entry","Quantity","Entry Type","Output","Entry No.",I526,"Location Code","@@"&amp;$E$6)</t>
  </si>
  <si>
    <t>=NL("Sum","Item Ledger Entry","Quantity","Entry Type","Purchase","Entry No.",I479,"Location Code","@@"&amp;$E$6)</t>
  </si>
  <si>
    <t>=NL("Sum","Item Ledger Entry","Quantity","Entry Type","Sale","Entry No.",I479,"Location Code","@@"&amp;$E$6)</t>
  </si>
  <si>
    <t>=NL("Sum","Item Ledger Entry","Quantity","Entry Type","Positive Adjmt.|Negative Adjmt.","Entry No.",I479,"Location Code","@@"&amp;$E$6)</t>
  </si>
  <si>
    <t>=NL("Sum","Item Ledger Entry","Quantity","Entry Type","Transfer","Entry No.",I479,"Location Code","@@"&amp;$E$6)</t>
  </si>
  <si>
    <t>=NL("Sum","Item Ledger Entry","Quantity","Entry Type","Consumption","Entry No.",I479,"Location Code","@@"&amp;$E$6)</t>
  </si>
  <si>
    <t>=NL("Sum","Item Ledger Entry","Quantity","Entry Type","Output","Entry No.",I479,"Location Code","@@"&amp;$E$6)</t>
  </si>
  <si>
    <t>=NL("Sum","Item Ledger Entry","Quantity","Entry Type","Purchase","Entry No.",I474,"Location Code","@@"&amp;$E$6)</t>
  </si>
  <si>
    <t>=NL("Sum","Item Ledger Entry","Quantity","Entry Type","Sale","Entry No.",I474,"Location Code","@@"&amp;$E$6)</t>
  </si>
  <si>
    <t>=NL("Sum","Item Ledger Entry","Quantity","Entry Type","Positive Adjmt.|Negative Adjmt.","Entry No.",I474,"Location Code","@@"&amp;$E$6)</t>
  </si>
  <si>
    <t>=NL("Sum","Item Ledger Entry","Quantity","Entry Type","Transfer","Entry No.",I474,"Location Code","@@"&amp;$E$6)</t>
  </si>
  <si>
    <t>=NL("Sum","Item Ledger Entry","Quantity","Entry Type","Consumption","Entry No.",I474,"Location Code","@@"&amp;$E$6)</t>
  </si>
  <si>
    <t>=NL("Sum","Item Ledger Entry","Quantity","Entry Type","Output","Entry No.",I474,"Location Code","@@"&amp;$E$6)</t>
  </si>
  <si>
    <t>=NL("Sum","Item Ledger Entry","Quantity","Entry Type","Purchase","Entry No.",I455,"Location Code","@@"&amp;$E$6)</t>
  </si>
  <si>
    <t>=NL("Sum","Item Ledger Entry","Quantity","Entry Type","Sale","Entry No.",I455,"Location Code","@@"&amp;$E$6)</t>
  </si>
  <si>
    <t>=NL("Sum","Item Ledger Entry","Quantity","Entry Type","Positive Adjmt.|Negative Adjmt.","Entry No.",I455,"Location Code","@@"&amp;$E$6)</t>
  </si>
  <si>
    <t>=NL("Sum","Item Ledger Entry","Quantity","Entry Type","Transfer","Entry No.",I455,"Location Code","@@"&amp;$E$6)</t>
  </si>
  <si>
    <t>=NL("Sum","Item Ledger Entry","Quantity","Entry Type","Consumption","Entry No.",I455,"Location Code","@@"&amp;$E$6)</t>
  </si>
  <si>
    <t>=NL("Sum","Item Ledger Entry","Quantity","Entry Type","Output","Entry No.",I455,"Location Code","@@"&amp;$E$6)</t>
  </si>
  <si>
    <t>=NL("Sum","Item Ledger Entry","Quantity","Entry Type","Purchase","Entry No.",I439,"Location Code","@@"&amp;$E$6)</t>
  </si>
  <si>
    <t>=NL("Sum","Item Ledger Entry","Quantity","Entry Type","Sale","Entry No.",I439,"Location Code","@@"&amp;$E$6)</t>
  </si>
  <si>
    <t>=NL("Sum","Item Ledger Entry","Quantity","Entry Type","Positive Adjmt.|Negative Adjmt.","Entry No.",I439,"Location Code","@@"&amp;$E$6)</t>
  </si>
  <si>
    <t>=NL("Sum","Item Ledger Entry","Quantity","Entry Type","Transfer","Entry No.",I439,"Location Code","@@"&amp;$E$6)</t>
  </si>
  <si>
    <t>=NL("Sum","Item Ledger Entry","Quantity","Entry Type","Consumption","Entry No.",I439,"Location Code","@@"&amp;$E$6)</t>
  </si>
  <si>
    <t>=NL("Sum","Item Ledger Entry","Quantity","Entry Type","Output","Entry No.",I439,"Location Code","@@"&amp;$E$6)</t>
  </si>
  <si>
    <t>=NL("Sum","Item Ledger Entry","Quantity","Entry Type","Purchase","Entry No.",I435,"Location Code","@@"&amp;$E$6)</t>
  </si>
  <si>
    <t>=NL("Sum","Item Ledger Entry","Quantity","Entry Type","Sale","Entry No.",I435,"Location Code","@@"&amp;$E$6)</t>
  </si>
  <si>
    <t>=NL("Sum","Item Ledger Entry","Quantity","Entry Type","Positive Adjmt.|Negative Adjmt.","Entry No.",I435,"Location Code","@@"&amp;$E$6)</t>
  </si>
  <si>
    <t>=NL("Sum","Item Ledger Entry","Quantity","Entry Type","Transfer","Entry No.",I435,"Location Code","@@"&amp;$E$6)</t>
  </si>
  <si>
    <t>=NL("Sum","Item Ledger Entry","Quantity","Entry Type","Consumption","Entry No.",I435,"Location Code","@@"&amp;$E$6)</t>
  </si>
  <si>
    <t>=NL("Sum","Item Ledger Entry","Quantity","Entry Type","Output","Entry No.",I435,"Location Code","@@"&amp;$E$6)</t>
  </si>
  <si>
    <t>=NL("Sum","Item Ledger Entry","Quantity","Entry Type","Purchase","Entry No.",I369,"Location Code","@@"&amp;$E$6)</t>
  </si>
  <si>
    <t>=NL("Sum","Item Ledger Entry","Quantity","Entry Type","Sale","Entry No.",I369,"Location Code","@@"&amp;$E$6)</t>
  </si>
  <si>
    <t>=NL("Sum","Item Ledger Entry","Quantity","Entry Type","Positive Adjmt.|Negative Adjmt.","Entry No.",I369,"Location Code","@@"&amp;$E$6)</t>
  </si>
  <si>
    <t>=NL("Sum","Item Ledger Entry","Quantity","Entry Type","Transfer","Entry No.",I369,"Location Code","@@"&amp;$E$6)</t>
  </si>
  <si>
    <t>=NL("Sum","Item Ledger Entry","Quantity","Entry Type","Consumption","Entry No.",I369,"Location Code","@@"&amp;$E$6)</t>
  </si>
  <si>
    <t>=NL("Sum","Item Ledger Entry","Quantity","Entry Type","Output","Entry No.",I369,"Location Code","@@"&amp;$E$6)</t>
  </si>
  <si>
    <t>=(SUBTOTAL(9,O18:O19))</t>
  </si>
  <si>
    <t>=(SUBTOTAL(9,P18:P19))</t>
  </si>
  <si>
    <t>=(SUBTOTAL(9,Q18:Q19))</t>
  </si>
  <si>
    <t>=(SUBTOTAL(9,R18:R19))</t>
  </si>
  <si>
    <t>=(SUBTOTAL(9,S18:S19))</t>
  </si>
  <si>
    <t>=(SUBTOTAL(9,T18:T19))</t>
  </si>
  <si>
    <t>=SUBTOTAL(9,O18:T19)</t>
  </si>
  <si>
    <t>=(SUBTOTAL(9,O52:O53))</t>
  </si>
  <si>
    <t>=(SUBTOTAL(9,P52:P53))</t>
  </si>
  <si>
    <t>=(SUBTOTAL(9,Q52:Q53))</t>
  </si>
  <si>
    <t>=(SUBTOTAL(9,R52:R53))</t>
  </si>
  <si>
    <t>=(SUBTOTAL(9,S52:S53))</t>
  </si>
  <si>
    <t>=(SUBTOTAL(9,T52:T53))</t>
  </si>
  <si>
    <t>=SUBTOTAL(9,O52:T53)</t>
  </si>
  <si>
    <t>=(SUBTOTAL(9,O105:O107))</t>
  </si>
  <si>
    <t>=(SUBTOTAL(9,P105:P107))</t>
  </si>
  <si>
    <t>=(SUBTOTAL(9,Q105:Q107))</t>
  </si>
  <si>
    <t>=(SUBTOTAL(9,R105:R107))</t>
  </si>
  <si>
    <t>=(SUBTOTAL(9,S105:S107))</t>
  </si>
  <si>
    <t>=(SUBTOTAL(9,T105:T107))</t>
  </si>
  <si>
    <t>=SUBTOTAL(9,O105:T107)</t>
  </si>
  <si>
    <t>=(SUBTOTAL(9,O110:O112))</t>
  </si>
  <si>
    <t>=(SUBTOTAL(9,P110:P112))</t>
  </si>
  <si>
    <t>=(SUBTOTAL(9,Q110:Q112))</t>
  </si>
  <si>
    <t>=(SUBTOTAL(9,R110:R112))</t>
  </si>
  <si>
    <t>=(SUBTOTAL(9,S110:S112))</t>
  </si>
  <si>
    <t>=(SUBTOTAL(9,T110:T112))</t>
  </si>
  <si>
    <t>=SUBTOTAL(9,O110:T112)</t>
  </si>
  <si>
    <t>=(SUBTOTAL(9,O128:O129))</t>
  </si>
  <si>
    <t>=(SUBTOTAL(9,P128:P129))</t>
  </si>
  <si>
    <t>=(SUBTOTAL(9,Q128:Q129))</t>
  </si>
  <si>
    <t>=(SUBTOTAL(9,R128:R129))</t>
  </si>
  <si>
    <t>=(SUBTOTAL(9,S128:S129))</t>
  </si>
  <si>
    <t>=(SUBTOTAL(9,T128:T129))</t>
  </si>
  <si>
    <t>=SUBTOTAL(9,O128:T129)</t>
  </si>
  <si>
    <t>=(SUBTOTAL(9,O138:O139))</t>
  </si>
  <si>
    <t>=(SUBTOTAL(9,P138:P139))</t>
  </si>
  <si>
    <t>=(SUBTOTAL(9,Q138:Q139))</t>
  </si>
  <si>
    <t>=(SUBTOTAL(9,R138:R139))</t>
  </si>
  <si>
    <t>=(SUBTOTAL(9,S138:S139))</t>
  </si>
  <si>
    <t>=(SUBTOTAL(9,T138:T139))</t>
  </si>
  <si>
    <t>=SUBTOTAL(9,O138:T139)</t>
  </si>
  <si>
    <t>=E222</t>
  </si>
  <si>
    <t>=NL("First","Item","Description","No.",$E222)</t>
  </si>
  <si>
    <t>=NL("First","Item","Base Unit of Measure","No.",$E222)</t>
  </si>
  <si>
    <t>=NL("Rows","Item Ledger Entry",,"+Posting Date",$L$5,"Item No.","@@"&amp;$D223,"Location Code","@@"&amp;$E$6)</t>
  </si>
  <si>
    <t>=(SUBTOTAL(9,O174:O179))</t>
  </si>
  <si>
    <t>=(SUBTOTAL(9,P174:P179))</t>
  </si>
  <si>
    <t>=(SUBTOTAL(9,Q174:Q179))</t>
  </si>
  <si>
    <t>=(SUBTOTAL(9,R174:R179))</t>
  </si>
  <si>
    <t>=(SUBTOTAL(9,S174:S179))</t>
  </si>
  <si>
    <t>=(SUBTOTAL(9,T174:T179))</t>
  </si>
  <si>
    <t>=SUBTOTAL(9,O174:T179)</t>
  </si>
  <si>
    <t>=(SUBTOTAL(9,O339:O341))</t>
  </si>
  <si>
    <t>=(SUBTOTAL(9,P339:P341))</t>
  </si>
  <si>
    <t>=(SUBTOTAL(9,Q339:Q341))</t>
  </si>
  <si>
    <t>=(SUBTOTAL(9,R339:R341))</t>
  </si>
  <si>
    <t>=(SUBTOTAL(9,S339:S341))</t>
  </si>
  <si>
    <t>=(SUBTOTAL(9,T339:T341))</t>
  </si>
  <si>
    <t>=SUBTOTAL(9,O339:T341)</t>
  </si>
  <si>
    <t>=E411</t>
  </si>
  <si>
    <t>=NL("First","Item","Description","No.",$E411)</t>
  </si>
  <si>
    <t>=NL("First","Item","Base Unit of Measure","No.",$E411)</t>
  </si>
  <si>
    <t>=(SUBTOTAL(9,O458:O459))</t>
  </si>
  <si>
    <t>=(SUBTOTAL(9,P458:P459))</t>
  </si>
  <si>
    <t>=(SUBTOTAL(9,Q458:Q459))</t>
  </si>
  <si>
    <t>=(SUBTOTAL(9,R458:R459))</t>
  </si>
  <si>
    <t>=(SUBTOTAL(9,S458:S459))</t>
  </si>
  <si>
    <t>=(SUBTOTAL(9,T458:T459))</t>
  </si>
  <si>
    <t>=SUBTOTAL(9,O458:T459)</t>
  </si>
  <si>
    <t>=E461</t>
  </si>
  <si>
    <t>=NL("First","Item","Description","No.",$E461)</t>
  </si>
  <si>
    <t>=NL("First","Item","Base Unit of Measure","No.",$E461)</t>
  </si>
  <si>
    <t>=(SUBTOTAL(9,O462:O463))</t>
  </si>
  <si>
    <t>=(SUBTOTAL(9,P462:P463))</t>
  </si>
  <si>
    <t>=(SUBTOTAL(9,Q462:Q463))</t>
  </si>
  <si>
    <t>=(SUBTOTAL(9,R462:R463))</t>
  </si>
  <si>
    <t>=(SUBTOTAL(9,S462:S463))</t>
  </si>
  <si>
    <t>=(SUBTOTAL(9,T462:T463))</t>
  </si>
  <si>
    <t>=SUBTOTAL(9,O462:T463)</t>
  </si>
  <si>
    <t>=E465</t>
  </si>
  <si>
    <t>=NL("First","Item","Description","No.",$E465)</t>
  </si>
  <si>
    <t>=NL("First","Item","Base Unit of Measure","No.",$E465)</t>
  </si>
  <si>
    <t>=E473</t>
  </si>
  <si>
    <t>=NL("First","Item","Description","No.",$E473)</t>
  </si>
  <si>
    <t>=NL("First","Item","Base Unit of Measure","No.",$E473)</t>
  </si>
  <si>
    <t>=NL("Rows","Item Ledger Entry",,"+Posting Date",$L$5,"Item No.","@@"&amp;$D474,"Location Code","@@"&amp;$E$6)</t>
  </si>
  <si>
    <t>=(SUBTOTAL(9,O531:O533))</t>
  </si>
  <si>
    <t>=(SUBTOTAL(9,P531:P533))</t>
  </si>
  <si>
    <t>=(SUBTOTAL(9,Q531:Q533))</t>
  </si>
  <si>
    <t>=(SUBTOTAL(9,R531:R533))</t>
  </si>
  <si>
    <t>=(SUBTOTAL(9,S531:S533))</t>
  </si>
  <si>
    <t>=(SUBTOTAL(9,T531:T533))</t>
  </si>
  <si>
    <t>=SUBTOTAL(9,O531:T533)</t>
  </si>
  <si>
    <t>=NL("Rows","Item Ledger Entry",,"+Posting Date",$L$5,"Item No.","@@"&amp;$D531,"Location Code","@@"&amp;$E$6)</t>
  </si>
  <si>
    <t>=NL("Sum","Item Ledger Entry","Quantity","Entry Type","Purchase","Entry No.",I531,"Location Code","@@"&amp;$E$6)</t>
  </si>
  <si>
    <t>=NL("Sum","Item Ledger Entry","Quantity","Entry Type","Sale","Entry No.",I531,"Location Code","@@"&amp;$E$6)</t>
  </si>
  <si>
    <t>=NL("Sum","Item Ledger Entry","Quantity","Entry Type","Positive Adjmt.|Negative Adjmt.","Entry No.",I531,"Location Code","@@"&amp;$E$6)</t>
  </si>
  <si>
    <t>=NL("Sum","Item Ledger Entry","Quantity","Entry Type","Transfer","Entry No.",I531,"Location Code","@@"&amp;$E$6)</t>
  </si>
  <si>
    <t>=NL("Sum","Item Ledger Entry","Quantity","Entry Type","Consumption","Entry No.",I531,"Location Code","@@"&amp;$E$6)</t>
  </si>
  <si>
    <t>=NL("Sum","Item Ledger Entry","Quantity","Entry Type","Output","Entry No.",I531,"Location Code","@@"&amp;$E$6)</t>
  </si>
  <si>
    <t>=NL("Sum","Item Ledger Entry","Quantity","Entry Type","Purchase","Entry No.",I532,"Location Code","@@"&amp;$E$6)</t>
  </si>
  <si>
    <t>=NL("Sum","Item Ledger Entry","Quantity","Entry Type","Sale","Entry No.",I532,"Location Code","@@"&amp;$E$6)</t>
  </si>
  <si>
    <t>=NL("Sum","Item Ledger Entry","Quantity","Entry Type","Positive Adjmt.|Negative Adjmt.","Entry No.",I532,"Location Code","@@"&amp;$E$6)</t>
  </si>
  <si>
    <t>=NL("Sum","Item Ledger Entry","Quantity","Entry Type","Transfer","Entry No.",I532,"Location Code","@@"&amp;$E$6)</t>
  </si>
  <si>
    <t>=NL("Sum","Item Ledger Entry","Quantity","Entry Type","Consumption","Entry No.",I532,"Location Code","@@"&amp;$E$6)</t>
  </si>
  <si>
    <t>=NL("Sum","Item Ledger Entry","Quantity","Entry Type","Output","Entry No.",I532,"Location Code","@@"&amp;$E$6)</t>
  </si>
  <si>
    <t>=E535</t>
  </si>
  <si>
    <t>=NL("First","Item","Description","No.",$E535)</t>
  </si>
  <si>
    <t>=NL("First","Item","Base Unit of Measure","No.",$E535)</t>
  </si>
  <si>
    <t>=(SUBTOTAL(9,O536:O537))</t>
  </si>
  <si>
    <t>=(SUBTOTAL(9,P536:P537))</t>
  </si>
  <si>
    <t>=(SUBTOTAL(9,Q536:Q537))</t>
  </si>
  <si>
    <t>=(SUBTOTAL(9,R536:R537))</t>
  </si>
  <si>
    <t>=(SUBTOTAL(9,S536:S537))</t>
  </si>
  <si>
    <t>=(SUBTOTAL(9,T536:T537))</t>
  </si>
  <si>
    <t>=SUBTOTAL(9,O536:T537)</t>
  </si>
  <si>
    <t>=(SUBTOTAL(9,O540:O542))</t>
  </si>
  <si>
    <t>=(SUBTOTAL(9,P540:P542))</t>
  </si>
  <si>
    <t>=(SUBTOTAL(9,Q540:Q542))</t>
  </si>
  <si>
    <t>=(SUBTOTAL(9,R540:R542))</t>
  </si>
  <si>
    <t>=(SUBTOTAL(9,S540:S542))</t>
  </si>
  <si>
    <t>=(SUBTOTAL(9,T540:T542))</t>
  </si>
  <si>
    <t>=SUBTOTAL(9,O540:T542)</t>
  </si>
  <si>
    <t>=E544</t>
  </si>
  <si>
    <t>=NL("First","Item","Description","No.",$E544)</t>
  </si>
  <si>
    <t>=NL("First","Item","Base Unit of Measure","No.",$E544)</t>
  </si>
  <si>
    <t>=NL("Sum","Item Ledger Entry","Quantity","Entry Type","Purchase","Entry No.",I546,"Location Code","@@"&amp;$E$6)</t>
  </si>
  <si>
    <t>=NL("Sum","Item Ledger Entry","Quantity","Entry Type","Sale","Entry No.",I546,"Location Code","@@"&amp;$E$6)</t>
  </si>
  <si>
    <t>=NL("Sum","Item Ledger Entry","Quantity","Entry Type","Positive Adjmt.|Negative Adjmt.","Entry No.",I546,"Location Code","@@"&amp;$E$6)</t>
  </si>
  <si>
    <t>=NL("Sum","Item Ledger Entry","Quantity","Entry Type","Transfer","Entry No.",I546,"Location Code","@@"&amp;$E$6)</t>
  </si>
  <si>
    <t>=NL("Sum","Item Ledger Entry","Quantity","Entry Type","Consumption","Entry No.",I546,"Location Code","@@"&amp;$E$6)</t>
  </si>
  <si>
    <t>=NL("Sum","Item Ledger Entry","Quantity","Entry Type","Output","Entry No.",I546,"Location Code","@@"&amp;$E$6)</t>
  </si>
  <si>
    <t>=E549</t>
  </si>
  <si>
    <t>=NL("First","Item","Description","No.",$E549)</t>
  </si>
  <si>
    <t>=NL("First","Item","Base Unit of Measure","No.",$E549)</t>
  </si>
  <si>
    <t>=NL("Rows","Item Ledger Entry",,"+Posting Date",$L$5,"Item No.","@@"&amp;$D550,"Location Code","@@"&amp;$E$6)</t>
  </si>
  <si>
    <t>=E565</t>
  </si>
  <si>
    <t>=NL("First","Item","Description","No.",$E565)</t>
  </si>
  <si>
    <t>=NL("First","Item","Base Unit of Measure","No.",$E565)</t>
  </si>
  <si>
    <t>=NL("Rows","Item Ledger Entry",,"+Posting Date",$L$5,"Item No.","@@"&amp;$D566,"Location Code","@@"&amp;$E$6)</t>
  </si>
  <si>
    <t>=(SUBTOTAL(9,O577:O578))</t>
  </si>
  <si>
    <t>=(SUBTOTAL(9,P577:P578))</t>
  </si>
  <si>
    <t>=(SUBTOTAL(9,Q577:Q578))</t>
  </si>
  <si>
    <t>=(SUBTOTAL(9,R577:R578))</t>
  </si>
  <si>
    <t>=(SUBTOTAL(9,S577:S578))</t>
  </si>
  <si>
    <t>=(SUBTOTAL(9,T577:T578))</t>
  </si>
  <si>
    <t>=SUBTOTAL(9,O577:T578)</t>
  </si>
  <si>
    <t>=E608</t>
  </si>
  <si>
    <t>=NL("First","Item","Description","No.",$E608)</t>
  </si>
  <si>
    <t>=NL("First","Item","Base Unit of Measure","No.",$E608)</t>
  </si>
  <si>
    <t>=NL("Sum","Item Ledger Entry","Quantity","Entry Type","Purchase","Entry No.",I566,"Location Code","@@"&amp;$E$6)</t>
  </si>
  <si>
    <t>=NL("Sum","Item Ledger Entry","Quantity","Entry Type","Sale","Entry No.",I566,"Location Code","@@"&amp;$E$6)</t>
  </si>
  <si>
    <t>=NL("Sum","Item Ledger Entry","Quantity","Entry Type","Positive Adjmt.|Negative Adjmt.","Entry No.",I566,"Location Code","@@"&amp;$E$6)</t>
  </si>
  <si>
    <t>=NL("Sum","Item Ledger Entry","Quantity","Entry Type","Transfer","Entry No.",I566,"Location Code","@@"&amp;$E$6)</t>
  </si>
  <si>
    <t>=NL("Sum","Item Ledger Entry","Quantity","Entry Type","Consumption","Entry No.",I566,"Location Code","@@"&amp;$E$6)</t>
  </si>
  <si>
    <t>=NL("Sum","Item Ledger Entry","Quantity","Entry Type","Output","Entry No.",I566,"Location Code","@@"&amp;$E$6)</t>
  </si>
  <si>
    <t>=(SUBTOTAL(9,O36:O39))</t>
  </si>
  <si>
    <t>=(SUBTOTAL(9,P36:P39))</t>
  </si>
  <si>
    <t>=(SUBTOTAL(9,Q36:Q39))</t>
  </si>
  <si>
    <t>=(SUBTOTAL(9,R36:R39))</t>
  </si>
  <si>
    <t>=(SUBTOTAL(9,S36:S39))</t>
  </si>
  <si>
    <t>=(SUBTOTAL(9,T36:T39))</t>
  </si>
  <si>
    <t>=SUBTOTAL(9,O36:T39)</t>
  </si>
  <si>
    <t>=(SUBTOTAL(9,O56:O59))</t>
  </si>
  <si>
    <t>=(SUBTOTAL(9,P56:P59))</t>
  </si>
  <si>
    <t>=(SUBTOTAL(9,Q56:Q59))</t>
  </si>
  <si>
    <t>=(SUBTOTAL(9,R56:R59))</t>
  </si>
  <si>
    <t>=(SUBTOTAL(9,S56:S59))</t>
  </si>
  <si>
    <t>=(SUBTOTAL(9,T56:T59))</t>
  </si>
  <si>
    <t>=SUBTOTAL(9,O56:T59)</t>
  </si>
  <si>
    <t>=(SUBTOTAL(9,O67:O70))</t>
  </si>
  <si>
    <t>=(SUBTOTAL(9,P67:P70))</t>
  </si>
  <si>
    <t>=(SUBTOTAL(9,Q67:Q70))</t>
  </si>
  <si>
    <t>=(SUBTOTAL(9,R67:R70))</t>
  </si>
  <si>
    <t>=(SUBTOTAL(9,S67:S70))</t>
  </si>
  <si>
    <t>=(SUBTOTAL(9,T67:T70))</t>
  </si>
  <si>
    <t>=SUBTOTAL(9,O67:T70)</t>
  </si>
  <si>
    <t>=(SUBTOTAL(9,O81:O83))</t>
  </si>
  <si>
    <t>=(SUBTOTAL(9,P81:P83))</t>
  </si>
  <si>
    <t>=(SUBTOTAL(9,Q81:Q83))</t>
  </si>
  <si>
    <t>=(SUBTOTAL(9,R81:R83))</t>
  </si>
  <si>
    <t>=(SUBTOTAL(9,S81:S83))</t>
  </si>
  <si>
    <t>=(SUBTOTAL(9,T81:T83))</t>
  </si>
  <si>
    <t>=SUBTOTAL(9,O81:T83)</t>
  </si>
  <si>
    <t>=(SUBTOTAL(9,O95:O98))</t>
  </si>
  <si>
    <t>=(SUBTOTAL(9,P95:P98))</t>
  </si>
  <si>
    <t>=(SUBTOTAL(9,Q95:Q98))</t>
  </si>
  <si>
    <t>=(SUBTOTAL(9,R95:R98))</t>
  </si>
  <si>
    <t>=(SUBTOTAL(9,S95:S98))</t>
  </si>
  <si>
    <t>=(SUBTOTAL(9,T95:T98))</t>
  </si>
  <si>
    <t>=SUBTOTAL(9,O95:T98)</t>
  </si>
  <si>
    <t>=(SUBTOTAL(9,O110:O113))</t>
  </si>
  <si>
    <t>=(SUBTOTAL(9,P110:P113))</t>
  </si>
  <si>
    <t>=(SUBTOTAL(9,Q110:Q113))</t>
  </si>
  <si>
    <t>=(SUBTOTAL(9,R110:R113))</t>
  </si>
  <si>
    <t>=(SUBTOTAL(9,S110:S113))</t>
  </si>
  <si>
    <t>=(SUBTOTAL(9,T110:T113))</t>
  </si>
  <si>
    <t>=SUBTOTAL(9,O110:T113)</t>
  </si>
  <si>
    <t>=(SUBTOTAL(9,O116:O119))</t>
  </si>
  <si>
    <t>=(SUBTOTAL(9,P116:P119))</t>
  </si>
  <si>
    <t>=(SUBTOTAL(9,Q116:Q119))</t>
  </si>
  <si>
    <t>=(SUBTOTAL(9,R116:R119))</t>
  </si>
  <si>
    <t>=(SUBTOTAL(9,S116:S119))</t>
  </si>
  <si>
    <t>=(SUBTOTAL(9,T116:T119))</t>
  </si>
  <si>
    <t>=SUBTOTAL(9,O116:T119)</t>
  </si>
  <si>
    <t>=(SUBTOTAL(9,O126:O128))</t>
  </si>
  <si>
    <t>=(SUBTOTAL(9,P126:P128))</t>
  </si>
  <si>
    <t>=(SUBTOTAL(9,Q126:Q128))</t>
  </si>
  <si>
    <t>=(SUBTOTAL(9,R126:R128))</t>
  </si>
  <si>
    <t>=(SUBTOTAL(9,S126:S128))</t>
  </si>
  <si>
    <t>=(SUBTOTAL(9,T126:T128))</t>
  </si>
  <si>
    <t>=SUBTOTAL(9,O126:T128)</t>
  </si>
  <si>
    <t>=(SUBTOTAL(9,O147:O151))</t>
  </si>
  <si>
    <t>=(SUBTOTAL(9,P147:P151))</t>
  </si>
  <si>
    <t>=(SUBTOTAL(9,Q147:Q151))</t>
  </si>
  <si>
    <t>=(SUBTOTAL(9,R147:R151))</t>
  </si>
  <si>
    <t>=(SUBTOTAL(9,S147:S151))</t>
  </si>
  <si>
    <t>=(SUBTOTAL(9,T147:T151))</t>
  </si>
  <si>
    <t>=SUBTOTAL(9,O147:T151)</t>
  </si>
  <si>
    <t>=(SUBTOTAL(9,O154:O157))</t>
  </si>
  <si>
    <t>=(SUBTOTAL(9,P154:P157))</t>
  </si>
  <si>
    <t>=(SUBTOTAL(9,Q154:Q157))</t>
  </si>
  <si>
    <t>=(SUBTOTAL(9,R154:R157))</t>
  </si>
  <si>
    <t>=(SUBTOTAL(9,S154:S157))</t>
  </si>
  <si>
    <t>=(SUBTOTAL(9,T154:T157))</t>
  </si>
  <si>
    <t>=SUBTOTAL(9,O154:T157)</t>
  </si>
  <si>
    <t>=(SUBTOTAL(9,O177:O180))</t>
  </si>
  <si>
    <t>=(SUBTOTAL(9,P177:P180))</t>
  </si>
  <si>
    <t>=(SUBTOTAL(9,Q177:Q180))</t>
  </si>
  <si>
    <t>=(SUBTOTAL(9,R177:R180))</t>
  </si>
  <si>
    <t>=(SUBTOTAL(9,S177:S180))</t>
  </si>
  <si>
    <t>=(SUBTOTAL(9,T177:T180))</t>
  </si>
  <si>
    <t>=SUBTOTAL(9,O177:T180)</t>
  </si>
  <si>
    <t>=(SUBTOTAL(9,O226:O227))</t>
  </si>
  <si>
    <t>=(SUBTOTAL(9,P226:P227))</t>
  </si>
  <si>
    <t>=(SUBTOTAL(9,Q226:Q227))</t>
  </si>
  <si>
    <t>=(SUBTOTAL(9,R226:R227))</t>
  </si>
  <si>
    <t>=(SUBTOTAL(9,S226:S227))</t>
  </si>
  <si>
    <t>=(SUBTOTAL(9,T226:T227))</t>
  </si>
  <si>
    <t>=SUBTOTAL(9,O226:T227)</t>
  </si>
  <si>
    <t>=(SUBTOTAL(9,O243:O246))</t>
  </si>
  <si>
    <t>=(SUBTOTAL(9,P243:P246))</t>
  </si>
  <si>
    <t>=(SUBTOTAL(9,Q243:Q246))</t>
  </si>
  <si>
    <t>=(SUBTOTAL(9,R243:R246))</t>
  </si>
  <si>
    <t>=(SUBTOTAL(9,S243:S246))</t>
  </si>
  <si>
    <t>=(SUBTOTAL(9,T243:T246))</t>
  </si>
  <si>
    <t>=SUBTOTAL(9,O243:T246)</t>
  </si>
  <si>
    <t>=(SUBTOTAL(9,O258:O260))</t>
  </si>
  <si>
    <t>=(SUBTOTAL(9,P258:P260))</t>
  </si>
  <si>
    <t>=(SUBTOTAL(9,Q258:Q260))</t>
  </si>
  <si>
    <t>=(SUBTOTAL(9,R258:R260))</t>
  </si>
  <si>
    <t>=(SUBTOTAL(9,S258:S260))</t>
  </si>
  <si>
    <t>=(SUBTOTAL(9,T258:T260))</t>
  </si>
  <si>
    <t>=SUBTOTAL(9,O258:T260)</t>
  </si>
  <si>
    <t>=E262</t>
  </si>
  <si>
    <t>=NL("First","Item","Description","No.",$E262)</t>
  </si>
  <si>
    <t>=NL("First","Item","Base Unit of Measure","No.",$E262)</t>
  </si>
  <si>
    <t>=(SUBTOTAL(9,O263:O264))</t>
  </si>
  <si>
    <t>=(SUBTOTAL(9,P263:P264))</t>
  </si>
  <si>
    <t>=(SUBTOTAL(9,Q263:Q264))</t>
  </si>
  <si>
    <t>=(SUBTOTAL(9,R263:R264))</t>
  </si>
  <si>
    <t>=(SUBTOTAL(9,S263:S264))</t>
  </si>
  <si>
    <t>=(SUBTOTAL(9,T263:T264))</t>
  </si>
  <si>
    <t>=SUBTOTAL(9,O263:T264)</t>
  </si>
  <si>
    <t>=NL("Rows","Item Ledger Entry",,"+Posting Date",$L$5,"Item No.","@@"&amp;$D263,"Location Code","@@"&amp;$E$6)</t>
  </si>
  <si>
    <t>=NL("Sum","Item Ledger Entry","Quantity","Entry Type","Purchase","Entry No.",I263,"Location Code","@@"&amp;$E$6)</t>
  </si>
  <si>
    <t>=NL("Sum","Item Ledger Entry","Quantity","Entry Type","Sale","Entry No.",I263,"Location Code","@@"&amp;$E$6)</t>
  </si>
  <si>
    <t>=NL("Sum","Item Ledger Entry","Quantity","Entry Type","Positive Adjmt.|Negative Adjmt.","Entry No.",I263,"Location Code","@@"&amp;$E$6)</t>
  </si>
  <si>
    <t>=NL("Sum","Item Ledger Entry","Quantity","Entry Type","Transfer","Entry No.",I263,"Location Code","@@"&amp;$E$6)</t>
  </si>
  <si>
    <t>=NL("Sum","Item Ledger Entry","Quantity","Entry Type","Consumption","Entry No.",I263,"Location Code","@@"&amp;$E$6)</t>
  </si>
  <si>
    <t>=NL("Sum","Item Ledger Entry","Quantity","Entry Type","Output","Entry No.",I263,"Location Code","@@"&amp;$E$6)</t>
  </si>
  <si>
    <t>=E266</t>
  </si>
  <si>
    <t>=NL("First","Item","Description","No.",$E266)</t>
  </si>
  <si>
    <t>=NL("First","Item","Base Unit of Measure","No.",$E266)</t>
  </si>
  <si>
    <t>=(SUBTOTAL(9,O267:O268))</t>
  </si>
  <si>
    <t>=(SUBTOTAL(9,P267:P268))</t>
  </si>
  <si>
    <t>=(SUBTOTAL(9,Q267:Q268))</t>
  </si>
  <si>
    <t>=(SUBTOTAL(9,R267:R268))</t>
  </si>
  <si>
    <t>=(SUBTOTAL(9,S267:S268))</t>
  </si>
  <si>
    <t>=(SUBTOTAL(9,T267:T268))</t>
  </si>
  <si>
    <t>=SUBTOTAL(9,O267:T268)</t>
  </si>
  <si>
    <t>=NL("Rows","Item Ledger Entry",,"+Posting Date",$L$5,"Item No.","@@"&amp;$D267,"Location Code","@@"&amp;$E$6)</t>
  </si>
  <si>
    <t>=(SUBTOTAL(9,O271:O273))</t>
  </si>
  <si>
    <t>=(SUBTOTAL(9,P271:P273))</t>
  </si>
  <si>
    <t>=(SUBTOTAL(9,Q271:Q273))</t>
  </si>
  <si>
    <t>=(SUBTOTAL(9,R271:R273))</t>
  </si>
  <si>
    <t>=(SUBTOTAL(9,S271:S273))</t>
  </si>
  <si>
    <t>=(SUBTOTAL(9,T271:T273))</t>
  </si>
  <si>
    <t>=SUBTOTAL(9,O271:T273)</t>
  </si>
  <si>
    <t>=(SUBTOTAL(9,O276:O278))</t>
  </si>
  <si>
    <t>=(SUBTOTAL(9,P276:P278))</t>
  </si>
  <si>
    <t>=(SUBTOTAL(9,Q276:Q278))</t>
  </si>
  <si>
    <t>=(SUBTOTAL(9,R276:R278))</t>
  </si>
  <si>
    <t>=(SUBTOTAL(9,S276:S278))</t>
  </si>
  <si>
    <t>=(SUBTOTAL(9,T276:T278))</t>
  </si>
  <si>
    <t>=SUBTOTAL(9,O276:T278)</t>
  </si>
  <si>
    <t>=(SUBTOTAL(9,O285:O288))</t>
  </si>
  <si>
    <t>=(SUBTOTAL(9,P285:P288))</t>
  </si>
  <si>
    <t>=(SUBTOTAL(9,Q285:Q288))</t>
  </si>
  <si>
    <t>=(SUBTOTAL(9,R285:R288))</t>
  </si>
  <si>
    <t>=(SUBTOTAL(9,S285:S288))</t>
  </si>
  <si>
    <t>=(SUBTOTAL(9,T285:T288))</t>
  </si>
  <si>
    <t>=SUBTOTAL(9,O285:T288)</t>
  </si>
  <si>
    <t>=(SUBTOTAL(9,O291:O293))</t>
  </si>
  <si>
    <t>=(SUBTOTAL(9,P291:P293))</t>
  </si>
  <si>
    <t>=(SUBTOTAL(9,Q291:Q293))</t>
  </si>
  <si>
    <t>=(SUBTOTAL(9,R291:R293))</t>
  </si>
  <si>
    <t>=(SUBTOTAL(9,S291:S293))</t>
  </si>
  <si>
    <t>=(SUBTOTAL(9,T291:T293))</t>
  </si>
  <si>
    <t>=SUBTOTAL(9,O291:T293)</t>
  </si>
  <si>
    <t>=E295</t>
  </si>
  <si>
    <t>=NL("First","Item","Description","No.",$E295)</t>
  </si>
  <si>
    <t>=NL("First","Item","Base Unit of Measure","No.",$E295)</t>
  </si>
  <si>
    <t>=(SUBTOTAL(9,O296:O298))</t>
  </si>
  <si>
    <t>=(SUBTOTAL(9,P296:P298))</t>
  </si>
  <si>
    <t>=(SUBTOTAL(9,Q296:Q298))</t>
  </si>
  <si>
    <t>=(SUBTOTAL(9,R296:R298))</t>
  </si>
  <si>
    <t>=(SUBTOTAL(9,S296:S298))</t>
  </si>
  <si>
    <t>=(SUBTOTAL(9,T296:T298))</t>
  </si>
  <si>
    <t>=SUBTOTAL(9,O296:T298)</t>
  </si>
  <si>
    <t>=NL("Rows","Item Ledger Entry",,"+Posting Date",$L$5,"Item No.","@@"&amp;$D296,"Location Code","@@"&amp;$E$6)</t>
  </si>
  <si>
    <t>=(SUBTOTAL(9,O301:O303))</t>
  </si>
  <si>
    <t>=(SUBTOTAL(9,P301:P303))</t>
  </si>
  <si>
    <t>=(SUBTOTAL(9,Q301:Q303))</t>
  </si>
  <si>
    <t>=(SUBTOTAL(9,R301:R303))</t>
  </si>
  <si>
    <t>=(SUBTOTAL(9,S301:S303))</t>
  </si>
  <si>
    <t>=(SUBTOTAL(9,T301:T303))</t>
  </si>
  <si>
    <t>=SUBTOTAL(9,O301:T303)</t>
  </si>
  <si>
    <t>=(SUBTOTAL(9,O306:O308))</t>
  </si>
  <si>
    <t>=(SUBTOTAL(9,P306:P308))</t>
  </si>
  <si>
    <t>=(SUBTOTAL(9,Q306:Q308))</t>
  </si>
  <si>
    <t>=(SUBTOTAL(9,R306:R308))</t>
  </si>
  <si>
    <t>=(SUBTOTAL(9,S306:S308))</t>
  </si>
  <si>
    <t>=(SUBTOTAL(9,T306:T308))</t>
  </si>
  <si>
    <t>=SUBTOTAL(9,O306:T308)</t>
  </si>
  <si>
    <t>=(SUBTOTAL(9,O311:O313))</t>
  </si>
  <si>
    <t>=(SUBTOTAL(9,P311:P313))</t>
  </si>
  <si>
    <t>=(SUBTOTAL(9,Q311:Q313))</t>
  </si>
  <si>
    <t>=(SUBTOTAL(9,R311:R313))</t>
  </si>
  <si>
    <t>=(SUBTOTAL(9,S311:S313))</t>
  </si>
  <si>
    <t>=(SUBTOTAL(9,T311:T313))</t>
  </si>
  <si>
    <t>=SUBTOTAL(9,O311:T313)</t>
  </si>
  <si>
    <t>=SUBTOTAL(9,O13:O343)</t>
  </si>
  <si>
    <t>=SUBTOTAL(9,P13:P343)</t>
  </si>
  <si>
    <t>=SUBTOTAL(9,Q13:Q343)</t>
  </si>
  <si>
    <t>=SUBTOTAL(9,R13:R343)</t>
  </si>
  <si>
    <t>=SUBTOTAL(9,S13:S343)</t>
  </si>
  <si>
    <t>=SUBTOTAL(9,T13:T343)</t>
  </si>
  <si>
    <t>=SUM(U12:U343)</t>
  </si>
  <si>
    <t>="1/1/2019..10/1/2019"</t>
  </si>
  <si>
    <t>="""NAV"",""CRONUS JetCorp USA"",""32"",""1"",""7561"""</t>
  </si>
  <si>
    <t>="""NAV"",""CRONUS JetCorp USA"",""32"",""1"",""20385"""</t>
  </si>
  <si>
    <t>="""NAV"",""CRONUS JetCorp USA"",""32"",""1"",""114271"""</t>
  </si>
  <si>
    <t>="""NAV"",""CRONUS JetCorp USA"",""32"",""1"",""166428"""</t>
  </si>
  <si>
    <t>="""NAV"",""CRONUS JetCorp USA"",""32"",""1"",""20377"""</t>
  </si>
  <si>
    <t>="""NAV"",""CRONUS JetCorp USA"",""32"",""1"",""166427"""</t>
  </si>
  <si>
    <t>="""NAV"",""CRONUS JetCorp USA"",""32"",""1"",""114275"""</t>
  </si>
  <si>
    <t>="""NAV"",""CRONUS JetCorp USA"",""32"",""1"",""20408"""</t>
  </si>
  <si>
    <t>=NL("Rows","Item Ledger Entry",,"+Posting Date",$L$5,"Item No.","@@"&amp;$D97,"Location Code",$L$7)</t>
  </si>
  <si>
    <t>="""NAV"",""CRONUS JetCorp USA"",""32"",""1"",""116376"""</t>
  </si>
  <si>
    <t>="""NAV"",""CRONUS JetCorp USA"",""32"",""1"",""114281"""</t>
  </si>
  <si>
    <t>="""NAV"",""CRONUS JetCorp USA"",""32"",""1"",""7562"""</t>
  </si>
  <si>
    <t>="""NAV"",""CRONUS JetCorp USA"",""32"",""1"",""114266"""</t>
  </si>
  <si>
    <t>="""NAV"",""CRONUS JetCorp USA"",""32"",""1"",""116373"""</t>
  </si>
  <si>
    <t>="""NAV"",""CRONUS JetCorp USA"",""32"",""1"",""30106"""</t>
  </si>
  <si>
    <t>="""NAV"",""CRONUS JetCorp USA"",""32"",""1"",""30027"""</t>
  </si>
  <si>
    <t>="""NAV"",""CRONUS JetCorp USA"",""32"",""1"",""20411"""</t>
  </si>
  <si>
    <t>="""NAV"",""CRONUS JetCorp USA"",""32"",""1"",""30101"""</t>
  </si>
  <si>
    <t>=NL("Rows","Item Ledger Entry",,"+Posting Date",$L$5,"Item No.","@@"&amp;$D211,"Location Code",$L$7)</t>
  </si>
  <si>
    <t>="""NAV"",""CRONUS JetCorp USA"",""32"",""1"",""30103"""</t>
  </si>
  <si>
    <t>=NL("Rows","Item Ledger Entry",,"+Posting Date",$L$5,"Item No.","@@"&amp;$D224,"Location Code",$L$7)</t>
  </si>
  <si>
    <t>="""NAV"",""CRONUS JetCorp USA"",""32"",""1"",""30029"""</t>
  </si>
  <si>
    <t>="""NAV"",""CRONUS JetCorp USA"",""32"",""1"",""30104"""</t>
  </si>
  <si>
    <t>="""NAV"",""CRONUS JetCorp USA"",""32"",""1"",""167175"""</t>
  </si>
  <si>
    <t>="""NAV"",""CRONUS JetCorp USA"",""32"",""1"",""20382"""</t>
  </si>
  <si>
    <t>=NL("Rows","Item Ledger Entry",,"+Posting Date",$L$5,"Item No.","@@"&amp;$D256,"Location Code",$L$7)</t>
  </si>
  <si>
    <t>="""NAV"",""CRONUS JetCorp USA"",""32"",""1"",""167174"""</t>
  </si>
  <si>
    <t>="""NAV"",""CRONUS JetCorp USA"",""32"",""1"",""20393"""</t>
  </si>
  <si>
    <t>="""NAV"",""CRONUS JetCorp USA"",""32"",""1"",""64612"""</t>
  </si>
  <si>
    <t>="""NAV"",""CRONUS JetCorp USA"",""32"",""1"",""30110"""</t>
  </si>
  <si>
    <t>=E285</t>
  </si>
  <si>
    <t>=NL("First","Item","Description","No.",$E285)</t>
  </si>
  <si>
    <t>=NL("First","Item","Base Unit of Measure","No.",$E285)</t>
  </si>
  <si>
    <t>=NL("Rows","Item Ledger Entry",,"+Posting Date",$L$5,"Item No.","@@"&amp;$D286,"Location Code",$L$7)</t>
  </si>
  <si>
    <t>="""NAV"",""CRONUS JetCorp USA"",""32"",""1"",""167173"""</t>
  </si>
  <si>
    <t>="""NAV"",""CRONUS JetCorp USA"",""32"",""1"",""64618"""</t>
  </si>
  <si>
    <t>="""NAV"",""CRONUS JetCorp USA"",""32"",""1"",""167172"""</t>
  </si>
  <si>
    <t>="""NAV"",""CRONUS JetCorp USA"",""32"",""1"",""20387"""</t>
  </si>
  <si>
    <t>="""NAV"",""CRONUS JetCorp USA"",""32"",""1"",""30105"""</t>
  </si>
  <si>
    <t>="""NAV"",""CRONUS JetCorp USA"",""32"",""1"",""167171"""</t>
  </si>
  <si>
    <t>="""NAV"",""CRONUS JetCorp USA"",""32"",""1"",""158690"""</t>
  </si>
  <si>
    <t>="""NAV"",""CRONUS JetCorp USA"",""32"",""1"",""20386"""</t>
  </si>
  <si>
    <t>="""NAV"",""CRONUS JetCorp USA"",""32"",""1"",""30111"""</t>
  </si>
  <si>
    <t>="""NAV"",""CRONUS JetCorp USA"",""32"",""1"",""64621"""</t>
  </si>
  <si>
    <t>=E368</t>
  </si>
  <si>
    <t>=NL("First","Item","Description","No.",$E368)</t>
  </si>
  <si>
    <t>=NL("First","Item","Base Unit of Measure","No.",$E368)</t>
  </si>
  <si>
    <t>="""NAV"",""CRONUS JetCorp USA"",""32"",""1"",""30035"""</t>
  </si>
  <si>
    <t>="""NAV"",""CRONUS JetCorp USA"",""32"",""1"",""30116"""</t>
  </si>
  <si>
    <t>=NL("Rows","Item Ledger Entry",,"+Posting Date",$L$5,"Item No.","@@"&amp;$D390,"Location Code",$L$7)</t>
  </si>
  <si>
    <t>="""NAV"",""CRONUS JetCorp USA"",""32"",""1"",""30032"""</t>
  </si>
  <si>
    <t>="""NAV"",""CRONUS JetCorp USA"",""32"",""1"",""7555"""</t>
  </si>
  <si>
    <t>=E424</t>
  </si>
  <si>
    <t>=NL("First","Item","Description","No.",$E424)</t>
  </si>
  <si>
    <t>=NL("First","Item","Base Unit of Measure","No.",$E424)</t>
  </si>
  <si>
    <t>=NL("Rows","Item Ledger Entry",,"+Posting Date",$L$5,"Item No.","@@"&amp;$D425,"Location Code",$L$7)</t>
  </si>
  <si>
    <t>="""NAV"",""CRONUS JetCorp USA"",""32"",""1"",""7559"""</t>
  </si>
  <si>
    <t>="""NAV"",""CRONUS JetCorp USA"",""32"",""1"",""30108"""</t>
  </si>
  <si>
    <t>=NL("Rows","Item Ledger Entry",,"+Posting Date",$L$5,"Item No.","@@"&amp;$D447,"Location Code",$L$7)</t>
  </si>
  <si>
    <t>="""NAV"",""CRONUS JetCorp USA"",""32"",""1"",""153171"""</t>
  </si>
  <si>
    <t>="""NAV"",""CRONUS JetCorp USA"",""32"",""1"",""64614"""</t>
  </si>
  <si>
    <t>="""NAV"",""CRONUS JetCorp USA"",""32"",""1"",""116375"""</t>
  </si>
  <si>
    <t>="""NAV"",""CRONUS JetCorp USA"",""32"",""1"",""167623"""</t>
  </si>
  <si>
    <t>="""NAV"",""CRONUS JetCorp USA"",""32"",""1"",""153197"""</t>
  </si>
  <si>
    <t>="""NAV"",""CRONUS JetCorp USA"",""32"",""1"",""153166"""</t>
  </si>
  <si>
    <t>=D493</t>
  </si>
  <si>
    <t>=IF($J494="Customer",NL("first",$J494,"Name","No.","@@"&amp;$K494),"")</t>
  </si>
  <si>
    <t>=IF(J494="vendor",NL("first",J494,"Name","No.","@@"&amp;K494),"")</t>
  </si>
  <si>
    <t>=IF($J494="Item",NL("first",$J494,"Description","No.","@@"&amp;$K494),"")</t>
  </si>
  <si>
    <t>="""NAV"",""CRONUS JetCorp USA"",""32"",""1"",""114279"""</t>
  </si>
  <si>
    <t>="""NAV"",""CRONUS JetCorp USA"",""32"",""1"",""7558"""</t>
  </si>
  <si>
    <t>="""NAV"",""CRONUS JetCorp USA"",""32"",""1"",""114274"""</t>
  </si>
  <si>
    <t>=NL("Rows","Item Ledger Entry",,"+Posting Date",$L$5,"Item No.","@@"&amp;$D521,"Location Code",$L$7)</t>
  </si>
  <si>
    <t>="""NAV"",""CRONUS JetCorp USA"",""32"",""1"",""114272"""</t>
  </si>
  <si>
    <t>="""NAV"",""CRONUS JetCorp USA"",""32"",""1"",""114273"""</t>
  </si>
  <si>
    <t>=NL("Rows","Item Ledger Entry",,"+Posting Date",$L$5,"Item No.","@@"&amp;$D545,"Location Code",$L$7)</t>
  </si>
  <si>
    <t>="""NAV"",""CRONUS JetCorp USA"",""32"",""1"",""116371"""</t>
  </si>
  <si>
    <t>=NL("Rows","Item Ledger Entry",,"+Posting Date",$L$5,"Item No.","@@"&amp;$D581,"Location Code",$L$7)</t>
  </si>
  <si>
    <t>="""NAV"",""CRONUS JetCorp USA"",""32"",""1"",""153196"""</t>
  </si>
  <si>
    <t>="""NAV"",""CRONUS JetCorp USA"",""32"",""1"",""114277"""</t>
  </si>
  <si>
    <t>=NL("Rows","Item Ledger Entry",,"+Posting Date",$L$5,"Item No.","@@"&amp;$D641,"Location Code",$L$7)</t>
  </si>
  <si>
    <t>="""NAV"",""CRONUS JetCorp USA"",""32"",""1"",""7557"""</t>
  </si>
  <si>
    <t>="""NAV"",""CRONUS JetCorp USA"",""32"",""1"",""114265"""</t>
  </si>
  <si>
    <t>="""NAV"",""CRONUS JetCorp USA"",""32"",""1"",""116372"""</t>
  </si>
  <si>
    <t>="""NAV"",""CRONUS JetCorp USA"",""32"",""1"",""114267"""</t>
  </si>
  <si>
    <t>="""NAV"",""CRONUS JetCorp USA"",""32"",""1"",""114276"""</t>
  </si>
  <si>
    <t>=NL("Rows","Item Ledger Entry",,"+Posting Date",$L$5,"Item No.","@@"&amp;$D711,"Location Code",$L$7)</t>
  </si>
  <si>
    <t>="""NAV"",""CRONUS JetCorp USA"",""32"",""1"",""153190"""</t>
  </si>
  <si>
    <t>="""NAV"",""CRONUS JetCorp USA"",""32"",""1"",""168682"""</t>
  </si>
  <si>
    <t>="""NAV"",""CRONUS JetCorp USA"",""32"",""1"",""64629"""</t>
  </si>
  <si>
    <t>="""NAV"",""CRONUS JetCorp USA"",""32"",""1"",""168681"""</t>
  </si>
  <si>
    <t>="""NAV"",""CRONUS JetCorp USA"",""32"",""1"",""168680"""</t>
  </si>
  <si>
    <t>="""NAV"",""CRONUS JetCorp USA"",""32"",""1"",""64616"""</t>
  </si>
  <si>
    <t>="""NAV"",""CRONUS JetCorp USA"",""32"",""1"",""166803"""</t>
  </si>
  <si>
    <t>="""NAV"",""CRONUS JetCorp USA"",""32"",""1"",""153193"""</t>
  </si>
  <si>
    <t>="""NAV"",""CRONUS JetCorp USA"",""32"",""1"",""30043"""</t>
  </si>
  <si>
    <t>="""NAV"",""CRONUS JetCorp USA"",""32"",""1"",""20391"""</t>
  </si>
  <si>
    <t>="""NAV"",""CRONUS JetCorp USA"",""32"",""1"",""64620"""</t>
  </si>
  <si>
    <t>="""NAV"",""CRONUS JetCorp USA"",""32"",""1"",""153168"""</t>
  </si>
  <si>
    <t>="""NAV"",""CRONUS JetCorp USA"",""32"",""1"",""166802"""</t>
  </si>
  <si>
    <t>="""NAV"",""CRONUS JetCorp USA"",""32"",""1"",""153200"""</t>
  </si>
  <si>
    <t>="""NAV"",""CRONUS JetCorp USA"",""32"",""1"",""153176"""</t>
  </si>
  <si>
    <t>="""NAV"",""CRONUS JetCorp USA"",""32"",""1"",""166801"""</t>
  </si>
  <si>
    <t>="""NAV"",""CRONUS JetCorp USA"",""32"",""1"",""153173"""</t>
  </si>
  <si>
    <t>="""NAV"",""CRONUS JetCorp USA"",""32"",""1"",""64631"""</t>
  </si>
  <si>
    <t>="""NAV"",""CRONUS JetCorp USA"",""32"",""1"",""64630"""</t>
  </si>
  <si>
    <t>="""NAV"",""CRONUS JetCorp USA"",""32"",""1"",""166800"""</t>
  </si>
  <si>
    <t>="""NAV"",""CRONUS JetCorp USA"",""32"",""1"",""64627"""</t>
  </si>
  <si>
    <t>="""NAV"",""CRONUS JetCorp USA"",""32"",""1"",""167170"""</t>
  </si>
  <si>
    <t>="""NAV"",""CRONUS JetCorp USA"",""32"",""1"",""30039"""</t>
  </si>
  <si>
    <t>="""NAV"",""CRONUS JetCorp USA"",""32"",""1"",""20392"""</t>
  </si>
  <si>
    <t>="""NAV"",""CRONUS JetCorp USA"",""32"",""1"",""20412"""</t>
  </si>
  <si>
    <t>="""NAV"",""CRONUS JetCorp USA"",""32"",""1"",""64623"""</t>
  </si>
  <si>
    <t>="""NAV"",""CRONUS JetCorp USA"",""32"",""1"",""30115"""</t>
  </si>
  <si>
    <t>="""NAV"",""CRONUS JetCorp USA"",""32"",""1"",""64619"""</t>
  </si>
  <si>
    <t>="""NAV"",""CRONUS JetCorp USA"",""32"",""1"",""167622"""</t>
  </si>
  <si>
    <t>="""NAV"",""CRONUS JetCorp USA"",""32"",""1"",""30037"""</t>
  </si>
  <si>
    <t>="""NAV"",""CRONUS JetCorp USA"",""32"",""1"",""20389"""</t>
  </si>
  <si>
    <t>="""NAV"",""CRONUS JetCorp USA"",""32"",""1"",""167621"""</t>
  </si>
  <si>
    <t>="""NAV"",""CRONUS JetCorp USA"",""32"",""1"",""30036"""</t>
  </si>
  <si>
    <t>="""NAV"",""CRONUS JetCorp USA"",""32"",""1"",""20388"""</t>
  </si>
  <si>
    <t>="""NAV"",""CRONUS JetCorp USA"",""32"",""1"",""20416"""</t>
  </si>
  <si>
    <t>="""NAV"",""CRONUS JetCorp USA"",""32"",""1"",""64617"""</t>
  </si>
  <si>
    <t>="""NAV"",""CRONUS JetCorp USA"",""32"",""1"",""167620"""</t>
  </si>
  <si>
    <t>="""NAV"",""CRONUS JetCorp USA"",""32"",""1"",""153169"""</t>
  </si>
  <si>
    <t>="""NAV"",""CRONUS JetCorp USA"",""32"",""1"",""30041"""</t>
  </si>
  <si>
    <t>="""NAV"",""CRONUS JetCorp USA"",""32"",""1"",""64624"""</t>
  </si>
  <si>
    <t>="""NAV"",""CRONUS JetCorp USA"",""32"",""1"",""167619"""</t>
  </si>
  <si>
    <t>="""NAV"",""CRONUS JetCorp USA"",""32"",""1"",""30040"""</t>
  </si>
  <si>
    <t>="""NAV"",""CRONUS JetCorp USA"",""32"",""1"",""116374"""</t>
  </si>
  <si>
    <t>="""NAV"",""CRONUS JetCorp USA"",""32"",""1"",""20414"""</t>
  </si>
  <si>
    <t>="""NAV"",""CRONUS JetCorp USA"",""32"",""1"",""30119"""</t>
  </si>
  <si>
    <t>="""NAV"",""CRONUS JetCorp USA"",""32"",""1"",""114269"""</t>
  </si>
  <si>
    <t>="""NAV"",""CRONUS JetCorp USA"",""32"",""1"",""114278"""</t>
  </si>
  <si>
    <t>="""NAV"",""CRONUS JetCorp USA"",""32"",""1"",""7563"""</t>
  </si>
  <si>
    <t>="""NAV"",""CRONUS JetCorp USA"",""32"",""1"",""114270"""</t>
  </si>
  <si>
    <t>="""NAV"",""CRONUS JetCorp USA"",""32"",""1"",""153167"""</t>
  </si>
  <si>
    <t>="""NAV"",""CRONUS JetCorp USA"",""32"",""1"",""114280"""</t>
  </si>
  <si>
    <t>="""NAV"",""CRONUS JetCorp USA"",""32"",""1"",""64615"""</t>
  </si>
  <si>
    <t>="""NAV"",""CRONUS JetCorp USA"",""32"",""1"",""168366"""</t>
  </si>
  <si>
    <t>="""NAV"",""CRONUS JetCorp USA"",""32"",""1"",""158691"""</t>
  </si>
  <si>
    <t>="""NAV"",""CRONUS JetCorp USA"",""32"",""1"",""168365"""</t>
  </si>
  <si>
    <t>="""NAV"",""CRONUS JetCorp USA"",""32"",""1"",""153199"""</t>
  </si>
  <si>
    <t>="""NAV"",""CRONUS JetCorp USA"",""32"",""1"",""153172"""</t>
  </si>
  <si>
    <t>="""NAV"",""CRONUS JetCorp USA"",""32"",""1"",""64626"""</t>
  </si>
  <si>
    <t>="""NAV"",""CRONUS JetCorp USA"",""32"",""1"",""168364"""</t>
  </si>
  <si>
    <t>="""NAV"",""CRONUS JetCorp USA"",""32"",""1"",""153192"""</t>
  </si>
  <si>
    <t>="""NAV"",""CRONUS JetCorp USA"",""32"",""1"",""168363"""</t>
  </si>
  <si>
    <t>="""NAV"",""CRONUS JetCorp USA"",""32"",""1"",""158694"""</t>
  </si>
  <si>
    <t>="""NAV"",""CRONUS JetCorp USA"",""32"",""1"",""64628"""</t>
  </si>
  <si>
    <t>="""NAV"",""CRONUS JetCorp USA"",""32"",""1"",""168362"""</t>
  </si>
  <si>
    <t>="""NAV"",""CRONUS JetCorp USA"",""32"",""1"",""153195"""</t>
  </si>
  <si>
    <t>="""NAV"",""CRONUS JetCorp USA"",""32"",""1"",""153165"""</t>
  </si>
  <si>
    <t>="""NAV"",""CRONUS JetCorp USA"",""32"",""1"",""168361"""</t>
  </si>
  <si>
    <t>="""NAV"",""CRONUS JetCorp USA"",""32"",""1"",""158692"""</t>
  </si>
  <si>
    <t>="""NAV"",""CRONUS JetCorp USA"",""32"",""1"",""168679"""</t>
  </si>
  <si>
    <t>="""NAV"",""CRONUS JetCorp USA"",""32"",""1"",""168678"""</t>
  </si>
  <si>
    <t>="""NAV"",""CRONUS JetCorp USA"",""32"",""1"",""168677"""</t>
  </si>
  <si>
    <t>="""NAV"",""CRONUS JetCorp USA"",""32"",""1"",""168676"""</t>
  </si>
  <si>
    <t>="""NAV"",""CRONUS JetCorp USA"",""32"",""1"",""168675"""</t>
  </si>
  <si>
    <t>="""NAV"",""CRONUS JetCorp USA"",""32"",""1"",""168674"""</t>
  </si>
  <si>
    <t>="""NAV"",""CRONUS JetCorp USA"",""32"",""1"",""153194"""</t>
  </si>
  <si>
    <t>="""NAV"",""CRONUS JetCorp USA"",""32"",""1"",""166426"""</t>
  </si>
  <si>
    <t>="""NAV"",""CRONUS JetCorp USA"",""32"",""1"",""30030"""</t>
  </si>
  <si>
    <t>="""NAV"",""CRONUS JetCorp USA"",""32"",""1"",""20378"""</t>
  </si>
  <si>
    <t>="""NAV"",""CRONUS JetCorp USA"",""32"",""1"",""30028"""</t>
  </si>
  <si>
    <t>="""NAV"",""CRONUS JetCorp USA"",""32"",""1"",""166425"""</t>
  </si>
  <si>
    <t>="""NAV"",""CRONUS JetCorp USA"",""32"",""1"",""20410"""</t>
  </si>
  <si>
    <t>="""NAV"",""CRONUS JetCorp USA"",""32"",""1"",""64625"""</t>
  </si>
  <si>
    <t>="""NAV"",""CRONUS JetCorp USA"",""32"",""1"",""166424"""</t>
  </si>
  <si>
    <t>="""NAV"",""CRONUS JetCorp USA"",""32"",""1"",""30031"""</t>
  </si>
  <si>
    <t>="""NAV"",""CRONUS JetCorp USA"",""32"",""1"",""20379"""</t>
  </si>
  <si>
    <t>="""NAV"",""CRONUS JetCorp USA"",""32"",""1"",""166423"""</t>
  </si>
  <si>
    <t>="""NAV"",""CRONUS JetCorp USA"",""32"",""1"",""30107"""</t>
  </si>
  <si>
    <t>="""NAV"",""CRONUS JetCorp USA"",""32"",""1"",""166422"""</t>
  </si>
  <si>
    <t>="""NAV"",""CRONUS JetCorp USA"",""32"",""1"",""20383"""</t>
  </si>
  <si>
    <t>="""NAV"",""CRONUS JetCorp USA"",""32"",""1"",""166421"""</t>
  </si>
  <si>
    <t>="""NAV"",""CRONUS JetCorp USA"",""32"",""1"",""30033"""</t>
  </si>
  <si>
    <t>="""NAV"",""CRONUS JetCorp USA"",""32"",""1"",""166420"""</t>
  </si>
  <si>
    <t>="""NAV"",""CRONUS JetCorp USA"",""32"",""1"",""30118"""</t>
  </si>
  <si>
    <t>="""NAV"",""CRONUS JetCorp USA"",""32"",""1"",""167169"""</t>
  </si>
  <si>
    <t>="""NAV"",""CRONUS JetCorp USA"",""32"",""1"",""20394"""</t>
  </si>
  <si>
    <t>="""NAV"",""CRONUS JetCorp USA"",""32"",""1"",""30102"""</t>
  </si>
  <si>
    <t>="""NAV"",""CRONUS JetCorp USA"",""32"",""1"",""30109"""</t>
  </si>
  <si>
    <t>="""NAV"",""CRONUS JetCorp USA"",""32"",""1"",""30034"""</t>
  </si>
  <si>
    <t>="""NAV"",""CRONUS JetCorp USA"",""32"",""1"",""158693"""</t>
  </si>
  <si>
    <t>="""NAV"",""CRONUS JetCorp USA"",""32"",""1"",""20415"""</t>
  </si>
  <si>
    <t>="""NAV"",""CRONUS JetCorp USA"",""32"",""1"",""64613"""</t>
  </si>
  <si>
    <t>="""NAV"",""CRONUS JetCorp USA"",""32"",""1"",""20384"""</t>
  </si>
  <si>
    <t>="""NAV"",""CRONUS JetCorp USA"",""32"",""1"",""153170"""</t>
  </si>
  <si>
    <t>="""NAV"",""CRONUS JetCorp USA"",""32"",""1"",""30042"""</t>
  </si>
  <si>
    <t>="""NAV"",""CRONUS JetCorp USA"",""32"",""1"",""20381"""</t>
  </si>
  <si>
    <t>="""NAV"",""CRONUS JetCorp USA"",""32"",""1"",""20413"""</t>
  </si>
  <si>
    <t>="""NAV"",""CRONUS JetCorp USA"",""32"",""1"",""30112"""</t>
  </si>
  <si>
    <t>="""NAV"",""CRONUS JetCorp USA"",""32"",""1"",""167618"""</t>
  </si>
  <si>
    <t>="""NAV"",""CRONUS JetCorp USA"",""32"",""1"",""30038"""</t>
  </si>
  <si>
    <t>="""NAV"",""CRONUS JetCorp USA"",""32"",""1"",""20390"""</t>
  </si>
  <si>
    <t>="""NAV"",""CRONUS JetCorp USA"",""32"",""1"",""30113"""</t>
  </si>
  <si>
    <t>="""NAV"",""CRONUS JetCorp USA"",""32"",""1"",""167617"""</t>
  </si>
  <si>
    <t>="""NAV"",""CRONUS JetCorp USA"",""32"",""1"",""20409"""</t>
  </si>
  <si>
    <t>="""NAV"",""CRONUS JetCorp USA"",""32"",""1"",""30114"""</t>
  </si>
  <si>
    <t>="""NAV"",""CRONUS JetCorp USA"",""32"",""1"",""168673"""</t>
  </si>
  <si>
    <t>="""NAV"",""CRONUS JetCorp USA"",""32"",""1"",""153175"""</t>
  </si>
  <si>
    <t>="""NAV"",""CRONUS JetCorp USA"",""32"",""1"",""168672"""</t>
  </si>
  <si>
    <t>="""NAV"",""CRONUS JetCorp USA"",""32"",""1"",""64622"""</t>
  </si>
  <si>
    <t>="""NAV"",""CRONUS JetCorp USA"",""32"",""1"",""168671"""</t>
  </si>
  <si>
    <t>="""NAV"",""CRONUS JetCorp USA"",""32"",""1"",""153164"""</t>
  </si>
  <si>
    <t>="""NAV"",""CRONUS JetCorp USA"",""32"",""1"",""153191"""</t>
  </si>
  <si>
    <t>=NL("Sum","Item Ledger Entry","Quantity","Entry Type","Purchase","Entry No.",I672,"Location Code",$L$7)</t>
  </si>
  <si>
    <t>=NL("Sum","Item Ledger Entry","Quantity","Entry Type","Sale","Entry No.",I672,"Location Code",$L$7)</t>
  </si>
  <si>
    <t>=NL("Sum","Item Ledger Entry","Quantity","Entry Type","Positive Adjmt.|Negative Adjmt.","Entry No.",I672,"Location Code",$L$7)</t>
  </si>
  <si>
    <t>=NL("Sum","Item Ledger Entry","Quantity","Entry Type","Transfer","Entry No.",I672,"Location Code",$L$7)</t>
  </si>
  <si>
    <t>=NL("Sum","Item Ledger Entry","Quantity","Entry Type","Consumption","Entry No.",I672,"Location Code",$L$7)</t>
  </si>
  <si>
    <t>=NL("Sum","Item Ledger Entry","Quantity","Entry Type","Output","Entry No.",I672,"Location Code",$L$7)</t>
  </si>
  <si>
    <t>=NL("Sum","Item Ledger Entry","Quantity","Entry Type","Purchase","Entry No.",I641,"Location Code",$L$7)</t>
  </si>
  <si>
    <t>=NL("Sum","Item Ledger Entry","Quantity","Entry Type","Purchase","Entry No.",I642,"Location Code",$L$7)</t>
  </si>
  <si>
    <t>=NL("Sum","Item Ledger Entry","Quantity","Entry Type","Sale","Entry No.",I641,"Location Code",$L$7)</t>
  </si>
  <si>
    <t>=NL("Sum","Item Ledger Entry","Quantity","Entry Type","Sale","Entry No.",I642,"Location Code",$L$7)</t>
  </si>
  <si>
    <t>=NL("Sum","Item Ledger Entry","Quantity","Entry Type","Positive Adjmt.|Negative Adjmt.","Entry No.",I641,"Location Code",$L$7)</t>
  </si>
  <si>
    <t>=NL("Sum","Item Ledger Entry","Quantity","Entry Type","Positive Adjmt.|Negative Adjmt.","Entry No.",I642,"Location Code",$L$7)</t>
  </si>
  <si>
    <t>=NL("Sum","Item Ledger Entry","Quantity","Entry Type","Transfer","Entry No.",I641,"Location Code",$L$7)</t>
  </si>
  <si>
    <t>=NL("Sum","Item Ledger Entry","Quantity","Entry Type","Transfer","Entry No.",I642,"Location Code",$L$7)</t>
  </si>
  <si>
    <t>=NL("Sum","Item Ledger Entry","Quantity","Entry Type","Consumption","Entry No.",I641,"Location Code",$L$7)</t>
  </si>
  <si>
    <t>=NL("Sum","Item Ledger Entry","Quantity","Entry Type","Consumption","Entry No.",I642,"Location Code",$L$7)</t>
  </si>
  <si>
    <t>=NL("Sum","Item Ledger Entry","Quantity","Entry Type","Output","Entry No.",I641,"Location Code",$L$7)</t>
  </si>
  <si>
    <t>=NL("Sum","Item Ledger Entry","Quantity","Entry Type","Output","Entry No.",I642,"Location Code",$L$7)</t>
  </si>
  <si>
    <t>=NL("Sum","Item Ledger Entry","Quantity","Entry Type","Purchase","Entry No.",I614,"Location Code",$L$7)</t>
  </si>
  <si>
    <t>=NL("Sum","Item Ledger Entry","Quantity","Entry Type","Purchase","Entry No.",I615,"Location Code",$L$7)</t>
  </si>
  <si>
    <t>=NL("Sum","Item Ledger Entry","Quantity","Entry Type","Sale","Entry No.",I614,"Location Code",$L$7)</t>
  </si>
  <si>
    <t>=NL("Sum","Item Ledger Entry","Quantity","Entry Type","Sale","Entry No.",I615,"Location Code",$L$7)</t>
  </si>
  <si>
    <t>=NL("Sum","Item Ledger Entry","Quantity","Entry Type","Positive Adjmt.|Negative Adjmt.","Entry No.",I614,"Location Code",$L$7)</t>
  </si>
  <si>
    <t>=NL("Sum","Item Ledger Entry","Quantity","Entry Type","Positive Adjmt.|Negative Adjmt.","Entry No.",I615,"Location Code",$L$7)</t>
  </si>
  <si>
    <t>=NL("Sum","Item Ledger Entry","Quantity","Entry Type","Transfer","Entry No.",I614,"Location Code",$L$7)</t>
  </si>
  <si>
    <t>=NL("Sum","Item Ledger Entry","Quantity","Entry Type","Transfer","Entry No.",I615,"Location Code",$L$7)</t>
  </si>
  <si>
    <t>=NL("Sum","Item Ledger Entry","Quantity","Entry Type","Consumption","Entry No.",I614,"Location Code",$L$7)</t>
  </si>
  <si>
    <t>=NL("Sum","Item Ledger Entry","Quantity","Entry Type","Consumption","Entry No.",I615,"Location Code",$L$7)</t>
  </si>
  <si>
    <t>=NL("Sum","Item Ledger Entry","Quantity","Entry Type","Output","Entry No.",I614,"Location Code",$L$7)</t>
  </si>
  <si>
    <t>=NL("Sum","Item Ledger Entry","Quantity","Entry Type","Output","Entry No.",I615,"Location Code",$L$7)</t>
  </si>
  <si>
    <t>=NL("Sum","Item Ledger Entry","Quantity","Entry Type","Purchase","Entry No.",I603,"Location Code",$L$7)</t>
  </si>
  <si>
    <t>=NL("Sum","Item Ledger Entry","Quantity","Entry Type","Purchase","Entry No.",I604,"Location Code",$L$7)</t>
  </si>
  <si>
    <t>=NL("Sum","Item Ledger Entry","Quantity","Entry Type","Sale","Entry No.",I603,"Location Code",$L$7)</t>
  </si>
  <si>
    <t>=NL("Sum","Item Ledger Entry","Quantity","Entry Type","Sale","Entry No.",I604,"Location Code",$L$7)</t>
  </si>
  <si>
    <t>=NL("Sum","Item Ledger Entry","Quantity","Entry Type","Positive Adjmt.|Negative Adjmt.","Entry No.",I603,"Location Code",$L$7)</t>
  </si>
  <si>
    <t>=NL("Sum","Item Ledger Entry","Quantity","Entry Type","Positive Adjmt.|Negative Adjmt.","Entry No.",I604,"Location Code",$L$7)</t>
  </si>
  <si>
    <t>=NL("Sum","Item Ledger Entry","Quantity","Entry Type","Transfer","Entry No.",I603,"Location Code",$L$7)</t>
  </si>
  <si>
    <t>=NL("Sum","Item Ledger Entry","Quantity","Entry Type","Transfer","Entry No.",I604,"Location Code",$L$7)</t>
  </si>
  <si>
    <t>=NL("Sum","Item Ledger Entry","Quantity","Entry Type","Consumption","Entry No.",I603,"Location Code",$L$7)</t>
  </si>
  <si>
    <t>=NL("Sum","Item Ledger Entry","Quantity","Entry Type","Consumption","Entry No.",I604,"Location Code",$L$7)</t>
  </si>
  <si>
    <t>=NL("Sum","Item Ledger Entry","Quantity","Entry Type","Output","Entry No.",I603,"Location Code",$L$7)</t>
  </si>
  <si>
    <t>=NL("Sum","Item Ledger Entry","Quantity","Entry Type","Output","Entry No.",I604,"Location Code",$L$7)</t>
  </si>
  <si>
    <t>=NL("Sum","Item Ledger Entry","Quantity","Entry Type","Purchase","Entry No.",I577,"Location Code",$L$7)</t>
  </si>
  <si>
    <t>=NL("Sum","Item Ledger Entry","Quantity","Entry Type","Sale","Entry No.",I577,"Location Code",$L$7)</t>
  </si>
  <si>
    <t>=NL("Sum","Item Ledger Entry","Quantity","Entry Type","Positive Adjmt.|Negative Adjmt.","Entry No.",I577,"Location Code",$L$7)</t>
  </si>
  <si>
    <t>=NL("Sum","Item Ledger Entry","Quantity","Entry Type","Transfer","Entry No.",I577,"Location Code",$L$7)</t>
  </si>
  <si>
    <t>=NL("Sum","Item Ledger Entry","Quantity","Entry Type","Consumption","Entry No.",I577,"Location Code",$L$7)</t>
  </si>
  <si>
    <t>=NL("Sum","Item Ledger Entry","Quantity","Entry Type","Output","Entry No.",I577,"Location Code",$L$7)</t>
  </si>
  <si>
    <t>=NL("Sum","Item Ledger Entry","Quantity","Entry Type","Purchase","Entry No.",I564,"Location Code",$L$7)</t>
  </si>
  <si>
    <t>=NL("Sum","Item Ledger Entry","Quantity","Entry Type","Sale","Entry No.",I564,"Location Code",$L$7)</t>
  </si>
  <si>
    <t>=NL("Sum","Item Ledger Entry","Quantity","Entry Type","Positive Adjmt.|Negative Adjmt.","Entry No.",I564,"Location Code",$L$7)</t>
  </si>
  <si>
    <t>=NL("Sum","Item Ledger Entry","Quantity","Entry Type","Transfer","Entry No.",I564,"Location Code",$L$7)</t>
  </si>
  <si>
    <t>=NL("Sum","Item Ledger Entry","Quantity","Entry Type","Consumption","Entry No.",I564,"Location Code",$L$7)</t>
  </si>
  <si>
    <t>=NL("Sum","Item Ledger Entry","Quantity","Entry Type","Output","Entry No.",I564,"Location Code",$L$7)</t>
  </si>
  <si>
    <t>=NL("Sum","Item Ledger Entry","Quantity","Entry Type","Purchase","Entry No.",I552,"Location Code",$L$7)</t>
  </si>
  <si>
    <t>=NL("Sum","Item Ledger Entry","Quantity","Entry Type","Sale","Entry No.",I552,"Location Code",$L$7)</t>
  </si>
  <si>
    <t>=NL("Sum","Item Ledger Entry","Quantity","Entry Type","Positive Adjmt.|Negative Adjmt.","Entry No.",I552,"Location Code",$L$7)</t>
  </si>
  <si>
    <t>=NL("Sum","Item Ledger Entry","Quantity","Entry Type","Transfer","Entry No.",I552,"Location Code",$L$7)</t>
  </si>
  <si>
    <t>=NL("Sum","Item Ledger Entry","Quantity","Entry Type","Consumption","Entry No.",I552,"Location Code",$L$7)</t>
  </si>
  <si>
    <t>=NL("Sum","Item Ledger Entry","Quantity","Entry Type","Output","Entry No.",I552,"Location Code",$L$7)</t>
  </si>
  <si>
    <t>=NL("Sum","Item Ledger Entry","Quantity","Entry Type","Purchase","Entry No.",I526,"Location Code",$L$7)</t>
  </si>
  <si>
    <t>=NL("Sum","Item Ledger Entry","Quantity","Entry Type","Purchase","Entry No.",I527,"Location Code",$L$7)</t>
  </si>
  <si>
    <t>=NL("Sum","Item Ledger Entry","Quantity","Entry Type","Sale","Entry No.",I526,"Location Code",$L$7)</t>
  </si>
  <si>
    <t>=NL("Sum","Item Ledger Entry","Quantity","Entry Type","Sale","Entry No.",I527,"Location Code",$L$7)</t>
  </si>
  <si>
    <t>=NL("Sum","Item Ledger Entry","Quantity","Entry Type","Positive Adjmt.|Negative Adjmt.","Entry No.",I526,"Location Code",$L$7)</t>
  </si>
  <si>
    <t>=NL("Sum","Item Ledger Entry","Quantity","Entry Type","Positive Adjmt.|Negative Adjmt.","Entry No.",I527,"Location Code",$L$7)</t>
  </si>
  <si>
    <t>=NL("Sum","Item Ledger Entry","Quantity","Entry Type","Transfer","Entry No.",I526,"Location Code",$L$7)</t>
  </si>
  <si>
    <t>=NL("Sum","Item Ledger Entry","Quantity","Entry Type","Transfer","Entry No.",I527,"Location Code",$L$7)</t>
  </si>
  <si>
    <t>=NL("Sum","Item Ledger Entry","Quantity","Entry Type","Consumption","Entry No.",I526,"Location Code",$L$7)</t>
  </si>
  <si>
    <t>=NL("Sum","Item Ledger Entry","Quantity","Entry Type","Consumption","Entry No.",I527,"Location Code",$L$7)</t>
  </si>
  <si>
    <t>=NL("Sum","Item Ledger Entry","Quantity","Entry Type","Output","Entry No.",I526,"Location Code",$L$7)</t>
  </si>
  <si>
    <t>=NL("Sum","Item Ledger Entry","Quantity","Entry Type","Output","Entry No.",I527,"Location Code",$L$7)</t>
  </si>
  <si>
    <t>=NL("Sum","Item Ledger Entry","Quantity","Entry Type","Purchase","Entry No.",I516,"Location Code",$L$7)</t>
  </si>
  <si>
    <t>=NL("Sum","Item Ledger Entry","Quantity","Entry Type","Sale","Entry No.",I516,"Location Code",$L$7)</t>
  </si>
  <si>
    <t>=NL("Sum","Item Ledger Entry","Quantity","Entry Type","Positive Adjmt.|Negative Adjmt.","Entry No.",I516,"Location Code",$L$7)</t>
  </si>
  <si>
    <t>=NL("Sum","Item Ledger Entry","Quantity","Entry Type","Transfer","Entry No.",I516,"Location Code",$L$7)</t>
  </si>
  <si>
    <t>=NL("Sum","Item Ledger Entry","Quantity","Entry Type","Consumption","Entry No.",I516,"Location Code",$L$7)</t>
  </si>
  <si>
    <t>=NL("Sum","Item Ledger Entry","Quantity","Entry Type","Output","Entry No.",I516,"Location Code",$L$7)</t>
  </si>
  <si>
    <t>=NF($G494,"Posting Date")</t>
  </si>
  <si>
    <t>=NF($G494,"Entry No.")</t>
  </si>
  <si>
    <t>=NL("Sum","Item Ledger Entry","Quantity","Entry Type","Purchase","Entry No.",I494,"Location Code",$L$7)</t>
  </si>
  <si>
    <t>=NL("Sum","Item Ledger Entry","Quantity","Entry Type","Sale","Entry No.",I494,"Location Code",$L$7)</t>
  </si>
  <si>
    <t>=NL("Sum","Item Ledger Entry","Quantity","Entry Type","Positive Adjmt.|Negative Adjmt.","Entry No.",I494,"Location Code",$L$7)</t>
  </si>
  <si>
    <t>=NL("Sum","Item Ledger Entry","Quantity","Entry Type","Transfer","Entry No.",I494,"Location Code",$L$7)</t>
  </si>
  <si>
    <t>=NL("Sum","Item Ledger Entry","Quantity","Entry Type","Consumption","Entry No.",I494,"Location Code",$L$7)</t>
  </si>
  <si>
    <t>=NL("Sum","Item Ledger Entry","Quantity","Entry Type","Output","Entry No.",I494,"Location Code",$L$7)</t>
  </si>
  <si>
    <t>=NF(G494,"Source Type")</t>
  </si>
  <si>
    <t>=NF($G494,"Source No.")</t>
  </si>
  <si>
    <t>=NL("Sum","Item Ledger Entry","Quantity","Entry Type","Purchase","Entry No.",I467,"Location Code",$L$7)</t>
  </si>
  <si>
    <t>=NL("Sum","Item Ledger Entry","Quantity","Entry Type","Sale","Entry No.",I467,"Location Code",$L$7)</t>
  </si>
  <si>
    <t>=NL("Sum","Item Ledger Entry","Quantity","Entry Type","Positive Adjmt.|Negative Adjmt.","Entry No.",I467,"Location Code",$L$7)</t>
  </si>
  <si>
    <t>=NL("Sum","Item Ledger Entry","Quantity","Entry Type","Transfer","Entry No.",I467,"Location Code",$L$7)</t>
  </si>
  <si>
    <t>=NL("Sum","Item Ledger Entry","Quantity","Entry Type","Consumption","Entry No.",I467,"Location Code",$L$7)</t>
  </si>
  <si>
    <t>=NL("Sum","Item Ledger Entry","Quantity","Entry Type","Output","Entry No.",I467,"Location Code",$L$7)</t>
  </si>
  <si>
    <t>=NL("Sum","Item Ledger Entry","Quantity","Entry Type","Purchase","Entry No.",I448,"Location Code",$L$7)</t>
  </si>
  <si>
    <t>=NL("Sum","Item Ledger Entry","Quantity","Entry Type","Sale","Entry No.",I448,"Location Code",$L$7)</t>
  </si>
  <si>
    <t>=NL("Sum","Item Ledger Entry","Quantity","Entry Type","Positive Adjmt.|Negative Adjmt.","Entry No.",I448,"Location Code",$L$7)</t>
  </si>
  <si>
    <t>=NL("Sum","Item Ledger Entry","Quantity","Entry Type","Transfer","Entry No.",I448,"Location Code",$L$7)</t>
  </si>
  <si>
    <t>=NL("Sum","Item Ledger Entry","Quantity","Entry Type","Consumption","Entry No.",I448,"Location Code",$L$7)</t>
  </si>
  <si>
    <t>=NL("Sum","Item Ledger Entry","Quantity","Entry Type","Output","Entry No.",I448,"Location Code",$L$7)</t>
  </si>
  <si>
    <t>=NL("Sum","Item Ledger Entry","Quantity","Entry Type","Purchase","Entry No.",I429,"Location Code",$L$7)</t>
  </si>
  <si>
    <t>=NL("Sum","Item Ledger Entry","Quantity","Entry Type","Purchase","Entry No.",I430,"Location Code",$L$7)</t>
  </si>
  <si>
    <t>=NL("Sum","Item Ledger Entry","Quantity","Entry Type","Sale","Entry No.",I429,"Location Code",$L$7)</t>
  </si>
  <si>
    <t>=NL("Sum","Item Ledger Entry","Quantity","Entry Type","Sale","Entry No.",I430,"Location Code",$L$7)</t>
  </si>
  <si>
    <t>=NL("Sum","Item Ledger Entry","Quantity","Entry Type","Positive Adjmt.|Negative Adjmt.","Entry No.",I429,"Location Code",$L$7)</t>
  </si>
  <si>
    <t>=NL("Sum","Item Ledger Entry","Quantity","Entry Type","Positive Adjmt.|Negative Adjmt.","Entry No.",I430,"Location Code",$L$7)</t>
  </si>
  <si>
    <t>=NL("Sum","Item Ledger Entry","Quantity","Entry Type","Transfer","Entry No.",I429,"Location Code",$L$7)</t>
  </si>
  <si>
    <t>=NL("Sum","Item Ledger Entry","Quantity","Entry Type","Transfer","Entry No.",I430,"Location Code",$L$7)</t>
  </si>
  <si>
    <t>=NL("Sum","Item Ledger Entry","Quantity","Entry Type","Consumption","Entry No.",I429,"Location Code",$L$7)</t>
  </si>
  <si>
    <t>=NL("Sum","Item Ledger Entry","Quantity","Entry Type","Consumption","Entry No.",I430,"Location Code",$L$7)</t>
  </si>
  <si>
    <t>=NL("Sum","Item Ledger Entry","Quantity","Entry Type","Output","Entry No.",I429,"Location Code",$L$7)</t>
  </si>
  <si>
    <t>=NL("Sum","Item Ledger Entry","Quantity","Entry Type","Output","Entry No.",I430,"Location Code",$L$7)</t>
  </si>
  <si>
    <t>=NL("Sum","Item Ledger Entry","Quantity","Entry Type","Purchase","Entry No.",I408,"Location Code",$L$7)</t>
  </si>
  <si>
    <t>=NL("Sum","Item Ledger Entry","Quantity","Entry Type","Sale","Entry No.",I408,"Location Code",$L$7)</t>
  </si>
  <si>
    <t>=NL("Sum","Item Ledger Entry","Quantity","Entry Type","Positive Adjmt.|Negative Adjmt.","Entry No.",I408,"Location Code",$L$7)</t>
  </si>
  <si>
    <t>=NL("Sum","Item Ledger Entry","Quantity","Entry Type","Transfer","Entry No.",I408,"Location Code",$L$7)</t>
  </si>
  <si>
    <t>=NL("Sum","Item Ledger Entry","Quantity","Entry Type","Consumption","Entry No.",I408,"Location Code",$L$7)</t>
  </si>
  <si>
    <t>=NL("Sum","Item Ledger Entry","Quantity","Entry Type","Output","Entry No.",I408,"Location Code",$L$7)</t>
  </si>
  <si>
    <t>=NL("Sum","Item Ledger Entry","Quantity","Entry Type","Purchase","Entry No.",I381,"Location Code",$L$7)</t>
  </si>
  <si>
    <t>=NL("Sum","Item Ledger Entry","Quantity","Entry Type","Purchase","Entry No.",I382,"Location Code",$L$7)</t>
  </si>
  <si>
    <t>=NL("Sum","Item Ledger Entry","Quantity","Entry Type","Purchase","Entry No.",I383,"Location Code",$L$7)</t>
  </si>
  <si>
    <t>=NL("Sum","Item Ledger Entry","Quantity","Entry Type","Sale","Entry No.",I381,"Location Code",$L$7)</t>
  </si>
  <si>
    <t>=NL("Sum","Item Ledger Entry","Quantity","Entry Type","Sale","Entry No.",I382,"Location Code",$L$7)</t>
  </si>
  <si>
    <t>=NL("Sum","Item Ledger Entry","Quantity","Entry Type","Sale","Entry No.",I383,"Location Code",$L$7)</t>
  </si>
  <si>
    <t>=NL("Sum","Item Ledger Entry","Quantity","Entry Type","Positive Adjmt.|Negative Adjmt.","Entry No.",I381,"Location Code",$L$7)</t>
  </si>
  <si>
    <t>=NL("Sum","Item Ledger Entry","Quantity","Entry Type","Positive Adjmt.|Negative Adjmt.","Entry No.",I382,"Location Code",$L$7)</t>
  </si>
  <si>
    <t>=NL("Sum","Item Ledger Entry","Quantity","Entry Type","Positive Adjmt.|Negative Adjmt.","Entry No.",I383,"Location Code",$L$7)</t>
  </si>
  <si>
    <t>=NL("Sum","Item Ledger Entry","Quantity","Entry Type","Transfer","Entry No.",I381,"Location Code",$L$7)</t>
  </si>
  <si>
    <t>=NL("Sum","Item Ledger Entry","Quantity","Entry Type","Transfer","Entry No.",I382,"Location Code",$L$7)</t>
  </si>
  <si>
    <t>=NL("Sum","Item Ledger Entry","Quantity","Entry Type","Transfer","Entry No.",I383,"Location Code",$L$7)</t>
  </si>
  <si>
    <t>=NL("Sum","Item Ledger Entry","Quantity","Entry Type","Consumption","Entry No.",I381,"Location Code",$L$7)</t>
  </si>
  <si>
    <t>=NL("Sum","Item Ledger Entry","Quantity","Entry Type","Consumption","Entry No.",I382,"Location Code",$L$7)</t>
  </si>
  <si>
    <t>=NL("Sum","Item Ledger Entry","Quantity","Entry Type","Consumption","Entry No.",I383,"Location Code",$L$7)</t>
  </si>
  <si>
    <t>=NL("Sum","Item Ledger Entry","Quantity","Entry Type","Output","Entry No.",I381,"Location Code",$L$7)</t>
  </si>
  <si>
    <t>=NL("Sum","Item Ledger Entry","Quantity","Entry Type","Output","Entry No.",I382,"Location Code",$L$7)</t>
  </si>
  <si>
    <t>=NL("Sum","Item Ledger Entry","Quantity","Entry Type","Output","Entry No.",I383,"Location Code",$L$7)</t>
  </si>
  <si>
    <t>=NL("Sum","Item Ledger Entry","Quantity","Entry Type","Purchase","Entry No.",I340,"Location Code",$L$7)</t>
  </si>
  <si>
    <t>=NL("Sum","Item Ledger Entry","Quantity","Entry Type","Sale","Entry No.",I340,"Location Code",$L$7)</t>
  </si>
  <si>
    <t>=NL("Sum","Item Ledger Entry","Quantity","Entry Type","Positive Adjmt.|Negative Adjmt.","Entry No.",I340,"Location Code",$L$7)</t>
  </si>
  <si>
    <t>=NL("Sum","Item Ledger Entry","Quantity","Entry Type","Transfer","Entry No.",I340,"Location Code",$L$7)</t>
  </si>
  <si>
    <t>=NL("Sum","Item Ledger Entry","Quantity","Entry Type","Consumption","Entry No.",I340,"Location Code",$L$7)</t>
  </si>
  <si>
    <t>=NL("Sum","Item Ledger Entry","Quantity","Entry Type","Output","Entry No.",I340,"Location Code",$L$7)</t>
  </si>
  <si>
    <t>=NL("Sum","Item Ledger Entry","Quantity","Entry Type","Purchase","Entry No.",I313,"Location Code",$L$7)</t>
  </si>
  <si>
    <t>=NL("Sum","Item Ledger Entry","Quantity","Entry Type","Sale","Entry No.",I313,"Location Code",$L$7)</t>
  </si>
  <si>
    <t>=NL("Sum","Item Ledger Entry","Quantity","Entry Type","Positive Adjmt.|Negative Adjmt.","Entry No.",I313,"Location Code",$L$7)</t>
  </si>
  <si>
    <t>=NL("Sum","Item Ledger Entry","Quantity","Entry Type","Transfer","Entry No.",I313,"Location Code",$L$7)</t>
  </si>
  <si>
    <t>=NL("Sum","Item Ledger Entry","Quantity","Entry Type","Consumption","Entry No.",I313,"Location Code",$L$7)</t>
  </si>
  <si>
    <t>=NL("Sum","Item Ledger Entry","Quantity","Entry Type","Output","Entry No.",I313,"Location Code",$L$7)</t>
  </si>
  <si>
    <t>=NL("Sum","Item Ledger Entry","Quantity","Entry Type","Purchase","Entry No.",I299,"Location Code",$L$7)</t>
  </si>
  <si>
    <t>=NL("Sum","Item Ledger Entry","Quantity","Entry Type","Purchase","Entry No.",I300,"Location Code",$L$7)</t>
  </si>
  <si>
    <t>=NL("Sum","Item Ledger Entry","Quantity","Entry Type","Sale","Entry No.",I299,"Location Code",$L$7)</t>
  </si>
  <si>
    <t>=NL("Sum","Item Ledger Entry","Quantity","Entry Type","Sale","Entry No.",I300,"Location Code",$L$7)</t>
  </si>
  <si>
    <t>=NL("Sum","Item Ledger Entry","Quantity","Entry Type","Positive Adjmt.|Negative Adjmt.","Entry No.",I299,"Location Code",$L$7)</t>
  </si>
  <si>
    <t>=NL("Sum","Item Ledger Entry","Quantity","Entry Type","Positive Adjmt.|Negative Adjmt.","Entry No.",I300,"Location Code",$L$7)</t>
  </si>
  <si>
    <t>=NL("Sum","Item Ledger Entry","Quantity","Entry Type","Transfer","Entry No.",I299,"Location Code",$L$7)</t>
  </si>
  <si>
    <t>=NL("Sum","Item Ledger Entry","Quantity","Entry Type","Transfer","Entry No.",I300,"Location Code",$L$7)</t>
  </si>
  <si>
    <t>=NL("Sum","Item Ledger Entry","Quantity","Entry Type","Consumption","Entry No.",I299,"Location Code",$L$7)</t>
  </si>
  <si>
    <t>=NL("Sum","Item Ledger Entry","Quantity","Entry Type","Consumption","Entry No.",I300,"Location Code",$L$7)</t>
  </si>
  <si>
    <t>=NL("Sum","Item Ledger Entry","Quantity","Entry Type","Output","Entry No.",I299,"Location Code",$L$7)</t>
  </si>
  <si>
    <t>=NL("Sum","Item Ledger Entry","Quantity","Entry Type","Output","Entry No.",I300,"Location Code",$L$7)</t>
  </si>
  <si>
    <t>=NL("Sum","Item Ledger Entry","Quantity","Entry Type","Purchase","Entry No.",I282,"Location Code",$L$7)</t>
  </si>
  <si>
    <t>=NL("Sum","Item Ledger Entry","Quantity","Entry Type","Sale","Entry No.",I282,"Location Code",$L$7)</t>
  </si>
  <si>
    <t>=NL("Sum","Item Ledger Entry","Quantity","Entry Type","Positive Adjmt.|Negative Adjmt.","Entry No.",I282,"Location Code",$L$7)</t>
  </si>
  <si>
    <t>=NL("Sum","Item Ledger Entry","Quantity","Entry Type","Transfer","Entry No.",I282,"Location Code",$L$7)</t>
  </si>
  <si>
    <t>=NL("Sum","Item Ledger Entry","Quantity","Entry Type","Consumption","Entry No.",I282,"Location Code",$L$7)</t>
  </si>
  <si>
    <t>=NL("Sum","Item Ledger Entry","Quantity","Entry Type","Output","Entry No.",I282,"Location Code",$L$7)</t>
  </si>
  <si>
    <t>=NL("Sum","Item Ledger Entry","Quantity","Entry Type","Purchase","Entry No.",I258,"Location Code",$L$7)</t>
  </si>
  <si>
    <t>=NL("Sum","Item Ledger Entry","Quantity","Entry Type","Sale","Entry No.",I258,"Location Code",$L$7)</t>
  </si>
  <si>
    <t>=NL("Sum","Item Ledger Entry","Quantity","Entry Type","Positive Adjmt.|Negative Adjmt.","Entry No.",I258,"Location Code",$L$7)</t>
  </si>
  <si>
    <t>=NL("Sum","Item Ledger Entry","Quantity","Entry Type","Transfer","Entry No.",I258,"Location Code",$L$7)</t>
  </si>
  <si>
    <t>=NL("Sum","Item Ledger Entry","Quantity","Entry Type","Consumption","Entry No.",I258,"Location Code",$L$7)</t>
  </si>
  <si>
    <t>=NL("Sum","Item Ledger Entry","Quantity","Entry Type","Output","Entry No.",I258,"Location Code",$L$7)</t>
  </si>
  <si>
    <t>=NL("Sum","Item Ledger Entry","Quantity","Entry Type","Purchase","Entry No.",I243,"Location Code",$L$7)</t>
  </si>
  <si>
    <t>=NL("Sum","Item Ledger Entry","Quantity","Entry Type","Sale","Entry No.",I243,"Location Code",$L$7)</t>
  </si>
  <si>
    <t>=NL("Sum","Item Ledger Entry","Quantity","Entry Type","Positive Adjmt.|Negative Adjmt.","Entry No.",I243,"Location Code",$L$7)</t>
  </si>
  <si>
    <t>=NL("Sum","Item Ledger Entry","Quantity","Entry Type","Transfer","Entry No.",I243,"Location Code",$L$7)</t>
  </si>
  <si>
    <t>=NL("Sum","Item Ledger Entry","Quantity","Entry Type","Consumption","Entry No.",I243,"Location Code",$L$7)</t>
  </si>
  <si>
    <t>=NL("Sum","Item Ledger Entry","Quantity","Entry Type","Output","Entry No.",I243,"Location Code",$L$7)</t>
  </si>
  <si>
    <t>=NL("Sum","Item Ledger Entry","Quantity","Entry Type","Purchase","Entry No.",I229,"Location Code",$L$7)</t>
  </si>
  <si>
    <t>=NL("Sum","Item Ledger Entry","Quantity","Entry Type","Sale","Entry No.",I229,"Location Code",$L$7)</t>
  </si>
  <si>
    <t>=NL("Sum","Item Ledger Entry","Quantity","Entry Type","Positive Adjmt.|Negative Adjmt.","Entry No.",I229,"Location Code",$L$7)</t>
  </si>
  <si>
    <t>=NL("Sum","Item Ledger Entry","Quantity","Entry Type","Transfer","Entry No.",I229,"Location Code",$L$7)</t>
  </si>
  <si>
    <t>=NL("Sum","Item Ledger Entry","Quantity","Entry Type","Consumption","Entry No.",I229,"Location Code",$L$7)</t>
  </si>
  <si>
    <t>=NL("Sum","Item Ledger Entry","Quantity","Entry Type","Output","Entry No.",I229,"Location Code",$L$7)</t>
  </si>
  <si>
    <t>=NL("Sum","Item Ledger Entry","Quantity","Entry Type","Purchase","Entry No.",I202,"Location Code",$L$7)</t>
  </si>
  <si>
    <t>=NL("Sum","Item Ledger Entry","Quantity","Entry Type","Sale","Entry No.",I202,"Location Code",$L$7)</t>
  </si>
  <si>
    <t>=NL("Sum","Item Ledger Entry","Quantity","Entry Type","Positive Adjmt.|Negative Adjmt.","Entry No.",I202,"Location Code",$L$7)</t>
  </si>
  <si>
    <t>=NL("Sum","Item Ledger Entry","Quantity","Entry Type","Transfer","Entry No.",I202,"Location Code",$L$7)</t>
  </si>
  <si>
    <t>=NL("Sum","Item Ledger Entry","Quantity","Entry Type","Consumption","Entry No.",I202,"Location Code",$L$7)</t>
  </si>
  <si>
    <t>=NL("Sum","Item Ledger Entry","Quantity","Entry Type","Output","Entry No.",I202,"Location Code",$L$7)</t>
  </si>
  <si>
    <t>=NL("Sum","Item Ledger Entry","Quantity","Entry Type","Purchase","Entry No.",I186,"Location Code",$L$7)</t>
  </si>
  <si>
    <t>=NL("Sum","Item Ledger Entry","Quantity","Entry Type","Purchase","Entry No.",I187,"Location Code",$L$7)</t>
  </si>
  <si>
    <t>=NL("Sum","Item Ledger Entry","Quantity","Entry Type","Sale","Entry No.",I186,"Location Code",$L$7)</t>
  </si>
  <si>
    <t>=NL("Sum","Item Ledger Entry","Quantity","Entry Type","Sale","Entry No.",I187,"Location Code",$L$7)</t>
  </si>
  <si>
    <t>=NL("Sum","Item Ledger Entry","Quantity","Entry Type","Positive Adjmt.|Negative Adjmt.","Entry No.",I186,"Location Code",$L$7)</t>
  </si>
  <si>
    <t>=NL("Sum","Item Ledger Entry","Quantity","Entry Type","Positive Adjmt.|Negative Adjmt.","Entry No.",I187,"Location Code",$L$7)</t>
  </si>
  <si>
    <t>=NL("Sum","Item Ledger Entry","Quantity","Entry Type","Transfer","Entry No.",I186,"Location Code",$L$7)</t>
  </si>
  <si>
    <t>=NL("Sum","Item Ledger Entry","Quantity","Entry Type","Transfer","Entry No.",I187,"Location Code",$L$7)</t>
  </si>
  <si>
    <t>=NL("Sum","Item Ledger Entry","Quantity","Entry Type","Consumption","Entry No.",I186,"Location Code",$L$7)</t>
  </si>
  <si>
    <t>=NL("Sum","Item Ledger Entry","Quantity","Entry Type","Consumption","Entry No.",I187,"Location Code",$L$7)</t>
  </si>
  <si>
    <t>=NL("Sum","Item Ledger Entry","Quantity","Entry Type","Output","Entry No.",I186,"Location Code",$L$7)</t>
  </si>
  <si>
    <t>=NL("Sum","Item Ledger Entry","Quantity","Entry Type","Output","Entry No.",I187,"Location Code",$L$7)</t>
  </si>
  <si>
    <t>=NL("Sum","Item Ledger Entry","Quantity","Entry Type","Purchase","Entry No.",I174,"Location Code",$L$7)</t>
  </si>
  <si>
    <t>=NL("Sum","Item Ledger Entry","Quantity","Entry Type","Purchase","Entry No.",I175,"Location Code",$L$7)</t>
  </si>
  <si>
    <t>=NL("Sum","Item Ledger Entry","Quantity","Entry Type","Purchase","Entry No.",I176,"Location Code",$L$7)</t>
  </si>
  <si>
    <t>=NL("Sum","Item Ledger Entry","Quantity","Entry Type","Sale","Entry No.",I174,"Location Code",$L$7)</t>
  </si>
  <si>
    <t>=NL("Sum","Item Ledger Entry","Quantity","Entry Type","Sale","Entry No.",I175,"Location Code",$L$7)</t>
  </si>
  <si>
    <t>=NL("Sum","Item Ledger Entry","Quantity","Entry Type","Sale","Entry No.",I176,"Location Code",$L$7)</t>
  </si>
  <si>
    <t>=NL("Sum","Item Ledger Entry","Quantity","Entry Type","Positive Adjmt.|Negative Adjmt.","Entry No.",I174,"Location Code",$L$7)</t>
  </si>
  <si>
    <t>=NL("Sum","Item Ledger Entry","Quantity","Entry Type","Positive Adjmt.|Negative Adjmt.","Entry No.",I175,"Location Code",$L$7)</t>
  </si>
  <si>
    <t>=NL("Sum","Item Ledger Entry","Quantity","Entry Type","Positive Adjmt.|Negative Adjmt.","Entry No.",I176,"Location Code",$L$7)</t>
  </si>
  <si>
    <t>=NL("Sum","Item Ledger Entry","Quantity","Entry Type","Transfer","Entry No.",I174,"Location Code",$L$7)</t>
  </si>
  <si>
    <t>=NL("Sum","Item Ledger Entry","Quantity","Entry Type","Transfer","Entry No.",I175,"Location Code",$L$7)</t>
  </si>
  <si>
    <t>=NL("Sum","Item Ledger Entry","Quantity","Entry Type","Transfer","Entry No.",I176,"Location Code",$L$7)</t>
  </si>
  <si>
    <t>=NL("Sum","Item Ledger Entry","Quantity","Entry Type","Consumption","Entry No.",I174,"Location Code",$L$7)</t>
  </si>
  <si>
    <t>=NL("Sum","Item Ledger Entry","Quantity","Entry Type","Consumption","Entry No.",I175,"Location Code",$L$7)</t>
  </si>
  <si>
    <t>=NL("Sum","Item Ledger Entry","Quantity","Entry Type","Consumption","Entry No.",I176,"Location Code",$L$7)</t>
  </si>
  <si>
    <t>=NL("Sum","Item Ledger Entry","Quantity","Entry Type","Output","Entry No.",I174,"Location Code",$L$7)</t>
  </si>
  <si>
    <t>=NL("Sum","Item Ledger Entry","Quantity","Entry Type","Output","Entry No.",I175,"Location Code",$L$7)</t>
  </si>
  <si>
    <t>=NL("Sum","Item Ledger Entry","Quantity","Entry Type","Output","Entry No.",I176,"Location Code",$L$7)</t>
  </si>
  <si>
    <t>=NL("Sum","Item Ledger Entry","Quantity","Entry Type","Purchase","Entry No.",I163,"Location Code",$L$7)</t>
  </si>
  <si>
    <t>=NL("Sum","Item Ledger Entry","Quantity","Entry Type","Purchase","Entry No.",I164,"Location Code",$L$7)</t>
  </si>
  <si>
    <t>=NL("Sum","Item Ledger Entry","Quantity","Entry Type","Sale","Entry No.",I163,"Location Code",$L$7)</t>
  </si>
  <si>
    <t>=NL("Sum","Item Ledger Entry","Quantity","Entry Type","Sale","Entry No.",I164,"Location Code",$L$7)</t>
  </si>
  <si>
    <t>=NL("Sum","Item Ledger Entry","Quantity","Entry Type","Positive Adjmt.|Negative Adjmt.","Entry No.",I163,"Location Code",$L$7)</t>
  </si>
  <si>
    <t>=NL("Sum","Item Ledger Entry","Quantity","Entry Type","Positive Adjmt.|Negative Adjmt.","Entry No.",I164,"Location Code",$L$7)</t>
  </si>
  <si>
    <t>=NL("Sum","Item Ledger Entry","Quantity","Entry Type","Transfer","Entry No.",I163,"Location Code",$L$7)</t>
  </si>
  <si>
    <t>=NL("Sum","Item Ledger Entry","Quantity","Entry Type","Transfer","Entry No.",I164,"Location Code",$L$7)</t>
  </si>
  <si>
    <t>=NL("Sum","Item Ledger Entry","Quantity","Entry Type","Consumption","Entry No.",I163,"Location Code",$L$7)</t>
  </si>
  <si>
    <t>=NL("Sum","Item Ledger Entry","Quantity","Entry Type","Consumption","Entry No.",I164,"Location Code",$L$7)</t>
  </si>
  <si>
    <t>=NL("Sum","Item Ledger Entry","Quantity","Entry Type","Output","Entry No.",I163,"Location Code",$L$7)</t>
  </si>
  <si>
    <t>=NL("Sum","Item Ledger Entry","Quantity","Entry Type","Output","Entry No.",I164,"Location Code",$L$7)</t>
  </si>
  <si>
    <t>=NL("Sum","Item Ledger Entry","Quantity","Entry Type","Purchase","Entry No.",I152,"Location Code",$L$7)</t>
  </si>
  <si>
    <t>=NL("Sum","Item Ledger Entry","Quantity","Entry Type","Purchase","Entry No.",I153,"Location Code",$L$7)</t>
  </si>
  <si>
    <t>=NL("Sum","Item Ledger Entry","Quantity","Entry Type","Sale","Entry No.",I152,"Location Code",$L$7)</t>
  </si>
  <si>
    <t>=NL("Sum","Item Ledger Entry","Quantity","Entry Type","Sale","Entry No.",I153,"Location Code",$L$7)</t>
  </si>
  <si>
    <t>=NL("Sum","Item Ledger Entry","Quantity","Entry Type","Positive Adjmt.|Negative Adjmt.","Entry No.",I152,"Location Code",$L$7)</t>
  </si>
  <si>
    <t>=NL("Sum","Item Ledger Entry","Quantity","Entry Type","Positive Adjmt.|Negative Adjmt.","Entry No.",I153,"Location Code",$L$7)</t>
  </si>
  <si>
    <t>=NL("Sum","Item Ledger Entry","Quantity","Entry Type","Transfer","Entry No.",I152,"Location Code",$L$7)</t>
  </si>
  <si>
    <t>=NL("Sum","Item Ledger Entry","Quantity","Entry Type","Transfer","Entry No.",I153,"Location Code",$L$7)</t>
  </si>
  <si>
    <t>=NL("Sum","Item Ledger Entry","Quantity","Entry Type","Consumption","Entry No.",I152,"Location Code",$L$7)</t>
  </si>
  <si>
    <t>=NL("Sum","Item Ledger Entry","Quantity","Entry Type","Consumption","Entry No.",I153,"Location Code",$L$7)</t>
  </si>
  <si>
    <t>=NL("Sum","Item Ledger Entry","Quantity","Entry Type","Output","Entry No.",I152,"Location Code",$L$7)</t>
  </si>
  <si>
    <t>=NL("Sum","Item Ledger Entry","Quantity","Entry Type","Output","Entry No.",I153,"Location Code",$L$7)</t>
  </si>
  <si>
    <t>=NL("Sum","Item Ledger Entry","Quantity","Entry Type","Purchase","Entry No.",I86,"Location Code",$L$7)</t>
  </si>
  <si>
    <t>=NL("Sum","Item Ledger Entry","Quantity","Entry Type","Purchase","Entry No.",I87,"Location Code",$L$7)</t>
  </si>
  <si>
    <t>=NL("Sum","Item Ledger Entry","Quantity","Entry Type","Sale","Entry No.",I86,"Location Code",$L$7)</t>
  </si>
  <si>
    <t>=NL("Sum","Item Ledger Entry","Quantity","Entry Type","Sale","Entry No.",I87,"Location Code",$L$7)</t>
  </si>
  <si>
    <t>=NL("Sum","Item Ledger Entry","Quantity","Entry Type","Positive Adjmt.|Negative Adjmt.","Entry No.",I86,"Location Code",$L$7)</t>
  </si>
  <si>
    <t>=NL("Sum","Item Ledger Entry","Quantity","Entry Type","Positive Adjmt.|Negative Adjmt.","Entry No.",I87,"Location Code",$L$7)</t>
  </si>
  <si>
    <t>=NL("Sum","Item Ledger Entry","Quantity","Entry Type","Transfer","Entry No.",I86,"Location Code",$L$7)</t>
  </si>
  <si>
    <t>=NL("Sum","Item Ledger Entry","Quantity","Entry Type","Transfer","Entry No.",I87,"Location Code",$L$7)</t>
  </si>
  <si>
    <t>=NL("Sum","Item Ledger Entry","Quantity","Entry Type","Consumption","Entry No.",I86,"Location Code",$L$7)</t>
  </si>
  <si>
    <t>=NL("Sum","Item Ledger Entry","Quantity","Entry Type","Consumption","Entry No.",I87,"Location Code",$L$7)</t>
  </si>
  <si>
    <t>=NL("Sum","Item Ledger Entry","Quantity","Entry Type","Output","Entry No.",I86,"Location Code",$L$7)</t>
  </si>
  <si>
    <t>=NL("Sum","Item Ledger Entry","Quantity","Entry Type","Output","Entry No.",I87,"Location Code",$L$7)</t>
  </si>
  <si>
    <t>=E27</t>
  </si>
  <si>
    <t>=NL("First","Item","Description","No.",$E27)</t>
  </si>
  <si>
    <t>=NL("First","Item","Base Unit of Measure","No.",$E27)</t>
  </si>
  <si>
    <t>=(SUBTOTAL(9,O28:O31))</t>
  </si>
  <si>
    <t>=(SUBTOTAL(9,P28:P31))</t>
  </si>
  <si>
    <t>=(SUBTOTAL(9,Q28:Q31))</t>
  </si>
  <si>
    <t>=(SUBTOTAL(9,R28:R31))</t>
  </si>
  <si>
    <t>=(SUBTOTAL(9,S28:S31))</t>
  </si>
  <si>
    <t>=(SUBTOTAL(9,T28:T31))</t>
  </si>
  <si>
    <t>=SUBTOTAL(9,O28:T31)</t>
  </si>
  <si>
    <t>=(SUBTOTAL(9,O75:O77))</t>
  </si>
  <si>
    <t>=(SUBTOTAL(9,P75:P77))</t>
  </si>
  <si>
    <t>=(SUBTOTAL(9,Q75:Q77))</t>
  </si>
  <si>
    <t>=(SUBTOTAL(9,R75:R77))</t>
  </si>
  <si>
    <t>=(SUBTOTAL(9,S75:S77))</t>
  </si>
  <si>
    <t>=(SUBTOTAL(9,T75:T77))</t>
  </si>
  <si>
    <t>=SUBTOTAL(9,O75:T77)</t>
  </si>
  <si>
    <t>=E79</t>
  </si>
  <si>
    <t>=NL("First","Item","Description","No.",$E79)</t>
  </si>
  <si>
    <t>=NL("First","Item","Base Unit of Measure","No.",$E79)</t>
  </si>
  <si>
    <t>=NL("Rows","Item Ledger Entry",,"+Posting Date",$L$5,"Item No.","@@"&amp;$D80,"Location Code","@@"&amp;$E$6)</t>
  </si>
  <si>
    <t>=(SUBTOTAL(9,O150:O152))</t>
  </si>
  <si>
    <t>=(SUBTOTAL(9,P150:P152))</t>
  </si>
  <si>
    <t>=(SUBTOTAL(9,Q150:Q152))</t>
  </si>
  <si>
    <t>=(SUBTOTAL(9,R150:R152))</t>
  </si>
  <si>
    <t>=(SUBTOTAL(9,S150:S152))</t>
  </si>
  <si>
    <t>=(SUBTOTAL(9,T150:T152))</t>
  </si>
  <si>
    <t>=SUBTOTAL(9,O150:T152)</t>
  </si>
  <si>
    <t>=E154</t>
  </si>
  <si>
    <t>=NL("First","Item","Description","No.",$E154)</t>
  </si>
  <si>
    <t>=NL("First","Item","Base Unit of Measure","No.",$E154)</t>
  </si>
  <si>
    <t>=(SUBTOTAL(9,O155:O156))</t>
  </si>
  <si>
    <t>=(SUBTOTAL(9,P155:P156))</t>
  </si>
  <si>
    <t>=(SUBTOTAL(9,Q155:Q156))</t>
  </si>
  <si>
    <t>=(SUBTOTAL(9,R155:R156))</t>
  </si>
  <si>
    <t>=(SUBTOTAL(9,S155:S156))</t>
  </si>
  <si>
    <t>=(SUBTOTAL(9,T155:T156))</t>
  </si>
  <si>
    <t>=SUBTOTAL(9,O155:T156)</t>
  </si>
  <si>
    <t>=NL("Rows","Item Ledger Entry",,"+Posting Date",$L$5,"Item No.","@@"&amp;$D155,"Location Code","@@"&amp;$E$6)</t>
  </si>
  <si>
    <t>=E162</t>
  </si>
  <si>
    <t>=NL("First","Item","Description","No.",$E162)</t>
  </si>
  <si>
    <t>=NL("First","Item","Base Unit of Measure","No.",$E162)</t>
  </si>
  <si>
    <t>=(SUBTOTAL(9,O192:O194))</t>
  </si>
  <si>
    <t>=(SUBTOTAL(9,P192:P194))</t>
  </si>
  <si>
    <t>=(SUBTOTAL(9,Q192:Q194))</t>
  </si>
  <si>
    <t>=(SUBTOTAL(9,R192:R194))</t>
  </si>
  <si>
    <t>=(SUBTOTAL(9,S192:S194))</t>
  </si>
  <si>
    <t>=(SUBTOTAL(9,T192:T194))</t>
  </si>
  <si>
    <t>=SUBTOTAL(9,O192:T194)</t>
  </si>
  <si>
    <t>=E196</t>
  </si>
  <si>
    <t>=NL("First","Item","Description","No.",$E196)</t>
  </si>
  <si>
    <t>=NL("First","Item","Base Unit of Measure","No.",$E196)</t>
  </si>
  <si>
    <t>=(SUBTOTAL(9,O201:O202))</t>
  </si>
  <si>
    <t>=(SUBTOTAL(9,P201:P202))</t>
  </si>
  <si>
    <t>=(SUBTOTAL(9,Q201:Q202))</t>
  </si>
  <si>
    <t>=(SUBTOTAL(9,R201:R202))</t>
  </si>
  <si>
    <t>=(SUBTOTAL(9,S201:S202))</t>
  </si>
  <si>
    <t>=(SUBTOTAL(9,T201:T202))</t>
  </si>
  <si>
    <t>=SUBTOTAL(9,O201:T202)</t>
  </si>
  <si>
    <t>=E249</t>
  </si>
  <si>
    <t>=NL("First","Item","Description","No.",$E249)</t>
  </si>
  <si>
    <t>=NL("First","Item","Base Unit of Measure","No.",$E249)</t>
  </si>
  <si>
    <t>=NL("Rows","Item Ledger Entry",,"+Posting Date",$L$5,"Item No.","@@"&amp;$D250,"Location Code","@@"&amp;$E$6)</t>
  </si>
  <si>
    <t>=(SUBTOTAL(9,O282:O283))</t>
  </si>
  <si>
    <t>=(SUBTOTAL(9,P282:P283))</t>
  </si>
  <si>
    <t>=(SUBTOTAL(9,Q282:Q283))</t>
  </si>
  <si>
    <t>=(SUBTOTAL(9,R282:R283))</t>
  </si>
  <si>
    <t>=(SUBTOTAL(9,S282:S283))</t>
  </si>
  <si>
    <t>=(SUBTOTAL(9,T282:T283))</t>
  </si>
  <si>
    <t>=SUBTOTAL(9,O282:T283)</t>
  </si>
  <si>
    <t>=(SUBTOTAL(9,O286:O289))</t>
  </si>
  <si>
    <t>=(SUBTOTAL(9,P286:P289))</t>
  </si>
  <si>
    <t>=(SUBTOTAL(9,Q286:Q289))</t>
  </si>
  <si>
    <t>=(SUBTOTAL(9,R286:R289))</t>
  </si>
  <si>
    <t>=(SUBTOTAL(9,S286:S289))</t>
  </si>
  <si>
    <t>=(SUBTOTAL(9,T286:T289))</t>
  </si>
  <si>
    <t>=SUBTOTAL(9,O286:T289)</t>
  </si>
  <si>
    <t>=E328</t>
  </si>
  <si>
    <t>=NL("First","Item","Description","No.",$E328)</t>
  </si>
  <si>
    <t>=NL("First","Item","Base Unit of Measure","No.",$E328)</t>
  </si>
  <si>
    <t>=(SUBTOTAL(9,O329:O330))</t>
  </si>
  <si>
    <t>=(SUBTOTAL(9,P329:P330))</t>
  </si>
  <si>
    <t>=(SUBTOTAL(9,Q329:Q330))</t>
  </si>
  <si>
    <t>=(SUBTOTAL(9,R329:R330))</t>
  </si>
  <si>
    <t>=(SUBTOTAL(9,S329:S330))</t>
  </si>
  <si>
    <t>=(SUBTOTAL(9,T329:T330))</t>
  </si>
  <si>
    <t>=SUBTOTAL(9,O329:T330)</t>
  </si>
  <si>
    <t>=NL("Sum","Item Ledger Entry","Quantity","Entry Type","Purchase","Entry No.",I352,"Location Code","@@"&amp;$E$6)</t>
  </si>
  <si>
    <t>=NL("Sum","Item Ledger Entry","Quantity","Entry Type","Sale","Entry No.",I352,"Location Code","@@"&amp;$E$6)</t>
  </si>
  <si>
    <t>=NL("Sum","Item Ledger Entry","Quantity","Entry Type","Positive Adjmt.|Negative Adjmt.","Entry No.",I352,"Location Code","@@"&amp;$E$6)</t>
  </si>
  <si>
    <t>=NL("Sum","Item Ledger Entry","Quantity","Entry Type","Transfer","Entry No.",I352,"Location Code","@@"&amp;$E$6)</t>
  </si>
  <si>
    <t>=NL("Sum","Item Ledger Entry","Quantity","Entry Type","Consumption","Entry No.",I352,"Location Code","@@"&amp;$E$6)</t>
  </si>
  <si>
    <t>=NL("Sum","Item Ledger Entry","Quantity","Entry Type","Output","Entry No.",I352,"Location Code","@@"&amp;$E$6)</t>
  </si>
  <si>
    <t>=E355</t>
  </si>
  <si>
    <t>=NL("First","Item","Description","No.",$E355)</t>
  </si>
  <si>
    <t>=NL("First","Item","Base Unit of Measure","No.",$E355)</t>
  </si>
  <si>
    <t>=(SUBTOTAL(9,O356:O357))</t>
  </si>
  <si>
    <t>=(SUBTOTAL(9,P356:P357))</t>
  </si>
  <si>
    <t>=(SUBTOTAL(9,Q356:Q357))</t>
  </si>
  <si>
    <t>=(SUBTOTAL(9,R356:R357))</t>
  </si>
  <si>
    <t>=(SUBTOTAL(9,S356:S357))</t>
  </si>
  <si>
    <t>=(SUBTOTAL(9,T356:T357))</t>
  </si>
  <si>
    <t>=SUBTOTAL(9,O356:T357)</t>
  </si>
  <si>
    <t>=NL("Rows","Item Ledger Entry",,"+Posting Date",$L$5,"Item No.","@@"&amp;$D356,"Location Code","@@"&amp;$E$6)</t>
  </si>
  <si>
    <t>=(SUBTOTAL(9,O360:O361))</t>
  </si>
  <si>
    <t>=(SUBTOTAL(9,P360:P361))</t>
  </si>
  <si>
    <t>=(SUBTOTAL(9,Q360:Q361))</t>
  </si>
  <si>
    <t>=(SUBTOTAL(9,R360:R361))</t>
  </si>
  <si>
    <t>=(SUBTOTAL(9,S360:S361))</t>
  </si>
  <si>
    <t>=(SUBTOTAL(9,T360:T361))</t>
  </si>
  <si>
    <t>=SUBTOTAL(9,O360:T361)</t>
  </si>
  <si>
    <t>=E363</t>
  </si>
  <si>
    <t>=NL("First","Item","Description","No.",$E363)</t>
  </si>
  <si>
    <t>=NL("First","Item","Base Unit of Measure","No.",$E363)</t>
  </si>
  <si>
    <t>=NL("Rows","Item Ledger Entry",,"+Posting Date",$L$5,"Item No.","@@"&amp;$D364,"Location Code","@@"&amp;$E$6)</t>
  </si>
  <si>
    <t>=E406</t>
  </si>
  <si>
    <t>=NL("First","Item","Description","No.",$E406)</t>
  </si>
  <si>
    <t>=NL("First","Item","Base Unit of Measure","No.",$E406)</t>
  </si>
  <si>
    <t>=E52</t>
  </si>
  <si>
    <t>=NL("First","Item","Description","No.",$E52)</t>
  </si>
  <si>
    <t>=NL("First","Item","Base Unit of Measure","No.",$E52)</t>
  </si>
  <si>
    <t>=NL("Rows","Item Ledger Entry",,"+Posting Date",$L$5,"Item No.","@@"&amp;$D53,"Location Code","@@"&amp;$E$6)</t>
  </si>
  <si>
    <t>=E156</t>
  </si>
  <si>
    <t>=NL("First","Item","Description","No.",$E156)</t>
  </si>
  <si>
    <t>=NL("First","Item","Base Unit of Measure","No.",$E156)</t>
  </si>
  <si>
    <t>=(SUBTOTAL(9,O165:O167))</t>
  </si>
  <si>
    <t>=(SUBTOTAL(9,P165:P167))</t>
  </si>
  <si>
    <t>=(SUBTOTAL(9,Q165:Q167))</t>
  </si>
  <si>
    <t>=(SUBTOTAL(9,R165:R167))</t>
  </si>
  <si>
    <t>=(SUBTOTAL(9,S165:S167))</t>
  </si>
  <si>
    <t>=(SUBTOTAL(9,T165:T167))</t>
  </si>
  <si>
    <t>=SUBTOTAL(9,O165:T167)</t>
  </si>
  <si>
    <t>=(SUBTOTAL(9,O304:O305))</t>
  </si>
  <si>
    <t>=(SUBTOTAL(9,P304:P305))</t>
  </si>
  <si>
    <t>=(SUBTOTAL(9,Q304:Q305))</t>
  </si>
  <si>
    <t>=(SUBTOTAL(9,R304:R305))</t>
  </si>
  <si>
    <t>=(SUBTOTAL(9,S304:S305))</t>
  </si>
  <si>
    <t>=(SUBTOTAL(9,T304:T305))</t>
  </si>
  <si>
    <t>=SUBTOTAL(9,O304:T305)</t>
  </si>
  <si>
    <t>=NL("Rows","Item Ledger Entry",,"+Posting Date",$L$5,"Item No.","@@"&amp;$D369,"Location Code","@@"&amp;$E$6)</t>
  </si>
  <si>
    <t>=(SUBTOTAL(9,O425:O426))</t>
  </si>
  <si>
    <t>=(SUBTOTAL(9,P425:P426))</t>
  </si>
  <si>
    <t>=(SUBTOTAL(9,Q425:Q426))</t>
  </si>
  <si>
    <t>=(SUBTOTAL(9,R425:R426))</t>
  </si>
  <si>
    <t>=(SUBTOTAL(9,S425:S426))</t>
  </si>
  <si>
    <t>=(SUBTOTAL(9,T425:T426))</t>
  </si>
  <si>
    <t>=SUBTOTAL(9,O425:T426)</t>
  </si>
  <si>
    <t>=(SUBTOTAL(9,O429:O431))</t>
  </si>
  <si>
    <t>=(SUBTOTAL(9,P429:P431))</t>
  </si>
  <si>
    <t>=(SUBTOTAL(9,Q429:Q431))</t>
  </si>
  <si>
    <t>=(SUBTOTAL(9,R429:R431))</t>
  </si>
  <si>
    <t>=(SUBTOTAL(9,S429:S431))</t>
  </si>
  <si>
    <t>=(SUBTOTAL(9,T429:T431))</t>
  </si>
  <si>
    <t>=SUBTOTAL(9,O429:T431)</t>
  </si>
  <si>
    <t>=E433</t>
  </si>
  <si>
    <t>=NL("First","Item","Description","No.",$E433)</t>
  </si>
  <si>
    <t>=NL("First","Item","Base Unit of Measure","No.",$E433)</t>
  </si>
  <si>
    <t>=(SUBTOTAL(9,O439:O440))</t>
  </si>
  <si>
    <t>=(SUBTOTAL(9,P439:P440))</t>
  </si>
  <si>
    <t>=(SUBTOTAL(9,Q439:Q440))</t>
  </si>
  <si>
    <t>=(SUBTOTAL(9,R439:R440))</t>
  </si>
  <si>
    <t>=(SUBTOTAL(9,S439:S440))</t>
  </si>
  <si>
    <t>=(SUBTOTAL(9,T439:T440))</t>
  </si>
  <si>
    <t>=SUBTOTAL(9,O439:T440)</t>
  </si>
  <si>
    <t>=E442</t>
  </si>
  <si>
    <t>=NL("First","Item","Description","No.",$E442)</t>
  </si>
  <si>
    <t>=NL("First","Item","Base Unit of Measure","No.",$E442)</t>
  </si>
  <si>
    <t>=NL("Rows","Item Ledger Entry",,"+Posting Date",$L$5,"Item No.","@@"&amp;$D443,"Location Code","@@"&amp;$E$6)</t>
  </si>
  <si>
    <t>=E478</t>
  </si>
  <si>
    <t>=NL("First","Item","Description","No.",$E478)</t>
  </si>
  <si>
    <t>=NL("First","Item","Base Unit of Measure","No.",$E478)</t>
  </si>
  <si>
    <t>=NL("Rows","Item Ledger Entry",,"+Posting Date",$L$5,"Item No.","@@"&amp;$D479,"Location Code","@@"&amp;$E$6)</t>
  </si>
  <si>
    <t>=E557</t>
  </si>
  <si>
    <t>=NL("First","Item","Description","No.",$E557)</t>
  </si>
  <si>
    <t>=NL("First","Item","Base Unit of Measure","No.",$E557)</t>
  </si>
  <si>
    <t>=NL("Rows","Item Ledger Entry",,"+Posting Date",$L$5,"Item No.","@@"&amp;$D558,"Location Code","@@"&amp;$E$6)</t>
  </si>
  <si>
    <t>=E569</t>
  </si>
  <si>
    <t>=NL("First","Item","Description","No.",$E569)</t>
  </si>
  <si>
    <t>=NL("First","Item","Base Unit of Measure","No.",$E569)</t>
  </si>
  <si>
    <t>=(SUBTOTAL(9,O570:O571))</t>
  </si>
  <si>
    <t>=(SUBTOTAL(9,P570:P571))</t>
  </si>
  <si>
    <t>=(SUBTOTAL(9,Q570:Q571))</t>
  </si>
  <si>
    <t>=(SUBTOTAL(9,R570:R571))</t>
  </si>
  <si>
    <t>=(SUBTOTAL(9,S570:S571))</t>
  </si>
  <si>
    <t>=(SUBTOTAL(9,T570:T571))</t>
  </si>
  <si>
    <t>=SUBTOTAL(9,O570:T571)</t>
  </si>
  <si>
    <t>=NL("Rows","Item Ledger Entry",,"+Posting Date",$L$5,"Item No.","@@"&amp;$D570,"Location Code","@@"&amp;$E$6)</t>
  </si>
  <si>
    <t>=E597</t>
  </si>
  <si>
    <t>=NL("First","Item","Description","No.",$E597)</t>
  </si>
  <si>
    <t>=NL("First","Item","Base Unit of Measure","No.",$E597)</t>
  </si>
  <si>
    <t>=(SUBTOTAL(9,O598:O600))</t>
  </si>
  <si>
    <t>=(SUBTOTAL(9,P598:P600))</t>
  </si>
  <si>
    <t>=(SUBTOTAL(9,Q598:Q600))</t>
  </si>
  <si>
    <t>=(SUBTOTAL(9,R598:R600))</t>
  </si>
  <si>
    <t>=(SUBTOTAL(9,S598:S600))</t>
  </si>
  <si>
    <t>=(SUBTOTAL(9,T598:T600))</t>
  </si>
  <si>
    <t>=SUBTOTAL(9,O598:T600)</t>
  </si>
  <si>
    <t>=(SUBTOTAL(9,O603:O606))</t>
  </si>
  <si>
    <t>=(SUBTOTAL(9,P603:P606))</t>
  </si>
  <si>
    <t>=(SUBTOTAL(9,Q603:Q606))</t>
  </si>
  <si>
    <t>=(SUBTOTAL(9,R603:R606))</t>
  </si>
  <si>
    <t>=(SUBTOTAL(9,S603:S606))</t>
  </si>
  <si>
    <t>=(SUBTOTAL(9,T603:T606))</t>
  </si>
  <si>
    <t>=SUBTOTAL(9,O603:T606)</t>
  </si>
  <si>
    <t>=NL("Sum","Item Ledger Entry","Quantity","Entry Type","Purchase","Entry No.",I323,"Location Code","@@"&amp;$E$6)</t>
  </si>
  <si>
    <t>=NL("Sum","Item Ledger Entry","Quantity","Entry Type","Sale","Entry No.",I323,"Location Code","@@"&amp;$E$6)</t>
  </si>
  <si>
    <t>=NL("Sum","Item Ledger Entry","Quantity","Entry Type","Positive Adjmt.|Negative Adjmt.","Entry No.",I323,"Location Code","@@"&amp;$E$6)</t>
  </si>
  <si>
    <t>=NL("Sum","Item Ledger Entry","Quantity","Entry Type","Transfer","Entry No.",I323,"Location Code","@@"&amp;$E$6)</t>
  </si>
  <si>
    <t>=NL("Sum","Item Ledger Entry","Quantity","Entry Type","Consumption","Entry No.",I323,"Location Code","@@"&amp;$E$6)</t>
  </si>
  <si>
    <t>=NL("Sum","Item Ledger Entry","Quantity","Entry Type","Output","Entry No.",I323,"Location Code","@@"&amp;$E$6)</t>
  </si>
  <si>
    <t>=E246</t>
  </si>
  <si>
    <t>=NL("First","Item","Description","No.",$E246)</t>
  </si>
  <si>
    <t>=NL("First","Item","Base Unit of Measure","No.",$E246)</t>
  </si>
  <si>
    <t>=E454</t>
  </si>
  <si>
    <t>=NL("First","Item","Description","No.",$E454)</t>
  </si>
  <si>
    <t>=NL("First","Item","Base Unit of Measure","No.",$E454)</t>
  </si>
  <si>
    <t>=NL("Rows","Item Ledger Entry",,"+Posting Date",$L$5,"Item No.","@@"&amp;$D455,"Location Code","@@"&amp;$E$6)</t>
  </si>
  <si>
    <t>=E536</t>
  </si>
  <si>
    <t>=NL("First","Item","Description","No.",$E536)</t>
  </si>
  <si>
    <t>=NL("First","Item","Base Unit of Measure","No.",$E536)</t>
  </si>
  <si>
    <t>=NL("Rows","Item Ledger Entry",,"+Posting Date",$L$5,"Item No.","@@"&amp;$D537,"Location Code","@@"&amp;$E$6)</t>
  </si>
  <si>
    <t>=NL("Sum","Item Ledger Entry","Quantity","Entry Type","Purchase","Entry No.",I242,"Location Code","@@"&amp;$E$6)</t>
  </si>
  <si>
    <t>=NL("Sum","Item Ledger Entry","Quantity","Entry Type","Sale","Entry No.",I242,"Location Code","@@"&amp;$E$6)</t>
  </si>
  <si>
    <t>=NL("Sum","Item Ledger Entry","Quantity","Entry Type","Positive Adjmt.|Negative Adjmt.","Entry No.",I242,"Location Code","@@"&amp;$E$6)</t>
  </si>
  <si>
    <t>=NL("Sum","Item Ledger Entry","Quantity","Entry Type","Transfer","Entry No.",I242,"Location Code","@@"&amp;$E$6)</t>
  </si>
  <si>
    <t>=NL("Sum","Item Ledger Entry","Quantity","Entry Type","Consumption","Entry No.",I242,"Location Code","@@"&amp;$E$6)</t>
  </si>
  <si>
    <t>=NL("Sum","Item Ledger Entry","Quantity","Entry Type","Output","Entry No.",I242,"Location Code","@@"&amp;$E$6)</t>
  </si>
  <si>
    <t>=(SUBTOTAL(9,O238:O239))</t>
  </si>
  <si>
    <t>=(SUBTOTAL(9,P238:P239))</t>
  </si>
  <si>
    <t>=(SUBTOTAL(9,Q238:Q239))</t>
  </si>
  <si>
    <t>=(SUBTOTAL(9,R238:R239))</t>
  </si>
  <si>
    <t>=(SUBTOTAL(9,S238:S239))</t>
  </si>
  <si>
    <t>=(SUBTOTAL(9,T238:T239))</t>
  </si>
  <si>
    <t>=SUBTOTAL(9,O238:T239)</t>
  </si>
  <si>
    <t>=E241</t>
  </si>
  <si>
    <t>=NL("First","Item","Description","No.",$E241)</t>
  </si>
  <si>
    <t>=NL("First","Item","Base Unit of Measure","No.",$E241)</t>
  </si>
  <si>
    <t>=(SUBTOTAL(9,O242:O243))</t>
  </si>
  <si>
    <t>=(SUBTOTAL(9,P242:P243))</t>
  </si>
  <si>
    <t>=(SUBTOTAL(9,Q242:Q243))</t>
  </si>
  <si>
    <t>=(SUBTOTAL(9,R242:R243))</t>
  </si>
  <si>
    <t>=(SUBTOTAL(9,S242:S243))</t>
  </si>
  <si>
    <t>=(SUBTOTAL(9,T242:T243))</t>
  </si>
  <si>
    <t>=SUBTOTAL(9,O242:T243)</t>
  </si>
  <si>
    <t>=NL("Rows","Item Ledger Entry",,"+Posting Date",$L$5,"Item No.","@@"&amp;$D242,"Location Code","@@"&amp;$E$6)</t>
  </si>
  <si>
    <t>=NL("Rows","Item Ledger Entry",,"+Posting Date",$L$5,"Item No.","@@"&amp;$D246,"Location Code","@@"&amp;$E$6)</t>
  </si>
  <si>
    <t>=(SUBTOTAL(9,O258:O259))</t>
  </si>
  <si>
    <t>=(SUBTOTAL(9,P258:P259))</t>
  </si>
  <si>
    <t>=(SUBTOTAL(9,Q258:Q259))</t>
  </si>
  <si>
    <t>=(SUBTOTAL(9,R258:R259))</t>
  </si>
  <si>
    <t>=(SUBTOTAL(9,S258:S259))</t>
  </si>
  <si>
    <t>=(SUBTOTAL(9,T258:T259))</t>
  </si>
  <si>
    <t>=SUBTOTAL(9,O258:T259)</t>
  </si>
  <si>
    <t>=E261</t>
  </si>
  <si>
    <t>=NL("First","Item","Description","No.",$E261)</t>
  </si>
  <si>
    <t>=NL("First","Item","Base Unit of Measure","No.",$E261)</t>
  </si>
  <si>
    <t>=(SUBTOTAL(9,O262:O264))</t>
  </si>
  <si>
    <t>=(SUBTOTAL(9,P262:P264))</t>
  </si>
  <si>
    <t>=(SUBTOTAL(9,Q262:Q264))</t>
  </si>
  <si>
    <t>=(SUBTOTAL(9,R262:R264))</t>
  </si>
  <si>
    <t>=(SUBTOTAL(9,S262:S264))</t>
  </si>
  <si>
    <t>=(SUBTOTAL(9,T262:T264))</t>
  </si>
  <si>
    <t>=SUBTOTAL(9,O262:T264)</t>
  </si>
  <si>
    <t>=NL("Rows","Item Ledger Entry",,"+Posting Date",$L$5,"Item No.","@@"&amp;$D262,"Location Code","@@"&amp;$E$6)</t>
  </si>
  <si>
    <t>=E405</t>
  </si>
  <si>
    <t>=NL("First","Item","Description","No.",$E405)</t>
  </si>
  <si>
    <t>=NL("First","Item","Base Unit of Measure","No.",$E405)</t>
  </si>
  <si>
    <t>=NL("Rows","Item Ledger Entry",,"+Posting Date",$L$5,"Item No.","@@"&amp;$D406,"Location Code","@@"&amp;$E$6)</t>
  </si>
  <si>
    <t>=E434</t>
  </si>
  <si>
    <t>=NL("First","Item","Description","No.",$E434)</t>
  </si>
  <si>
    <t>=NL("First","Item","Base Unit of Measure","No.",$E434)</t>
  </si>
  <si>
    <t>=NL("Rows","Item Ledger Entry",,"+Posting Date",$L$5,"Item No.","@@"&amp;$D435,"Location Code","@@"&amp;$E$6)</t>
  </si>
  <si>
    <t>=E514</t>
  </si>
  <si>
    <t>=NL("First","Item","Description","No.",$E514)</t>
  </si>
  <si>
    <t>=NL("First","Item","Base Unit of Measure","No.",$E514)</t>
  </si>
  <si>
    <t>=(SUBTOTAL(9,O515:O518))</t>
  </si>
  <si>
    <t>=(SUBTOTAL(9,P515:P518))</t>
  </si>
  <si>
    <t>=(SUBTOTAL(9,Q515:Q518))</t>
  </si>
  <si>
    <t>=(SUBTOTAL(9,R515:R518))</t>
  </si>
  <si>
    <t>=(SUBTOTAL(9,S515:S518))</t>
  </si>
  <si>
    <t>=(SUBTOTAL(9,T515:T518))</t>
  </si>
  <si>
    <t>=SUBTOTAL(9,O515:T518)</t>
  </si>
  <si>
    <t>=NL("Rows","Item Ledger Entry",,"+Posting Date",$L$5,"Item No.","@@"&amp;$D515,"Location Code","@@"&amp;$E$6)</t>
  </si>
  <si>
    <t>=NL("Rows","Item Ledger Entry",,"+Posting Date",$L$5,"Item No.","@@"&amp;$D554,"Location Code","@@"&amp;$E$6)</t>
  </si>
  <si>
    <t>=E681</t>
  </si>
  <si>
    <t>=NL("First","Item","Description","No.",$E681)</t>
  </si>
  <si>
    <t>=NL("First","Item","Base Unit of Measure","No.",$E681)</t>
  </si>
  <si>
    <t>=(SUBTOTAL(9,O42:O46))</t>
  </si>
  <si>
    <t>=(SUBTOTAL(9,P42:P46))</t>
  </si>
  <si>
    <t>=(SUBTOTAL(9,Q42:Q46))</t>
  </si>
  <si>
    <t>=(SUBTOTAL(9,R42:R46))</t>
  </si>
  <si>
    <t>=(SUBTOTAL(9,S42:S46))</t>
  </si>
  <si>
    <t>=(SUBTOTAL(9,T42:T46))</t>
  </si>
  <si>
    <t>=SUBTOTAL(9,O42:T46)</t>
  </si>
  <si>
    <t>=(SUBTOTAL(9,O49:O50))</t>
  </si>
  <si>
    <t>=(SUBTOTAL(9,P49:P50))</t>
  </si>
  <si>
    <t>=(SUBTOTAL(9,Q49:Q50))</t>
  </si>
  <si>
    <t>=(SUBTOTAL(9,R49:R50))</t>
  </si>
  <si>
    <t>=(SUBTOTAL(9,S49:S50))</t>
  </si>
  <si>
    <t>=(SUBTOTAL(9,T49:T50))</t>
  </si>
  <si>
    <t>=SUBTOTAL(9,O49:T50)</t>
  </si>
  <si>
    <t>=(SUBTOTAL(9,O53:O54))</t>
  </si>
  <si>
    <t>=(SUBTOTAL(9,P53:P54))</t>
  </si>
  <si>
    <t>=(SUBTOTAL(9,Q53:Q54))</t>
  </si>
  <si>
    <t>=(SUBTOTAL(9,R53:R54))</t>
  </si>
  <si>
    <t>=(SUBTOTAL(9,S53:S54))</t>
  </si>
  <si>
    <t>=(SUBTOTAL(9,T53:T54))</t>
  </si>
  <si>
    <t>=SUBTOTAL(9,O53:T54)</t>
  </si>
  <si>
    <t>=(SUBTOTAL(9,O57:O58))</t>
  </si>
  <si>
    <t>=(SUBTOTAL(9,P57:P58))</t>
  </si>
  <si>
    <t>=(SUBTOTAL(9,Q57:Q58))</t>
  </si>
  <si>
    <t>=(SUBTOTAL(9,R57:R58))</t>
  </si>
  <si>
    <t>=(SUBTOTAL(9,S57:S58))</t>
  </si>
  <si>
    <t>=(SUBTOTAL(9,T57:T58))</t>
  </si>
  <si>
    <t>=SUBTOTAL(9,O57:T58)</t>
  </si>
  <si>
    <t>=(SUBTOTAL(9,O66:O68))</t>
  </si>
  <si>
    <t>=(SUBTOTAL(9,P66:P68))</t>
  </si>
  <si>
    <t>=(SUBTOTAL(9,Q66:Q68))</t>
  </si>
  <si>
    <t>=(SUBTOTAL(9,R66:R68))</t>
  </si>
  <si>
    <t>=(SUBTOTAL(9,S66:S68))</t>
  </si>
  <si>
    <t>=(SUBTOTAL(9,T66:T68))</t>
  </si>
  <si>
    <t>=SUBTOTAL(9,O66:T68)</t>
  </si>
  <si>
    <t>=(SUBTOTAL(9,O71:O72))</t>
  </si>
  <si>
    <t>=(SUBTOTAL(9,P71:P72))</t>
  </si>
  <si>
    <t>=(SUBTOTAL(9,Q71:Q72))</t>
  </si>
  <si>
    <t>=(SUBTOTAL(9,R71:R72))</t>
  </si>
  <si>
    <t>=(SUBTOTAL(9,S71:S72))</t>
  </si>
  <si>
    <t>=(SUBTOTAL(9,T71:T72))</t>
  </si>
  <si>
    <t>=SUBTOTAL(9,O71:T72)</t>
  </si>
  <si>
    <t>=(SUBTOTAL(9,O80:O82))</t>
  </si>
  <si>
    <t>=(SUBTOTAL(9,P80:P82))</t>
  </si>
  <si>
    <t>=(SUBTOTAL(9,Q80:Q82))</t>
  </si>
  <si>
    <t>=(SUBTOTAL(9,R80:R82))</t>
  </si>
  <si>
    <t>=(SUBTOTAL(9,S80:S82))</t>
  </si>
  <si>
    <t>=(SUBTOTAL(9,T80:T82))</t>
  </si>
  <si>
    <t>=SUBTOTAL(9,O80:T82)</t>
  </si>
  <si>
    <t>=(SUBTOTAL(9,O108:O110))</t>
  </si>
  <si>
    <t>=(SUBTOTAL(9,P108:P110))</t>
  </si>
  <si>
    <t>=(SUBTOTAL(9,Q108:Q110))</t>
  </si>
  <si>
    <t>=(SUBTOTAL(9,R108:R110))</t>
  </si>
  <si>
    <t>=(SUBTOTAL(9,S108:S110))</t>
  </si>
  <si>
    <t>=(SUBTOTAL(9,T108:T110))</t>
  </si>
  <si>
    <t>=SUBTOTAL(9,O108:T110)</t>
  </si>
  <si>
    <t>=(SUBTOTAL(9,O119:O122))</t>
  </si>
  <si>
    <t>=(SUBTOTAL(9,P119:P122))</t>
  </si>
  <si>
    <t>=(SUBTOTAL(9,Q119:Q122))</t>
  </si>
  <si>
    <t>=(SUBTOTAL(9,R119:R122))</t>
  </si>
  <si>
    <t>=(SUBTOTAL(9,S119:S122))</t>
  </si>
  <si>
    <t>=(SUBTOTAL(9,T119:T122))</t>
  </si>
  <si>
    <t>=SUBTOTAL(9,O119:T122)</t>
  </si>
  <si>
    <t>=(SUBTOTAL(9,O125:O127))</t>
  </si>
  <si>
    <t>=(SUBTOTAL(9,P125:P127))</t>
  </si>
  <si>
    <t>=(SUBTOTAL(9,Q125:Q127))</t>
  </si>
  <si>
    <t>=(SUBTOTAL(9,R125:R127))</t>
  </si>
  <si>
    <t>=(SUBTOTAL(9,S125:S127))</t>
  </si>
  <si>
    <t>=(SUBTOTAL(9,T125:T127))</t>
  </si>
  <si>
    <t>=SUBTOTAL(9,O125:T127)</t>
  </si>
  <si>
    <t>=(SUBTOTAL(9,O130:O132))</t>
  </si>
  <si>
    <t>=(SUBTOTAL(9,P130:P132))</t>
  </si>
  <si>
    <t>=(SUBTOTAL(9,Q130:Q132))</t>
  </si>
  <si>
    <t>=(SUBTOTAL(9,R130:R132))</t>
  </si>
  <si>
    <t>=(SUBTOTAL(9,S130:S132))</t>
  </si>
  <si>
    <t>=(SUBTOTAL(9,T130:T132))</t>
  </si>
  <si>
    <t>=SUBTOTAL(9,O130:T132)</t>
  </si>
  <si>
    <t>=E134</t>
  </si>
  <si>
    <t>=NL("First","Item","Description","No.",$E134)</t>
  </si>
  <si>
    <t>=NL("First","Item","Base Unit of Measure","No.",$E134)</t>
  </si>
  <si>
    <t>=(SUBTOTAL(9,O135:O138))</t>
  </si>
  <si>
    <t>=(SUBTOTAL(9,P135:P138))</t>
  </si>
  <si>
    <t>=(SUBTOTAL(9,Q135:Q138))</t>
  </si>
  <si>
    <t>=(SUBTOTAL(9,R135:R138))</t>
  </si>
  <si>
    <t>=(SUBTOTAL(9,S135:S138))</t>
  </si>
  <si>
    <t>=(SUBTOTAL(9,T135:T138))</t>
  </si>
  <si>
    <t>=SUBTOTAL(9,O135:T138)</t>
  </si>
  <si>
    <t>=NL("Rows","Item Ledger Entry",,"+Posting Date",$L$5,"Item No.","@@"&amp;$D135,"Location Code","@@"&amp;$E$6)</t>
  </si>
  <si>
    <t>=(SUBTOTAL(9,O141:O142))</t>
  </si>
  <si>
    <t>=(SUBTOTAL(9,P141:P142))</t>
  </si>
  <si>
    <t>=(SUBTOTAL(9,Q141:Q142))</t>
  </si>
  <si>
    <t>=(SUBTOTAL(9,R141:R142))</t>
  </si>
  <si>
    <t>=(SUBTOTAL(9,S141:S142))</t>
  </si>
  <si>
    <t>=(SUBTOTAL(9,T141:T142))</t>
  </si>
  <si>
    <t>=SUBTOTAL(9,O141:T142)</t>
  </si>
  <si>
    <t>=NL("Rows","Item Ledger Entry",,"+Posting Date",$L$5,"Item No.","@@"&amp;$D141,"Location Code","@@"&amp;$E$6)</t>
  </si>
  <si>
    <t>=(SUBTOTAL(9,O159:O162))</t>
  </si>
  <si>
    <t>=(SUBTOTAL(9,P159:P162))</t>
  </si>
  <si>
    <t>=(SUBTOTAL(9,Q159:Q162))</t>
  </si>
  <si>
    <t>=(SUBTOTAL(9,R159:R162))</t>
  </si>
  <si>
    <t>=(SUBTOTAL(9,S159:S162))</t>
  </si>
  <si>
    <t>=(SUBTOTAL(9,T159:T162))</t>
  </si>
  <si>
    <t>=SUBTOTAL(9,O159:T162)</t>
  </si>
  <si>
    <t>=(SUBTOTAL(9,O205:O207))</t>
  </si>
  <si>
    <t>=(SUBTOTAL(9,P205:P207))</t>
  </si>
  <si>
    <t>=(SUBTOTAL(9,Q205:Q207))</t>
  </si>
  <si>
    <t>=(SUBTOTAL(9,R205:R207))</t>
  </si>
  <si>
    <t>=(SUBTOTAL(9,S205:S207))</t>
  </si>
  <si>
    <t>=(SUBTOTAL(9,T205:T207))</t>
  </si>
  <si>
    <t>=SUBTOTAL(9,O205:T207)</t>
  </si>
  <si>
    <t>=(SUBTOTAL(9,O214:O216))</t>
  </si>
  <si>
    <t>=(SUBTOTAL(9,P214:P216))</t>
  </si>
  <si>
    <t>=(SUBTOTAL(9,Q214:Q216))</t>
  </si>
  <si>
    <t>=(SUBTOTAL(9,R214:R216))</t>
  </si>
  <si>
    <t>=(SUBTOTAL(9,S214:S216))</t>
  </si>
  <si>
    <t>=(SUBTOTAL(9,T214:T216))</t>
  </si>
  <si>
    <t>=SUBTOTAL(9,O214:T216)</t>
  </si>
  <si>
    <t>=(SUBTOTAL(9,O219:O220))</t>
  </si>
  <si>
    <t>=(SUBTOTAL(9,P219:P220))</t>
  </si>
  <si>
    <t>=(SUBTOTAL(9,Q219:Q220))</t>
  </si>
  <si>
    <t>=(SUBTOTAL(9,R219:R220))</t>
  </si>
  <si>
    <t>=(SUBTOTAL(9,S219:S220))</t>
  </si>
  <si>
    <t>=(SUBTOTAL(9,T219:T220))</t>
  </si>
  <si>
    <t>=SUBTOTAL(9,O219:T220)</t>
  </si>
  <si>
    <t>=(SUBTOTAL(9,O223:O225))</t>
  </si>
  <si>
    <t>=(SUBTOTAL(9,P223:P225))</t>
  </si>
  <si>
    <t>=(SUBTOTAL(9,Q223:Q225))</t>
  </si>
  <si>
    <t>=(SUBTOTAL(9,R223:R225))</t>
  </si>
  <si>
    <t>=(SUBTOTAL(9,S223:S225))</t>
  </si>
  <si>
    <t>=(SUBTOTAL(9,T223:T225))</t>
  </si>
  <si>
    <t>=SUBTOTAL(9,O223:T225)</t>
  </si>
  <si>
    <t>=(SUBTOTAL(9,O228:O231))</t>
  </si>
  <si>
    <t>=(SUBTOTAL(9,P228:P231))</t>
  </si>
  <si>
    <t>=(SUBTOTAL(9,Q228:Q231))</t>
  </si>
  <si>
    <t>=(SUBTOTAL(9,R228:R231))</t>
  </si>
  <si>
    <t>=(SUBTOTAL(9,S228:S231))</t>
  </si>
  <si>
    <t>=(SUBTOTAL(9,T228:T231))</t>
  </si>
  <si>
    <t>=SUBTOTAL(9,O228:T231)</t>
  </si>
  <si>
    <t>=(SUBTOTAL(9,O246:O247))</t>
  </si>
  <si>
    <t>=(SUBTOTAL(9,P246:P247))</t>
  </si>
  <si>
    <t>=(SUBTOTAL(9,Q246:Q247))</t>
  </si>
  <si>
    <t>=(SUBTOTAL(9,R246:R247))</t>
  </si>
  <si>
    <t>=(SUBTOTAL(9,S246:S247))</t>
  </si>
  <si>
    <t>=(SUBTOTAL(9,T246:T247))</t>
  </si>
  <si>
    <t>=SUBTOTAL(9,O246:T247)</t>
  </si>
  <si>
    <t>=(SUBTOTAL(9,O250:O251))</t>
  </si>
  <si>
    <t>=(SUBTOTAL(9,P250:P251))</t>
  </si>
  <si>
    <t>=(SUBTOTAL(9,Q250:Q251))</t>
  </si>
  <si>
    <t>=(SUBTOTAL(9,R250:R251))</t>
  </si>
  <si>
    <t>=(SUBTOTAL(9,S250:S251))</t>
  </si>
  <si>
    <t>=(SUBTOTAL(9,T250:T251))</t>
  </si>
  <si>
    <t>=SUBTOTAL(9,O250:T251)</t>
  </si>
  <si>
    <t>=(SUBTOTAL(9,O271:O272))</t>
  </si>
  <si>
    <t>=(SUBTOTAL(9,P271:P272))</t>
  </si>
  <si>
    <t>=(SUBTOTAL(9,Q271:Q272))</t>
  </si>
  <si>
    <t>=(SUBTOTAL(9,R271:R272))</t>
  </si>
  <si>
    <t>=(SUBTOTAL(9,S271:S272))</t>
  </si>
  <si>
    <t>=(SUBTOTAL(9,T271:T272))</t>
  </si>
  <si>
    <t>=SUBTOTAL(9,O271:T272)</t>
  </si>
  <si>
    <t>=E274</t>
  </si>
  <si>
    <t>=NL("First","Item","Description","No.",$E274)</t>
  </si>
  <si>
    <t>=NL("First","Item","Base Unit of Measure","No.",$E274)</t>
  </si>
  <si>
    <t>=(SUBTOTAL(9,O275:O276))</t>
  </si>
  <si>
    <t>=(SUBTOTAL(9,P275:P276))</t>
  </si>
  <si>
    <t>=(SUBTOTAL(9,Q275:Q276))</t>
  </si>
  <si>
    <t>=(SUBTOTAL(9,R275:R276))</t>
  </si>
  <si>
    <t>=(SUBTOTAL(9,S275:S276))</t>
  </si>
  <si>
    <t>=(SUBTOTAL(9,T275:T276))</t>
  </si>
  <si>
    <t>=SUBTOTAL(9,O275:T276)</t>
  </si>
  <si>
    <t>=NL("Rows","Item Ledger Entry",,"+Posting Date",$L$5,"Item No.","@@"&amp;$D275,"Location Code","@@"&amp;$E$6)</t>
  </si>
  <si>
    <t>=(SUBTOTAL(9,O279:O280))</t>
  </si>
  <si>
    <t>=(SUBTOTAL(9,P279:P280))</t>
  </si>
  <si>
    <t>=(SUBTOTAL(9,Q279:Q280))</t>
  </si>
  <si>
    <t>=(SUBTOTAL(9,R279:R280))</t>
  </si>
  <si>
    <t>=(SUBTOTAL(9,S279:S280))</t>
  </si>
  <si>
    <t>=(SUBTOTAL(9,T279:T280))</t>
  </si>
  <si>
    <t>=SUBTOTAL(9,O279:T280)</t>
  </si>
  <si>
    <t>=(SUBTOTAL(9,O287:O288))</t>
  </si>
  <si>
    <t>=(SUBTOTAL(9,P287:P288))</t>
  </si>
  <si>
    <t>=(SUBTOTAL(9,Q287:Q288))</t>
  </si>
  <si>
    <t>=(SUBTOTAL(9,R287:R288))</t>
  </si>
  <si>
    <t>=(SUBTOTAL(9,S287:S288))</t>
  </si>
  <si>
    <t>=(SUBTOTAL(9,T287:T288))</t>
  </si>
  <si>
    <t>=SUBTOTAL(9,O287:T288)</t>
  </si>
  <si>
    <t>=(SUBTOTAL(9,O291:O292))</t>
  </si>
  <si>
    <t>=(SUBTOTAL(9,P291:P292))</t>
  </si>
  <si>
    <t>=(SUBTOTAL(9,Q291:Q292))</t>
  </si>
  <si>
    <t>=(SUBTOTAL(9,R291:R292))</t>
  </si>
  <si>
    <t>=(SUBTOTAL(9,S291:S292))</t>
  </si>
  <si>
    <t>=(SUBTOTAL(9,T291:T292))</t>
  </si>
  <si>
    <t>=SUBTOTAL(9,O291:T292)</t>
  </si>
  <si>
    <t>=E294</t>
  </si>
  <si>
    <t>=NL("First","Item","Description","No.",$E294)</t>
  </si>
  <si>
    <t>=NL("First","Item","Base Unit of Measure","No.",$E294)</t>
  </si>
  <si>
    <t>=(SUBTOTAL(9,O295:O296))</t>
  </si>
  <si>
    <t>=(SUBTOTAL(9,P295:P296))</t>
  </si>
  <si>
    <t>=(SUBTOTAL(9,Q295:Q296))</t>
  </si>
  <si>
    <t>=(SUBTOTAL(9,R295:R296))</t>
  </si>
  <si>
    <t>=(SUBTOTAL(9,S295:S296))</t>
  </si>
  <si>
    <t>=(SUBTOTAL(9,T295:T296))</t>
  </si>
  <si>
    <t>=SUBTOTAL(9,O295:T296)</t>
  </si>
  <si>
    <t>=NL("Rows","Item Ledger Entry",,"+Posting Date",$L$5,"Item No.","@@"&amp;$D295,"Location Code","@@"&amp;$E$6)</t>
  </si>
  <si>
    <t>=NL("Sum","Item Ledger Entry","Quantity","Entry Type","Purchase","Entry No.",I295,"Location Code","@@"&amp;$E$6)</t>
  </si>
  <si>
    <t>=NL("Sum","Item Ledger Entry","Quantity","Entry Type","Sale","Entry No.",I295,"Location Code","@@"&amp;$E$6)</t>
  </si>
  <si>
    <t>=NL("Sum","Item Ledger Entry","Quantity","Entry Type","Positive Adjmt.|Negative Adjmt.","Entry No.",I295,"Location Code","@@"&amp;$E$6)</t>
  </si>
  <si>
    <t>=NL("Sum","Item Ledger Entry","Quantity","Entry Type","Transfer","Entry No.",I295,"Location Code","@@"&amp;$E$6)</t>
  </si>
  <si>
    <t>=NL("Sum","Item Ledger Entry","Quantity","Entry Type","Consumption","Entry No.",I295,"Location Code","@@"&amp;$E$6)</t>
  </si>
  <si>
    <t>=NL("Sum","Item Ledger Entry","Quantity","Entry Type","Output","Entry No.",I295,"Location Code","@@"&amp;$E$6)</t>
  </si>
  <si>
    <t>=E298</t>
  </si>
  <si>
    <t>=NL("First","Item","Description","No.",$E298)</t>
  </si>
  <si>
    <t>=NL("First","Item","Base Unit of Measure","No.",$E298)</t>
  </si>
  <si>
    <t>=(SUBTOTAL(9,O299:O301))</t>
  </si>
  <si>
    <t>=(SUBTOTAL(9,P299:P301))</t>
  </si>
  <si>
    <t>=(SUBTOTAL(9,Q299:Q301))</t>
  </si>
  <si>
    <t>=(SUBTOTAL(9,R299:R301))</t>
  </si>
  <si>
    <t>=(SUBTOTAL(9,S299:S301))</t>
  </si>
  <si>
    <t>=(SUBTOTAL(9,T299:T301))</t>
  </si>
  <si>
    <t>=SUBTOTAL(9,O299:T301)</t>
  </si>
  <si>
    <t>=NL("Rows","Item Ledger Entry",,"+Posting Date",$L$5,"Item No.","@@"&amp;$D299,"Location Code","@@"&amp;$E$6)</t>
  </si>
  <si>
    <t>=(SUBTOTAL(9,O304:O306))</t>
  </si>
  <si>
    <t>=(SUBTOTAL(9,P304:P306))</t>
  </si>
  <si>
    <t>=(SUBTOTAL(9,Q304:Q306))</t>
  </si>
  <si>
    <t>=(SUBTOTAL(9,R304:R306))</t>
  </si>
  <si>
    <t>=(SUBTOTAL(9,S304:S306))</t>
  </si>
  <si>
    <t>=(SUBTOTAL(9,T304:T306))</t>
  </si>
  <si>
    <t>=SUBTOTAL(9,O304:T306)</t>
  </si>
  <si>
    <t>=(SUBTOTAL(9,O313:O315))</t>
  </si>
  <si>
    <t>=(SUBTOTAL(9,P313:P315))</t>
  </si>
  <si>
    <t>=(SUBTOTAL(9,Q313:Q315))</t>
  </si>
  <si>
    <t>=(SUBTOTAL(9,R313:R315))</t>
  </si>
  <si>
    <t>=(SUBTOTAL(9,S313:S315))</t>
  </si>
  <si>
    <t>=(SUBTOTAL(9,T313:T315))</t>
  </si>
  <si>
    <t>=SUBTOTAL(9,O313:T315)</t>
  </si>
  <si>
    <t>=(SUBTOTAL(9,O322:O324))</t>
  </si>
  <si>
    <t>=(SUBTOTAL(9,P322:P324))</t>
  </si>
  <si>
    <t>=(SUBTOTAL(9,Q322:Q324))</t>
  </si>
  <si>
    <t>=(SUBTOTAL(9,R322:R324))</t>
  </si>
  <si>
    <t>=(SUBTOTAL(9,S322:S324))</t>
  </si>
  <si>
    <t>=(SUBTOTAL(9,T322:T324))</t>
  </si>
  <si>
    <t>=SUBTOTAL(9,O322:T324)</t>
  </si>
  <si>
    <t>=E326</t>
  </si>
  <si>
    <t>=NL("First","Item","Description","No.",$E326)</t>
  </si>
  <si>
    <t>=NL("First","Item","Base Unit of Measure","No.",$E326)</t>
  </si>
  <si>
    <t>=(SUBTOTAL(9,O327:O329))</t>
  </si>
  <si>
    <t>=(SUBTOTAL(9,P327:P329))</t>
  </si>
  <si>
    <t>=(SUBTOTAL(9,Q327:Q329))</t>
  </si>
  <si>
    <t>=(SUBTOTAL(9,R327:R329))</t>
  </si>
  <si>
    <t>=(SUBTOTAL(9,S327:S329))</t>
  </si>
  <si>
    <t>=(SUBTOTAL(9,T327:T329))</t>
  </si>
  <si>
    <t>=SUBTOTAL(9,O327:T329)</t>
  </si>
  <si>
    <t>=NL("Rows","Item Ledger Entry",,"+Posting Date",$L$5,"Item No.","@@"&amp;$D327,"Location Code","@@"&amp;$E$6)</t>
  </si>
  <si>
    <t>=(SUBTOTAL(9,O332:O336))</t>
  </si>
  <si>
    <t>=(SUBTOTAL(9,P332:P336))</t>
  </si>
  <si>
    <t>=(SUBTOTAL(9,Q332:Q336))</t>
  </si>
  <si>
    <t>=(SUBTOTAL(9,R332:R336))</t>
  </si>
  <si>
    <t>=(SUBTOTAL(9,S332:S336))</t>
  </si>
  <si>
    <t>=(SUBTOTAL(9,T332:T336))</t>
  </si>
  <si>
    <t>=SUBTOTAL(9,O332:T336)</t>
  </si>
  <si>
    <t>=(SUBTOTAL(9,O344:O346))</t>
  </si>
  <si>
    <t>=(SUBTOTAL(9,P344:P346))</t>
  </si>
  <si>
    <t>=(SUBTOTAL(9,Q344:Q346))</t>
  </si>
  <si>
    <t>=(SUBTOTAL(9,R344:R346))</t>
  </si>
  <si>
    <t>=(SUBTOTAL(9,S344:S346))</t>
  </si>
  <si>
    <t>=(SUBTOTAL(9,T344:T346))</t>
  </si>
  <si>
    <t>=SUBTOTAL(9,O344:T346)</t>
  </si>
  <si>
    <t>=(SUBTOTAL(9,O349:O353))</t>
  </si>
  <si>
    <t>=(SUBTOTAL(9,P349:P353))</t>
  </si>
  <si>
    <t>=(SUBTOTAL(9,Q349:Q353))</t>
  </si>
  <si>
    <t>=(SUBTOTAL(9,R349:R353))</t>
  </si>
  <si>
    <t>=(SUBTOTAL(9,S349:S353))</t>
  </si>
  <si>
    <t>=(SUBTOTAL(9,T349:T353))</t>
  </si>
  <si>
    <t>=SUBTOTAL(9,O349:T353)</t>
  </si>
  <si>
    <t>=(SUBTOTAL(9,O364:O366))</t>
  </si>
  <si>
    <t>=(SUBTOTAL(9,P364:P366))</t>
  </si>
  <si>
    <t>=(SUBTOTAL(9,Q364:Q366))</t>
  </si>
  <si>
    <t>=(SUBTOTAL(9,R364:R366))</t>
  </si>
  <si>
    <t>=(SUBTOTAL(9,S364:S366))</t>
  </si>
  <si>
    <t>=(SUBTOTAL(9,T364:T366))</t>
  </si>
  <si>
    <t>=SUBTOTAL(9,O364:T366)</t>
  </si>
  <si>
    <t>=(SUBTOTAL(9,O369:O370))</t>
  </si>
  <si>
    <t>=(SUBTOTAL(9,P369:P370))</t>
  </si>
  <si>
    <t>=(SUBTOTAL(9,Q369:Q370))</t>
  </si>
  <si>
    <t>=(SUBTOTAL(9,R369:R370))</t>
  </si>
  <si>
    <t>=(SUBTOTAL(9,S369:S370))</t>
  </si>
  <si>
    <t>=(SUBTOTAL(9,T369:T370))</t>
  </si>
  <si>
    <t>=SUBTOTAL(9,O369:T370)</t>
  </si>
  <si>
    <t>=E372</t>
  </si>
  <si>
    <t>=NL("First","Item","Description","No.",$E372)</t>
  </si>
  <si>
    <t>=NL("First","Item","Base Unit of Measure","No.",$E372)</t>
  </si>
  <si>
    <t>=(SUBTOTAL(9,O373:O374))</t>
  </si>
  <si>
    <t>=(SUBTOTAL(9,P373:P374))</t>
  </si>
  <si>
    <t>=(SUBTOTAL(9,Q373:Q374))</t>
  </si>
  <si>
    <t>=(SUBTOTAL(9,R373:R374))</t>
  </si>
  <si>
    <t>=(SUBTOTAL(9,S373:S374))</t>
  </si>
  <si>
    <t>=(SUBTOTAL(9,T373:T374))</t>
  </si>
  <si>
    <t>=SUBTOTAL(9,O373:T374)</t>
  </si>
  <si>
    <t>=NL("Rows","Item Ledger Entry",,"+Posting Date",$L$5,"Item No.","@@"&amp;$D373,"Location Code","@@"&amp;$E$6)</t>
  </si>
  <si>
    <t>=(SUBTOTAL(9,O377:O378))</t>
  </si>
  <si>
    <t>=(SUBTOTAL(9,P377:P378))</t>
  </si>
  <si>
    <t>=(SUBTOTAL(9,Q377:Q378))</t>
  </si>
  <si>
    <t>=(SUBTOTAL(9,R377:R378))</t>
  </si>
  <si>
    <t>=(SUBTOTAL(9,S377:S378))</t>
  </si>
  <si>
    <t>=(SUBTOTAL(9,T377:T378))</t>
  </si>
  <si>
    <t>=SUBTOTAL(9,O377:T378)</t>
  </si>
  <si>
    <t>=E380</t>
  </si>
  <si>
    <t>=NL("First","Item","Description","No.",$E380)</t>
  </si>
  <si>
    <t>=NL("First","Item","Base Unit of Measure","No.",$E380)</t>
  </si>
  <si>
    <t>=(SUBTOTAL(9,O381:O382))</t>
  </si>
  <si>
    <t>=(SUBTOTAL(9,P381:P382))</t>
  </si>
  <si>
    <t>=(SUBTOTAL(9,Q381:Q382))</t>
  </si>
  <si>
    <t>=(SUBTOTAL(9,R381:R382))</t>
  </si>
  <si>
    <t>=(SUBTOTAL(9,S381:S382))</t>
  </si>
  <si>
    <t>=(SUBTOTAL(9,T381:T382))</t>
  </si>
  <si>
    <t>=SUBTOTAL(9,O381:T382)</t>
  </si>
  <si>
    <t>=NL("Rows","Item Ledger Entry",,"+Posting Date",$L$5,"Item No.","@@"&amp;$D381,"Location Code","@@"&amp;$E$6)</t>
  </si>
  <si>
    <t>=E384</t>
  </si>
  <si>
    <t>=NL("First","Item","Description","No.",$E384)</t>
  </si>
  <si>
    <t>=NL("First","Item","Base Unit of Measure","No.",$E384)</t>
  </si>
  <si>
    <t>=(SUBTOTAL(9,O385:O386))</t>
  </si>
  <si>
    <t>=(SUBTOTAL(9,P385:P386))</t>
  </si>
  <si>
    <t>=(SUBTOTAL(9,Q385:Q386))</t>
  </si>
  <si>
    <t>=(SUBTOTAL(9,R385:R386))</t>
  </si>
  <si>
    <t>=(SUBTOTAL(9,S385:S386))</t>
  </si>
  <si>
    <t>=(SUBTOTAL(9,T385:T386))</t>
  </si>
  <si>
    <t>=SUBTOTAL(9,O385:T386)</t>
  </si>
  <si>
    <t>=NL("Rows","Item Ledger Entry",,"+Posting Date",$L$5,"Item No.","@@"&amp;$D385,"Location Code","@@"&amp;$E$6)</t>
  </si>
  <si>
    <t>=E388</t>
  </si>
  <si>
    <t>=NL("First","Item","Description","No.",$E388)</t>
  </si>
  <si>
    <t>=NL("First","Item","Base Unit of Measure","No.",$E388)</t>
  </si>
  <si>
    <t>=(SUBTOTAL(9,O389:O390))</t>
  </si>
  <si>
    <t>=(SUBTOTAL(9,P389:P390))</t>
  </si>
  <si>
    <t>=(SUBTOTAL(9,Q389:Q390))</t>
  </si>
  <si>
    <t>=(SUBTOTAL(9,R389:R390))</t>
  </si>
  <si>
    <t>=(SUBTOTAL(9,S389:S390))</t>
  </si>
  <si>
    <t>=(SUBTOTAL(9,T389:T390))</t>
  </si>
  <si>
    <t>=SUBTOTAL(9,O389:T390)</t>
  </si>
  <si>
    <t>=NL("Rows","Item Ledger Entry",,"+Posting Date",$L$5,"Item No.","@@"&amp;$D389,"Location Code","@@"&amp;$E$6)</t>
  </si>
  <si>
    <t>=E392</t>
  </si>
  <si>
    <t>=NL("First","Item","Description","No.",$E392)</t>
  </si>
  <si>
    <t>=NL("First","Item","Base Unit of Measure","No.",$E392)</t>
  </si>
  <si>
    <t>=(SUBTOTAL(9,O393:O394))</t>
  </si>
  <si>
    <t>=(SUBTOTAL(9,P393:P394))</t>
  </si>
  <si>
    <t>=(SUBTOTAL(9,Q393:Q394))</t>
  </si>
  <si>
    <t>=(SUBTOTAL(9,R393:R394))</t>
  </si>
  <si>
    <t>=(SUBTOTAL(9,S393:S394))</t>
  </si>
  <si>
    <t>=(SUBTOTAL(9,T393:T394))</t>
  </si>
  <si>
    <t>=SUBTOTAL(9,O393:T394)</t>
  </si>
  <si>
    <t>=NL("Rows","Item Ledger Entry",,"+Posting Date",$L$5,"Item No.","@@"&amp;$D393,"Location Code","@@"&amp;$E$6)</t>
  </si>
  <si>
    <t>=E396</t>
  </si>
  <si>
    <t>=NL("First","Item","Description","No.",$E396)</t>
  </si>
  <si>
    <t>=NL("First","Item","Base Unit of Measure","No.",$E396)</t>
  </si>
  <si>
    <t>=(SUBTOTAL(9,O397:O399))</t>
  </si>
  <si>
    <t>=(SUBTOTAL(9,P397:P399))</t>
  </si>
  <si>
    <t>=(SUBTOTAL(9,Q397:Q399))</t>
  </si>
  <si>
    <t>=(SUBTOTAL(9,R397:R399))</t>
  </si>
  <si>
    <t>=(SUBTOTAL(9,S397:S399))</t>
  </si>
  <si>
    <t>=(SUBTOTAL(9,T397:T399))</t>
  </si>
  <si>
    <t>=SUBTOTAL(9,O397:T399)</t>
  </si>
  <si>
    <t>=NL("Rows","Item Ledger Entry",,"+Posting Date",$L$5,"Item No.","@@"&amp;$D397,"Location Code","@@"&amp;$E$6)</t>
  </si>
  <si>
    <t>=(SUBTOTAL(9,O402:O403))</t>
  </si>
  <si>
    <t>=(SUBTOTAL(9,P402:P403))</t>
  </si>
  <si>
    <t>=(SUBTOTAL(9,Q402:Q403))</t>
  </si>
  <si>
    <t>=(SUBTOTAL(9,R402:R403))</t>
  </si>
  <si>
    <t>=(SUBTOTAL(9,S402:S403))</t>
  </si>
  <si>
    <t>=(SUBTOTAL(9,T402:T403))</t>
  </si>
  <si>
    <t>=SUBTOTAL(9,O402:T403)</t>
  </si>
  <si>
    <t>=(SUBTOTAL(9,O406:O408))</t>
  </si>
  <si>
    <t>=(SUBTOTAL(9,P406:P408))</t>
  </si>
  <si>
    <t>=(SUBTOTAL(9,Q406:Q408))</t>
  </si>
  <si>
    <t>=(SUBTOTAL(9,R406:R408))</t>
  </si>
  <si>
    <t>=(SUBTOTAL(9,S406:S408))</t>
  </si>
  <si>
    <t>=(SUBTOTAL(9,T406:T408))</t>
  </si>
  <si>
    <t>=SUBTOTAL(9,O406:T408)</t>
  </si>
  <si>
    <t>=(SUBTOTAL(9,O411:O412))</t>
  </si>
  <si>
    <t>=(SUBTOTAL(9,P411:P412))</t>
  </si>
  <si>
    <t>=(SUBTOTAL(9,Q411:Q412))</t>
  </si>
  <si>
    <t>=(SUBTOTAL(9,R411:R412))</t>
  </si>
  <si>
    <t>=(SUBTOTAL(9,S411:S412))</t>
  </si>
  <si>
    <t>=(SUBTOTAL(9,T411:T412))</t>
  </si>
  <si>
    <t>=SUBTOTAL(9,O411:T412)</t>
  </si>
  <si>
    <t>=E414</t>
  </si>
  <si>
    <t>=NL("First","Item","Description","No.",$E414)</t>
  </si>
  <si>
    <t>=NL("First","Item","Base Unit of Measure","No.",$E414)</t>
  </si>
  <si>
    <t>=(SUBTOTAL(9,O415:O416))</t>
  </si>
  <si>
    <t>=(SUBTOTAL(9,P415:P416))</t>
  </si>
  <si>
    <t>=(SUBTOTAL(9,Q415:Q416))</t>
  </si>
  <si>
    <t>=(SUBTOTAL(9,R415:R416))</t>
  </si>
  <si>
    <t>=(SUBTOTAL(9,S415:S416))</t>
  </si>
  <si>
    <t>=(SUBTOTAL(9,T415:T416))</t>
  </si>
  <si>
    <t>=SUBTOTAL(9,O415:T416)</t>
  </si>
  <si>
    <t>=NL("Rows","Item Ledger Entry",,"+Posting Date",$L$5,"Item No.","@@"&amp;$D415,"Location Code","@@"&amp;$E$6)</t>
  </si>
  <si>
    <t>=E418</t>
  </si>
  <si>
    <t>=NL("First","Item","Description","No.",$E418)</t>
  </si>
  <si>
    <t>=NL("First","Item","Base Unit of Measure","No.",$E418)</t>
  </si>
  <si>
    <t>=(SUBTOTAL(9,O419:O420))</t>
  </si>
  <si>
    <t>=(SUBTOTAL(9,P419:P420))</t>
  </si>
  <si>
    <t>=(SUBTOTAL(9,Q419:Q420))</t>
  </si>
  <si>
    <t>=(SUBTOTAL(9,R419:R420))</t>
  </si>
  <si>
    <t>=(SUBTOTAL(9,S419:S420))</t>
  </si>
  <si>
    <t>=(SUBTOTAL(9,T419:T420))</t>
  </si>
  <si>
    <t>=SUBTOTAL(9,O419:T420)</t>
  </si>
  <si>
    <t>=NL("Rows","Item Ledger Entry",,"+Posting Date",$L$5,"Item No.","@@"&amp;$D419,"Location Code","@@"&amp;$E$6)</t>
  </si>
  <si>
    <t>=(SUBTOTAL(9,O423:O424))</t>
  </si>
  <si>
    <t>=(SUBTOTAL(9,P423:P424))</t>
  </si>
  <si>
    <t>=(SUBTOTAL(9,Q423:Q424))</t>
  </si>
  <si>
    <t>=(SUBTOTAL(9,R423:R424))</t>
  </si>
  <si>
    <t>=(SUBTOTAL(9,S423:S424))</t>
  </si>
  <si>
    <t>=(SUBTOTAL(9,T423:T424))</t>
  </si>
  <si>
    <t>=SUBTOTAL(9,O423:T424)</t>
  </si>
  <si>
    <t>=E426</t>
  </si>
  <si>
    <t>=NL("First","Item","Description","No.",$E426)</t>
  </si>
  <si>
    <t>=NL("First","Item","Base Unit of Measure","No.",$E426)</t>
  </si>
  <si>
    <t>=(SUBTOTAL(9,O427:O428))</t>
  </si>
  <si>
    <t>=(SUBTOTAL(9,P427:P428))</t>
  </si>
  <si>
    <t>=(SUBTOTAL(9,Q427:Q428))</t>
  </si>
  <si>
    <t>=(SUBTOTAL(9,R427:R428))</t>
  </si>
  <si>
    <t>=(SUBTOTAL(9,S427:S428))</t>
  </si>
  <si>
    <t>=(SUBTOTAL(9,T427:T428))</t>
  </si>
  <si>
    <t>=SUBTOTAL(9,O427:T428)</t>
  </si>
  <si>
    <t>=NL("Rows","Item Ledger Entry",,"+Posting Date",$L$5,"Item No.","@@"&amp;$D427,"Location Code","@@"&amp;$E$6)</t>
  </si>
  <si>
    <t>=E430</t>
  </si>
  <si>
    <t>=NL("First","Item","Description","No.",$E430)</t>
  </si>
  <si>
    <t>=NL("First","Item","Base Unit of Measure","No.",$E430)</t>
  </si>
  <si>
    <t>=(SUBTOTAL(9,O431:O432))</t>
  </si>
  <si>
    <t>=(SUBTOTAL(9,P431:P432))</t>
  </si>
  <si>
    <t>=(SUBTOTAL(9,Q431:Q432))</t>
  </si>
  <si>
    <t>=(SUBTOTAL(9,R431:R432))</t>
  </si>
  <si>
    <t>=(SUBTOTAL(9,S431:S432))</t>
  </si>
  <si>
    <t>=(SUBTOTAL(9,T431:T432))</t>
  </si>
  <si>
    <t>=SUBTOTAL(9,O431:T432)</t>
  </si>
  <si>
    <t>=NL("Rows","Item Ledger Entry",,"+Posting Date",$L$5,"Item No.","@@"&amp;$D431,"Location Code","@@"&amp;$E$6)</t>
  </si>
  <si>
    <t>=(SUBTOTAL(9,O435:O436))</t>
  </si>
  <si>
    <t>=(SUBTOTAL(9,P435:P436))</t>
  </si>
  <si>
    <t>=(SUBTOTAL(9,Q435:Q436))</t>
  </si>
  <si>
    <t>=(SUBTOTAL(9,R435:R436))</t>
  </si>
  <si>
    <t>=(SUBTOTAL(9,S435:S436))</t>
  </si>
  <si>
    <t>=(SUBTOTAL(9,T435:T436))</t>
  </si>
  <si>
    <t>=SUBTOTAL(9,O435:T436)</t>
  </si>
  <si>
    <t>=(SUBTOTAL(9,O443:O444))</t>
  </si>
  <si>
    <t>=(SUBTOTAL(9,P443:P444))</t>
  </si>
  <si>
    <t>=(SUBTOTAL(9,Q443:Q444))</t>
  </si>
  <si>
    <t>=(SUBTOTAL(9,R443:R444))</t>
  </si>
  <si>
    <t>=(SUBTOTAL(9,S443:S444))</t>
  </si>
  <si>
    <t>=(SUBTOTAL(9,T443:T444))</t>
  </si>
  <si>
    <t>=SUBTOTAL(9,O443:T444)</t>
  </si>
  <si>
    <t>=(SUBTOTAL(9,O451:O452))</t>
  </si>
  <si>
    <t>=(SUBTOTAL(9,P451:P452))</t>
  </si>
  <si>
    <t>=(SUBTOTAL(9,Q451:Q452))</t>
  </si>
  <si>
    <t>=(SUBTOTAL(9,R451:R452))</t>
  </si>
  <si>
    <t>=(SUBTOTAL(9,S451:S452))</t>
  </si>
  <si>
    <t>=(SUBTOTAL(9,T451:T452))</t>
  </si>
  <si>
    <t>=SUBTOTAL(9,O451:T452)</t>
  </si>
  <si>
    <t>=(SUBTOTAL(9,O455:O457))</t>
  </si>
  <si>
    <t>=(SUBTOTAL(9,P455:P457))</t>
  </si>
  <si>
    <t>=(SUBTOTAL(9,Q455:Q457))</t>
  </si>
  <si>
    <t>=(SUBTOTAL(9,R455:R457))</t>
  </si>
  <si>
    <t>=(SUBTOTAL(9,S455:S457))</t>
  </si>
  <si>
    <t>=(SUBTOTAL(9,T455:T457))</t>
  </si>
  <si>
    <t>=SUBTOTAL(9,O455:T457)</t>
  </si>
  <si>
    <t>=(SUBTOTAL(9,O469:O471))</t>
  </si>
  <si>
    <t>=(SUBTOTAL(9,P469:P471))</t>
  </si>
  <si>
    <t>=(SUBTOTAL(9,Q469:Q471))</t>
  </si>
  <si>
    <t>=(SUBTOTAL(9,R469:R471))</t>
  </si>
  <si>
    <t>=(SUBTOTAL(9,S469:S471))</t>
  </si>
  <si>
    <t>=(SUBTOTAL(9,T469:T471))</t>
  </si>
  <si>
    <t>=SUBTOTAL(9,O469:T471)</t>
  </si>
  <si>
    <t>=(SUBTOTAL(9,O474:O476))</t>
  </si>
  <si>
    <t>=(SUBTOTAL(9,P474:P476))</t>
  </si>
  <si>
    <t>=(SUBTOTAL(9,Q474:Q476))</t>
  </si>
  <si>
    <t>=(SUBTOTAL(9,R474:R476))</t>
  </si>
  <si>
    <t>=(SUBTOTAL(9,S474:S476))</t>
  </si>
  <si>
    <t>=(SUBTOTAL(9,T474:T476))</t>
  </si>
  <si>
    <t>=SUBTOTAL(9,O474:T476)</t>
  </si>
  <si>
    <t>=(SUBTOTAL(9,O479:O480))</t>
  </si>
  <si>
    <t>=(SUBTOTAL(9,P479:P480))</t>
  </si>
  <si>
    <t>=(SUBTOTAL(9,Q479:Q480))</t>
  </si>
  <si>
    <t>=(SUBTOTAL(9,R479:R480))</t>
  </si>
  <si>
    <t>=(SUBTOTAL(9,S479:S480))</t>
  </si>
  <si>
    <t>=(SUBTOTAL(9,T479:T480))</t>
  </si>
  <si>
    <t>=SUBTOTAL(9,O479:T480)</t>
  </si>
  <si>
    <t>=E482</t>
  </si>
  <si>
    <t>=NL("First","Item","Description","No.",$E482)</t>
  </si>
  <si>
    <t>=NL("First","Item","Base Unit of Measure","No.",$E482)</t>
  </si>
  <si>
    <t>=(SUBTOTAL(9,O483:O484))</t>
  </si>
  <si>
    <t>=(SUBTOTAL(9,P483:P484))</t>
  </si>
  <si>
    <t>=(SUBTOTAL(9,Q483:Q484))</t>
  </si>
  <si>
    <t>=(SUBTOTAL(9,R483:R484))</t>
  </si>
  <si>
    <t>=(SUBTOTAL(9,S483:S484))</t>
  </si>
  <si>
    <t>=(SUBTOTAL(9,T483:T484))</t>
  </si>
  <si>
    <t>=SUBTOTAL(9,O483:T484)</t>
  </si>
  <si>
    <t>=NL("Rows","Item Ledger Entry",,"+Posting Date",$L$5,"Item No.","@@"&amp;$D483,"Location Code","@@"&amp;$E$6)</t>
  </si>
  <si>
    <t>=(SUBTOTAL(9,O487:O489))</t>
  </si>
  <si>
    <t>=(SUBTOTAL(9,P487:P489))</t>
  </si>
  <si>
    <t>=(SUBTOTAL(9,Q487:Q489))</t>
  </si>
  <si>
    <t>=(SUBTOTAL(9,R487:R489))</t>
  </si>
  <si>
    <t>=(SUBTOTAL(9,S487:S489))</t>
  </si>
  <si>
    <t>=(SUBTOTAL(9,T487:T489))</t>
  </si>
  <si>
    <t>=SUBTOTAL(9,O487:T489)</t>
  </si>
  <si>
    <t>=NL("Sum","Item Ledger Entry","Quantity","Entry Type","Purchase","Entry No.",I488,"Location Code","@@"&amp;$E$6)</t>
  </si>
  <si>
    <t>=NL("Sum","Item Ledger Entry","Quantity","Entry Type","Sale","Entry No.",I488,"Location Code","@@"&amp;$E$6)</t>
  </si>
  <si>
    <t>=NL("Sum","Item Ledger Entry","Quantity","Entry Type","Positive Adjmt.|Negative Adjmt.","Entry No.",I488,"Location Code","@@"&amp;$E$6)</t>
  </si>
  <si>
    <t>=NL("Sum","Item Ledger Entry","Quantity","Entry Type","Transfer","Entry No.",I488,"Location Code","@@"&amp;$E$6)</t>
  </si>
  <si>
    <t>=NL("Sum","Item Ledger Entry","Quantity","Entry Type","Consumption","Entry No.",I488,"Location Code","@@"&amp;$E$6)</t>
  </si>
  <si>
    <t>=NL("Sum","Item Ledger Entry","Quantity","Entry Type","Output","Entry No.",I488,"Location Code","@@"&amp;$E$6)</t>
  </si>
  <si>
    <t>=E491</t>
  </si>
  <si>
    <t>=NL("First","Item","Description","No.",$E491)</t>
  </si>
  <si>
    <t>=NL("First","Item","Base Unit of Measure","No.",$E491)</t>
  </si>
  <si>
    <t>=(SUBTOTAL(9,O492:O493))</t>
  </si>
  <si>
    <t>=(SUBTOTAL(9,P492:P493))</t>
  </si>
  <si>
    <t>=(SUBTOTAL(9,Q492:Q493))</t>
  </si>
  <si>
    <t>=(SUBTOTAL(9,R492:R493))</t>
  </si>
  <si>
    <t>=(SUBTOTAL(9,S492:S493))</t>
  </si>
  <si>
    <t>=(SUBTOTAL(9,T492:T493))</t>
  </si>
  <si>
    <t>=SUBTOTAL(9,O492:T493)</t>
  </si>
  <si>
    <t>=NL("Rows","Item Ledger Entry",,"+Posting Date",$L$5,"Item No.","@@"&amp;$D492,"Location Code","@@"&amp;$E$6)</t>
  </si>
  <si>
    <t>=(SUBTOTAL(9,O510:O512))</t>
  </si>
  <si>
    <t>=(SUBTOTAL(9,P510:P512))</t>
  </si>
  <si>
    <t>=(SUBTOTAL(9,Q510:Q512))</t>
  </si>
  <si>
    <t>=(SUBTOTAL(9,R510:R512))</t>
  </si>
  <si>
    <t>=(SUBTOTAL(9,S510:S512))</t>
  </si>
  <si>
    <t>=(SUBTOTAL(9,T510:T512))</t>
  </si>
  <si>
    <t>=SUBTOTAL(9,O510:T512)</t>
  </si>
  <si>
    <t>=(SUBTOTAL(9,O521:O522))</t>
  </si>
  <si>
    <t>=(SUBTOTAL(9,P521:P522))</t>
  </si>
  <si>
    <t>=(SUBTOTAL(9,Q521:Q522))</t>
  </si>
  <si>
    <t>=(SUBTOTAL(9,R521:R522))</t>
  </si>
  <si>
    <t>=(SUBTOTAL(9,S521:S522))</t>
  </si>
  <si>
    <t>=(SUBTOTAL(9,T521:T522))</t>
  </si>
  <si>
    <t>=SUBTOTAL(9,O521:T522)</t>
  </si>
  <si>
    <t>=(SUBTOTAL(9,O525:O528))</t>
  </si>
  <si>
    <t>=(SUBTOTAL(9,P525:P528))</t>
  </si>
  <si>
    <t>=(SUBTOTAL(9,Q525:Q528))</t>
  </si>
  <si>
    <t>=(SUBTOTAL(9,R525:R528))</t>
  </si>
  <si>
    <t>=(SUBTOTAL(9,S525:S528))</t>
  </si>
  <si>
    <t>=(SUBTOTAL(9,T525:T528))</t>
  </si>
  <si>
    <t>=SUBTOTAL(9,O525:T528)</t>
  </si>
  <si>
    <t>=(SUBTOTAL(9,O531:O534))</t>
  </si>
  <si>
    <t>=(SUBTOTAL(9,P531:P534))</t>
  </si>
  <si>
    <t>=(SUBTOTAL(9,Q531:Q534))</t>
  </si>
  <si>
    <t>=(SUBTOTAL(9,R531:R534))</t>
  </si>
  <si>
    <t>=(SUBTOTAL(9,S531:S534))</t>
  </si>
  <si>
    <t>=(SUBTOTAL(9,T531:T534))</t>
  </si>
  <si>
    <t>=SUBTOTAL(9,O531:T534)</t>
  </si>
  <si>
    <t>=(SUBTOTAL(9,O537:O539))</t>
  </si>
  <si>
    <t>=(SUBTOTAL(9,P537:P539))</t>
  </si>
  <si>
    <t>=(SUBTOTAL(9,Q537:Q539))</t>
  </si>
  <si>
    <t>=(SUBTOTAL(9,R537:R539))</t>
  </si>
  <si>
    <t>=(SUBTOTAL(9,S537:S539))</t>
  </si>
  <si>
    <t>=(SUBTOTAL(9,T537:T539))</t>
  </si>
  <si>
    <t>=SUBTOTAL(9,O537:T539)</t>
  </si>
  <si>
    <t>=(SUBTOTAL(9,O542:O543))</t>
  </si>
  <si>
    <t>=(SUBTOTAL(9,P542:P543))</t>
  </si>
  <si>
    <t>=(SUBTOTAL(9,Q542:Q543))</t>
  </si>
  <si>
    <t>=(SUBTOTAL(9,R542:R543))</t>
  </si>
  <si>
    <t>=(SUBTOTAL(9,S542:S543))</t>
  </si>
  <si>
    <t>=(SUBTOTAL(9,T542:T543))</t>
  </si>
  <si>
    <t>=SUBTOTAL(9,O542:T543)</t>
  </si>
  <si>
    <t>=E545</t>
  </si>
  <si>
    <t>=NL("First","Item","Description","No.",$E545)</t>
  </si>
  <si>
    <t>=NL("First","Item","Base Unit of Measure","No.",$E545)</t>
  </si>
  <si>
    <t>=(SUBTOTAL(9,O546:O547))</t>
  </si>
  <si>
    <t>=(SUBTOTAL(9,P546:P547))</t>
  </si>
  <si>
    <t>=(SUBTOTAL(9,Q546:Q547))</t>
  </si>
  <si>
    <t>=(SUBTOTAL(9,R546:R547))</t>
  </si>
  <si>
    <t>=(SUBTOTAL(9,S546:S547))</t>
  </si>
  <si>
    <t>=(SUBTOTAL(9,T546:T547))</t>
  </si>
  <si>
    <t>=SUBTOTAL(9,O546:T547)</t>
  </si>
  <si>
    <t>=NL("Rows","Item Ledger Entry",,"+Posting Date",$L$5,"Item No.","@@"&amp;$D546,"Location Code","@@"&amp;$E$6)</t>
  </si>
  <si>
    <t>=(SUBTOTAL(9,O550:O551))</t>
  </si>
  <si>
    <t>=(SUBTOTAL(9,P550:P551))</t>
  </si>
  <si>
    <t>=(SUBTOTAL(9,Q550:Q551))</t>
  </si>
  <si>
    <t>=(SUBTOTAL(9,R550:R551))</t>
  </si>
  <si>
    <t>=(SUBTOTAL(9,S550:S551))</t>
  </si>
  <si>
    <t>=(SUBTOTAL(9,T550:T551))</t>
  </si>
  <si>
    <t>=SUBTOTAL(9,O550:T551)</t>
  </si>
  <si>
    <t>=(SUBTOTAL(9,O554:O555))</t>
  </si>
  <si>
    <t>=(SUBTOTAL(9,P554:P555))</t>
  </si>
  <si>
    <t>=(SUBTOTAL(9,Q554:Q555))</t>
  </si>
  <si>
    <t>=(SUBTOTAL(9,R554:R555))</t>
  </si>
  <si>
    <t>=(SUBTOTAL(9,S554:S555))</t>
  </si>
  <si>
    <t>=(SUBTOTAL(9,T554:T555))</t>
  </si>
  <si>
    <t>=SUBTOTAL(9,O554:T555)</t>
  </si>
  <si>
    <t>=(SUBTOTAL(9,O558:O559))</t>
  </si>
  <si>
    <t>=(SUBTOTAL(9,P558:P559))</t>
  </si>
  <si>
    <t>=(SUBTOTAL(9,Q558:Q559))</t>
  </si>
  <si>
    <t>=(SUBTOTAL(9,R558:R559))</t>
  </si>
  <si>
    <t>=(SUBTOTAL(9,S558:S559))</t>
  </si>
  <si>
    <t>=(SUBTOTAL(9,T558:T559))</t>
  </si>
  <si>
    <t>=SUBTOTAL(9,O558:T559)</t>
  </si>
  <si>
    <t>=E561</t>
  </si>
  <si>
    <t>=NL("First","Item","Description","No.",$E561)</t>
  </si>
  <si>
    <t>=NL("First","Item","Base Unit of Measure","No.",$E561)</t>
  </si>
  <si>
    <t>=(SUBTOTAL(9,O562:O563))</t>
  </si>
  <si>
    <t>=(SUBTOTAL(9,P562:P563))</t>
  </si>
  <si>
    <t>=(SUBTOTAL(9,Q562:Q563))</t>
  </si>
  <si>
    <t>=(SUBTOTAL(9,R562:R563))</t>
  </si>
  <si>
    <t>=(SUBTOTAL(9,S562:S563))</t>
  </si>
  <si>
    <t>=(SUBTOTAL(9,T562:T563))</t>
  </si>
  <si>
    <t>=SUBTOTAL(9,O562:T563)</t>
  </si>
  <si>
    <t>=NL("Rows","Item Ledger Entry",,"+Posting Date",$L$5,"Item No.","@@"&amp;$D562,"Location Code","@@"&amp;$E$6)</t>
  </si>
  <si>
    <t>=(SUBTOTAL(9,O566:O567))</t>
  </si>
  <si>
    <t>=(SUBTOTAL(9,P566:P567))</t>
  </si>
  <si>
    <t>=(SUBTOTAL(9,Q566:Q567))</t>
  </si>
  <si>
    <t>=(SUBTOTAL(9,R566:R567))</t>
  </si>
  <si>
    <t>=(SUBTOTAL(9,S566:S567))</t>
  </si>
  <si>
    <t>=(SUBTOTAL(9,T566:T567))</t>
  </si>
  <si>
    <t>=SUBTOTAL(9,O566:T567)</t>
  </si>
  <si>
    <t>=(SUBTOTAL(9,O574:O575))</t>
  </si>
  <si>
    <t>=(SUBTOTAL(9,P574:P575))</t>
  </si>
  <si>
    <t>=(SUBTOTAL(9,Q574:Q575))</t>
  </si>
  <si>
    <t>=(SUBTOTAL(9,R574:R575))</t>
  </si>
  <si>
    <t>=(SUBTOTAL(9,S574:S575))</t>
  </si>
  <si>
    <t>=(SUBTOTAL(9,T574:T575))</t>
  </si>
  <si>
    <t>=SUBTOTAL(9,O574:T575)</t>
  </si>
  <si>
    <t>=E577</t>
  </si>
  <si>
    <t>=NL("First","Item","Description","No.",$E577)</t>
  </si>
  <si>
    <t>=NL("First","Item","Base Unit of Measure","No.",$E577)</t>
  </si>
  <si>
    <t>=(SUBTOTAL(9,O578:O579))</t>
  </si>
  <si>
    <t>=(SUBTOTAL(9,P578:P579))</t>
  </si>
  <si>
    <t>=(SUBTOTAL(9,Q578:Q579))</t>
  </si>
  <si>
    <t>=(SUBTOTAL(9,R578:R579))</t>
  </si>
  <si>
    <t>=(SUBTOTAL(9,S578:S579))</t>
  </si>
  <si>
    <t>=(SUBTOTAL(9,T578:T579))</t>
  </si>
  <si>
    <t>=SUBTOTAL(9,O578:T579)</t>
  </si>
  <si>
    <t>=NL("Rows","Item Ledger Entry",,"+Posting Date",$L$5,"Item No.","@@"&amp;$D578,"Location Code","@@"&amp;$E$6)</t>
  </si>
  <si>
    <t>=SUBTOTAL(9,O13:O581)</t>
  </si>
  <si>
    <t>=SUBTOTAL(9,P13:P581)</t>
  </si>
  <si>
    <t>=SUBTOTAL(9,Q13:Q581)</t>
  </si>
  <si>
    <t>=SUBTOTAL(9,R13:R581)</t>
  </si>
  <si>
    <t>=SUBTOTAL(9,S13:S581)</t>
  </si>
  <si>
    <t>=SUBTOTAL(9,T13:T581)</t>
  </si>
  <si>
    <t>=SUM(U12:U581)</t>
  </si>
  <si>
    <t>="NY-WHSE1..NY-WHSE3"</t>
  </si>
  <si>
    <t>=NL("Lookup","Location",{"Code","Name"})</t>
  </si>
  <si>
    <t>Auto+Hide+Hidesheet+Formulas=Sheet24,Sheet25+FormulasOnly</t>
  </si>
  <si>
    <t>Auto+Hide+Values+Formulas=Sheet26,Sheet27+FormulasOnly</t>
  </si>
  <si>
    <t>Auto+Hide+Values+Formulas=Sheet28,Sheet29+FormulasOnly</t>
  </si>
  <si>
    <t>Auto+Hide+Hidesheet+Formulas=Sheet31,Sheet24,Sheet25</t>
  </si>
  <si>
    <t>Auto+Hide+Hidesheet+Formulas=Sheet31,Sheet24,Sheet25+FormulasOnly</t>
  </si>
  <si>
    <t>Auto+Hide+Values+Formulas=Sheet32,Sheet26,Sheet27</t>
  </si>
  <si>
    <t>=(SUBTOTAL(9,O18:O20))</t>
  </si>
  <si>
    <t>=(SUBTOTAL(9,P18:P20))</t>
  </si>
  <si>
    <t>=(SUBTOTAL(9,Q18:Q20))</t>
  </si>
  <si>
    <t>=(SUBTOTAL(9,R18:R20))</t>
  </si>
  <si>
    <t>=(SUBTOTAL(9,S18:S20))</t>
  </si>
  <si>
    <t>=(SUBTOTAL(9,T18:T20))</t>
  </si>
  <si>
    <t>=SUBTOTAL(9,O18:T20)</t>
  </si>
  <si>
    <t>=NL("Rows","Item Ledger Entry",,"+Posting Date",$L$5,"Item No.","@@"&amp;$D18,"Location Code",$L$7)</t>
  </si>
  <si>
    <t>=(SUBTOTAL(9,O23:O25))</t>
  </si>
  <si>
    <t>=(SUBTOTAL(9,P23:P25))</t>
  </si>
  <si>
    <t>=(SUBTOTAL(9,Q23:Q25))</t>
  </si>
  <si>
    <t>=(SUBTOTAL(9,R23:R25))</t>
  </si>
  <si>
    <t>=(SUBTOTAL(9,S23:S25))</t>
  </si>
  <si>
    <t>=(SUBTOTAL(9,T23:T25))</t>
  </si>
  <si>
    <t>=SUBTOTAL(9,O23:T25)</t>
  </si>
  <si>
    <t>=NL("Rows","Item Ledger Entry",,"+Posting Date",$L$5,"Item No.","@@"&amp;$D28,"Location Code",$L$7)</t>
  </si>
  <si>
    <t>=(SUBTOTAL(9,O34:O38))</t>
  </si>
  <si>
    <t>=(SUBTOTAL(9,P34:P38))</t>
  </si>
  <si>
    <t>=(SUBTOTAL(9,Q34:Q38))</t>
  </si>
  <si>
    <t>=(SUBTOTAL(9,R34:R38))</t>
  </si>
  <si>
    <t>=(SUBTOTAL(9,S34:S38))</t>
  </si>
  <si>
    <t>=(SUBTOTAL(9,T34:T38))</t>
  </si>
  <si>
    <t>=SUBTOTAL(9,O34:T38)</t>
  </si>
  <si>
    <t>=NL("Rows","Item Ledger Entry",,"+Posting Date",$L$5,"Item No.","@@"&amp;$D34,"Location Code",$L$7)</t>
  </si>
  <si>
    <t>=(SUBTOTAL(9,O41:O44))</t>
  </si>
  <si>
    <t>=(SUBTOTAL(9,P41:P44))</t>
  </si>
  <si>
    <t>=(SUBTOTAL(9,Q41:Q44))</t>
  </si>
  <si>
    <t>=(SUBTOTAL(9,R41:R44))</t>
  </si>
  <si>
    <t>=(SUBTOTAL(9,S41:S44))</t>
  </si>
  <si>
    <t>=(SUBTOTAL(9,T41:T44))</t>
  </si>
  <si>
    <t>=SUBTOTAL(9,O41:T44)</t>
  </si>
  <si>
    <t>=(SUBTOTAL(9,O47:O51))</t>
  </si>
  <si>
    <t>=(SUBTOTAL(9,P47:P51))</t>
  </si>
  <si>
    <t>=(SUBTOTAL(9,Q47:Q51))</t>
  </si>
  <si>
    <t>=(SUBTOTAL(9,R47:R51))</t>
  </si>
  <si>
    <t>=(SUBTOTAL(9,S47:S51))</t>
  </si>
  <si>
    <t>=(SUBTOTAL(9,T47:T51))</t>
  </si>
  <si>
    <t>=SUBTOTAL(9,O47:T51)</t>
  </si>
  <si>
    <t>=NL("Rows","Item Ledger Entry",,"+Posting Date",$L$5,"Item No.","@@"&amp;$D47,"Location Code",$L$7)</t>
  </si>
  <si>
    <t>=E53</t>
  </si>
  <si>
    <t>=NL("First","Item","Description","No.",$E53)</t>
  </si>
  <si>
    <t>=NL("First","Item","Base Unit of Measure","No.",$E53)</t>
  </si>
  <si>
    <t>=(SUBTOTAL(9,O54:O55))</t>
  </si>
  <si>
    <t>=(SUBTOTAL(9,P54:P55))</t>
  </si>
  <si>
    <t>=(SUBTOTAL(9,Q54:Q55))</t>
  </si>
  <si>
    <t>=(SUBTOTAL(9,R54:R55))</t>
  </si>
  <si>
    <t>=(SUBTOTAL(9,S54:S55))</t>
  </si>
  <si>
    <t>=(SUBTOTAL(9,T54:T55))</t>
  </si>
  <si>
    <t>=SUBTOTAL(9,O54:T55)</t>
  </si>
  <si>
    <t>=NL("Rows","Item Ledger Entry",,"+Posting Date",$L$5,"Item No.","@@"&amp;$D54,"Location Code",$L$7)</t>
  </si>
  <si>
    <t>=E57</t>
  </si>
  <si>
    <t>=NL("First","Item","Description","No.",$E57)</t>
  </si>
  <si>
    <t>=NL("First","Item","Base Unit of Measure","No.",$E57)</t>
  </si>
  <si>
    <t>=(SUBTOTAL(9,O58:O59))</t>
  </si>
  <si>
    <t>=(SUBTOTAL(9,P58:P59))</t>
  </si>
  <si>
    <t>=(SUBTOTAL(9,Q58:Q59))</t>
  </si>
  <si>
    <t>=(SUBTOTAL(9,R58:R59))</t>
  </si>
  <si>
    <t>=(SUBTOTAL(9,S58:S59))</t>
  </si>
  <si>
    <t>=(SUBTOTAL(9,T58:T59))</t>
  </si>
  <si>
    <t>=SUBTOTAL(9,O58:T59)</t>
  </si>
  <si>
    <t>=NL("Rows","Item Ledger Entry",,"+Posting Date",$L$5,"Item No.","@@"&amp;$D58,"Location Code",$L$7)</t>
  </si>
  <si>
    <t>=(SUBTOTAL(9,O62:O63))</t>
  </si>
  <si>
    <t>=(SUBTOTAL(9,P62:P63))</t>
  </si>
  <si>
    <t>=(SUBTOTAL(9,Q62:Q63))</t>
  </si>
  <si>
    <t>=(SUBTOTAL(9,R62:R63))</t>
  </si>
  <si>
    <t>=(SUBTOTAL(9,S62:S63))</t>
  </si>
  <si>
    <t>=(SUBTOTAL(9,T62:T63))</t>
  </si>
  <si>
    <t>=SUBTOTAL(9,O62:T63)</t>
  </si>
  <si>
    <t>=NL("Rows","Item Ledger Entry",,"+Posting Date",$L$5,"Item No.","@@"&amp;$D66,"Location Code",$L$7)</t>
  </si>
  <si>
    <t>=(SUBTOTAL(9,O71:O74))</t>
  </si>
  <si>
    <t>=(SUBTOTAL(9,P71:P74))</t>
  </si>
  <si>
    <t>=(SUBTOTAL(9,Q71:Q74))</t>
  </si>
  <si>
    <t>=(SUBTOTAL(9,R71:R74))</t>
  </si>
  <si>
    <t>=(SUBTOTAL(9,S71:S74))</t>
  </si>
  <si>
    <t>=(SUBTOTAL(9,T71:T74))</t>
  </si>
  <si>
    <t>=SUBTOTAL(9,O71:T74)</t>
  </si>
  <si>
    <t>=NL("Rows","Item Ledger Entry",,"+Posting Date",$L$5,"Item No.","@@"&amp;$D71,"Location Code",$L$7)</t>
  </si>
  <si>
    <t>=NL("Rows","Item Ledger Entry",,"+Posting Date",$L$5,"Item No.","@@"&amp;$D77,"Location Code",$L$7)</t>
  </si>
  <si>
    <t>=NL("Rows","Item Ledger Entry",,"+Posting Date",$L$5,"Item No.","@@"&amp;$D81,"Location Code",$L$7)</t>
  </si>
  <si>
    <t>=(SUBTOTAL(9,O86:O88))</t>
  </si>
  <si>
    <t>=(SUBTOTAL(9,P86:P88))</t>
  </si>
  <si>
    <t>=(SUBTOTAL(9,Q86:Q88))</t>
  </si>
  <si>
    <t>=(SUBTOTAL(9,R86:R88))</t>
  </si>
  <si>
    <t>=(SUBTOTAL(9,S86:S88))</t>
  </si>
  <si>
    <t>=(SUBTOTAL(9,T86:T88))</t>
  </si>
  <si>
    <t>=SUBTOTAL(9,O86:T88)</t>
  </si>
  <si>
    <t>=NL("Rows","Item Ledger Entry",,"+Posting Date",$L$5,"Item No.","@@"&amp;$D86,"Location Code",$L$7)</t>
  </si>
  <si>
    <t>=NL("Rows","Item Ledger Entry",,"+Posting Date",$L$5,"Item No.","@@"&amp;$D91,"Location Code",$L$7)</t>
  </si>
  <si>
    <t>=(SUBTOTAL(9,O97:O100))</t>
  </si>
  <si>
    <t>=(SUBTOTAL(9,P97:P100))</t>
  </si>
  <si>
    <t>=(SUBTOTAL(9,Q97:Q100))</t>
  </si>
  <si>
    <t>=(SUBTOTAL(9,R97:R100))</t>
  </si>
  <si>
    <t>=(SUBTOTAL(9,S97:S100))</t>
  </si>
  <si>
    <t>=(SUBTOTAL(9,T97:T100))</t>
  </si>
  <si>
    <t>=SUBTOTAL(9,O97:T100)</t>
  </si>
  <si>
    <t>=(SUBTOTAL(9,O103:O107))</t>
  </si>
  <si>
    <t>=(SUBTOTAL(9,P103:P107))</t>
  </si>
  <si>
    <t>=(SUBTOTAL(9,Q103:Q107))</t>
  </si>
  <si>
    <t>=(SUBTOTAL(9,R103:R107))</t>
  </si>
  <si>
    <t>=(SUBTOTAL(9,S103:S107))</t>
  </si>
  <si>
    <t>=(SUBTOTAL(9,T103:T107))</t>
  </si>
  <si>
    <t>=SUBTOTAL(9,O103:T107)</t>
  </si>
  <si>
    <t>=NL("Rows","Item Ledger Entry",,"+Posting Date",$L$5,"Item No.","@@"&amp;$D103,"Location Code",$L$7)</t>
  </si>
  <si>
    <t>=NL("Rows","Item Ledger Entry",,"+Posting Date",$L$5,"Item No.","@@"&amp;$D115,"Location Code",$L$7)</t>
  </si>
  <si>
    <t>=(SUBTOTAL(9,O121:O125))</t>
  </si>
  <si>
    <t>=(SUBTOTAL(9,P121:P125))</t>
  </si>
  <si>
    <t>=(SUBTOTAL(9,Q121:Q125))</t>
  </si>
  <si>
    <t>=(SUBTOTAL(9,R121:R125))</t>
  </si>
  <si>
    <t>=(SUBTOTAL(9,S121:S125))</t>
  </si>
  <si>
    <t>=(SUBTOTAL(9,T121:T125))</t>
  </si>
  <si>
    <t>=SUBTOTAL(9,O121:T125)</t>
  </si>
  <si>
    <t>=NL("Rows","Item Ledger Entry",,"+Posting Date",$L$5,"Item No.","@@"&amp;$D121,"Location Code",$L$7)</t>
  </si>
  <si>
    <t>=(SUBTOTAL(9,O132:O138))</t>
  </si>
  <si>
    <t>=(SUBTOTAL(9,P132:P138))</t>
  </si>
  <si>
    <t>=(SUBTOTAL(9,Q132:Q138))</t>
  </si>
  <si>
    <t>=(SUBTOTAL(9,R132:R138))</t>
  </si>
  <si>
    <t>=(SUBTOTAL(9,S132:S138))</t>
  </si>
  <si>
    <t>=(SUBTOTAL(9,T132:T138))</t>
  </si>
  <si>
    <t>=SUBTOTAL(9,O132:T138)</t>
  </si>
  <si>
    <t>=NL("Rows","Item Ledger Entry",,"+Posting Date",$L$5,"Item No.","@@"&amp;$D132,"Location Code",$L$7)</t>
  </si>
  <si>
    <t>=(SUBTOTAL(9,O141:O144))</t>
  </si>
  <si>
    <t>=(SUBTOTAL(9,P141:P144))</t>
  </si>
  <si>
    <t>=(SUBTOTAL(9,Q141:Q144))</t>
  </si>
  <si>
    <t>=(SUBTOTAL(9,R141:R144))</t>
  </si>
  <si>
    <t>=(SUBTOTAL(9,S141:S144))</t>
  </si>
  <si>
    <t>=(SUBTOTAL(9,T141:T144))</t>
  </si>
  <si>
    <t>=SUBTOTAL(9,O141:T144)</t>
  </si>
  <si>
    <t>=NL("Rows","Item Ledger Entry",,"+Posting Date",$L$5,"Item No.","@@"&amp;$D147,"Location Code",$L$7)</t>
  </si>
  <si>
    <t>=(SUBTOTAL(9,O152:O154))</t>
  </si>
  <si>
    <t>=(SUBTOTAL(9,P152:P154))</t>
  </si>
  <si>
    <t>=(SUBTOTAL(9,Q152:Q154))</t>
  </si>
  <si>
    <t>=(SUBTOTAL(9,R152:R154))</t>
  </si>
  <si>
    <t>=(SUBTOTAL(9,S152:S154))</t>
  </si>
  <si>
    <t>=(SUBTOTAL(9,T152:T154))</t>
  </si>
  <si>
    <t>=SUBTOTAL(9,O152:T154)</t>
  </si>
  <si>
    <t>=NL("Rows","Item Ledger Entry",,"+Posting Date",$L$5,"Item No.","@@"&amp;$D152,"Location Code",$L$7)</t>
  </si>
  <si>
    <t>=(SUBTOTAL(9,O157:O160))</t>
  </si>
  <si>
    <t>=(SUBTOTAL(9,P157:P160))</t>
  </si>
  <si>
    <t>=(SUBTOTAL(9,Q157:Q160))</t>
  </si>
  <si>
    <t>=(SUBTOTAL(9,R157:R160))</t>
  </si>
  <si>
    <t>=(SUBTOTAL(9,S157:S160))</t>
  </si>
  <si>
    <t>=(SUBTOTAL(9,T157:T160))</t>
  </si>
  <si>
    <t>=SUBTOTAL(9,O157:T160)</t>
  </si>
  <si>
    <t>=NL("Rows","Item Ledger Entry",,"+Posting Date",$L$5,"Item No.","@@"&amp;$D157,"Location Code",$L$7)</t>
  </si>
  <si>
    <t>=(SUBTOTAL(9,O163:O166))</t>
  </si>
  <si>
    <t>=(SUBTOTAL(9,P163:P166))</t>
  </si>
  <si>
    <t>=(SUBTOTAL(9,Q163:Q166))</t>
  </si>
  <si>
    <t>=(SUBTOTAL(9,R163:R166))</t>
  </si>
  <si>
    <t>=(SUBTOTAL(9,S163:S166))</t>
  </si>
  <si>
    <t>=(SUBTOTAL(9,T163:T166))</t>
  </si>
  <si>
    <t>=SUBTOTAL(9,O163:T166)</t>
  </si>
  <si>
    <t>=NL("Rows","Item Ledger Entry",,"+Posting Date",$L$5,"Item No.","@@"&amp;$D163,"Location Code",$L$7)</t>
  </si>
  <si>
    <t>=(SUBTOTAL(9,O169:O171))</t>
  </si>
  <si>
    <t>=(SUBTOTAL(9,P169:P171))</t>
  </si>
  <si>
    <t>=(SUBTOTAL(9,Q169:Q171))</t>
  </si>
  <si>
    <t>=(SUBTOTAL(9,R169:R171))</t>
  </si>
  <si>
    <t>=(SUBTOTAL(9,S169:S171))</t>
  </si>
  <si>
    <t>=(SUBTOTAL(9,T169:T171))</t>
  </si>
  <si>
    <t>=SUBTOTAL(9,O169:T171)</t>
  </si>
  <si>
    <t>=NL("Rows","Item Ledger Entry",,"+Posting Date",$L$5,"Item No.","@@"&amp;$D169,"Location Code",$L$7)</t>
  </si>
  <si>
    <t>=NL("Rows","Item Ledger Entry",,"+Posting Date",$L$5,"Item No.","@@"&amp;$D174,"Location Code",$L$7)</t>
  </si>
  <si>
    <t>=NL("Rows","Item Ledger Entry",,"+Posting Date",$L$5,"Item No.","@@"&amp;$D182,"Location Code",$L$7)</t>
  </si>
  <si>
    <t>=(SUBTOTAL(9,O186:O189))</t>
  </si>
  <si>
    <t>=(SUBTOTAL(9,P186:P189))</t>
  </si>
  <si>
    <t>=(SUBTOTAL(9,Q186:Q189))</t>
  </si>
  <si>
    <t>=(SUBTOTAL(9,R186:R189))</t>
  </si>
  <si>
    <t>=(SUBTOTAL(9,S186:S189))</t>
  </si>
  <si>
    <t>=(SUBTOTAL(9,T186:T189))</t>
  </si>
  <si>
    <t>=SUBTOTAL(9,O186:T189)</t>
  </si>
  <si>
    <t>=NL("Rows","Item Ledger Entry",,"+Posting Date",$L$5,"Item No.","@@"&amp;$D186,"Location Code",$L$7)</t>
  </si>
  <si>
    <t>=NL("Rows","Item Ledger Entry",,"+Posting Date",$L$5,"Item No.","@@"&amp;$D192,"Location Code",$L$7)</t>
  </si>
  <si>
    <t>=(SUBTOTAL(9,O197:O199))</t>
  </si>
  <si>
    <t>=(SUBTOTAL(9,P197:P199))</t>
  </si>
  <si>
    <t>=(SUBTOTAL(9,Q197:Q199))</t>
  </si>
  <si>
    <t>=(SUBTOTAL(9,R197:R199))</t>
  </si>
  <si>
    <t>=(SUBTOTAL(9,S197:S199))</t>
  </si>
  <si>
    <t>=(SUBTOTAL(9,T197:T199))</t>
  </si>
  <si>
    <t>=SUBTOTAL(9,O197:T199)</t>
  </si>
  <si>
    <t>=NL("Rows","Item Ledger Entry",,"+Posting Date",$L$5,"Item No.","@@"&amp;$D197,"Location Code",$L$7)</t>
  </si>
  <si>
    <t>=NL("Rows","Item Ledger Entry",,"+Posting Date",$L$5,"Item No.","@@"&amp;$D202,"Location Code",$L$7)</t>
  </si>
  <si>
    <t>=NL("Rows","Item Ledger Entry",,"+Posting Date",$L$5,"Item No.","@@"&amp;$D207,"Location Code",$L$7)</t>
  </si>
  <si>
    <t>=NL("Rows","Item Ledger Entry",,"+Posting Date",$L$5,"Item No.","@@"&amp;$D219,"Location Code",$L$7)</t>
  </si>
  <si>
    <t>=(SUBTOTAL(9,O224:O226))</t>
  </si>
  <si>
    <t>=(SUBTOTAL(9,P224:P226))</t>
  </si>
  <si>
    <t>=(SUBTOTAL(9,Q224:Q226))</t>
  </si>
  <si>
    <t>=(SUBTOTAL(9,R224:R226))</t>
  </si>
  <si>
    <t>=(SUBTOTAL(9,S224:S226))</t>
  </si>
  <si>
    <t>=(SUBTOTAL(9,T224:T226))</t>
  </si>
  <si>
    <t>=SUBTOTAL(9,O224:T226)</t>
  </si>
  <si>
    <t>=E228</t>
  </si>
  <si>
    <t>=NL("First","Item","Description","No.",$E228)</t>
  </si>
  <si>
    <t>=NL("First","Item","Base Unit of Measure","No.",$E228)</t>
  </si>
  <si>
    <t>=(SUBTOTAL(9,O229:O230))</t>
  </si>
  <si>
    <t>=(SUBTOTAL(9,P229:P230))</t>
  </si>
  <si>
    <t>=(SUBTOTAL(9,Q229:Q230))</t>
  </si>
  <si>
    <t>=(SUBTOTAL(9,R229:R230))</t>
  </si>
  <si>
    <t>=(SUBTOTAL(9,S229:S230))</t>
  </si>
  <si>
    <t>=(SUBTOTAL(9,T229:T230))</t>
  </si>
  <si>
    <t>=SUBTOTAL(9,O229:T230)</t>
  </si>
  <si>
    <t>=NL("Rows","Item Ledger Entry",,"+Posting Date",$L$5,"Item No.","@@"&amp;$D229,"Location Code",$L$7)</t>
  </si>
  <si>
    <t>=(SUBTOTAL(9,O233:O235))</t>
  </si>
  <si>
    <t>=(SUBTOTAL(9,P233:P235))</t>
  </si>
  <si>
    <t>=(SUBTOTAL(9,Q233:Q235))</t>
  </si>
  <si>
    <t>=(SUBTOTAL(9,R233:R235))</t>
  </si>
  <si>
    <t>=(SUBTOTAL(9,S233:S235))</t>
  </si>
  <si>
    <t>=(SUBTOTAL(9,T233:T235))</t>
  </si>
  <si>
    <t>=SUBTOTAL(9,O233:T235)</t>
  </si>
  <si>
    <t>=NL("Rows","Item Ledger Entry",,"+Posting Date",$L$5,"Item No.","@@"&amp;$D233,"Location Code",$L$7)</t>
  </si>
  <si>
    <t>=NL("Rows","Item Ledger Entry",,"+Posting Date",$L$5,"Item No.","@@"&amp;$D238,"Location Code",$L$7)</t>
  </si>
  <si>
    <t>=(SUBTOTAL(9,O242:O244))</t>
  </si>
  <si>
    <t>=(SUBTOTAL(9,P242:P244))</t>
  </si>
  <si>
    <t>=(SUBTOTAL(9,Q242:Q244))</t>
  </si>
  <si>
    <t>=(SUBTOTAL(9,R242:R244))</t>
  </si>
  <si>
    <t>=(SUBTOTAL(9,S242:S244))</t>
  </si>
  <si>
    <t>=(SUBTOTAL(9,T242:T244))</t>
  </si>
  <si>
    <t>=SUBTOTAL(9,O242:T244)</t>
  </si>
  <si>
    <t>=NL("Rows","Item Ledger Entry",,"+Posting Date",$L$5,"Item No.","@@"&amp;$D242,"Location Code",$L$7)</t>
  </si>
  <si>
    <t>=(SUBTOTAL(9,O247:O248))</t>
  </si>
  <si>
    <t>=(SUBTOTAL(9,P247:P248))</t>
  </si>
  <si>
    <t>=(SUBTOTAL(9,Q247:Q248))</t>
  </si>
  <si>
    <t>=(SUBTOTAL(9,R247:R248))</t>
  </si>
  <si>
    <t>=(SUBTOTAL(9,S247:S248))</t>
  </si>
  <si>
    <t>=(SUBTOTAL(9,T247:T248))</t>
  </si>
  <si>
    <t>=SUBTOTAL(9,O247:T248)</t>
  </si>
  <si>
    <t>=NL("Rows","Item Ledger Entry",,"+Posting Date",$L$5,"Item No.","@@"&amp;$D247,"Location Code",$L$7)</t>
  </si>
  <si>
    <t>=(SUBTOTAL(9,O251:O253))</t>
  </si>
  <si>
    <t>=(SUBTOTAL(9,P251:P253))</t>
  </si>
  <si>
    <t>=(SUBTOTAL(9,Q251:Q253))</t>
  </si>
  <si>
    <t>=(SUBTOTAL(9,R251:R253))</t>
  </si>
  <si>
    <t>=(SUBTOTAL(9,S251:S253))</t>
  </si>
  <si>
    <t>=(SUBTOTAL(9,T251:T253))</t>
  </si>
  <si>
    <t>=SUBTOTAL(9,O251:T253)</t>
  </si>
  <si>
    <t>=NL("Rows","Item Ledger Entry",,"+Posting Date",$L$5,"Item No.","@@"&amp;$D251,"Location Code",$L$7)</t>
  </si>
  <si>
    <t>=(SUBTOTAL(9,O256:O259))</t>
  </si>
  <si>
    <t>=(SUBTOTAL(9,P256:P259))</t>
  </si>
  <si>
    <t>=(SUBTOTAL(9,Q256:Q259))</t>
  </si>
  <si>
    <t>=(SUBTOTAL(9,R256:R259))</t>
  </si>
  <si>
    <t>=(SUBTOTAL(9,S256:S259))</t>
  </si>
  <si>
    <t>=(SUBTOTAL(9,T256:T259))</t>
  </si>
  <si>
    <t>=SUBTOTAL(9,O256:T259)</t>
  </si>
  <si>
    <t>=(SUBTOTAL(9,O262:O263))</t>
  </si>
  <si>
    <t>=(SUBTOTAL(9,P262:P263))</t>
  </si>
  <si>
    <t>=(SUBTOTAL(9,Q262:Q263))</t>
  </si>
  <si>
    <t>=(SUBTOTAL(9,R262:R263))</t>
  </si>
  <si>
    <t>=(SUBTOTAL(9,S262:S263))</t>
  </si>
  <si>
    <t>=(SUBTOTAL(9,T262:T263))</t>
  </si>
  <si>
    <t>=SUBTOTAL(9,O262:T263)</t>
  </si>
  <si>
    <t>=NL("Rows","Item Ledger Entry",,"+Posting Date",$L$5,"Item No.","@@"&amp;$D262,"Location Code",$L$7)</t>
  </si>
  <si>
    <t>=(SUBTOTAL(9,O266:O268))</t>
  </si>
  <si>
    <t>=(SUBTOTAL(9,P266:P268))</t>
  </si>
  <si>
    <t>=(SUBTOTAL(9,Q266:Q268))</t>
  </si>
  <si>
    <t>=(SUBTOTAL(9,R266:R268))</t>
  </si>
  <si>
    <t>=(SUBTOTAL(9,S266:S268))</t>
  </si>
  <si>
    <t>=(SUBTOTAL(9,T266:T268))</t>
  </si>
  <si>
    <t>=SUBTOTAL(9,O266:T268)</t>
  </si>
  <si>
    <t>=NL("Rows","Item Ledger Entry",,"+Posting Date",$L$5,"Item No.","@@"&amp;$D266,"Location Code",$L$7)</t>
  </si>
  <si>
    <t>=NL("Rows","Item Ledger Entry",,"+Posting Date",$L$5,"Item No.","@@"&amp;$D271,"Location Code",$L$7)</t>
  </si>
  <si>
    <t>=NL("Rows","Item Ledger Entry",,"+Posting Date",$L$5,"Item No.","@@"&amp;$D277,"Location Code",$L$7)</t>
  </si>
  <si>
    <t>=NL("Rows","Item Ledger Entry",,"+Posting Date",$L$5,"Item No.","@@"&amp;$D282,"Location Code",$L$7)</t>
  </si>
  <si>
    <t>=(SUBTOTAL(9,O292:O293))</t>
  </si>
  <si>
    <t>=(SUBTOTAL(9,P292:P293))</t>
  </si>
  <si>
    <t>=(SUBTOTAL(9,Q292:Q293))</t>
  </si>
  <si>
    <t>=(SUBTOTAL(9,R292:R293))</t>
  </si>
  <si>
    <t>=(SUBTOTAL(9,S292:S293))</t>
  </si>
  <si>
    <t>=(SUBTOTAL(9,T292:T293))</t>
  </si>
  <si>
    <t>=SUBTOTAL(9,O292:T293)</t>
  </si>
  <si>
    <t>=NL("Rows","Item Ledger Entry",,"+Posting Date",$L$5,"Item No.","@@"&amp;$D292,"Location Code",$L$7)</t>
  </si>
  <si>
    <t>=(SUBTOTAL(9,O296:O301))</t>
  </si>
  <si>
    <t>=(SUBTOTAL(9,P296:P301))</t>
  </si>
  <si>
    <t>=(SUBTOTAL(9,Q296:Q301))</t>
  </si>
  <si>
    <t>=(SUBTOTAL(9,R296:R301))</t>
  </si>
  <si>
    <t>=(SUBTOTAL(9,S296:S301))</t>
  </si>
  <si>
    <t>=(SUBTOTAL(9,T296:T301))</t>
  </si>
  <si>
    <t>=SUBTOTAL(9,O296:T301)</t>
  </si>
  <si>
    <t>=NL("Rows","Item Ledger Entry",,"+Posting Date",$L$5,"Item No.","@@"&amp;$D296,"Location Code",$L$7)</t>
  </si>
  <si>
    <t>=NL("Rows","Item Ledger Entry",,"+Posting Date",$L$5,"Item No.","@@"&amp;$D304,"Location Code",$L$7)</t>
  </si>
  <si>
    <t>=(SUBTOTAL(9,O308:O309))</t>
  </si>
  <si>
    <t>=(SUBTOTAL(9,P308:P309))</t>
  </si>
  <si>
    <t>=(SUBTOTAL(9,Q308:Q309))</t>
  </si>
  <si>
    <t>=(SUBTOTAL(9,R308:R309))</t>
  </si>
  <si>
    <t>=(SUBTOTAL(9,S308:S309))</t>
  </si>
  <si>
    <t>=(SUBTOTAL(9,T308:T309))</t>
  </si>
  <si>
    <t>=SUBTOTAL(9,O308:T309)</t>
  </si>
  <si>
    <t>=NL("Rows","Item Ledger Entry",,"+Posting Date",$L$5,"Item No.","@@"&amp;$D308,"Location Code",$L$7)</t>
  </si>
  <si>
    <t>=(SUBTOTAL(9,O312:O314))</t>
  </si>
  <si>
    <t>=(SUBTOTAL(9,P312:P314))</t>
  </si>
  <si>
    <t>=(SUBTOTAL(9,Q312:Q314))</t>
  </si>
  <si>
    <t>=(SUBTOTAL(9,R312:R314))</t>
  </si>
  <si>
    <t>=(SUBTOTAL(9,S312:S314))</t>
  </si>
  <si>
    <t>=(SUBTOTAL(9,T312:T314))</t>
  </si>
  <si>
    <t>=SUBTOTAL(9,O312:T314)</t>
  </si>
  <si>
    <t>=NL("Rows","Item Ledger Entry",,"+Posting Date",$L$5,"Item No.","@@"&amp;$D312,"Location Code",$L$7)</t>
  </si>
  <si>
    <t>=(SUBTOTAL(9,O317:O319))</t>
  </si>
  <si>
    <t>=(SUBTOTAL(9,P317:P319))</t>
  </si>
  <si>
    <t>=(SUBTOTAL(9,Q317:Q319))</t>
  </si>
  <si>
    <t>=(SUBTOTAL(9,R317:R319))</t>
  </si>
  <si>
    <t>=(SUBTOTAL(9,S317:S319))</t>
  </si>
  <si>
    <t>=(SUBTOTAL(9,T317:T319))</t>
  </si>
  <si>
    <t>=SUBTOTAL(9,O317:T319)</t>
  </si>
  <si>
    <t>=NL("Rows","Item Ledger Entry",,"+Posting Date",$L$5,"Item No.","@@"&amp;$D317,"Location Code",$L$7)</t>
  </si>
  <si>
    <t>=(SUBTOTAL(9,O322:O326))</t>
  </si>
  <si>
    <t>=(SUBTOTAL(9,P322:P326))</t>
  </si>
  <si>
    <t>=(SUBTOTAL(9,Q322:Q326))</t>
  </si>
  <si>
    <t>=(SUBTOTAL(9,R322:R326))</t>
  </si>
  <si>
    <t>=(SUBTOTAL(9,S322:S326))</t>
  </si>
  <si>
    <t>=(SUBTOTAL(9,T322:T326))</t>
  </si>
  <si>
    <t>=SUBTOTAL(9,O322:T326)</t>
  </si>
  <si>
    <t>=NL("Rows","Item Ledger Entry",,"+Posting Date",$L$5,"Item No.","@@"&amp;$D322,"Location Code",$L$7)</t>
  </si>
  <si>
    <t>=NL("Rows","Item Ledger Entry",,"+Posting Date",$L$5,"Item No.","@@"&amp;$D329,"Location Code",$L$7)</t>
  </si>
  <si>
    <t>=(SUBTOTAL(9,O333:O337))</t>
  </si>
  <si>
    <t>=(SUBTOTAL(9,P333:P337))</t>
  </si>
  <si>
    <t>=(SUBTOTAL(9,Q333:Q337))</t>
  </si>
  <si>
    <t>=(SUBTOTAL(9,R333:R337))</t>
  </si>
  <si>
    <t>=(SUBTOTAL(9,S333:S337))</t>
  </si>
  <si>
    <t>=(SUBTOTAL(9,T333:T337))</t>
  </si>
  <si>
    <t>=SUBTOTAL(9,O333:T337)</t>
  </si>
  <si>
    <t>=NL("Rows","Item Ledger Entry",,"+Posting Date",$L$5,"Item No.","@@"&amp;$D333,"Location Code",$L$7)</t>
  </si>
  <si>
    <t>=(SUBTOTAL(9,O340:O342))</t>
  </si>
  <si>
    <t>=(SUBTOTAL(9,P340:P342))</t>
  </si>
  <si>
    <t>=(SUBTOTAL(9,Q340:Q342))</t>
  </si>
  <si>
    <t>=(SUBTOTAL(9,R340:R342))</t>
  </si>
  <si>
    <t>=(SUBTOTAL(9,S340:S342))</t>
  </si>
  <si>
    <t>=(SUBTOTAL(9,T340:T342))</t>
  </si>
  <si>
    <t>=SUBTOTAL(9,O340:T342)</t>
  </si>
  <si>
    <t>=NL("Rows","Item Ledger Entry",,"+Posting Date",$L$5,"Item No.","@@"&amp;$D340,"Location Code",$L$7)</t>
  </si>
  <si>
    <t>=E344</t>
  </si>
  <si>
    <t>=NL("First","Item","Description","No.",$E344)</t>
  </si>
  <si>
    <t>=NL("First","Item","Base Unit of Measure","No.",$E344)</t>
  </si>
  <si>
    <t>=(SUBTOTAL(9,O345:O348))</t>
  </si>
  <si>
    <t>=(SUBTOTAL(9,P345:P348))</t>
  </si>
  <si>
    <t>=(SUBTOTAL(9,Q345:Q348))</t>
  </si>
  <si>
    <t>=(SUBTOTAL(9,R345:R348))</t>
  </si>
  <si>
    <t>=(SUBTOTAL(9,S345:S348))</t>
  </si>
  <si>
    <t>=(SUBTOTAL(9,T345:T348))</t>
  </si>
  <si>
    <t>=SUBTOTAL(9,O345:T348)</t>
  </si>
  <si>
    <t>=NL("Rows","Item Ledger Entry",,"+Posting Date",$L$5,"Item No.","@@"&amp;$D345,"Location Code",$L$7)</t>
  </si>
  <si>
    <t>=E350</t>
  </si>
  <si>
    <t>=NL("First","Item","Description","No.",$E350)</t>
  </si>
  <si>
    <t>=NL("First","Item","Base Unit of Measure","No.",$E350)</t>
  </si>
  <si>
    <t>=(SUBTOTAL(9,O351:O357))</t>
  </si>
  <si>
    <t>=(SUBTOTAL(9,P351:P357))</t>
  </si>
  <si>
    <t>=(SUBTOTAL(9,Q351:Q357))</t>
  </si>
  <si>
    <t>=(SUBTOTAL(9,R351:R357))</t>
  </si>
  <si>
    <t>=(SUBTOTAL(9,S351:S357))</t>
  </si>
  <si>
    <t>=(SUBTOTAL(9,T351:T357))</t>
  </si>
  <si>
    <t>=SUBTOTAL(9,O351:T357)</t>
  </si>
  <si>
    <t>=NL("Rows","Item Ledger Entry",,"+Posting Date",$L$5,"Item No.","@@"&amp;$D351,"Location Code",$L$7)</t>
  </si>
  <si>
    <t>=NL("Rows","Item Ledger Entry",,"+Posting Date",$L$5,"Item No.","@@"&amp;$D360,"Location Code",$L$7)</t>
  </si>
  <si>
    <t>=NL("Rows","Item Ledger Entry",,"+Posting Date",$L$5,"Item No.","@@"&amp;$D365,"Location Code",$L$7)</t>
  </si>
  <si>
    <t>=NL("Rows","Item Ledger Entry",,"+Posting Date",$L$5,"Item No.","@@"&amp;$D377,"Location Code",$L$7)</t>
  </si>
  <si>
    <t>=(SUBTOTAL(9,O381:O387))</t>
  </si>
  <si>
    <t>=(SUBTOTAL(9,P381:P387))</t>
  </si>
  <si>
    <t>=(SUBTOTAL(9,Q381:Q387))</t>
  </si>
  <si>
    <t>=(SUBTOTAL(9,R381:R387))</t>
  </si>
  <si>
    <t>=(SUBTOTAL(9,S381:S387))</t>
  </si>
  <si>
    <t>=(SUBTOTAL(9,T381:T387))</t>
  </si>
  <si>
    <t>=SUBTOTAL(9,O381:T387)</t>
  </si>
  <si>
    <t>=NL("Rows","Item Ledger Entry",,"+Posting Date",$L$5,"Item No.","@@"&amp;$D381,"Location Code",$L$7)</t>
  </si>
  <si>
    <t>=(SUBTOTAL(9,O390:O395))</t>
  </si>
  <si>
    <t>=(SUBTOTAL(9,P390:P395))</t>
  </si>
  <si>
    <t>=(SUBTOTAL(9,Q390:Q395))</t>
  </si>
  <si>
    <t>=(SUBTOTAL(9,R390:R395))</t>
  </si>
  <si>
    <t>=(SUBTOTAL(9,S390:S395))</t>
  </si>
  <si>
    <t>=(SUBTOTAL(9,T390:T395))</t>
  </si>
  <si>
    <t>=SUBTOTAL(9,O390:T395)</t>
  </si>
  <si>
    <t>=(SUBTOTAL(9,O398:O404))</t>
  </si>
  <si>
    <t>=(SUBTOTAL(9,P398:P404))</t>
  </si>
  <si>
    <t>=(SUBTOTAL(9,Q398:Q404))</t>
  </si>
  <si>
    <t>=(SUBTOTAL(9,R398:R404))</t>
  </si>
  <si>
    <t>=(SUBTOTAL(9,S398:S404))</t>
  </si>
  <si>
    <t>=(SUBTOTAL(9,T398:T404))</t>
  </si>
  <si>
    <t>=SUBTOTAL(9,O398:T404)</t>
  </si>
  <si>
    <t>=NL("Rows","Item Ledger Entry",,"+Posting Date",$L$5,"Item No.","@@"&amp;$D398,"Location Code",$L$7)</t>
  </si>
  <si>
    <t>=(SUBTOTAL(9,O407:O409))</t>
  </si>
  <si>
    <t>=(SUBTOTAL(9,P407:P409))</t>
  </si>
  <si>
    <t>=(SUBTOTAL(9,Q407:Q409))</t>
  </si>
  <si>
    <t>=(SUBTOTAL(9,R407:R409))</t>
  </si>
  <si>
    <t>=(SUBTOTAL(9,S407:S409))</t>
  </si>
  <si>
    <t>=(SUBTOTAL(9,T407:T409))</t>
  </si>
  <si>
    <t>=SUBTOTAL(9,O407:T409)</t>
  </si>
  <si>
    <t>=NL("Rows","Item Ledger Entry",,"+Posting Date",$L$5,"Item No.","@@"&amp;$D407,"Location Code",$L$7)</t>
  </si>
  <si>
    <t>=NL("Sum","Item Ledger Entry","Quantity","Entry Type","Purchase","Entry No.",I407,"Location Code",$L$7)</t>
  </si>
  <si>
    <t>=NL("Sum","Item Ledger Entry","Quantity","Entry Type","Sale","Entry No.",I407,"Location Code",$L$7)</t>
  </si>
  <si>
    <t>=NL("Sum","Item Ledger Entry","Quantity","Entry Type","Positive Adjmt.|Negative Adjmt.","Entry No.",I407,"Location Code",$L$7)</t>
  </si>
  <si>
    <t>=NL("Sum","Item Ledger Entry","Quantity","Entry Type","Transfer","Entry No.",I407,"Location Code",$L$7)</t>
  </si>
  <si>
    <t>=NL("Sum","Item Ledger Entry","Quantity","Entry Type","Consumption","Entry No.",I407,"Location Code",$L$7)</t>
  </si>
  <si>
    <t>=NL("Sum","Item Ledger Entry","Quantity","Entry Type","Output","Entry No.",I407,"Location Code",$L$7)</t>
  </si>
  <si>
    <t>=(SUBTOTAL(9,O412:O414))</t>
  </si>
  <si>
    <t>=(SUBTOTAL(9,P412:P414))</t>
  </si>
  <si>
    <t>=(SUBTOTAL(9,Q412:Q414))</t>
  </si>
  <si>
    <t>=(SUBTOTAL(9,R412:R414))</t>
  </si>
  <si>
    <t>=(SUBTOTAL(9,S412:S414))</t>
  </si>
  <si>
    <t>=(SUBTOTAL(9,T412:T414))</t>
  </si>
  <si>
    <t>=SUBTOTAL(9,O412:T414)</t>
  </si>
  <si>
    <t>=NL("Rows","Item Ledger Entry",,"+Posting Date",$L$5,"Item No.","@@"&amp;$D412,"Location Code",$L$7)</t>
  </si>
  <si>
    <t>=E416</t>
  </si>
  <si>
    <t>=NL("First","Item","Description","No.",$E416)</t>
  </si>
  <si>
    <t>=NL("First","Item","Base Unit of Measure","No.",$E416)</t>
  </si>
  <si>
    <t>=(SUBTOTAL(9,O417:O422))</t>
  </si>
  <si>
    <t>=(SUBTOTAL(9,P417:P422))</t>
  </si>
  <si>
    <t>=(SUBTOTAL(9,Q417:Q422))</t>
  </si>
  <si>
    <t>=(SUBTOTAL(9,R417:R422))</t>
  </si>
  <si>
    <t>=(SUBTOTAL(9,S417:S422))</t>
  </si>
  <si>
    <t>=(SUBTOTAL(9,T417:T422))</t>
  </si>
  <si>
    <t>=SUBTOTAL(9,O417:T422)</t>
  </si>
  <si>
    <t>=NL("Rows","Item Ledger Entry",,"+Posting Date",$L$5,"Item No.","@@"&amp;$D417,"Location Code",$L$7)</t>
  </si>
  <si>
    <t>=NL("Rows","Item Ledger Entry",,"+Posting Date",$L$5,"Item No.","@@"&amp;$D429,"Location Code",$L$7)</t>
  </si>
  <si>
    <t>=(SUBTOTAL(9,O434:O437))</t>
  </si>
  <si>
    <t>=(SUBTOTAL(9,P434:P437))</t>
  </si>
  <si>
    <t>=(SUBTOTAL(9,Q434:Q437))</t>
  </si>
  <si>
    <t>=(SUBTOTAL(9,R434:R437))</t>
  </si>
  <si>
    <t>=(SUBTOTAL(9,S434:S437))</t>
  </si>
  <si>
    <t>=(SUBTOTAL(9,T434:T437))</t>
  </si>
  <si>
    <t>=SUBTOTAL(9,O434:T437)</t>
  </si>
  <si>
    <t>=NL("Rows","Item Ledger Entry",,"+Posting Date",$L$5,"Item No.","@@"&amp;$D434,"Location Code",$L$7)</t>
  </si>
  <si>
    <t>=(SUBTOTAL(9,O440:O444))</t>
  </si>
  <si>
    <t>=(SUBTOTAL(9,P440:P444))</t>
  </si>
  <si>
    <t>=(SUBTOTAL(9,Q440:Q444))</t>
  </si>
  <si>
    <t>=(SUBTOTAL(9,R440:R444))</t>
  </si>
  <si>
    <t>=(SUBTOTAL(9,S440:S444))</t>
  </si>
  <si>
    <t>=(SUBTOTAL(9,T440:T444))</t>
  </si>
  <si>
    <t>=SUBTOTAL(9,O440:T444)</t>
  </si>
  <si>
    <t>=NL("Rows","Item Ledger Entry",,"+Posting Date",$L$5,"Item No.","@@"&amp;$D440,"Location Code",$L$7)</t>
  </si>
  <si>
    <t>=(SUBTOTAL(9,O447:O449))</t>
  </si>
  <si>
    <t>=(SUBTOTAL(9,P447:P449))</t>
  </si>
  <si>
    <t>=(SUBTOTAL(9,Q447:Q449))</t>
  </si>
  <si>
    <t>=(SUBTOTAL(9,R447:R449))</t>
  </si>
  <si>
    <t>=(SUBTOTAL(9,S447:S449))</t>
  </si>
  <si>
    <t>=(SUBTOTAL(9,T447:T449))</t>
  </si>
  <si>
    <t>=SUBTOTAL(9,O447:T449)</t>
  </si>
  <si>
    <t>=(SUBTOTAL(9,O452:O455))</t>
  </si>
  <si>
    <t>=(SUBTOTAL(9,P452:P455))</t>
  </si>
  <si>
    <t>=(SUBTOTAL(9,Q452:Q455))</t>
  </si>
  <si>
    <t>=(SUBTOTAL(9,R452:R455))</t>
  </si>
  <si>
    <t>=(SUBTOTAL(9,S452:S455))</t>
  </si>
  <si>
    <t>=(SUBTOTAL(9,T452:T455))</t>
  </si>
  <si>
    <t>=SUBTOTAL(9,O452:T455)</t>
  </si>
  <si>
    <t>=NL("Rows","Item Ledger Entry",,"+Posting Date",$L$5,"Item No.","@@"&amp;$D452,"Location Code",$L$7)</t>
  </si>
  <si>
    <t>=NL("Rows","Item Ledger Entry",,"+Posting Date",$L$5,"Item No.","@@"&amp;$D458,"Location Code",$L$7)</t>
  </si>
  <si>
    <t>=NL("Rows","Item Ledger Entry",,"+Posting Date",$L$5,"Item No.","@@"&amp;$D462,"Location Code",$L$7)</t>
  </si>
  <si>
    <t>=(SUBTOTAL(9,O466:O468))</t>
  </si>
  <si>
    <t>=(SUBTOTAL(9,P466:P468))</t>
  </si>
  <si>
    <t>=(SUBTOTAL(9,Q466:Q468))</t>
  </si>
  <si>
    <t>=(SUBTOTAL(9,R466:R468))</t>
  </si>
  <si>
    <t>=(SUBTOTAL(9,S466:S468))</t>
  </si>
  <si>
    <t>=(SUBTOTAL(9,T466:T468))</t>
  </si>
  <si>
    <t>=SUBTOTAL(9,O466:T468)</t>
  </si>
  <si>
    <t>=NL("Rows","Item Ledger Entry",,"+Posting Date",$L$5,"Item No.","@@"&amp;$D466,"Location Code",$L$7)</t>
  </si>
  <si>
    <t>=NL("Sum","Item Ledger Entry","Quantity","Entry Type","Purchase","Entry No.",I466,"Location Code",$L$7)</t>
  </si>
  <si>
    <t>=NL("Sum","Item Ledger Entry","Quantity","Entry Type","Sale","Entry No.",I466,"Location Code",$L$7)</t>
  </si>
  <si>
    <t>=NL("Sum","Item Ledger Entry","Quantity","Entry Type","Positive Adjmt.|Negative Adjmt.","Entry No.",I466,"Location Code",$L$7)</t>
  </si>
  <si>
    <t>=NL("Sum","Item Ledger Entry","Quantity","Entry Type","Transfer","Entry No.",I466,"Location Code",$L$7)</t>
  </si>
  <si>
    <t>=NL("Sum","Item Ledger Entry","Quantity","Entry Type","Consumption","Entry No.",I466,"Location Code",$L$7)</t>
  </si>
  <si>
    <t>=NL("Sum","Item Ledger Entry","Quantity","Entry Type","Output","Entry No.",I466,"Location Code",$L$7)</t>
  </si>
  <si>
    <t>=NL("Rows","Item Ledger Entry",,"+Posting Date",$L$5,"Item No.","@@"&amp;$D471,"Location Code",$L$7)</t>
  </si>
  <si>
    <t>=NL("Rows","Item Ledger Entry",,"+Posting Date",$L$5,"Item No.","@@"&amp;$D475,"Location Code",$L$7)</t>
  </si>
  <si>
    <t>=(SUBTOTAL(9,O481:O485))</t>
  </si>
  <si>
    <t>=(SUBTOTAL(9,P481:P485))</t>
  </si>
  <si>
    <t>=(SUBTOTAL(9,Q481:Q485))</t>
  </si>
  <si>
    <t>=(SUBTOTAL(9,R481:R485))</t>
  </si>
  <si>
    <t>=(SUBTOTAL(9,S481:S485))</t>
  </si>
  <si>
    <t>=(SUBTOTAL(9,T481:T485))</t>
  </si>
  <si>
    <t>=SUBTOTAL(9,O481:T485)</t>
  </si>
  <si>
    <t>=NL("Rows","Item Ledger Entry",,"+Posting Date",$L$5,"Item No.","@@"&amp;$D481,"Location Code",$L$7)</t>
  </si>
  <si>
    <t>=E487</t>
  </si>
  <si>
    <t>=NL("First","Item","Description","No.",$E487)</t>
  </si>
  <si>
    <t>=NL("First","Item","Base Unit of Measure","No.",$E487)</t>
  </si>
  <si>
    <t>=(SUBTOTAL(9,O488:O491))</t>
  </si>
  <si>
    <t>=(SUBTOTAL(9,P488:P491))</t>
  </si>
  <si>
    <t>=(SUBTOTAL(9,Q488:Q491))</t>
  </si>
  <si>
    <t>=(SUBTOTAL(9,R488:R491))</t>
  </si>
  <si>
    <t>=(SUBTOTAL(9,S488:S491))</t>
  </si>
  <si>
    <t>=(SUBTOTAL(9,T488:T491))</t>
  </si>
  <si>
    <t>=SUBTOTAL(9,O488:T491)</t>
  </si>
  <si>
    <t>=NL("Rows","Item Ledger Entry",,"+Posting Date",$L$5,"Item No.","@@"&amp;$D488,"Location Code",$L$7)</t>
  </si>
  <si>
    <t>=E493</t>
  </si>
  <si>
    <t>=NL("First","Item","Description","No.",$E493)</t>
  </si>
  <si>
    <t>=NL("First","Item","Base Unit of Measure","No.",$E493)</t>
  </si>
  <si>
    <t>=(SUBTOTAL(9,O494:O495))</t>
  </si>
  <si>
    <t>=(SUBTOTAL(9,P494:P495))</t>
  </si>
  <si>
    <t>=(SUBTOTAL(9,Q494:Q495))</t>
  </si>
  <si>
    <t>=(SUBTOTAL(9,R494:R495))</t>
  </si>
  <si>
    <t>=(SUBTOTAL(9,S494:S495))</t>
  </si>
  <si>
    <t>=(SUBTOTAL(9,T494:T495))</t>
  </si>
  <si>
    <t>=SUBTOTAL(9,O494:T495)</t>
  </si>
  <si>
    <t>=NL("Rows","Item Ledger Entry",,"+Posting Date",$L$5,"Item No.","@@"&amp;$D494,"Location Code",$L$7)</t>
  </si>
  <si>
    <t>=E497</t>
  </si>
  <si>
    <t>=NL("First","Item","Description","No.",$E497)</t>
  </si>
  <si>
    <t>=NL("First","Item","Base Unit of Measure","No.",$E497)</t>
  </si>
  <si>
    <t>=(SUBTOTAL(9,O498:O499))</t>
  </si>
  <si>
    <t>=(SUBTOTAL(9,P498:P499))</t>
  </si>
  <si>
    <t>=(SUBTOTAL(9,Q498:Q499))</t>
  </si>
  <si>
    <t>=(SUBTOTAL(9,R498:R499))</t>
  </si>
  <si>
    <t>=(SUBTOTAL(9,S498:S499))</t>
  </si>
  <si>
    <t>=(SUBTOTAL(9,T498:T499))</t>
  </si>
  <si>
    <t>=SUBTOTAL(9,O498:T499)</t>
  </si>
  <si>
    <t>=NL("Rows","Item Ledger Entry",,"+Posting Date",$L$5,"Item No.","@@"&amp;$D498,"Location Code",$L$7)</t>
  </si>
  <si>
    <t>=E501</t>
  </si>
  <si>
    <t>=NL("First","Item","Description","No.",$E501)</t>
  </si>
  <si>
    <t>=NL("First","Item","Base Unit of Measure","No.",$E501)</t>
  </si>
  <si>
    <t>=(SUBTOTAL(9,O502:O503))</t>
  </si>
  <si>
    <t>=(SUBTOTAL(9,P502:P503))</t>
  </si>
  <si>
    <t>=(SUBTOTAL(9,Q502:Q503))</t>
  </si>
  <si>
    <t>=(SUBTOTAL(9,R502:R503))</t>
  </si>
  <si>
    <t>=(SUBTOTAL(9,S502:S503))</t>
  </si>
  <si>
    <t>=(SUBTOTAL(9,T502:T503))</t>
  </si>
  <si>
    <t>=SUBTOTAL(9,O502:T503)</t>
  </si>
  <si>
    <t>=NL("Rows","Item Ledger Entry",,"+Posting Date",$L$5,"Item No.","@@"&amp;$D502,"Location Code",$L$7)</t>
  </si>
  <si>
    <t>=E505</t>
  </si>
  <si>
    <t>=NL("First","Item","Description","No.",$E505)</t>
  </si>
  <si>
    <t>=NL("First","Item","Base Unit of Measure","No.",$E505)</t>
  </si>
  <si>
    <t>=(SUBTOTAL(9,O506:O508))</t>
  </si>
  <si>
    <t>=(SUBTOTAL(9,P506:P508))</t>
  </si>
  <si>
    <t>=(SUBTOTAL(9,Q506:Q508))</t>
  </si>
  <si>
    <t>=(SUBTOTAL(9,R506:R508))</t>
  </si>
  <si>
    <t>=(SUBTOTAL(9,S506:S508))</t>
  </si>
  <si>
    <t>=(SUBTOTAL(9,T506:T508))</t>
  </si>
  <si>
    <t>=SUBTOTAL(9,O506:T508)</t>
  </si>
  <si>
    <t>=NL("Rows","Item Ledger Entry",,"+Posting Date",$L$5,"Item No.","@@"&amp;$D506,"Location Code",$L$7)</t>
  </si>
  <si>
    <t>=E510</t>
  </si>
  <si>
    <t>=NL("First","Item","Description","No.",$E510)</t>
  </si>
  <si>
    <t>=NL("First","Item","Base Unit of Measure","No.",$E510)</t>
  </si>
  <si>
    <t>=(SUBTOTAL(9,O511:O513))</t>
  </si>
  <si>
    <t>=(SUBTOTAL(9,P511:P513))</t>
  </si>
  <si>
    <t>=(SUBTOTAL(9,Q511:Q513))</t>
  </si>
  <si>
    <t>=(SUBTOTAL(9,R511:R513))</t>
  </si>
  <si>
    <t>=(SUBTOTAL(9,S511:S513))</t>
  </si>
  <si>
    <t>=(SUBTOTAL(9,T511:T513))</t>
  </si>
  <si>
    <t>=SUBTOTAL(9,O511:T513)</t>
  </si>
  <si>
    <t>=NL("Rows","Item Ledger Entry",,"+Posting Date",$L$5,"Item No.","@@"&amp;$D511,"Location Code",$L$7)</t>
  </si>
  <si>
    <t>=NL("Rows","Item Ledger Entry",,"+Posting Date",$L$5,"Item No.","@@"&amp;$D516,"Location Code",$L$7)</t>
  </si>
  <si>
    <t>=(SUBTOTAL(9,O521:O523))</t>
  </si>
  <si>
    <t>=(SUBTOTAL(9,P521:P523))</t>
  </si>
  <si>
    <t>=(SUBTOTAL(9,Q521:Q523))</t>
  </si>
  <si>
    <t>=(SUBTOTAL(9,R521:R523))</t>
  </si>
  <si>
    <t>=(SUBTOTAL(9,S521:S523))</t>
  </si>
  <si>
    <t>=(SUBTOTAL(9,T521:T523))</t>
  </si>
  <si>
    <t>=SUBTOTAL(9,O521:T523)</t>
  </si>
  <si>
    <t>=E525</t>
  </si>
  <si>
    <t>=NL("First","Item","Description","No.",$E525)</t>
  </si>
  <si>
    <t>=NL("First","Item","Base Unit of Measure","No.",$E525)</t>
  </si>
  <si>
    <t>=(SUBTOTAL(9,O526:O528))</t>
  </si>
  <si>
    <t>=(SUBTOTAL(9,P526:P528))</t>
  </si>
  <si>
    <t>=(SUBTOTAL(9,Q526:Q528))</t>
  </si>
  <si>
    <t>=(SUBTOTAL(9,R526:R528))</t>
  </si>
  <si>
    <t>=(SUBTOTAL(9,S526:S528))</t>
  </si>
  <si>
    <t>=(SUBTOTAL(9,T526:T528))</t>
  </si>
  <si>
    <t>=SUBTOTAL(9,O526:T528)</t>
  </si>
  <si>
    <t>=NL("Rows","Item Ledger Entry",,"+Posting Date",$L$5,"Item No.","@@"&amp;$D526,"Location Code",$L$7)</t>
  </si>
  <si>
    <t>=NL("Rows","Item Ledger Entry",,"+Posting Date",$L$5,"Item No.","@@"&amp;$D531,"Location Code",$L$7)</t>
  </si>
  <si>
    <t>=NL("Rows","Item Ledger Entry",,"+Posting Date",$L$5,"Item No.","@@"&amp;$D536,"Location Code",$L$7)</t>
  </si>
  <si>
    <t>=NL("Rows","Item Ledger Entry",,"+Posting Date",$L$5,"Item No.","@@"&amp;$D540,"Location Code",$L$7)</t>
  </si>
  <si>
    <t>=(SUBTOTAL(9,O545:O549))</t>
  </si>
  <si>
    <t>=(SUBTOTAL(9,P545:P549))</t>
  </si>
  <si>
    <t>=(SUBTOTAL(9,Q545:Q549))</t>
  </si>
  <si>
    <t>=(SUBTOTAL(9,R545:R549))</t>
  </si>
  <si>
    <t>=(SUBTOTAL(9,S545:S549))</t>
  </si>
  <si>
    <t>=(SUBTOTAL(9,T545:T549))</t>
  </si>
  <si>
    <t>=SUBTOTAL(9,O545:T549)</t>
  </si>
  <si>
    <t>=(SUBTOTAL(9,O552:O554))</t>
  </si>
  <si>
    <t>=(SUBTOTAL(9,P552:P554))</t>
  </si>
  <si>
    <t>=(SUBTOTAL(9,Q552:Q554))</t>
  </si>
  <si>
    <t>=(SUBTOTAL(9,R552:R554))</t>
  </si>
  <si>
    <t>=(SUBTOTAL(9,S552:S554))</t>
  </si>
  <si>
    <t>=(SUBTOTAL(9,T552:T554))</t>
  </si>
  <si>
    <t>=SUBTOTAL(9,O552:T554)</t>
  </si>
  <si>
    <t>=NL("Rows","Item Ledger Entry",,"+Posting Date",$L$5,"Item No.","@@"&amp;$D552,"Location Code",$L$7)</t>
  </si>
  <si>
    <t>=NL("Sum","Item Ledger Entry","Quantity","Entry Type","Purchase","Entry No.",I553,"Location Code",$L$7)</t>
  </si>
  <si>
    <t>=NL("Sum","Item Ledger Entry","Quantity","Entry Type","Sale","Entry No.",I553,"Location Code",$L$7)</t>
  </si>
  <si>
    <t>=NL("Sum","Item Ledger Entry","Quantity","Entry Type","Positive Adjmt.|Negative Adjmt.","Entry No.",I553,"Location Code",$L$7)</t>
  </si>
  <si>
    <t>=NL("Sum","Item Ledger Entry","Quantity","Entry Type","Transfer","Entry No.",I553,"Location Code",$L$7)</t>
  </si>
  <si>
    <t>=NL("Sum","Item Ledger Entry","Quantity","Entry Type","Consumption","Entry No.",I553,"Location Code",$L$7)</t>
  </si>
  <si>
    <t>=NL("Sum","Item Ledger Entry","Quantity","Entry Type","Output","Entry No.",I553,"Location Code",$L$7)</t>
  </si>
  <si>
    <t>=E556</t>
  </si>
  <si>
    <t>=NL("First","Item","Description","No.",$E556)</t>
  </si>
  <si>
    <t>=NL("First","Item","Base Unit of Measure","No.",$E556)</t>
  </si>
  <si>
    <t>=(SUBTOTAL(9,O557:O561))</t>
  </si>
  <si>
    <t>=(SUBTOTAL(9,P557:P561))</t>
  </si>
  <si>
    <t>=(SUBTOTAL(9,Q557:Q561))</t>
  </si>
  <si>
    <t>=(SUBTOTAL(9,R557:R561))</t>
  </si>
  <si>
    <t>=(SUBTOTAL(9,S557:S561))</t>
  </si>
  <si>
    <t>=(SUBTOTAL(9,T557:T561))</t>
  </si>
  <si>
    <t>=SUBTOTAL(9,O557:T561)</t>
  </si>
  <si>
    <t>=NL("Rows","Item Ledger Entry",,"+Posting Date",$L$5,"Item No.","@@"&amp;$D557,"Location Code",$L$7)</t>
  </si>
  <si>
    <t>=(SUBTOTAL(9,O564:O568))</t>
  </si>
  <si>
    <t>=(SUBTOTAL(9,P564:P568))</t>
  </si>
  <si>
    <t>=(SUBTOTAL(9,Q564:Q568))</t>
  </si>
  <si>
    <t>=(SUBTOTAL(9,R564:R568))</t>
  </si>
  <si>
    <t>=(SUBTOTAL(9,S564:S568))</t>
  </si>
  <si>
    <t>=(SUBTOTAL(9,T564:T568))</t>
  </si>
  <si>
    <t>=SUBTOTAL(9,O564:T568)</t>
  </si>
  <si>
    <t>=NL("Rows","Item Ledger Entry",,"+Posting Date",$L$5,"Item No.","@@"&amp;$D564,"Location Code",$L$7)</t>
  </si>
  <si>
    <t>=E570</t>
  </si>
  <si>
    <t>=NL("First","Item","Description","No.",$E570)</t>
  </si>
  <si>
    <t>=NL("First","Item","Base Unit of Measure","No.",$E570)</t>
  </si>
  <si>
    <t>=(SUBTOTAL(9,O571:O574))</t>
  </si>
  <si>
    <t>=(SUBTOTAL(9,P571:P574))</t>
  </si>
  <si>
    <t>=(SUBTOTAL(9,Q571:Q574))</t>
  </si>
  <si>
    <t>=(SUBTOTAL(9,R571:R574))</t>
  </si>
  <si>
    <t>=(SUBTOTAL(9,S571:S574))</t>
  </si>
  <si>
    <t>=(SUBTOTAL(9,T571:T574))</t>
  </si>
  <si>
    <t>=SUBTOTAL(9,O571:T574)</t>
  </si>
  <si>
    <t>=NL("Rows","Item Ledger Entry",,"+Posting Date",$L$5,"Item No.","@@"&amp;$D571,"Location Code",$L$7)</t>
  </si>
  <si>
    <t>=NL("Rows","Item Ledger Entry",,"+Posting Date",$L$5,"Item No.","@@"&amp;$D577,"Location Code",$L$7)</t>
  </si>
  <si>
    <t>=(SUBTOTAL(9,O581:O584))</t>
  </si>
  <si>
    <t>=(SUBTOTAL(9,P581:P584))</t>
  </si>
  <si>
    <t>=(SUBTOTAL(9,Q581:Q584))</t>
  </si>
  <si>
    <t>=(SUBTOTAL(9,R581:R584))</t>
  </si>
  <si>
    <t>=(SUBTOTAL(9,S581:S584))</t>
  </si>
  <si>
    <t>=(SUBTOTAL(9,T581:T584))</t>
  </si>
  <si>
    <t>=SUBTOTAL(9,O581:T584)</t>
  </si>
  <si>
    <t>=E586</t>
  </si>
  <si>
    <t>=NL("First","Item","Description","No.",$E586)</t>
  </si>
  <si>
    <t>=NL("First","Item","Base Unit of Measure","No.",$E586)</t>
  </si>
  <si>
    <t>=(SUBTOTAL(9,O587:O590))</t>
  </si>
  <si>
    <t>=(SUBTOTAL(9,P587:P590))</t>
  </si>
  <si>
    <t>=(SUBTOTAL(9,Q587:Q590))</t>
  </si>
  <si>
    <t>=(SUBTOTAL(9,R587:R590))</t>
  </si>
  <si>
    <t>=(SUBTOTAL(9,S587:S590))</t>
  </si>
  <si>
    <t>=(SUBTOTAL(9,T587:T590))</t>
  </si>
  <si>
    <t>=SUBTOTAL(9,O587:T590)</t>
  </si>
  <si>
    <t>=NL("Rows","Item Ledger Entry",,"+Posting Date",$L$5,"Item No.","@@"&amp;$D587,"Location Code",$L$7)</t>
  </si>
  <si>
    <t>=(SUBTOTAL(9,O593:O595))</t>
  </si>
  <si>
    <t>=(SUBTOTAL(9,P593:P595))</t>
  </si>
  <si>
    <t>=(SUBTOTAL(9,Q593:Q595))</t>
  </si>
  <si>
    <t>=(SUBTOTAL(9,R593:R595))</t>
  </si>
  <si>
    <t>=(SUBTOTAL(9,S593:S595))</t>
  </si>
  <si>
    <t>=(SUBTOTAL(9,T593:T595))</t>
  </si>
  <si>
    <t>=SUBTOTAL(9,O593:T595)</t>
  </si>
  <si>
    <t>=NL("Rows","Item Ledger Entry",,"+Posting Date",$L$5,"Item No.","@@"&amp;$D598,"Location Code",$L$7)</t>
  </si>
  <si>
    <t>=NL("Rows","Item Ledger Entry",,"+Posting Date",$L$5,"Item No.","@@"&amp;$D603,"Location Code",$L$7)</t>
  </si>
  <si>
    <t>=(SUBTOTAL(9,O609:O611))</t>
  </si>
  <si>
    <t>=(SUBTOTAL(9,P609:P611))</t>
  </si>
  <si>
    <t>=(SUBTOTAL(9,Q609:Q611))</t>
  </si>
  <si>
    <t>=(SUBTOTAL(9,R609:R611))</t>
  </si>
  <si>
    <t>=(SUBTOTAL(9,S609:S611))</t>
  </si>
  <si>
    <t>=(SUBTOTAL(9,T609:T611))</t>
  </si>
  <si>
    <t>=SUBTOTAL(9,O609:T611)</t>
  </si>
  <si>
    <t>=NL("Rows","Item Ledger Entry",,"+Posting Date",$L$5,"Item No.","@@"&amp;$D609,"Location Code",$L$7)</t>
  </si>
  <si>
    <t>=(SUBTOTAL(9,O614:O616))</t>
  </si>
  <si>
    <t>=(SUBTOTAL(9,P614:P616))</t>
  </si>
  <si>
    <t>=(SUBTOTAL(9,Q614:Q616))</t>
  </si>
  <si>
    <t>=(SUBTOTAL(9,R614:R616))</t>
  </si>
  <si>
    <t>=(SUBTOTAL(9,S614:S616))</t>
  </si>
  <si>
    <t>=(SUBTOTAL(9,T614:T616))</t>
  </si>
  <si>
    <t>=SUBTOTAL(9,O614:T616)</t>
  </si>
  <si>
    <t>=NL("Rows","Item Ledger Entry",,"+Posting Date",$L$5,"Item No.","@@"&amp;$D614,"Location Code",$L$7)</t>
  </si>
  <si>
    <t>=E618</t>
  </si>
  <si>
    <t>=NL("First","Item","Description","No.",$E618)</t>
  </si>
  <si>
    <t>=NL("First","Item","Base Unit of Measure","No.",$E618)</t>
  </si>
  <si>
    <t>=(SUBTOTAL(9,O619:O624))</t>
  </si>
  <si>
    <t>=(SUBTOTAL(9,P619:P624))</t>
  </si>
  <si>
    <t>=(SUBTOTAL(9,Q619:Q624))</t>
  </si>
  <si>
    <t>=(SUBTOTAL(9,R619:R624))</t>
  </si>
  <si>
    <t>=(SUBTOTAL(9,S619:S624))</t>
  </si>
  <si>
    <t>=(SUBTOTAL(9,T619:T624))</t>
  </si>
  <si>
    <t>=SUBTOTAL(9,O619:T624)</t>
  </si>
  <si>
    <t>=NL("Rows","Item Ledger Entry",,"+Posting Date",$L$5,"Item No.","@@"&amp;$D619,"Location Code",$L$7)</t>
  </si>
  <si>
    <t>=E626</t>
  </si>
  <si>
    <t>=NL("First","Item","Description","No.",$E626)</t>
  </si>
  <si>
    <t>=NL("First","Item","Base Unit of Measure","No.",$E626)</t>
  </si>
  <si>
    <t>=(SUBTOTAL(9,O627:O629))</t>
  </si>
  <si>
    <t>=(SUBTOTAL(9,P627:P629))</t>
  </si>
  <si>
    <t>=(SUBTOTAL(9,Q627:Q629))</t>
  </si>
  <si>
    <t>=(SUBTOTAL(9,R627:R629))</t>
  </si>
  <si>
    <t>=(SUBTOTAL(9,S627:S629))</t>
  </si>
  <si>
    <t>=(SUBTOTAL(9,T627:T629))</t>
  </si>
  <si>
    <t>=SUBTOTAL(9,O627:T629)</t>
  </si>
  <si>
    <t>=NL("Rows","Item Ledger Entry",,"+Posting Date",$L$5,"Item No.","@@"&amp;$D627,"Location Code",$L$7)</t>
  </si>
  <si>
    <t>=NL("Sum","Item Ledger Entry","Quantity","Entry Type","Purchase","Entry No.",I628,"Location Code",$L$7)</t>
  </si>
  <si>
    <t>=NL("Sum","Item Ledger Entry","Quantity","Entry Type","Sale","Entry No.",I628,"Location Code",$L$7)</t>
  </si>
  <si>
    <t>=NL("Sum","Item Ledger Entry","Quantity","Entry Type","Positive Adjmt.|Negative Adjmt.","Entry No.",I628,"Location Code",$L$7)</t>
  </si>
  <si>
    <t>=NL("Sum","Item Ledger Entry","Quantity","Entry Type","Transfer","Entry No.",I628,"Location Code",$L$7)</t>
  </si>
  <si>
    <t>=NL("Sum","Item Ledger Entry","Quantity","Entry Type","Consumption","Entry No.",I628,"Location Code",$L$7)</t>
  </si>
  <si>
    <t>=NL("Sum","Item Ledger Entry","Quantity","Entry Type","Output","Entry No.",I628,"Location Code",$L$7)</t>
  </si>
  <si>
    <t>=E631</t>
  </si>
  <si>
    <t>=NL("First","Item","Description","No.",$E631)</t>
  </si>
  <si>
    <t>=NL("First","Item","Base Unit of Measure","No.",$E631)</t>
  </si>
  <si>
    <t>=(SUBTOTAL(9,O632:O638))</t>
  </si>
  <si>
    <t>=(SUBTOTAL(9,P632:P638))</t>
  </si>
  <si>
    <t>=(SUBTOTAL(9,Q632:Q638))</t>
  </si>
  <si>
    <t>=(SUBTOTAL(9,R632:R638))</t>
  </si>
  <si>
    <t>=(SUBTOTAL(9,S632:S638))</t>
  </si>
  <si>
    <t>=(SUBTOTAL(9,T632:T638))</t>
  </si>
  <si>
    <t>=SUBTOTAL(9,O632:T638)</t>
  </si>
  <si>
    <t>=NL("Rows","Item Ledger Entry",,"+Posting Date",$L$5,"Item No.","@@"&amp;$D632,"Location Code",$L$7)</t>
  </si>
  <si>
    <t>=(SUBTOTAL(9,O641:O646))</t>
  </si>
  <si>
    <t>=(SUBTOTAL(9,P641:P646))</t>
  </si>
  <si>
    <t>=(SUBTOTAL(9,Q641:Q646))</t>
  </si>
  <si>
    <t>=(SUBTOTAL(9,R641:R646))</t>
  </si>
  <si>
    <t>=(SUBTOTAL(9,S641:S646))</t>
  </si>
  <si>
    <t>=(SUBTOTAL(9,T641:T646))</t>
  </si>
  <si>
    <t>=SUBTOTAL(9,O641:T646)</t>
  </si>
  <si>
    <t>=E648</t>
  </si>
  <si>
    <t>=NL("First","Item","Description","No.",$E648)</t>
  </si>
  <si>
    <t>=NL("First","Item","Base Unit of Measure","No.",$E648)</t>
  </si>
  <si>
    <t>=(SUBTOTAL(9,O649:O653))</t>
  </si>
  <si>
    <t>=(SUBTOTAL(9,P649:P653))</t>
  </si>
  <si>
    <t>=(SUBTOTAL(9,Q649:Q653))</t>
  </si>
  <si>
    <t>=(SUBTOTAL(9,R649:R653))</t>
  </si>
  <si>
    <t>=(SUBTOTAL(9,S649:S653))</t>
  </si>
  <si>
    <t>=(SUBTOTAL(9,T649:T653))</t>
  </si>
  <si>
    <t>=SUBTOTAL(9,O649:T653)</t>
  </si>
  <si>
    <t>=NL("Rows","Item Ledger Entry",,"+Posting Date",$L$5,"Item No.","@@"&amp;$D649,"Location Code",$L$7)</t>
  </si>
  <si>
    <t>=E655</t>
  </si>
  <si>
    <t>=NL("First","Item","Description","No.",$E655)</t>
  </si>
  <si>
    <t>=NL("First","Item","Base Unit of Measure","No.",$E655)</t>
  </si>
  <si>
    <t>=(SUBTOTAL(9,O656:O657))</t>
  </si>
  <si>
    <t>=(SUBTOTAL(9,P656:P657))</t>
  </si>
  <si>
    <t>=(SUBTOTAL(9,Q656:Q657))</t>
  </si>
  <si>
    <t>=(SUBTOTAL(9,R656:R657))</t>
  </si>
  <si>
    <t>=(SUBTOTAL(9,S656:S657))</t>
  </si>
  <si>
    <t>=(SUBTOTAL(9,T656:T657))</t>
  </si>
  <si>
    <t>=SUBTOTAL(9,O656:T657)</t>
  </si>
  <si>
    <t>=NL("Rows","Item Ledger Entry",,"+Posting Date",$L$5,"Item No.","@@"&amp;$D656,"Location Code",$L$7)</t>
  </si>
  <si>
    <t>=(SUBTOTAL(9,O660:O663))</t>
  </si>
  <si>
    <t>=(SUBTOTAL(9,P660:P663))</t>
  </si>
  <si>
    <t>=(SUBTOTAL(9,Q660:Q663))</t>
  </si>
  <si>
    <t>=(SUBTOTAL(9,R660:R663))</t>
  </si>
  <si>
    <t>=(SUBTOTAL(9,S660:S663))</t>
  </si>
  <si>
    <t>=(SUBTOTAL(9,T660:T663))</t>
  </si>
  <si>
    <t>=SUBTOTAL(9,O660:T663)</t>
  </si>
  <si>
    <t>=NL("Rows","Item Ledger Entry",,"+Posting Date",$L$5,"Item No.","@@"&amp;$D660,"Location Code",$L$7)</t>
  </si>
  <si>
    <t>=E665</t>
  </si>
  <si>
    <t>=NL("First","Item","Description","No.",$E665)</t>
  </si>
  <si>
    <t>=NL("First","Item","Base Unit of Measure","No.",$E665)</t>
  </si>
  <si>
    <t>=(SUBTOTAL(9,O666:O669))</t>
  </si>
  <si>
    <t>=(SUBTOTAL(9,P666:P669))</t>
  </si>
  <si>
    <t>=(SUBTOTAL(9,Q666:Q669))</t>
  </si>
  <si>
    <t>=(SUBTOTAL(9,R666:R669))</t>
  </si>
  <si>
    <t>=(SUBTOTAL(9,S666:S669))</t>
  </si>
  <si>
    <t>=(SUBTOTAL(9,T666:T669))</t>
  </si>
  <si>
    <t>=SUBTOTAL(9,O666:T669)</t>
  </si>
  <si>
    <t>=NL("Rows","Item Ledger Entry",,"+Posting Date",$L$5,"Item No.","@@"&amp;$D666,"Location Code",$L$7)</t>
  </si>
  <si>
    <t>=E671</t>
  </si>
  <si>
    <t>=NL("First","Item","Description","No.",$E671)</t>
  </si>
  <si>
    <t>=NL("First","Item","Base Unit of Measure","No.",$E671)</t>
  </si>
  <si>
    <t>=(SUBTOTAL(9,O672:O675))</t>
  </si>
  <si>
    <t>=(SUBTOTAL(9,P672:P675))</t>
  </si>
  <si>
    <t>=(SUBTOTAL(9,Q672:Q675))</t>
  </si>
  <si>
    <t>=(SUBTOTAL(9,R672:R675))</t>
  </si>
  <si>
    <t>=(SUBTOTAL(9,S672:S675))</t>
  </si>
  <si>
    <t>=(SUBTOTAL(9,T672:T675))</t>
  </si>
  <si>
    <t>=SUBTOTAL(9,O672:T675)</t>
  </si>
  <si>
    <t>=NL("Rows","Item Ledger Entry",,"+Posting Date",$L$5,"Item No.","@@"&amp;$D672,"Location Code",$L$7)</t>
  </si>
  <si>
    <t>=E677</t>
  </si>
  <si>
    <t>=NL("First","Item","Description","No.",$E677)</t>
  </si>
  <si>
    <t>=NL("First","Item","Base Unit of Measure","No.",$E677)</t>
  </si>
  <si>
    <t>=(SUBTOTAL(9,O678:O679))</t>
  </si>
  <si>
    <t>=(SUBTOTAL(9,P678:P679))</t>
  </si>
  <si>
    <t>=(SUBTOTAL(9,Q678:Q679))</t>
  </si>
  <si>
    <t>=(SUBTOTAL(9,R678:R679))</t>
  </si>
  <si>
    <t>=(SUBTOTAL(9,S678:S679))</t>
  </si>
  <si>
    <t>=(SUBTOTAL(9,T678:T679))</t>
  </si>
  <si>
    <t>=SUBTOTAL(9,O678:T679)</t>
  </si>
  <si>
    <t>=NL("Rows","Item Ledger Entry",,"+Posting Date",$L$5,"Item No.","@@"&amp;$D678,"Location Code",$L$7)</t>
  </si>
  <si>
    <t>=(SUBTOTAL(9,O682:O683))</t>
  </si>
  <si>
    <t>=(SUBTOTAL(9,P682:P683))</t>
  </si>
  <si>
    <t>=(SUBTOTAL(9,Q682:Q683))</t>
  </si>
  <si>
    <t>=(SUBTOTAL(9,R682:R683))</t>
  </si>
  <si>
    <t>=(SUBTOTAL(9,S682:S683))</t>
  </si>
  <si>
    <t>=(SUBTOTAL(9,T682:T683))</t>
  </si>
  <si>
    <t>=SUBTOTAL(9,O682:T683)</t>
  </si>
  <si>
    <t>=NL("Rows","Item Ledger Entry",,"+Posting Date",$L$5,"Item No.","@@"&amp;$D682,"Location Code",$L$7)</t>
  </si>
  <si>
    <t>=NL("Sum","Item Ledger Entry","Quantity","Entry Type","Purchase","Entry No.",I682,"Location Code",$L$7)</t>
  </si>
  <si>
    <t>=NL("Sum","Item Ledger Entry","Quantity","Entry Type","Sale","Entry No.",I682,"Location Code",$L$7)</t>
  </si>
  <si>
    <t>=NL("Sum","Item Ledger Entry","Quantity","Entry Type","Positive Adjmt.|Negative Adjmt.","Entry No.",I682,"Location Code",$L$7)</t>
  </si>
  <si>
    <t>=NL("Sum","Item Ledger Entry","Quantity","Entry Type","Transfer","Entry No.",I682,"Location Code",$L$7)</t>
  </si>
  <si>
    <t>=NL("Sum","Item Ledger Entry","Quantity","Entry Type","Consumption","Entry No.",I682,"Location Code",$L$7)</t>
  </si>
  <si>
    <t>=NL("Sum","Item Ledger Entry","Quantity","Entry Type","Output","Entry No.",I682,"Location Code",$L$7)</t>
  </si>
  <si>
    <t>=E685</t>
  </si>
  <si>
    <t>=NL("First","Item","Description","No.",$E685)</t>
  </si>
  <si>
    <t>=NL("First","Item","Base Unit of Measure","No.",$E685)</t>
  </si>
  <si>
    <t>=(SUBTOTAL(9,O686:O687))</t>
  </si>
  <si>
    <t>=(SUBTOTAL(9,P686:P687))</t>
  </si>
  <si>
    <t>=(SUBTOTAL(9,Q686:Q687))</t>
  </si>
  <si>
    <t>=(SUBTOTAL(9,R686:R687))</t>
  </si>
  <si>
    <t>=(SUBTOTAL(9,S686:S687))</t>
  </si>
  <si>
    <t>=(SUBTOTAL(9,T686:T687))</t>
  </si>
  <si>
    <t>=SUBTOTAL(9,O686:T687)</t>
  </si>
  <si>
    <t>=NL("Rows","Item Ledger Entry",,"+Posting Date",$L$5,"Item No.","@@"&amp;$D686,"Location Code",$L$7)</t>
  </si>
  <si>
    <t>=(SUBTOTAL(9,O690:O691))</t>
  </si>
  <si>
    <t>=(SUBTOTAL(9,P690:P691))</t>
  </si>
  <si>
    <t>=(SUBTOTAL(9,Q690:Q691))</t>
  </si>
  <si>
    <t>=(SUBTOTAL(9,R690:R691))</t>
  </si>
  <si>
    <t>=(SUBTOTAL(9,S690:S691))</t>
  </si>
  <si>
    <t>=(SUBTOTAL(9,T690:T691))</t>
  </si>
  <si>
    <t>=SUBTOTAL(9,O690:T691)</t>
  </si>
  <si>
    <t>=NL("Rows","Item Ledger Entry",,"+Posting Date",$L$5,"Item No.","@@"&amp;$D690,"Location Code",$L$7)</t>
  </si>
  <si>
    <t>=E693</t>
  </si>
  <si>
    <t>=NL("First","Item","Description","No.",$E693)</t>
  </si>
  <si>
    <t>=NL("First","Item","Base Unit of Measure","No.",$E693)</t>
  </si>
  <si>
    <t>=(SUBTOTAL(9,O694:O695))</t>
  </si>
  <si>
    <t>=(SUBTOTAL(9,P694:P695))</t>
  </si>
  <si>
    <t>=(SUBTOTAL(9,Q694:Q695))</t>
  </si>
  <si>
    <t>=(SUBTOTAL(9,R694:R695))</t>
  </si>
  <si>
    <t>=(SUBTOTAL(9,S694:S695))</t>
  </si>
  <si>
    <t>=(SUBTOTAL(9,T694:T695))</t>
  </si>
  <si>
    <t>=SUBTOTAL(9,O694:T695)</t>
  </si>
  <si>
    <t>=NL("Rows","Item Ledger Entry",,"+Posting Date",$L$5,"Item No.","@@"&amp;$D694,"Location Code",$L$7)</t>
  </si>
  <si>
    <t>=NL("Sum","Item Ledger Entry","Quantity","Entry Type","Purchase","Entry No.",I694,"Location Code",$L$7)</t>
  </si>
  <si>
    <t>=NL("Sum","Item Ledger Entry","Quantity","Entry Type","Sale","Entry No.",I694,"Location Code",$L$7)</t>
  </si>
  <si>
    <t>=NL("Sum","Item Ledger Entry","Quantity","Entry Type","Positive Adjmt.|Negative Adjmt.","Entry No.",I694,"Location Code",$L$7)</t>
  </si>
  <si>
    <t>=NL("Sum","Item Ledger Entry","Quantity","Entry Type","Transfer","Entry No.",I694,"Location Code",$L$7)</t>
  </si>
  <si>
    <t>=NL("Sum","Item Ledger Entry","Quantity","Entry Type","Consumption","Entry No.",I694,"Location Code",$L$7)</t>
  </si>
  <si>
    <t>=NL("Sum","Item Ledger Entry","Quantity","Entry Type","Output","Entry No.",I694,"Location Code",$L$7)</t>
  </si>
  <si>
    <t>=E697</t>
  </si>
  <si>
    <t>=NL("First","Item","Description","No.",$E697)</t>
  </si>
  <si>
    <t>=NL("First","Item","Base Unit of Measure","No.",$E697)</t>
  </si>
  <si>
    <t>=(SUBTOTAL(9,O698:O699))</t>
  </si>
  <si>
    <t>=(SUBTOTAL(9,P698:P699))</t>
  </si>
  <si>
    <t>=(SUBTOTAL(9,Q698:Q699))</t>
  </si>
  <si>
    <t>=(SUBTOTAL(9,R698:R699))</t>
  </si>
  <si>
    <t>=(SUBTOTAL(9,S698:S699))</t>
  </si>
  <si>
    <t>=(SUBTOTAL(9,T698:T699))</t>
  </si>
  <si>
    <t>=SUBTOTAL(9,O698:T699)</t>
  </si>
  <si>
    <t>=NL("Rows","Item Ledger Entry",,"+Posting Date",$L$5,"Item No.","@@"&amp;$D698,"Location Code",$L$7)</t>
  </si>
  <si>
    <t>=E701</t>
  </si>
  <si>
    <t>=NL("First","Item","Description","No.",$E701)</t>
  </si>
  <si>
    <t>=NL("First","Item","Base Unit of Measure","No.",$E701)</t>
  </si>
  <si>
    <t>=(SUBTOTAL(9,O702:O703))</t>
  </si>
  <si>
    <t>=(SUBTOTAL(9,P702:P703))</t>
  </si>
  <si>
    <t>=(SUBTOTAL(9,Q702:Q703))</t>
  </si>
  <si>
    <t>=(SUBTOTAL(9,R702:R703))</t>
  </si>
  <si>
    <t>=(SUBTOTAL(9,S702:S703))</t>
  </si>
  <si>
    <t>=(SUBTOTAL(9,T702:T703))</t>
  </si>
  <si>
    <t>=SUBTOTAL(9,O702:T703)</t>
  </si>
  <si>
    <t>=NL("Rows","Item Ledger Entry",,"+Posting Date",$L$5,"Item No.","@@"&amp;$D702,"Location Code",$L$7)</t>
  </si>
  <si>
    <t>=(SUBTOTAL(9,O706:O708))</t>
  </si>
  <si>
    <t>=(SUBTOTAL(9,P706:P708))</t>
  </si>
  <si>
    <t>=(SUBTOTAL(9,Q706:Q708))</t>
  </si>
  <si>
    <t>=(SUBTOTAL(9,R706:R708))</t>
  </si>
  <si>
    <t>=(SUBTOTAL(9,S706:S708))</t>
  </si>
  <si>
    <t>=(SUBTOTAL(9,T706:T708))</t>
  </si>
  <si>
    <t>=SUBTOTAL(9,O706:T708)</t>
  </si>
  <si>
    <t>=(SUBTOTAL(9,O711:O712))</t>
  </si>
  <si>
    <t>=(SUBTOTAL(9,P711:P712))</t>
  </si>
  <si>
    <t>=(SUBTOTAL(9,Q711:Q712))</t>
  </si>
  <si>
    <t>=(SUBTOTAL(9,R711:R712))</t>
  </si>
  <si>
    <t>=(SUBTOTAL(9,S711:S712))</t>
  </si>
  <si>
    <t>=(SUBTOTAL(9,T711:T712))</t>
  </si>
  <si>
    <t>=SUBTOTAL(9,O711:T712)</t>
  </si>
  <si>
    <t>=E714</t>
  </si>
  <si>
    <t>=NL("First","Item","Description","No.",$E714)</t>
  </si>
  <si>
    <t>=NL("First","Item","Base Unit of Measure","No.",$E714)</t>
  </si>
  <si>
    <t>=(SUBTOTAL(9,O715:O716))</t>
  </si>
  <si>
    <t>=(SUBTOTAL(9,P715:P716))</t>
  </si>
  <si>
    <t>=(SUBTOTAL(9,Q715:Q716))</t>
  </si>
  <si>
    <t>=(SUBTOTAL(9,R715:R716))</t>
  </si>
  <si>
    <t>=(SUBTOTAL(9,S715:S716))</t>
  </si>
  <si>
    <t>=(SUBTOTAL(9,T715:T716))</t>
  </si>
  <si>
    <t>=SUBTOTAL(9,O715:T716)</t>
  </si>
  <si>
    <t>=NL("Rows","Item Ledger Entry",,"+Posting Date",$L$5,"Item No.","@@"&amp;$D715,"Location Code",$L$7)</t>
  </si>
  <si>
    <t>=(SUBTOTAL(9,O719:O720))</t>
  </si>
  <si>
    <t>=(SUBTOTAL(9,P719:P720))</t>
  </si>
  <si>
    <t>=(SUBTOTAL(9,Q719:Q720))</t>
  </si>
  <si>
    <t>=(SUBTOTAL(9,R719:R720))</t>
  </si>
  <si>
    <t>=(SUBTOTAL(9,S719:S720))</t>
  </si>
  <si>
    <t>=(SUBTOTAL(9,T719:T720))</t>
  </si>
  <si>
    <t>=SUBTOTAL(9,O719:T720)</t>
  </si>
  <si>
    <t>=E722</t>
  </si>
  <si>
    <t>=NL("First","Item","Description","No.",$E722)</t>
  </si>
  <si>
    <t>=NL("First","Item","Base Unit of Measure","No.",$E722)</t>
  </si>
  <si>
    <t>=(SUBTOTAL(9,O723:O724))</t>
  </si>
  <si>
    <t>=(SUBTOTAL(9,P723:P724))</t>
  </si>
  <si>
    <t>=(SUBTOTAL(9,Q723:Q724))</t>
  </si>
  <si>
    <t>=(SUBTOTAL(9,R723:R724))</t>
  </si>
  <si>
    <t>=(SUBTOTAL(9,S723:S724))</t>
  </si>
  <si>
    <t>=(SUBTOTAL(9,T723:T724))</t>
  </si>
  <si>
    <t>=SUBTOTAL(9,O723:T724)</t>
  </si>
  <si>
    <t>=NL("Rows","Item Ledger Entry",,"+Posting Date",$L$5,"Item No.","@@"&amp;$D723,"Location Code",$L$7)</t>
  </si>
  <si>
    <t>=SUBTOTAL(9,O13:O726)</t>
  </si>
  <si>
    <t>=SUBTOTAL(9,P13:P726)</t>
  </si>
  <si>
    <t>=SUBTOTAL(9,Q13:Q726)</t>
  </si>
  <si>
    <t>=SUBTOTAL(9,R13:R726)</t>
  </si>
  <si>
    <t>=SUBTOTAL(9,S13:S726)</t>
  </si>
  <si>
    <t>=SUBTOTAL(9,T13:T726)</t>
  </si>
  <si>
    <t>=SUM(U12:U726)</t>
  </si>
  <si>
    <t>=NL("Sum","Item Ledger Entry","Quantity","Entry Type","Purchase","Entry No.",I651,"Location Code",$L$7)</t>
  </si>
  <si>
    <t>=NL("Sum","Item Ledger Entry","Quantity","Entry Type","Purchase","Entry No.",I652,"Location Code",$L$7)</t>
  </si>
  <si>
    <t>=NL("Sum","Item Ledger Entry","Quantity","Entry Type","Sale","Entry No.",I651,"Location Code",$L$7)</t>
  </si>
  <si>
    <t>=NL("Sum","Item Ledger Entry","Quantity","Entry Type","Sale","Entry No.",I652,"Location Code",$L$7)</t>
  </si>
  <si>
    <t>=NL("Sum","Item Ledger Entry","Quantity","Entry Type","Positive Adjmt.|Negative Adjmt.","Entry No.",I651,"Location Code",$L$7)</t>
  </si>
  <si>
    <t>=NL("Sum","Item Ledger Entry","Quantity","Entry Type","Positive Adjmt.|Negative Adjmt.","Entry No.",I652,"Location Code",$L$7)</t>
  </si>
  <si>
    <t>=NL("Sum","Item Ledger Entry","Quantity","Entry Type","Transfer","Entry No.",I651,"Location Code",$L$7)</t>
  </si>
  <si>
    <t>=NL("Sum","Item Ledger Entry","Quantity","Entry Type","Transfer","Entry No.",I652,"Location Code",$L$7)</t>
  </si>
  <si>
    <t>=NL("Sum","Item Ledger Entry","Quantity","Entry Type","Consumption","Entry No.",I651,"Location Code",$L$7)</t>
  </si>
  <si>
    <t>=NL("Sum","Item Ledger Entry","Quantity","Entry Type","Consumption","Entry No.",I652,"Location Code",$L$7)</t>
  </si>
  <si>
    <t>=NL("Sum","Item Ledger Entry","Quantity","Entry Type","Output","Entry No.",I651,"Location Code",$L$7)</t>
  </si>
  <si>
    <t>=NL("Sum","Item Ledger Entry","Quantity","Entry Type","Output","Entry No.",I652,"Location Code",$L$7)</t>
  </si>
  <si>
    <t>Auto+Hide+Values+Formulas=Sheet32,Sheet26,Sheet27+FormulasOnly</t>
  </si>
  <si>
    <t>Auto+Hide+Values+Formulas=Sheet33,Sheet28,Sheet29</t>
  </si>
  <si>
    <t>Auto+Hide+Values+Formulas=Sheet33,Sheet28,Sheet29+FormulasOnly</t>
  </si>
  <si>
    <t>Auto+Hide+Values+Formulas=Sheet34,Sheet28,Sheet29+AutoSheet</t>
  </si>
  <si>
    <t>Auto+Hide+Values+Formulas=Sheet34,Sheet28,Sheet29+AutoSheet+FormulasOnly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</si>
</sst>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[$-409]m/d/yy\ h:mm\ AM/PM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Segoe UI Semibold"/>
      <family val="2"/>
    </font>
    <font>
      <sz val="11"/>
      <name val="Segoe UI Semibold"/>
      <family val="2"/>
    </font>
    <font>
      <i/>
      <sz val="11"/>
      <name val="Segoe UI Semibold"/>
      <family val="2"/>
    </font>
    <font>
      <sz val="12"/>
      <name val="Segoe UI Semibold"/>
      <family val="2"/>
    </font>
    <font>
      <b/>
      <sz val="14"/>
      <color indexed="9"/>
      <name val="Segoe UI Semibold"/>
      <family val="2"/>
    </font>
    <font>
      <b/>
      <sz val="11"/>
      <name val="Segoe UI Semibold"/>
      <family val="2"/>
    </font>
    <font>
      <sz val="10"/>
      <color indexed="8"/>
      <name val="Segoe UI Semibold"/>
      <family val="2"/>
    </font>
    <font>
      <sz val="10"/>
      <color indexed="9"/>
      <name val="Segoe UI Semibold"/>
      <family val="2"/>
    </font>
    <font>
      <sz val="14"/>
      <name val="Segoe UI Semibold"/>
      <family val="2"/>
    </font>
    <font>
      <b/>
      <sz val="14"/>
      <name val="Segoe UI Semibold"/>
      <family val="2"/>
    </font>
    <font>
      <b/>
      <u/>
      <sz val="18"/>
      <name val="Segoe UI Semibold"/>
      <family val="2"/>
    </font>
    <font>
      <b/>
      <sz val="20"/>
      <color indexed="9"/>
      <name val="Segoe UI Semibold"/>
      <family val="2"/>
    </font>
    <font>
      <sz val="11"/>
      <color indexed="55"/>
      <name val="Segoe UI Semibold"/>
      <family val="2"/>
    </font>
    <font>
      <sz val="11"/>
      <color indexed="8"/>
      <name val="Segoe UI Semibold"/>
      <family val="2"/>
    </font>
    <font>
      <sz val="11"/>
      <color indexed="9"/>
      <name val="Segoe UI Semibold"/>
      <family val="2"/>
    </font>
    <font>
      <b/>
      <sz val="11"/>
      <color indexed="9"/>
      <name val="Segoe UI Semibold"/>
      <family val="2"/>
    </font>
    <font>
      <b/>
      <sz val="10"/>
      <name val="Segoe UI Semibold"/>
      <family val="2"/>
    </font>
    <font>
      <sz val="12"/>
      <color indexed="9"/>
      <name val="Segoe UI Semibold"/>
      <family val="2"/>
    </font>
    <font>
      <i/>
      <sz val="12"/>
      <name val="Segoe UI Semibold"/>
      <family val="2"/>
    </font>
    <font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6A6A6"/>
        <bgColor indexed="64"/>
      </patternFill>
    </fill>
    <fill>
      <patternFill patternType="solid">
        <fgColor rgb="FFE4E8ED"/>
        <bgColor indexed="64"/>
      </patternFill>
    </fill>
    <fill>
      <patternFill patternType="solid">
        <fgColor rgb="FF417A85"/>
        <bgColor indexed="64"/>
      </patternFill>
    </fill>
    <fill>
      <patternFill patternType="solid">
        <fgColor rgb="FF83B9C2"/>
        <bgColor indexed="64"/>
      </patternFill>
    </fill>
    <fill>
      <patternFill patternType="solid">
        <fgColor rgb="FFDDECEE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indexed="64"/>
      </right>
      <top/>
      <bottom style="thin">
        <color rgb="FF80808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808080"/>
      </top>
      <bottom/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1" fillId="0" borderId="0"/>
    <xf numFmtId="0" fontId="21" fillId="0" borderId="0"/>
    <xf numFmtId="0" fontId="19" fillId="0" borderId="0"/>
    <xf numFmtId="0" fontId="41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4">
    <xf numFmtId="0" fontId="0" fillId="0" borderId="0" xfId="0"/>
    <xf numFmtId="0" fontId="22" fillId="0" borderId="0" xfId="0" applyFont="1"/>
    <xf numFmtId="0" fontId="34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36" fillId="33" borderId="0" xfId="0" applyFont="1" applyFill="1"/>
    <xf numFmtId="0" fontId="37" fillId="33" borderId="0" xfId="0" applyFont="1" applyFill="1" applyAlignment="1">
      <alignment horizontal="right"/>
    </xf>
    <xf numFmtId="0" fontId="36" fillId="33" borderId="0" xfId="0" applyFont="1" applyFill="1" applyAlignment="1">
      <alignment horizontal="right"/>
    </xf>
    <xf numFmtId="0" fontId="22" fillId="0" borderId="0" xfId="0" applyFont="1" applyAlignment="1">
      <alignment horizontal="right"/>
    </xf>
    <xf numFmtId="0" fontId="38" fillId="0" borderId="0" xfId="0" applyFont="1"/>
    <xf numFmtId="0" fontId="22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35" fillId="0" borderId="0" xfId="0" applyFont="1"/>
    <xf numFmtId="14" fontId="35" fillId="0" borderId="0" xfId="0" applyNumberFormat="1" applyFont="1" applyAlignment="1">
      <alignment horizontal="right"/>
    </xf>
    <xf numFmtId="14" fontId="35" fillId="0" borderId="0" xfId="0" applyNumberFormat="1" applyFont="1"/>
    <xf numFmtId="0" fontId="22" fillId="34" borderId="0" xfId="0" applyFont="1" applyFill="1"/>
    <xf numFmtId="0" fontId="28" fillId="0" borderId="0" xfId="0" applyFont="1"/>
    <xf numFmtId="0" fontId="29" fillId="35" borderId="0" xfId="0" applyFont="1" applyFill="1"/>
    <xf numFmtId="165" fontId="28" fillId="0" borderId="0" xfId="0" applyNumberFormat="1" applyFont="1" applyAlignment="1">
      <alignment horizontal="left"/>
    </xf>
    <xf numFmtId="0" fontId="25" fillId="0" borderId="0" xfId="0" applyFont="1"/>
    <xf numFmtId="0" fontId="23" fillId="0" borderId="0" xfId="0" applyFont="1"/>
    <xf numFmtId="0" fontId="32" fillId="0" borderId="0" xfId="0" applyFont="1"/>
    <xf numFmtId="0" fontId="24" fillId="0" borderId="0" xfId="0" applyFont="1"/>
    <xf numFmtId="0" fontId="23" fillId="0" borderId="10" xfId="0" applyFont="1" applyBorder="1"/>
    <xf numFmtId="0" fontId="26" fillId="36" borderId="10" xfId="0" applyFont="1" applyFill="1" applyBorder="1"/>
    <xf numFmtId="0" fontId="26" fillId="36" borderId="11" xfId="0" applyFont="1" applyFill="1" applyBorder="1"/>
    <xf numFmtId="0" fontId="26" fillId="36" borderId="11" xfId="0" applyFont="1" applyFill="1" applyBorder="1" applyAlignment="1">
      <alignment horizontal="left"/>
    </xf>
    <xf numFmtId="0" fontId="26" fillId="36" borderId="11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right"/>
    </xf>
    <xf numFmtId="0" fontId="26" fillId="36" borderId="12" xfId="0" applyFont="1" applyFill="1" applyBorder="1" applyAlignment="1">
      <alignment horizontal="right" wrapText="1"/>
    </xf>
    <xf numFmtId="0" fontId="39" fillId="36" borderId="11" xfId="0" applyFont="1" applyFill="1" applyBorder="1" applyAlignment="1">
      <alignment horizontal="left"/>
    </xf>
    <xf numFmtId="0" fontId="39" fillId="36" borderId="11" xfId="0" applyFont="1" applyFill="1" applyBorder="1" applyAlignment="1">
      <alignment horizontal="right"/>
    </xf>
    <xf numFmtId="0" fontId="39" fillId="36" borderId="12" xfId="0" applyFont="1" applyFill="1" applyBorder="1" applyAlignment="1">
      <alignment horizontal="right" wrapText="1"/>
    </xf>
    <xf numFmtId="0" fontId="23" fillId="0" borderId="13" xfId="0" applyFont="1" applyBorder="1"/>
    <xf numFmtId="0" fontId="23" fillId="37" borderId="13" xfId="0" applyFont="1" applyFill="1" applyBorder="1"/>
    <xf numFmtId="0" fontId="30" fillId="37" borderId="13" xfId="0" applyFont="1" applyFill="1" applyBorder="1"/>
    <xf numFmtId="0" fontId="30" fillId="37" borderId="0" xfId="0" applyFont="1" applyFill="1"/>
    <xf numFmtId="0" fontId="30" fillId="37" borderId="0" xfId="0" applyFont="1" applyFill="1" applyAlignment="1">
      <alignment horizontal="left"/>
    </xf>
    <xf numFmtId="164" fontId="31" fillId="37" borderId="0" xfId="0" applyNumberFormat="1" applyFont="1" applyFill="1"/>
    <xf numFmtId="14" fontId="23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164" fontId="23" fillId="0" borderId="0" xfId="0" applyNumberFormat="1" applyFont="1" applyAlignment="1">
      <alignment horizontal="right"/>
    </xf>
    <xf numFmtId="3" fontId="23" fillId="0" borderId="0" xfId="0" applyNumberFormat="1" applyFont="1"/>
    <xf numFmtId="0" fontId="23" fillId="0" borderId="14" xfId="0" applyFont="1" applyBorder="1"/>
    <xf numFmtId="0" fontId="23" fillId="0" borderId="15" xfId="0" applyFont="1" applyBorder="1"/>
    <xf numFmtId="0" fontId="27" fillId="0" borderId="15" xfId="0" applyFont="1" applyBorder="1"/>
    <xf numFmtId="164" fontId="27" fillId="0" borderId="15" xfId="0" applyNumberFormat="1" applyFont="1" applyBorder="1"/>
    <xf numFmtId="0" fontId="0" fillId="0" borderId="0" xfId="0" quotePrefix="1"/>
    <xf numFmtId="0" fontId="25" fillId="0" borderId="0" xfId="0" applyFont="1" applyAlignment="1">
      <alignment horizontal="left"/>
    </xf>
    <xf numFmtId="14" fontId="40" fillId="0" borderId="0" xfId="0" applyNumberFormat="1" applyFont="1" applyAlignment="1">
      <alignment horizontal="left"/>
    </xf>
    <xf numFmtId="0" fontId="40" fillId="0" borderId="0" xfId="0" applyFont="1" applyAlignment="1">
      <alignment horizontal="right" indent="1"/>
    </xf>
    <xf numFmtId="0" fontId="25" fillId="0" borderId="0" xfId="0" applyFont="1" applyAlignment="1">
      <alignment horizontal="right" indent="1"/>
    </xf>
    <xf numFmtId="0" fontId="23" fillId="0" borderId="17" xfId="0" applyFont="1" applyBorder="1"/>
    <xf numFmtId="164" fontId="31" fillId="37" borderId="17" xfId="0" applyNumberFormat="1" applyFont="1" applyFill="1" applyBorder="1"/>
    <xf numFmtId="164" fontId="23" fillId="0" borderId="17" xfId="0" applyNumberFormat="1" applyFont="1" applyBorder="1" applyAlignment="1">
      <alignment horizontal="right"/>
    </xf>
    <xf numFmtId="3" fontId="23" fillId="0" borderId="17" xfId="0" applyNumberFormat="1" applyFont="1" applyBorder="1"/>
    <xf numFmtId="0" fontId="22" fillId="0" borderId="17" xfId="0" applyFont="1" applyBorder="1"/>
    <xf numFmtId="164" fontId="27" fillId="0" borderId="16" xfId="0" applyNumberFormat="1" applyFont="1" applyBorder="1"/>
    <xf numFmtId="0" fontId="31" fillId="0" borderId="19" xfId="0" applyFont="1" applyBorder="1"/>
    <xf numFmtId="164" fontId="31" fillId="0" borderId="19" xfId="0" applyNumberFormat="1" applyFont="1" applyBorder="1"/>
    <xf numFmtId="164" fontId="31" fillId="0" borderId="18" xfId="0" applyNumberFormat="1" applyFont="1" applyBorder="1"/>
    <xf numFmtId="0" fontId="26" fillId="36" borderId="20" xfId="0" applyFont="1" applyFill="1" applyBorder="1" applyAlignment="1">
      <alignment horizontal="right" wrapText="1"/>
    </xf>
    <xf numFmtId="0" fontId="39" fillId="36" borderId="20" xfId="0" applyFont="1" applyFill="1" applyBorder="1" applyAlignment="1">
      <alignment horizontal="right" wrapText="1"/>
    </xf>
    <xf numFmtId="0" fontId="33" fillId="35" borderId="0" xfId="0" applyFont="1" applyFill="1" applyAlignment="1">
      <alignment horizontal="left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3" xfId="47" xr:uid="{00000000-0005-0000-0000-000021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2" xr:uid="{00000000-0005-0000-0000-000026000000}"/>
    <cellStyle name="Normal 2 2" xfId="43" xr:uid="{00000000-0005-0000-0000-000027000000}"/>
    <cellStyle name="Normal 2 3" xfId="45" xr:uid="{00000000-0005-0000-0000-000028000000}"/>
    <cellStyle name="Normal 2 4" xfId="46" xr:uid="{00000000-0005-0000-0000-000029000000}"/>
    <cellStyle name="Normal 2 5" xfId="44" xr:uid="{00000000-0005-0000-0000-00002A000000}"/>
    <cellStyle name="Normal 3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opLeftCell="B2" workbookViewId="0">
      <selection activeCell="D6" sqref="D6"/>
    </sheetView>
  </sheetViews>
  <sheetFormatPr defaultRowHeight="14.25" customHeight="1" x14ac:dyDescent="0.25"/>
  <cols>
    <col min="1" max="1" width="9.140625" style="1" hidden="1" customWidth="1"/>
    <col min="2" max="2" width="12.28515625" style="1" bestFit="1" customWidth="1"/>
    <col min="3" max="3" width="20.7109375" style="1" bestFit="1" customWidth="1"/>
    <col min="4" max="4" width="19.5703125" style="1" bestFit="1" customWidth="1"/>
    <col min="5" max="5" width="16.85546875" style="1" bestFit="1" customWidth="1"/>
    <col min="6" max="6" width="17.7109375" style="1" bestFit="1" customWidth="1"/>
    <col min="7" max="16384" width="9.140625" style="1"/>
  </cols>
  <sheetData>
    <row r="1" spans="1:6" ht="16.5" hidden="1" customHeight="1" x14ac:dyDescent="0.3">
      <c r="A1" s="2" t="s">
        <v>9998</v>
      </c>
      <c r="B1" s="3" t="s">
        <v>0</v>
      </c>
      <c r="C1" s="3" t="s">
        <v>1</v>
      </c>
      <c r="D1" s="4" t="s">
        <v>2</v>
      </c>
      <c r="E1" s="4" t="s">
        <v>5277</v>
      </c>
    </row>
    <row r="2" spans="1:6" ht="16.5" customHeight="1" x14ac:dyDescent="0.3">
      <c r="A2" s="2"/>
      <c r="B2" s="3"/>
      <c r="C2" s="3"/>
      <c r="D2" s="4"/>
      <c r="E2" s="4"/>
    </row>
    <row r="3" spans="1:6" ht="16.5" customHeight="1" x14ac:dyDescent="0.3">
      <c r="A3" s="2"/>
      <c r="B3" s="5"/>
      <c r="C3" s="6" t="s">
        <v>3</v>
      </c>
      <c r="D3" s="7"/>
      <c r="E3" s="4"/>
      <c r="F3" s="4"/>
    </row>
    <row r="4" spans="1:6" ht="16.5" customHeight="1" x14ac:dyDescent="0.3">
      <c r="A4" s="2" t="s">
        <v>4</v>
      </c>
      <c r="B4" s="3" t="s">
        <v>5</v>
      </c>
      <c r="C4" s="4" t="str">
        <f>"1/1/2019..10/1/2019"</f>
        <v>1/1/2019..10/1/2019</v>
      </c>
      <c r="D4" s="4"/>
      <c r="E4" s="3" t="s">
        <v>5278</v>
      </c>
      <c r="F4" s="4"/>
    </row>
    <row r="5" spans="1:6" ht="16.5" customHeight="1" x14ac:dyDescent="0.3">
      <c r="A5" s="2" t="s">
        <v>4</v>
      </c>
      <c r="B5" s="3" t="s">
        <v>6</v>
      </c>
      <c r="C5" s="4" t="str">
        <f>"*"</f>
        <v>*</v>
      </c>
      <c r="D5" s="4" t="str">
        <f>"Lookup"</f>
        <v>Lookup</v>
      </c>
      <c r="E5" s="4"/>
    </row>
    <row r="6" spans="1:6" ht="16.5" customHeight="1" x14ac:dyDescent="0.3">
      <c r="A6" s="2" t="s">
        <v>4</v>
      </c>
      <c r="B6" s="3" t="s">
        <v>7</v>
      </c>
      <c r="C6" s="8" t="str">
        <f>"NY-WHSE1..NY-WHSE3"</f>
        <v>NY-WHSE1..NY-WHSE3</v>
      </c>
      <c r="D6" s="4" t="str">
        <f>"Lookup"</f>
        <v>Lookup</v>
      </c>
    </row>
    <row r="7" spans="1:6" ht="16.5" customHeight="1" x14ac:dyDescent="0.3">
      <c r="B7" s="3"/>
      <c r="C7" s="4"/>
      <c r="D7" s="4"/>
      <c r="E7" s="4"/>
      <c r="F7" s="4"/>
    </row>
    <row r="8" spans="1:6" ht="14.25" customHeight="1" x14ac:dyDescent="0.25">
      <c r="D8" s="8"/>
      <c r="E8" s="9"/>
      <c r="F8" s="10"/>
    </row>
    <row r="9" spans="1:6" ht="16.5" customHeight="1" x14ac:dyDescent="0.3">
      <c r="B9" s="2"/>
      <c r="C9" s="2"/>
      <c r="D9" s="11"/>
      <c r="E9" s="11"/>
      <c r="F9" s="2"/>
    </row>
    <row r="10" spans="1:6" ht="16.5" customHeight="1" x14ac:dyDescent="0.3">
      <c r="B10" s="2"/>
      <c r="C10" s="2"/>
      <c r="D10" s="11"/>
      <c r="E10" s="11"/>
      <c r="F10" s="2"/>
    </row>
    <row r="11" spans="1:6" ht="16.5" customHeight="1" x14ac:dyDescent="0.3">
      <c r="B11" s="2"/>
    </row>
    <row r="12" spans="1:6" ht="16.5" customHeight="1" x14ac:dyDescent="0.3">
      <c r="B12" s="2"/>
      <c r="C12" s="12"/>
      <c r="D12" s="13"/>
      <c r="E12" s="4"/>
      <c r="F12" s="12"/>
    </row>
    <row r="13" spans="1:6" ht="16.5" customHeight="1" x14ac:dyDescent="0.3">
      <c r="B13" s="2"/>
      <c r="C13" s="12"/>
      <c r="D13" s="13"/>
      <c r="E13" s="4"/>
    </row>
    <row r="14" spans="1:6" ht="16.5" customHeight="1" x14ac:dyDescent="0.3">
      <c r="B14" s="2"/>
      <c r="C14" s="12"/>
      <c r="D14" s="14"/>
      <c r="E14" s="4"/>
    </row>
  </sheetData>
  <pageMargins left="0.75" right="0.75" top="1" bottom="1" header="0.5" footer="0.5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3AD0F-06DE-4769-ABDF-0BBF4D75D634}">
  <dimension ref="A1:U17"/>
  <sheetViews>
    <sheetView workbookViewId="0"/>
  </sheetViews>
  <sheetFormatPr defaultRowHeight="12.75" x14ac:dyDescent="0.2"/>
  <sheetData>
    <row r="1" spans="1:21" x14ac:dyDescent="0.2">
      <c r="A1" s="47" t="s">
        <v>9997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7</v>
      </c>
      <c r="K5" s="47" t="s">
        <v>5</v>
      </c>
      <c r="L5" s="47" t="s">
        <v>35</v>
      </c>
    </row>
    <row r="6" spans="1:21" x14ac:dyDescent="0.2">
      <c r="E6" s="47" t="s">
        <v>2077</v>
      </c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2078</v>
      </c>
      <c r="F12" s="47" t="s">
        <v>2046</v>
      </c>
      <c r="H12" s="47" t="s">
        <v>2047</v>
      </c>
      <c r="O12" s="47" t="s">
        <v>2048</v>
      </c>
      <c r="P12" s="47" t="s">
        <v>2049</v>
      </c>
      <c r="Q12" s="47" t="s">
        <v>2050</v>
      </c>
      <c r="R12" s="47" t="s">
        <v>2051</v>
      </c>
      <c r="S12" s="47" t="s">
        <v>2052</v>
      </c>
      <c r="T12" s="47" t="s">
        <v>2053</v>
      </c>
      <c r="U12" s="47" t="s">
        <v>2054</v>
      </c>
    </row>
    <row r="13" spans="1:21" x14ac:dyDescent="0.2">
      <c r="D13" s="47" t="s">
        <v>2055</v>
      </c>
      <c r="G13" s="47" t="s">
        <v>2079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2080</v>
      </c>
      <c r="P13" s="47" t="s">
        <v>2081</v>
      </c>
      <c r="Q13" s="47" t="s">
        <v>2082</v>
      </c>
      <c r="R13" s="47" t="s">
        <v>2083</v>
      </c>
      <c r="S13" s="47" t="s">
        <v>2084</v>
      </c>
      <c r="T13" s="47" t="s">
        <v>2085</v>
      </c>
    </row>
    <row r="15" spans="1:21" x14ac:dyDescent="0.2">
      <c r="E15" s="47" t="s">
        <v>30</v>
      </c>
      <c r="F15" s="47" t="s">
        <v>30</v>
      </c>
      <c r="G15" s="47" t="s">
        <v>30</v>
      </c>
      <c r="J15" s="47" t="s">
        <v>30</v>
      </c>
      <c r="K15" s="47" t="s">
        <v>30</v>
      </c>
      <c r="L15" s="47" t="s">
        <v>30</v>
      </c>
      <c r="M15" s="47" t="s">
        <v>30</v>
      </c>
    </row>
    <row r="17" spans="14:21" x14ac:dyDescent="0.2">
      <c r="N17" s="47" t="s">
        <v>31</v>
      </c>
      <c r="O17" s="47" t="s">
        <v>2070</v>
      </c>
      <c r="P17" s="47" t="s">
        <v>2071</v>
      </c>
      <c r="Q17" s="47" t="s">
        <v>2072</v>
      </c>
      <c r="R17" s="47" t="s">
        <v>2073</v>
      </c>
      <c r="S17" s="47" t="s">
        <v>2074</v>
      </c>
      <c r="T17" s="47" t="s">
        <v>2075</v>
      </c>
      <c r="U17" s="47" t="s">
        <v>2076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8EE37-B00B-45DE-ACF3-1C3C8386B1CA}">
  <dimension ref="A1:E6"/>
  <sheetViews>
    <sheetView workbookViewId="0"/>
  </sheetViews>
  <sheetFormatPr defaultRowHeight="12.75" x14ac:dyDescent="0.2"/>
  <sheetData>
    <row r="1" spans="1:5" x14ac:dyDescent="0.2">
      <c r="A1" s="47" t="s">
        <v>9999</v>
      </c>
      <c r="B1" s="47" t="s">
        <v>0</v>
      </c>
      <c r="C1" s="47" t="s">
        <v>1</v>
      </c>
      <c r="D1" s="47" t="s">
        <v>2</v>
      </c>
      <c r="E1" s="47" t="s">
        <v>5277</v>
      </c>
    </row>
    <row r="3" spans="1:5" x14ac:dyDescent="0.2">
      <c r="C3" s="47" t="s">
        <v>3</v>
      </c>
    </row>
    <row r="4" spans="1:5" x14ac:dyDescent="0.2">
      <c r="A4" s="47" t="s">
        <v>4</v>
      </c>
      <c r="B4" s="47" t="s">
        <v>5</v>
      </c>
      <c r="C4" s="47" t="s">
        <v>8609</v>
      </c>
      <c r="E4" s="47" t="s">
        <v>5278</v>
      </c>
    </row>
    <row r="5" spans="1:5" x14ac:dyDescent="0.2">
      <c r="A5" s="47" t="s">
        <v>4</v>
      </c>
      <c r="B5" s="47" t="s">
        <v>6</v>
      </c>
      <c r="C5" s="47" t="s">
        <v>33</v>
      </c>
      <c r="D5" s="47" t="s">
        <v>32</v>
      </c>
    </row>
    <row r="6" spans="1:5" x14ac:dyDescent="0.2">
      <c r="A6" s="47" t="s">
        <v>4</v>
      </c>
      <c r="B6" s="47" t="s">
        <v>7</v>
      </c>
      <c r="C6" s="47" t="s">
        <v>9993</v>
      </c>
      <c r="D6" s="47" t="s">
        <v>9994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E70F3-3F92-4759-A994-469E5C6FE143}">
  <dimension ref="A1:U727"/>
  <sheetViews>
    <sheetView workbookViewId="0"/>
  </sheetViews>
  <sheetFormatPr defaultRowHeight="12.75" x14ac:dyDescent="0.2"/>
  <sheetData>
    <row r="1" spans="1:21" x14ac:dyDescent="0.2">
      <c r="A1" s="47" t="s">
        <v>10891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12</v>
      </c>
      <c r="K5" s="47" t="s">
        <v>5</v>
      </c>
      <c r="L5" s="47" t="s">
        <v>35</v>
      </c>
    </row>
    <row r="6" spans="1:21" x14ac:dyDescent="0.2"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2045</v>
      </c>
      <c r="F12" s="47" t="s">
        <v>2046</v>
      </c>
      <c r="H12" s="47" t="s">
        <v>2047</v>
      </c>
      <c r="O12" s="47" t="s">
        <v>2410</v>
      </c>
      <c r="P12" s="47" t="s">
        <v>2411</v>
      </c>
      <c r="Q12" s="47" t="s">
        <v>2412</v>
      </c>
      <c r="R12" s="47" t="s">
        <v>2413</v>
      </c>
      <c r="S12" s="47" t="s">
        <v>2414</v>
      </c>
      <c r="T12" s="47" t="s">
        <v>2415</v>
      </c>
      <c r="U12" s="47" t="s">
        <v>2416</v>
      </c>
    </row>
    <row r="13" spans="1:21" x14ac:dyDescent="0.2">
      <c r="D13" s="47" t="s">
        <v>2055</v>
      </c>
      <c r="G13" s="47" t="s">
        <v>2056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2064</v>
      </c>
      <c r="P13" s="47" t="s">
        <v>2065</v>
      </c>
      <c r="Q13" s="47" t="s">
        <v>2066</v>
      </c>
      <c r="R13" s="47" t="s">
        <v>2067</v>
      </c>
      <c r="S13" s="47" t="s">
        <v>2068</v>
      </c>
      <c r="T13" s="47" t="s">
        <v>2069</v>
      </c>
    </row>
    <row r="14" spans="1:21" x14ac:dyDescent="0.2">
      <c r="A14" s="47" t="s">
        <v>29</v>
      </c>
      <c r="D14" s="47" t="s">
        <v>38</v>
      </c>
      <c r="G14" s="47" t="s">
        <v>8610</v>
      </c>
      <c r="H14" s="47" t="s">
        <v>39</v>
      </c>
      <c r="I14" s="47" t="s">
        <v>40</v>
      </c>
      <c r="J14" s="47" t="s">
        <v>41</v>
      </c>
      <c r="K14" s="47" t="s">
        <v>42</v>
      </c>
      <c r="L14" s="47" t="s">
        <v>43</v>
      </c>
      <c r="M14" s="47" t="s">
        <v>44</v>
      </c>
      <c r="N14" s="47" t="s">
        <v>45</v>
      </c>
      <c r="O14" s="47" t="s">
        <v>2086</v>
      </c>
      <c r="P14" s="47" t="s">
        <v>2087</v>
      </c>
      <c r="Q14" s="47" t="s">
        <v>2088</v>
      </c>
      <c r="R14" s="47" t="s">
        <v>2089</v>
      </c>
      <c r="S14" s="47" t="s">
        <v>2090</v>
      </c>
      <c r="T14" s="47" t="s">
        <v>2091</v>
      </c>
    </row>
    <row r="16" spans="1:21" x14ac:dyDescent="0.2">
      <c r="E16" s="47" t="s">
        <v>30</v>
      </c>
      <c r="F16" s="47" t="s">
        <v>30</v>
      </c>
      <c r="G16" s="47" t="s">
        <v>30</v>
      </c>
      <c r="J16" s="47" t="s">
        <v>30</v>
      </c>
      <c r="K16" s="47" t="s">
        <v>30</v>
      </c>
      <c r="L16" s="47" t="s">
        <v>30</v>
      </c>
      <c r="M16" s="47" t="s">
        <v>30</v>
      </c>
    </row>
    <row r="17" spans="1:21" x14ac:dyDescent="0.2">
      <c r="A17" s="47" t="s">
        <v>29</v>
      </c>
      <c r="D17" s="47" t="s">
        <v>2423</v>
      </c>
      <c r="E17" s="47" t="s">
        <v>2999</v>
      </c>
      <c r="F17" s="47" t="s">
        <v>2424</v>
      </c>
      <c r="H17" s="47" t="s">
        <v>2425</v>
      </c>
      <c r="O17" s="47" t="s">
        <v>10001</v>
      </c>
      <c r="P17" s="47" t="s">
        <v>10002</v>
      </c>
      <c r="Q17" s="47" t="s">
        <v>10003</v>
      </c>
      <c r="R17" s="47" t="s">
        <v>10004</v>
      </c>
      <c r="S17" s="47" t="s">
        <v>10005</v>
      </c>
      <c r="T17" s="47" t="s">
        <v>10006</v>
      </c>
      <c r="U17" s="47" t="s">
        <v>10007</v>
      </c>
    </row>
    <row r="18" spans="1:21" x14ac:dyDescent="0.2">
      <c r="A18" s="47" t="s">
        <v>29</v>
      </c>
      <c r="D18" s="47" t="s">
        <v>2426</v>
      </c>
      <c r="G18" s="47" t="s">
        <v>10008</v>
      </c>
      <c r="H18" s="47" t="s">
        <v>2428</v>
      </c>
      <c r="I18" s="47" t="s">
        <v>2429</v>
      </c>
      <c r="J18" s="47" t="s">
        <v>2430</v>
      </c>
      <c r="K18" s="47" t="s">
        <v>2431</v>
      </c>
      <c r="L18" s="47" t="s">
        <v>2432</v>
      </c>
      <c r="M18" s="47" t="s">
        <v>2433</v>
      </c>
      <c r="N18" s="47" t="s">
        <v>2434</v>
      </c>
      <c r="O18" s="47" t="s">
        <v>6547</v>
      </c>
      <c r="P18" s="47" t="s">
        <v>6548</v>
      </c>
      <c r="Q18" s="47" t="s">
        <v>6549</v>
      </c>
      <c r="R18" s="47" t="s">
        <v>6550</v>
      </c>
      <c r="S18" s="47" t="s">
        <v>6551</v>
      </c>
      <c r="T18" s="47" t="s">
        <v>6552</v>
      </c>
    </row>
    <row r="19" spans="1:21" x14ac:dyDescent="0.2">
      <c r="A19" s="47" t="s">
        <v>29</v>
      </c>
      <c r="D19" s="47" t="s">
        <v>46</v>
      </c>
      <c r="G19" s="47" t="s">
        <v>8611</v>
      </c>
      <c r="H19" s="47" t="s">
        <v>47</v>
      </c>
      <c r="I19" s="47" t="s">
        <v>48</v>
      </c>
      <c r="J19" s="47" t="s">
        <v>49</v>
      </c>
      <c r="K19" s="47" t="s">
        <v>50</v>
      </c>
      <c r="L19" s="47" t="s">
        <v>51</v>
      </c>
      <c r="M19" s="47" t="s">
        <v>52</v>
      </c>
      <c r="N19" s="47" t="s">
        <v>53</v>
      </c>
      <c r="O19" s="47" t="s">
        <v>2899</v>
      </c>
      <c r="P19" s="47" t="s">
        <v>2900</v>
      </c>
      <c r="Q19" s="47" t="s">
        <v>2901</v>
      </c>
      <c r="R19" s="47" t="s">
        <v>2902</v>
      </c>
      <c r="S19" s="47" t="s">
        <v>2903</v>
      </c>
      <c r="T19" s="47" t="s">
        <v>2904</v>
      </c>
    </row>
    <row r="20" spans="1:21" x14ac:dyDescent="0.2">
      <c r="A20" s="47" t="s">
        <v>29</v>
      </c>
    </row>
    <row r="21" spans="1:21" x14ac:dyDescent="0.2">
      <c r="A21" s="47" t="s">
        <v>29</v>
      </c>
      <c r="E21" s="47" t="s">
        <v>30</v>
      </c>
      <c r="F21" s="47" t="s">
        <v>30</v>
      </c>
      <c r="G21" s="47" t="s">
        <v>30</v>
      </c>
      <c r="J21" s="47" t="s">
        <v>30</v>
      </c>
      <c r="K21" s="47" t="s">
        <v>30</v>
      </c>
      <c r="L21" s="47" t="s">
        <v>30</v>
      </c>
      <c r="M21" s="47" t="s">
        <v>30</v>
      </c>
    </row>
    <row r="22" spans="1:21" x14ac:dyDescent="0.2">
      <c r="A22" s="47" t="s">
        <v>29</v>
      </c>
      <c r="D22" s="47" t="s">
        <v>1178</v>
      </c>
      <c r="E22" s="47" t="s">
        <v>3000</v>
      </c>
      <c r="F22" s="47" t="s">
        <v>1179</v>
      </c>
      <c r="H22" s="47" t="s">
        <v>1180</v>
      </c>
      <c r="O22" s="47" t="s">
        <v>10009</v>
      </c>
      <c r="P22" s="47" t="s">
        <v>10010</v>
      </c>
      <c r="Q22" s="47" t="s">
        <v>10011</v>
      </c>
      <c r="R22" s="47" t="s">
        <v>10012</v>
      </c>
      <c r="S22" s="47" t="s">
        <v>10013</v>
      </c>
      <c r="T22" s="47" t="s">
        <v>10014</v>
      </c>
      <c r="U22" s="47" t="s">
        <v>10015</v>
      </c>
    </row>
    <row r="23" spans="1:21" x14ac:dyDescent="0.2">
      <c r="A23" s="47" t="s">
        <v>29</v>
      </c>
      <c r="D23" s="47" t="s">
        <v>1181</v>
      </c>
      <c r="G23" s="47" t="s">
        <v>6307</v>
      </c>
      <c r="H23" s="47" t="s">
        <v>1182</v>
      </c>
      <c r="I23" s="47" t="s">
        <v>1183</v>
      </c>
      <c r="J23" s="47" t="s">
        <v>1184</v>
      </c>
      <c r="K23" s="47" t="s">
        <v>1185</v>
      </c>
      <c r="L23" s="47" t="s">
        <v>1186</v>
      </c>
      <c r="M23" s="47" t="s">
        <v>1187</v>
      </c>
      <c r="N23" s="47" t="s">
        <v>1188</v>
      </c>
      <c r="O23" s="47" t="s">
        <v>2777</v>
      </c>
      <c r="P23" s="47" t="s">
        <v>2778</v>
      </c>
      <c r="Q23" s="47" t="s">
        <v>2779</v>
      </c>
      <c r="R23" s="47" t="s">
        <v>2780</v>
      </c>
      <c r="S23" s="47" t="s">
        <v>2781</v>
      </c>
      <c r="T23" s="47" t="s">
        <v>2782</v>
      </c>
    </row>
    <row r="24" spans="1:21" x14ac:dyDescent="0.2">
      <c r="A24" s="47" t="s">
        <v>29</v>
      </c>
      <c r="D24" s="47" t="s">
        <v>1586</v>
      </c>
      <c r="G24" s="47" t="s">
        <v>8612</v>
      </c>
      <c r="H24" s="47" t="s">
        <v>1587</v>
      </c>
      <c r="I24" s="47" t="s">
        <v>1588</v>
      </c>
      <c r="J24" s="47" t="s">
        <v>1589</v>
      </c>
      <c r="K24" s="47" t="s">
        <v>1590</v>
      </c>
      <c r="L24" s="47" t="s">
        <v>1591</v>
      </c>
      <c r="M24" s="47" t="s">
        <v>1592</v>
      </c>
      <c r="N24" s="47" t="s">
        <v>1593</v>
      </c>
      <c r="O24" s="47" t="s">
        <v>2783</v>
      </c>
      <c r="P24" s="47" t="s">
        <v>2784</v>
      </c>
      <c r="Q24" s="47" t="s">
        <v>2785</v>
      </c>
      <c r="R24" s="47" t="s">
        <v>2786</v>
      </c>
      <c r="S24" s="47" t="s">
        <v>2787</v>
      </c>
      <c r="T24" s="47" t="s">
        <v>2788</v>
      </c>
    </row>
    <row r="25" spans="1:21" x14ac:dyDescent="0.2">
      <c r="A25" s="47" t="s">
        <v>29</v>
      </c>
    </row>
    <row r="26" spans="1:21" x14ac:dyDescent="0.2">
      <c r="A26" s="47" t="s">
        <v>29</v>
      </c>
      <c r="E26" s="47" t="s">
        <v>30</v>
      </c>
      <c r="F26" s="47" t="s">
        <v>30</v>
      </c>
      <c r="G26" s="47" t="s">
        <v>30</v>
      </c>
      <c r="J26" s="47" t="s">
        <v>30</v>
      </c>
      <c r="K26" s="47" t="s">
        <v>30</v>
      </c>
      <c r="L26" s="47" t="s">
        <v>30</v>
      </c>
      <c r="M26" s="47" t="s">
        <v>30</v>
      </c>
    </row>
    <row r="27" spans="1:21" x14ac:dyDescent="0.2">
      <c r="A27" s="47" t="s">
        <v>29</v>
      </c>
      <c r="D27" s="47" t="s">
        <v>9074</v>
      </c>
      <c r="E27" s="47" t="s">
        <v>3001</v>
      </c>
      <c r="F27" s="47" t="s">
        <v>9075</v>
      </c>
      <c r="H27" s="47" t="s">
        <v>9076</v>
      </c>
      <c r="O27" s="47" t="s">
        <v>9077</v>
      </c>
      <c r="P27" s="47" t="s">
        <v>9078</v>
      </c>
      <c r="Q27" s="47" t="s">
        <v>9079</v>
      </c>
      <c r="R27" s="47" t="s">
        <v>9080</v>
      </c>
      <c r="S27" s="47" t="s">
        <v>9081</v>
      </c>
      <c r="T27" s="47" t="s">
        <v>9082</v>
      </c>
      <c r="U27" s="47" t="s">
        <v>9083</v>
      </c>
    </row>
    <row r="28" spans="1:21" x14ac:dyDescent="0.2">
      <c r="A28" s="47" t="s">
        <v>29</v>
      </c>
      <c r="D28" s="47" t="s">
        <v>62</v>
      </c>
      <c r="G28" s="47" t="s">
        <v>10016</v>
      </c>
      <c r="H28" s="47" t="s">
        <v>63</v>
      </c>
      <c r="I28" s="47" t="s">
        <v>64</v>
      </c>
      <c r="J28" s="47" t="s">
        <v>65</v>
      </c>
      <c r="K28" s="47" t="s">
        <v>66</v>
      </c>
      <c r="L28" s="47" t="s">
        <v>67</v>
      </c>
      <c r="M28" s="47" t="s">
        <v>68</v>
      </c>
      <c r="N28" s="47" t="s">
        <v>69</v>
      </c>
      <c r="O28" s="47" t="s">
        <v>5893</v>
      </c>
      <c r="P28" s="47" t="s">
        <v>5894</v>
      </c>
      <c r="Q28" s="47" t="s">
        <v>5895</v>
      </c>
      <c r="R28" s="47" t="s">
        <v>5896</v>
      </c>
      <c r="S28" s="47" t="s">
        <v>5897</v>
      </c>
      <c r="T28" s="47" t="s">
        <v>5898</v>
      </c>
    </row>
    <row r="29" spans="1:21" x14ac:dyDescent="0.2">
      <c r="A29" s="47" t="s">
        <v>29</v>
      </c>
      <c r="D29" s="47" t="s">
        <v>70</v>
      </c>
      <c r="G29" s="47" t="s">
        <v>8613</v>
      </c>
      <c r="H29" s="47" t="s">
        <v>71</v>
      </c>
      <c r="I29" s="47" t="s">
        <v>72</v>
      </c>
      <c r="J29" s="47" t="s">
        <v>73</v>
      </c>
      <c r="K29" s="47" t="s">
        <v>74</v>
      </c>
      <c r="L29" s="47" t="s">
        <v>75</v>
      </c>
      <c r="M29" s="47" t="s">
        <v>76</v>
      </c>
      <c r="N29" s="47" t="s">
        <v>77</v>
      </c>
      <c r="O29" s="47" t="s">
        <v>2092</v>
      </c>
      <c r="P29" s="47" t="s">
        <v>2093</v>
      </c>
      <c r="Q29" s="47" t="s">
        <v>2094</v>
      </c>
      <c r="R29" s="47" t="s">
        <v>2095</v>
      </c>
      <c r="S29" s="47" t="s">
        <v>2096</v>
      </c>
      <c r="T29" s="47" t="s">
        <v>2097</v>
      </c>
    </row>
    <row r="30" spans="1:21" x14ac:dyDescent="0.2">
      <c r="A30" s="47" t="s">
        <v>29</v>
      </c>
      <c r="D30" s="47" t="s">
        <v>78</v>
      </c>
      <c r="G30" s="47" t="s">
        <v>8614</v>
      </c>
      <c r="H30" s="47" t="s">
        <v>79</v>
      </c>
      <c r="I30" s="47" t="s">
        <v>80</v>
      </c>
      <c r="J30" s="47" t="s">
        <v>81</v>
      </c>
      <c r="K30" s="47" t="s">
        <v>82</v>
      </c>
      <c r="L30" s="47" t="s">
        <v>83</v>
      </c>
      <c r="M30" s="47" t="s">
        <v>84</v>
      </c>
      <c r="N30" s="47" t="s">
        <v>85</v>
      </c>
      <c r="O30" s="47" t="s">
        <v>2098</v>
      </c>
      <c r="P30" s="47" t="s">
        <v>2099</v>
      </c>
      <c r="Q30" s="47" t="s">
        <v>2100</v>
      </c>
      <c r="R30" s="47" t="s">
        <v>2101</v>
      </c>
      <c r="S30" s="47" t="s">
        <v>2102</v>
      </c>
      <c r="T30" s="47" t="s">
        <v>2103</v>
      </c>
    </row>
    <row r="31" spans="1:21" x14ac:dyDescent="0.2">
      <c r="A31" s="47" t="s">
        <v>29</v>
      </c>
    </row>
    <row r="32" spans="1:21" x14ac:dyDescent="0.2">
      <c r="A32" s="47" t="s">
        <v>29</v>
      </c>
      <c r="E32" s="47" t="s">
        <v>30</v>
      </c>
      <c r="F32" s="47" t="s">
        <v>30</v>
      </c>
      <c r="G32" s="47" t="s">
        <v>30</v>
      </c>
      <c r="J32" s="47" t="s">
        <v>30</v>
      </c>
      <c r="K32" s="47" t="s">
        <v>30</v>
      </c>
      <c r="L32" s="47" t="s">
        <v>30</v>
      </c>
      <c r="M32" s="47" t="s">
        <v>30</v>
      </c>
    </row>
    <row r="33" spans="1:21" x14ac:dyDescent="0.2">
      <c r="A33" s="47" t="s">
        <v>29</v>
      </c>
      <c r="D33" s="47" t="s">
        <v>86</v>
      </c>
      <c r="E33" s="47" t="s">
        <v>3002</v>
      </c>
      <c r="F33" s="47" t="s">
        <v>87</v>
      </c>
      <c r="H33" s="47" t="s">
        <v>88</v>
      </c>
      <c r="O33" s="47" t="s">
        <v>10017</v>
      </c>
      <c r="P33" s="47" t="s">
        <v>10018</v>
      </c>
      <c r="Q33" s="47" t="s">
        <v>10019</v>
      </c>
      <c r="R33" s="47" t="s">
        <v>10020</v>
      </c>
      <c r="S33" s="47" t="s">
        <v>10021</v>
      </c>
      <c r="T33" s="47" t="s">
        <v>10022</v>
      </c>
      <c r="U33" s="47" t="s">
        <v>10023</v>
      </c>
    </row>
    <row r="34" spans="1:21" x14ac:dyDescent="0.2">
      <c r="A34" s="47" t="s">
        <v>29</v>
      </c>
      <c r="D34" s="47" t="s">
        <v>89</v>
      </c>
      <c r="G34" s="47" t="s">
        <v>10024</v>
      </c>
      <c r="H34" s="47" t="s">
        <v>90</v>
      </c>
      <c r="I34" s="47" t="s">
        <v>91</v>
      </c>
      <c r="J34" s="47" t="s">
        <v>92</v>
      </c>
      <c r="K34" s="47" t="s">
        <v>93</v>
      </c>
      <c r="L34" s="47" t="s">
        <v>94</v>
      </c>
      <c r="M34" s="47" t="s">
        <v>95</v>
      </c>
      <c r="N34" s="47" t="s">
        <v>96</v>
      </c>
      <c r="O34" s="47" t="s">
        <v>2104</v>
      </c>
      <c r="P34" s="47" t="s">
        <v>2105</v>
      </c>
      <c r="Q34" s="47" t="s">
        <v>2106</v>
      </c>
      <c r="R34" s="47" t="s">
        <v>2107</v>
      </c>
      <c r="S34" s="47" t="s">
        <v>2108</v>
      </c>
      <c r="T34" s="47" t="s">
        <v>2109</v>
      </c>
    </row>
    <row r="35" spans="1:21" x14ac:dyDescent="0.2">
      <c r="A35" s="47" t="s">
        <v>29</v>
      </c>
      <c r="D35" s="47" t="s">
        <v>97</v>
      </c>
      <c r="G35" s="47" t="s">
        <v>8615</v>
      </c>
      <c r="H35" s="47" t="s">
        <v>98</v>
      </c>
      <c r="I35" s="47" t="s">
        <v>99</v>
      </c>
      <c r="J35" s="47" t="s">
        <v>100</v>
      </c>
      <c r="K35" s="47" t="s">
        <v>101</v>
      </c>
      <c r="L35" s="47" t="s">
        <v>102</v>
      </c>
      <c r="M35" s="47" t="s">
        <v>103</v>
      </c>
      <c r="N35" s="47" t="s">
        <v>104</v>
      </c>
      <c r="O35" s="47" t="s">
        <v>7249</v>
      </c>
      <c r="P35" s="47" t="s">
        <v>7252</v>
      </c>
      <c r="Q35" s="47" t="s">
        <v>7255</v>
      </c>
      <c r="R35" s="47" t="s">
        <v>7258</v>
      </c>
      <c r="S35" s="47" t="s">
        <v>7261</v>
      </c>
      <c r="T35" s="47" t="s">
        <v>7264</v>
      </c>
    </row>
    <row r="36" spans="1:21" x14ac:dyDescent="0.2">
      <c r="A36" s="47" t="s">
        <v>29</v>
      </c>
      <c r="D36" s="47" t="s">
        <v>105</v>
      </c>
      <c r="G36" s="47" t="s">
        <v>8616</v>
      </c>
      <c r="H36" s="47" t="s">
        <v>106</v>
      </c>
      <c r="I36" s="47" t="s">
        <v>107</v>
      </c>
      <c r="J36" s="47" t="s">
        <v>108</v>
      </c>
      <c r="K36" s="47" t="s">
        <v>109</v>
      </c>
      <c r="L36" s="47" t="s">
        <v>110</v>
      </c>
      <c r="M36" s="47" t="s">
        <v>111</v>
      </c>
      <c r="N36" s="47" t="s">
        <v>112</v>
      </c>
      <c r="O36" s="47" t="s">
        <v>7250</v>
      </c>
      <c r="P36" s="47" t="s">
        <v>7253</v>
      </c>
      <c r="Q36" s="47" t="s">
        <v>7256</v>
      </c>
      <c r="R36" s="47" t="s">
        <v>7259</v>
      </c>
      <c r="S36" s="47" t="s">
        <v>7262</v>
      </c>
      <c r="T36" s="47" t="s">
        <v>7265</v>
      </c>
    </row>
    <row r="37" spans="1:21" x14ac:dyDescent="0.2">
      <c r="A37" s="47" t="s">
        <v>29</v>
      </c>
      <c r="D37" s="47" t="s">
        <v>113</v>
      </c>
      <c r="G37" s="47" t="s">
        <v>8617</v>
      </c>
      <c r="H37" s="47" t="s">
        <v>114</v>
      </c>
      <c r="I37" s="47" t="s">
        <v>115</v>
      </c>
      <c r="J37" s="47" t="s">
        <v>116</v>
      </c>
      <c r="K37" s="47" t="s">
        <v>117</v>
      </c>
      <c r="L37" s="47" t="s">
        <v>118</v>
      </c>
      <c r="M37" s="47" t="s">
        <v>119</v>
      </c>
      <c r="N37" s="47" t="s">
        <v>120</v>
      </c>
      <c r="O37" s="47" t="s">
        <v>7251</v>
      </c>
      <c r="P37" s="47" t="s">
        <v>7254</v>
      </c>
      <c r="Q37" s="47" t="s">
        <v>7257</v>
      </c>
      <c r="R37" s="47" t="s">
        <v>7260</v>
      </c>
      <c r="S37" s="47" t="s">
        <v>7263</v>
      </c>
      <c r="T37" s="47" t="s">
        <v>7266</v>
      </c>
    </row>
    <row r="38" spans="1:21" x14ac:dyDescent="0.2">
      <c r="A38" s="47" t="s">
        <v>29</v>
      </c>
    </row>
    <row r="39" spans="1:21" x14ac:dyDescent="0.2">
      <c r="A39" s="47" t="s">
        <v>29</v>
      </c>
      <c r="E39" s="47" t="s">
        <v>30</v>
      </c>
      <c r="F39" s="47" t="s">
        <v>30</v>
      </c>
      <c r="G39" s="47" t="s">
        <v>30</v>
      </c>
      <c r="J39" s="47" t="s">
        <v>30</v>
      </c>
      <c r="K39" s="47" t="s">
        <v>30</v>
      </c>
      <c r="L39" s="47" t="s">
        <v>30</v>
      </c>
      <c r="M39" s="47" t="s">
        <v>30</v>
      </c>
    </row>
    <row r="40" spans="1:21" x14ac:dyDescent="0.2">
      <c r="A40" s="47" t="s">
        <v>29</v>
      </c>
      <c r="D40" s="47" t="s">
        <v>2011</v>
      </c>
      <c r="E40" s="47" t="s">
        <v>3009</v>
      </c>
      <c r="F40" s="47" t="s">
        <v>2012</v>
      </c>
      <c r="H40" s="47" t="s">
        <v>2013</v>
      </c>
      <c r="O40" s="47" t="s">
        <v>10025</v>
      </c>
      <c r="P40" s="47" t="s">
        <v>10026</v>
      </c>
      <c r="Q40" s="47" t="s">
        <v>10027</v>
      </c>
      <c r="R40" s="47" t="s">
        <v>10028</v>
      </c>
      <c r="S40" s="47" t="s">
        <v>10029</v>
      </c>
      <c r="T40" s="47" t="s">
        <v>10030</v>
      </c>
      <c r="U40" s="47" t="s">
        <v>10031</v>
      </c>
    </row>
    <row r="41" spans="1:21" x14ac:dyDescent="0.2">
      <c r="A41" s="47" t="s">
        <v>29</v>
      </c>
      <c r="D41" s="47" t="s">
        <v>2014</v>
      </c>
      <c r="G41" s="47" t="s">
        <v>6308</v>
      </c>
      <c r="H41" s="47" t="s">
        <v>2015</v>
      </c>
      <c r="I41" s="47" t="s">
        <v>2016</v>
      </c>
      <c r="J41" s="47" t="s">
        <v>2017</v>
      </c>
      <c r="K41" s="47" t="s">
        <v>2018</v>
      </c>
      <c r="L41" s="47" t="s">
        <v>2019</v>
      </c>
      <c r="M41" s="47" t="s">
        <v>2020</v>
      </c>
      <c r="N41" s="47" t="s">
        <v>2021</v>
      </c>
      <c r="O41" s="47" t="s">
        <v>2789</v>
      </c>
      <c r="P41" s="47" t="s">
        <v>2790</v>
      </c>
      <c r="Q41" s="47" t="s">
        <v>2791</v>
      </c>
      <c r="R41" s="47" t="s">
        <v>2792</v>
      </c>
      <c r="S41" s="47" t="s">
        <v>2793</v>
      </c>
      <c r="T41" s="47" t="s">
        <v>2794</v>
      </c>
    </row>
    <row r="42" spans="1:21" x14ac:dyDescent="0.2">
      <c r="A42" s="47" t="s">
        <v>29</v>
      </c>
      <c r="D42" s="47" t="s">
        <v>132</v>
      </c>
      <c r="G42" s="47" t="s">
        <v>8619</v>
      </c>
      <c r="H42" s="47" t="s">
        <v>133</v>
      </c>
      <c r="I42" s="47" t="s">
        <v>134</v>
      </c>
      <c r="J42" s="47" t="s">
        <v>135</v>
      </c>
      <c r="K42" s="47" t="s">
        <v>136</v>
      </c>
      <c r="L42" s="47" t="s">
        <v>137</v>
      </c>
      <c r="M42" s="47" t="s">
        <v>138</v>
      </c>
      <c r="N42" s="47" t="s">
        <v>139</v>
      </c>
      <c r="O42" s="47" t="s">
        <v>2795</v>
      </c>
      <c r="P42" s="47" t="s">
        <v>2796</v>
      </c>
      <c r="Q42" s="47" t="s">
        <v>2797</v>
      </c>
      <c r="R42" s="47" t="s">
        <v>2798</v>
      </c>
      <c r="S42" s="47" t="s">
        <v>2799</v>
      </c>
      <c r="T42" s="47" t="s">
        <v>2800</v>
      </c>
    </row>
    <row r="43" spans="1:21" x14ac:dyDescent="0.2">
      <c r="A43" s="47" t="s">
        <v>29</v>
      </c>
      <c r="D43" s="47" t="s">
        <v>140</v>
      </c>
      <c r="G43" s="47" t="s">
        <v>8620</v>
      </c>
      <c r="H43" s="47" t="s">
        <v>141</v>
      </c>
      <c r="I43" s="47" t="s">
        <v>142</v>
      </c>
      <c r="J43" s="47" t="s">
        <v>143</v>
      </c>
      <c r="K43" s="47" t="s">
        <v>144</v>
      </c>
      <c r="L43" s="47" t="s">
        <v>145</v>
      </c>
      <c r="M43" s="47" t="s">
        <v>146</v>
      </c>
      <c r="N43" s="47" t="s">
        <v>147</v>
      </c>
      <c r="O43" s="47" t="s">
        <v>7237</v>
      </c>
      <c r="P43" s="47" t="s">
        <v>7239</v>
      </c>
      <c r="Q43" s="47" t="s">
        <v>7241</v>
      </c>
      <c r="R43" s="47" t="s">
        <v>7243</v>
      </c>
      <c r="S43" s="47" t="s">
        <v>7245</v>
      </c>
      <c r="T43" s="47" t="s">
        <v>7247</v>
      </c>
    </row>
    <row r="44" spans="1:21" x14ac:dyDescent="0.2">
      <c r="A44" s="47" t="s">
        <v>29</v>
      </c>
    </row>
    <row r="45" spans="1:21" x14ac:dyDescent="0.2">
      <c r="A45" s="47" t="s">
        <v>29</v>
      </c>
      <c r="E45" s="47" t="s">
        <v>30</v>
      </c>
      <c r="F45" s="47" t="s">
        <v>30</v>
      </c>
      <c r="G45" s="47" t="s">
        <v>30</v>
      </c>
      <c r="J45" s="47" t="s">
        <v>30</v>
      </c>
      <c r="K45" s="47" t="s">
        <v>30</v>
      </c>
      <c r="L45" s="47" t="s">
        <v>30</v>
      </c>
      <c r="M45" s="47" t="s">
        <v>30</v>
      </c>
    </row>
    <row r="46" spans="1:21" x14ac:dyDescent="0.2">
      <c r="A46" s="47" t="s">
        <v>29</v>
      </c>
      <c r="D46" s="47" t="s">
        <v>5216</v>
      </c>
      <c r="E46" s="47" t="s">
        <v>3010</v>
      </c>
      <c r="F46" s="47" t="s">
        <v>5217</v>
      </c>
      <c r="H46" s="47" t="s">
        <v>5218</v>
      </c>
      <c r="O46" s="47" t="s">
        <v>10032</v>
      </c>
      <c r="P46" s="47" t="s">
        <v>10033</v>
      </c>
      <c r="Q46" s="47" t="s">
        <v>10034</v>
      </c>
      <c r="R46" s="47" t="s">
        <v>10035</v>
      </c>
      <c r="S46" s="47" t="s">
        <v>10036</v>
      </c>
      <c r="T46" s="47" t="s">
        <v>10037</v>
      </c>
      <c r="U46" s="47" t="s">
        <v>10038</v>
      </c>
    </row>
    <row r="47" spans="1:21" x14ac:dyDescent="0.2">
      <c r="A47" s="47" t="s">
        <v>29</v>
      </c>
      <c r="D47" s="47" t="s">
        <v>148</v>
      </c>
      <c r="G47" s="47" t="s">
        <v>10039</v>
      </c>
      <c r="H47" s="47" t="s">
        <v>149</v>
      </c>
      <c r="I47" s="47" t="s">
        <v>150</v>
      </c>
      <c r="J47" s="47" t="s">
        <v>151</v>
      </c>
      <c r="K47" s="47" t="s">
        <v>152</v>
      </c>
      <c r="L47" s="47" t="s">
        <v>153</v>
      </c>
      <c r="M47" s="47" t="s">
        <v>154</v>
      </c>
      <c r="N47" s="47" t="s">
        <v>155</v>
      </c>
      <c r="O47" s="47" t="s">
        <v>5279</v>
      </c>
      <c r="P47" s="47" t="s">
        <v>5280</v>
      </c>
      <c r="Q47" s="47" t="s">
        <v>5281</v>
      </c>
      <c r="R47" s="47" t="s">
        <v>5282</v>
      </c>
      <c r="S47" s="47" t="s">
        <v>5283</v>
      </c>
      <c r="T47" s="47" t="s">
        <v>5284</v>
      </c>
    </row>
    <row r="48" spans="1:21" x14ac:dyDescent="0.2">
      <c r="A48" s="47" t="s">
        <v>29</v>
      </c>
      <c r="D48" s="47" t="s">
        <v>156</v>
      </c>
      <c r="G48" s="47" t="s">
        <v>8621</v>
      </c>
      <c r="H48" s="47" t="s">
        <v>157</v>
      </c>
      <c r="I48" s="47" t="s">
        <v>158</v>
      </c>
      <c r="J48" s="47" t="s">
        <v>159</v>
      </c>
      <c r="K48" s="47" t="s">
        <v>160</v>
      </c>
      <c r="L48" s="47" t="s">
        <v>161</v>
      </c>
      <c r="M48" s="47" t="s">
        <v>162</v>
      </c>
      <c r="N48" s="47" t="s">
        <v>163</v>
      </c>
      <c r="O48" s="47" t="s">
        <v>5285</v>
      </c>
      <c r="P48" s="47" t="s">
        <v>5286</v>
      </c>
      <c r="Q48" s="47" t="s">
        <v>5287</v>
      </c>
      <c r="R48" s="47" t="s">
        <v>5288</v>
      </c>
      <c r="S48" s="47" t="s">
        <v>5289</v>
      </c>
      <c r="T48" s="47" t="s">
        <v>5290</v>
      </c>
    </row>
    <row r="49" spans="1:21" x14ac:dyDescent="0.2">
      <c r="A49" s="47" t="s">
        <v>29</v>
      </c>
      <c r="D49" s="47" t="s">
        <v>164</v>
      </c>
      <c r="G49" s="47" t="s">
        <v>8622</v>
      </c>
      <c r="H49" s="47" t="s">
        <v>165</v>
      </c>
      <c r="I49" s="47" t="s">
        <v>166</v>
      </c>
      <c r="J49" s="47" t="s">
        <v>167</v>
      </c>
      <c r="K49" s="47" t="s">
        <v>168</v>
      </c>
      <c r="L49" s="47" t="s">
        <v>169</v>
      </c>
      <c r="M49" s="47" t="s">
        <v>170</v>
      </c>
      <c r="N49" s="47" t="s">
        <v>171</v>
      </c>
      <c r="O49" s="47" t="s">
        <v>3003</v>
      </c>
      <c r="P49" s="47" t="s">
        <v>3004</v>
      </c>
      <c r="Q49" s="47" t="s">
        <v>3005</v>
      </c>
      <c r="R49" s="47" t="s">
        <v>3006</v>
      </c>
      <c r="S49" s="47" t="s">
        <v>3007</v>
      </c>
      <c r="T49" s="47" t="s">
        <v>3008</v>
      </c>
    </row>
    <row r="50" spans="1:21" x14ac:dyDescent="0.2">
      <c r="A50" s="47" t="s">
        <v>29</v>
      </c>
      <c r="D50" s="47" t="s">
        <v>172</v>
      </c>
      <c r="G50" s="47" t="s">
        <v>8623</v>
      </c>
      <c r="H50" s="47" t="s">
        <v>173</v>
      </c>
      <c r="I50" s="47" t="s">
        <v>174</v>
      </c>
      <c r="J50" s="47" t="s">
        <v>175</v>
      </c>
      <c r="K50" s="47" t="s">
        <v>176</v>
      </c>
      <c r="L50" s="47" t="s">
        <v>177</v>
      </c>
      <c r="M50" s="47" t="s">
        <v>178</v>
      </c>
      <c r="N50" s="47" t="s">
        <v>179</v>
      </c>
      <c r="O50" s="47" t="s">
        <v>7238</v>
      </c>
      <c r="P50" s="47" t="s">
        <v>7240</v>
      </c>
      <c r="Q50" s="47" t="s">
        <v>7242</v>
      </c>
      <c r="R50" s="47" t="s">
        <v>7244</v>
      </c>
      <c r="S50" s="47" t="s">
        <v>7246</v>
      </c>
      <c r="T50" s="47" t="s">
        <v>7248</v>
      </c>
    </row>
    <row r="51" spans="1:21" x14ac:dyDescent="0.2">
      <c r="A51" s="47" t="s">
        <v>29</v>
      </c>
    </row>
    <row r="52" spans="1:21" x14ac:dyDescent="0.2">
      <c r="A52" s="47" t="s">
        <v>29</v>
      </c>
      <c r="E52" s="47" t="s">
        <v>30</v>
      </c>
      <c r="F52" s="47" t="s">
        <v>30</v>
      </c>
      <c r="G52" s="47" t="s">
        <v>30</v>
      </c>
      <c r="J52" s="47" t="s">
        <v>30</v>
      </c>
      <c r="K52" s="47" t="s">
        <v>30</v>
      </c>
      <c r="L52" s="47" t="s">
        <v>30</v>
      </c>
      <c r="M52" s="47" t="s">
        <v>30</v>
      </c>
    </row>
    <row r="53" spans="1:21" x14ac:dyDescent="0.2">
      <c r="A53" s="47" t="s">
        <v>29</v>
      </c>
      <c r="D53" s="47" t="s">
        <v>10040</v>
      </c>
      <c r="E53" s="47" t="s">
        <v>3011</v>
      </c>
      <c r="F53" s="47" t="s">
        <v>10041</v>
      </c>
      <c r="H53" s="47" t="s">
        <v>10042</v>
      </c>
      <c r="O53" s="47" t="s">
        <v>10043</v>
      </c>
      <c r="P53" s="47" t="s">
        <v>10044</v>
      </c>
      <c r="Q53" s="47" t="s">
        <v>10045</v>
      </c>
      <c r="R53" s="47" t="s">
        <v>10046</v>
      </c>
      <c r="S53" s="47" t="s">
        <v>10047</v>
      </c>
      <c r="T53" s="47" t="s">
        <v>10048</v>
      </c>
      <c r="U53" s="47" t="s">
        <v>10049</v>
      </c>
    </row>
    <row r="54" spans="1:21" x14ac:dyDescent="0.2">
      <c r="A54" s="47" t="s">
        <v>29</v>
      </c>
      <c r="D54" s="47" t="s">
        <v>1308</v>
      </c>
      <c r="G54" s="47" t="s">
        <v>10050</v>
      </c>
      <c r="H54" s="47" t="s">
        <v>1309</v>
      </c>
      <c r="I54" s="47" t="s">
        <v>1310</v>
      </c>
      <c r="J54" s="47" t="s">
        <v>1311</v>
      </c>
      <c r="K54" s="47" t="s">
        <v>1312</v>
      </c>
      <c r="L54" s="47" t="s">
        <v>1313</v>
      </c>
      <c r="M54" s="47" t="s">
        <v>1314</v>
      </c>
      <c r="N54" s="47" t="s">
        <v>1315</v>
      </c>
      <c r="O54" s="47" t="s">
        <v>2110</v>
      </c>
      <c r="P54" s="47" t="s">
        <v>2111</v>
      </c>
      <c r="Q54" s="47" t="s">
        <v>2112</v>
      </c>
      <c r="R54" s="47" t="s">
        <v>2113</v>
      </c>
      <c r="S54" s="47" t="s">
        <v>2114</v>
      </c>
      <c r="T54" s="47" t="s">
        <v>2115</v>
      </c>
    </row>
    <row r="55" spans="1:21" x14ac:dyDescent="0.2">
      <c r="A55" s="47" t="s">
        <v>29</v>
      </c>
    </row>
    <row r="56" spans="1:21" x14ac:dyDescent="0.2">
      <c r="A56" s="47" t="s">
        <v>29</v>
      </c>
      <c r="E56" s="47" t="s">
        <v>30</v>
      </c>
      <c r="F56" s="47" t="s">
        <v>30</v>
      </c>
      <c r="G56" s="47" t="s">
        <v>30</v>
      </c>
      <c r="J56" s="47" t="s">
        <v>30</v>
      </c>
      <c r="K56" s="47" t="s">
        <v>30</v>
      </c>
      <c r="L56" s="47" t="s">
        <v>30</v>
      </c>
      <c r="M56" s="47" t="s">
        <v>30</v>
      </c>
    </row>
    <row r="57" spans="1:21" x14ac:dyDescent="0.2">
      <c r="A57" s="47" t="s">
        <v>29</v>
      </c>
      <c r="D57" s="47" t="s">
        <v>10051</v>
      </c>
      <c r="E57" s="47" t="s">
        <v>3012</v>
      </c>
      <c r="F57" s="47" t="s">
        <v>10052</v>
      </c>
      <c r="H57" s="47" t="s">
        <v>10053</v>
      </c>
      <c r="O57" s="47" t="s">
        <v>10054</v>
      </c>
      <c r="P57" s="47" t="s">
        <v>10055</v>
      </c>
      <c r="Q57" s="47" t="s">
        <v>10056</v>
      </c>
      <c r="R57" s="47" t="s">
        <v>10057</v>
      </c>
      <c r="S57" s="47" t="s">
        <v>10058</v>
      </c>
      <c r="T57" s="47" t="s">
        <v>10059</v>
      </c>
      <c r="U57" s="47" t="s">
        <v>10060</v>
      </c>
    </row>
    <row r="58" spans="1:21" x14ac:dyDescent="0.2">
      <c r="A58" s="47" t="s">
        <v>29</v>
      </c>
      <c r="D58" s="47" t="s">
        <v>196</v>
      </c>
      <c r="G58" s="47" t="s">
        <v>10061</v>
      </c>
      <c r="H58" s="47" t="s">
        <v>197</v>
      </c>
      <c r="I58" s="47" t="s">
        <v>198</v>
      </c>
      <c r="J58" s="47" t="s">
        <v>199</v>
      </c>
      <c r="K58" s="47" t="s">
        <v>200</v>
      </c>
      <c r="L58" s="47" t="s">
        <v>201</v>
      </c>
      <c r="M58" s="47" t="s">
        <v>202</v>
      </c>
      <c r="N58" s="47" t="s">
        <v>203</v>
      </c>
      <c r="O58" s="47" t="s">
        <v>2801</v>
      </c>
      <c r="P58" s="47" t="s">
        <v>2802</v>
      </c>
      <c r="Q58" s="47" t="s">
        <v>2803</v>
      </c>
      <c r="R58" s="47" t="s">
        <v>2804</v>
      </c>
      <c r="S58" s="47" t="s">
        <v>2805</v>
      </c>
      <c r="T58" s="47" t="s">
        <v>2806</v>
      </c>
    </row>
    <row r="59" spans="1:21" x14ac:dyDescent="0.2">
      <c r="A59" s="47" t="s">
        <v>29</v>
      </c>
    </row>
    <row r="60" spans="1:21" x14ac:dyDescent="0.2">
      <c r="A60" s="47" t="s">
        <v>29</v>
      </c>
      <c r="E60" s="47" t="s">
        <v>30</v>
      </c>
      <c r="F60" s="47" t="s">
        <v>30</v>
      </c>
      <c r="G60" s="47" t="s">
        <v>30</v>
      </c>
      <c r="J60" s="47" t="s">
        <v>30</v>
      </c>
      <c r="K60" s="47" t="s">
        <v>30</v>
      </c>
      <c r="L60" s="47" t="s">
        <v>30</v>
      </c>
      <c r="M60" s="47" t="s">
        <v>30</v>
      </c>
    </row>
    <row r="61" spans="1:21" x14ac:dyDescent="0.2">
      <c r="A61" s="47" t="s">
        <v>29</v>
      </c>
      <c r="D61" s="47" t="s">
        <v>204</v>
      </c>
      <c r="E61" s="47" t="s">
        <v>3013</v>
      </c>
      <c r="F61" s="47" t="s">
        <v>205</v>
      </c>
      <c r="H61" s="47" t="s">
        <v>206</v>
      </c>
      <c r="O61" s="47" t="s">
        <v>10062</v>
      </c>
      <c r="P61" s="47" t="s">
        <v>10063</v>
      </c>
      <c r="Q61" s="47" t="s">
        <v>10064</v>
      </c>
      <c r="R61" s="47" t="s">
        <v>10065</v>
      </c>
      <c r="S61" s="47" t="s">
        <v>10066</v>
      </c>
      <c r="T61" s="47" t="s">
        <v>10067</v>
      </c>
      <c r="U61" s="47" t="s">
        <v>10068</v>
      </c>
    </row>
    <row r="62" spans="1:21" x14ac:dyDescent="0.2">
      <c r="A62" s="47" t="s">
        <v>29</v>
      </c>
      <c r="D62" s="47" t="s">
        <v>207</v>
      </c>
      <c r="G62" s="47" t="s">
        <v>6309</v>
      </c>
      <c r="H62" s="47" t="s">
        <v>208</v>
      </c>
      <c r="I62" s="47" t="s">
        <v>209</v>
      </c>
      <c r="J62" s="47" t="s">
        <v>210</v>
      </c>
      <c r="K62" s="47" t="s">
        <v>211</v>
      </c>
      <c r="L62" s="47" t="s">
        <v>212</v>
      </c>
      <c r="M62" s="47" t="s">
        <v>213</v>
      </c>
      <c r="N62" s="47" t="s">
        <v>214</v>
      </c>
      <c r="O62" s="47" t="s">
        <v>7207</v>
      </c>
      <c r="P62" s="47" t="s">
        <v>7212</v>
      </c>
      <c r="Q62" s="47" t="s">
        <v>7217</v>
      </c>
      <c r="R62" s="47" t="s">
        <v>7222</v>
      </c>
      <c r="S62" s="47" t="s">
        <v>7227</v>
      </c>
      <c r="T62" s="47" t="s">
        <v>7232</v>
      </c>
    </row>
    <row r="63" spans="1:21" x14ac:dyDescent="0.2">
      <c r="A63" s="47" t="s">
        <v>29</v>
      </c>
    </row>
    <row r="64" spans="1:21" x14ac:dyDescent="0.2">
      <c r="A64" s="47" t="s">
        <v>29</v>
      </c>
      <c r="E64" s="47" t="s">
        <v>30</v>
      </c>
      <c r="F64" s="47" t="s">
        <v>30</v>
      </c>
      <c r="G64" s="47" t="s">
        <v>30</v>
      </c>
      <c r="J64" s="47" t="s">
        <v>30</v>
      </c>
      <c r="K64" s="47" t="s">
        <v>30</v>
      </c>
      <c r="L64" s="47" t="s">
        <v>30</v>
      </c>
      <c r="M64" s="47" t="s">
        <v>30</v>
      </c>
    </row>
    <row r="65" spans="1:21" x14ac:dyDescent="0.2">
      <c r="A65" s="47" t="s">
        <v>29</v>
      </c>
      <c r="D65" s="47" t="s">
        <v>4363</v>
      </c>
      <c r="E65" s="47" t="s">
        <v>3014</v>
      </c>
      <c r="F65" s="47" t="s">
        <v>4364</v>
      </c>
      <c r="H65" s="47" t="s">
        <v>4365</v>
      </c>
      <c r="O65" s="47" t="s">
        <v>9389</v>
      </c>
      <c r="P65" s="47" t="s">
        <v>9390</v>
      </c>
      <c r="Q65" s="47" t="s">
        <v>9391</v>
      </c>
      <c r="R65" s="47" t="s">
        <v>9392</v>
      </c>
      <c r="S65" s="47" t="s">
        <v>9393</v>
      </c>
      <c r="T65" s="47" t="s">
        <v>9394</v>
      </c>
      <c r="U65" s="47" t="s">
        <v>9395</v>
      </c>
    </row>
    <row r="66" spans="1:21" x14ac:dyDescent="0.2">
      <c r="A66" s="47" t="s">
        <v>29</v>
      </c>
      <c r="D66" s="47" t="s">
        <v>1782</v>
      </c>
      <c r="G66" s="47" t="s">
        <v>10069</v>
      </c>
      <c r="H66" s="47" t="s">
        <v>1783</v>
      </c>
      <c r="I66" s="47" t="s">
        <v>1784</v>
      </c>
      <c r="J66" s="47" t="s">
        <v>1785</v>
      </c>
      <c r="K66" s="47" t="s">
        <v>1786</v>
      </c>
      <c r="L66" s="47" t="s">
        <v>1787</v>
      </c>
      <c r="M66" s="47" t="s">
        <v>1788</v>
      </c>
      <c r="N66" s="47" t="s">
        <v>1789</v>
      </c>
      <c r="O66" s="47" t="s">
        <v>5881</v>
      </c>
      <c r="P66" s="47" t="s">
        <v>5883</v>
      </c>
      <c r="Q66" s="47" t="s">
        <v>5885</v>
      </c>
      <c r="R66" s="47" t="s">
        <v>5887</v>
      </c>
      <c r="S66" s="47" t="s">
        <v>5889</v>
      </c>
      <c r="T66" s="47" t="s">
        <v>5891</v>
      </c>
    </row>
    <row r="67" spans="1:21" x14ac:dyDescent="0.2">
      <c r="A67" s="47" t="s">
        <v>29</v>
      </c>
      <c r="D67" s="47" t="s">
        <v>1200</v>
      </c>
      <c r="G67" s="47" t="s">
        <v>8624</v>
      </c>
      <c r="H67" s="47" t="s">
        <v>1201</v>
      </c>
      <c r="I67" s="47" t="s">
        <v>1202</v>
      </c>
      <c r="J67" s="47" t="s">
        <v>1203</v>
      </c>
      <c r="K67" s="47" t="s">
        <v>1204</v>
      </c>
      <c r="L67" s="47" t="s">
        <v>1205</v>
      </c>
      <c r="M67" s="47" t="s">
        <v>1206</v>
      </c>
      <c r="N67" s="47" t="s">
        <v>1207</v>
      </c>
      <c r="O67" s="47" t="s">
        <v>5882</v>
      </c>
      <c r="P67" s="47" t="s">
        <v>5884</v>
      </c>
      <c r="Q67" s="47" t="s">
        <v>5886</v>
      </c>
      <c r="R67" s="47" t="s">
        <v>5888</v>
      </c>
      <c r="S67" s="47" t="s">
        <v>5890</v>
      </c>
      <c r="T67" s="47" t="s">
        <v>5892</v>
      </c>
    </row>
    <row r="68" spans="1:21" x14ac:dyDescent="0.2">
      <c r="A68" s="47" t="s">
        <v>29</v>
      </c>
    </row>
    <row r="69" spans="1:21" x14ac:dyDescent="0.2">
      <c r="A69" s="47" t="s">
        <v>29</v>
      </c>
      <c r="E69" s="47" t="s">
        <v>30</v>
      </c>
      <c r="F69" s="47" t="s">
        <v>30</v>
      </c>
      <c r="G69" s="47" t="s">
        <v>30</v>
      </c>
      <c r="J69" s="47" t="s">
        <v>30</v>
      </c>
      <c r="K69" s="47" t="s">
        <v>30</v>
      </c>
      <c r="L69" s="47" t="s">
        <v>30</v>
      </c>
      <c r="M69" s="47" t="s">
        <v>30</v>
      </c>
    </row>
    <row r="70" spans="1:21" x14ac:dyDescent="0.2">
      <c r="A70" s="47" t="s">
        <v>29</v>
      </c>
      <c r="D70" s="47" t="s">
        <v>8095</v>
      </c>
      <c r="E70" s="47" t="s">
        <v>6325</v>
      </c>
      <c r="F70" s="47" t="s">
        <v>8096</v>
      </c>
      <c r="H70" s="47" t="s">
        <v>8097</v>
      </c>
      <c r="O70" s="47" t="s">
        <v>10070</v>
      </c>
      <c r="P70" s="47" t="s">
        <v>10071</v>
      </c>
      <c r="Q70" s="47" t="s">
        <v>10072</v>
      </c>
      <c r="R70" s="47" t="s">
        <v>10073</v>
      </c>
      <c r="S70" s="47" t="s">
        <v>10074</v>
      </c>
      <c r="T70" s="47" t="s">
        <v>10075</v>
      </c>
      <c r="U70" s="47" t="s">
        <v>10076</v>
      </c>
    </row>
    <row r="71" spans="1:21" x14ac:dyDescent="0.2">
      <c r="A71" s="47" t="s">
        <v>29</v>
      </c>
      <c r="D71" s="47" t="s">
        <v>1635</v>
      </c>
      <c r="G71" s="47" t="s">
        <v>10077</v>
      </c>
      <c r="H71" s="47" t="s">
        <v>1636</v>
      </c>
      <c r="I71" s="47" t="s">
        <v>1637</v>
      </c>
      <c r="J71" s="47" t="s">
        <v>1638</v>
      </c>
      <c r="K71" s="47" t="s">
        <v>1639</v>
      </c>
      <c r="L71" s="47" t="s">
        <v>1640</v>
      </c>
      <c r="M71" s="47" t="s">
        <v>1641</v>
      </c>
      <c r="N71" s="47" t="s">
        <v>1642</v>
      </c>
      <c r="O71" s="47" t="s">
        <v>7208</v>
      </c>
      <c r="P71" s="47" t="s">
        <v>7213</v>
      </c>
      <c r="Q71" s="47" t="s">
        <v>7218</v>
      </c>
      <c r="R71" s="47" t="s">
        <v>7223</v>
      </c>
      <c r="S71" s="47" t="s">
        <v>7228</v>
      </c>
      <c r="T71" s="47" t="s">
        <v>7233</v>
      </c>
    </row>
    <row r="72" spans="1:21" x14ac:dyDescent="0.2">
      <c r="A72" s="47" t="s">
        <v>29</v>
      </c>
      <c r="D72" s="47" t="s">
        <v>231</v>
      </c>
      <c r="G72" s="47" t="s">
        <v>8625</v>
      </c>
      <c r="H72" s="47" t="s">
        <v>232</v>
      </c>
      <c r="I72" s="47" t="s">
        <v>233</v>
      </c>
      <c r="J72" s="47" t="s">
        <v>234</v>
      </c>
      <c r="K72" s="47" t="s">
        <v>235</v>
      </c>
      <c r="L72" s="47" t="s">
        <v>236</v>
      </c>
      <c r="M72" s="47" t="s">
        <v>237</v>
      </c>
      <c r="N72" s="47" t="s">
        <v>238</v>
      </c>
      <c r="O72" s="47" t="s">
        <v>2905</v>
      </c>
      <c r="P72" s="47" t="s">
        <v>2906</v>
      </c>
      <c r="Q72" s="47" t="s">
        <v>2907</v>
      </c>
      <c r="R72" s="47" t="s">
        <v>2908</v>
      </c>
      <c r="S72" s="47" t="s">
        <v>2909</v>
      </c>
      <c r="T72" s="47" t="s">
        <v>2910</v>
      </c>
    </row>
    <row r="73" spans="1:21" x14ac:dyDescent="0.2">
      <c r="A73" s="47" t="s">
        <v>29</v>
      </c>
      <c r="D73" s="47" t="s">
        <v>1324</v>
      </c>
      <c r="G73" s="47" t="s">
        <v>8626</v>
      </c>
      <c r="H73" s="47" t="s">
        <v>1325</v>
      </c>
      <c r="I73" s="47" t="s">
        <v>1326</v>
      </c>
      <c r="J73" s="47" t="s">
        <v>1327</v>
      </c>
      <c r="K73" s="47" t="s">
        <v>1328</v>
      </c>
      <c r="L73" s="47" t="s">
        <v>1329</v>
      </c>
      <c r="M73" s="47" t="s">
        <v>1330</v>
      </c>
      <c r="N73" s="47" t="s">
        <v>1331</v>
      </c>
      <c r="O73" s="47" t="s">
        <v>2116</v>
      </c>
      <c r="P73" s="47" t="s">
        <v>2117</v>
      </c>
      <c r="Q73" s="47" t="s">
        <v>2118</v>
      </c>
      <c r="R73" s="47" t="s">
        <v>2119</v>
      </c>
      <c r="S73" s="47" t="s">
        <v>2120</v>
      </c>
      <c r="T73" s="47" t="s">
        <v>2121</v>
      </c>
    </row>
    <row r="74" spans="1:21" x14ac:dyDescent="0.2">
      <c r="A74" s="47" t="s">
        <v>29</v>
      </c>
    </row>
    <row r="75" spans="1:21" x14ac:dyDescent="0.2">
      <c r="A75" s="47" t="s">
        <v>29</v>
      </c>
      <c r="E75" s="47" t="s">
        <v>30</v>
      </c>
      <c r="F75" s="47" t="s">
        <v>30</v>
      </c>
      <c r="G75" s="47" t="s">
        <v>30</v>
      </c>
      <c r="J75" s="47" t="s">
        <v>30</v>
      </c>
      <c r="K75" s="47" t="s">
        <v>30</v>
      </c>
      <c r="L75" s="47" t="s">
        <v>30</v>
      </c>
      <c r="M75" s="47" t="s">
        <v>30</v>
      </c>
    </row>
    <row r="76" spans="1:21" x14ac:dyDescent="0.2">
      <c r="A76" s="47" t="s">
        <v>29</v>
      </c>
      <c r="D76" s="47" t="s">
        <v>5916</v>
      </c>
      <c r="E76" s="47" t="s">
        <v>3015</v>
      </c>
      <c r="F76" s="47" t="s">
        <v>5917</v>
      </c>
      <c r="H76" s="47" t="s">
        <v>5918</v>
      </c>
      <c r="O76" s="47" t="s">
        <v>5919</v>
      </c>
      <c r="P76" s="47" t="s">
        <v>5920</v>
      </c>
      <c r="Q76" s="47" t="s">
        <v>5921</v>
      </c>
      <c r="R76" s="47" t="s">
        <v>5922</v>
      </c>
      <c r="S76" s="47" t="s">
        <v>5923</v>
      </c>
      <c r="T76" s="47" t="s">
        <v>5924</v>
      </c>
      <c r="U76" s="47" t="s">
        <v>5925</v>
      </c>
    </row>
    <row r="77" spans="1:21" x14ac:dyDescent="0.2">
      <c r="A77" s="47" t="s">
        <v>29</v>
      </c>
      <c r="D77" s="47" t="s">
        <v>5926</v>
      </c>
      <c r="G77" s="47" t="s">
        <v>10078</v>
      </c>
      <c r="H77" s="47" t="s">
        <v>5928</v>
      </c>
      <c r="I77" s="47" t="s">
        <v>5929</v>
      </c>
      <c r="J77" s="47" t="s">
        <v>5930</v>
      </c>
      <c r="K77" s="47" t="s">
        <v>5931</v>
      </c>
      <c r="L77" s="47" t="s">
        <v>5932</v>
      </c>
      <c r="M77" s="47" t="s">
        <v>5933</v>
      </c>
      <c r="N77" s="47" t="s">
        <v>5934</v>
      </c>
      <c r="O77" s="47" t="s">
        <v>7209</v>
      </c>
      <c r="P77" s="47" t="s">
        <v>7214</v>
      </c>
      <c r="Q77" s="47" t="s">
        <v>7219</v>
      </c>
      <c r="R77" s="47" t="s">
        <v>7224</v>
      </c>
      <c r="S77" s="47" t="s">
        <v>7229</v>
      </c>
      <c r="T77" s="47" t="s">
        <v>7234</v>
      </c>
    </row>
    <row r="78" spans="1:21" x14ac:dyDescent="0.2">
      <c r="A78" s="47" t="s">
        <v>29</v>
      </c>
    </row>
    <row r="79" spans="1:21" x14ac:dyDescent="0.2">
      <c r="A79" s="47" t="s">
        <v>29</v>
      </c>
      <c r="E79" s="47" t="s">
        <v>30</v>
      </c>
      <c r="F79" s="47" t="s">
        <v>30</v>
      </c>
      <c r="G79" s="47" t="s">
        <v>30</v>
      </c>
      <c r="J79" s="47" t="s">
        <v>30</v>
      </c>
      <c r="K79" s="47" t="s">
        <v>30</v>
      </c>
      <c r="L79" s="47" t="s">
        <v>30</v>
      </c>
      <c r="M79" s="47" t="s">
        <v>30</v>
      </c>
    </row>
    <row r="80" spans="1:21" x14ac:dyDescent="0.2">
      <c r="A80" s="47" t="s">
        <v>29</v>
      </c>
      <c r="D80" s="47" t="s">
        <v>5941</v>
      </c>
      <c r="E80" s="47" t="s">
        <v>3016</v>
      </c>
      <c r="F80" s="47" t="s">
        <v>5942</v>
      </c>
      <c r="H80" s="47" t="s">
        <v>5943</v>
      </c>
      <c r="O80" s="47" t="s">
        <v>8437</v>
      </c>
      <c r="P80" s="47" t="s">
        <v>8438</v>
      </c>
      <c r="Q80" s="47" t="s">
        <v>8439</v>
      </c>
      <c r="R80" s="47" t="s">
        <v>8440</v>
      </c>
      <c r="S80" s="47" t="s">
        <v>8441</v>
      </c>
      <c r="T80" s="47" t="s">
        <v>8442</v>
      </c>
      <c r="U80" s="47" t="s">
        <v>8443</v>
      </c>
    </row>
    <row r="81" spans="1:21" x14ac:dyDescent="0.2">
      <c r="A81" s="47" t="s">
        <v>29</v>
      </c>
      <c r="D81" s="47" t="s">
        <v>1340</v>
      </c>
      <c r="G81" s="47" t="s">
        <v>10079</v>
      </c>
      <c r="H81" s="47" t="s">
        <v>1341</v>
      </c>
      <c r="I81" s="47" t="s">
        <v>1342</v>
      </c>
      <c r="J81" s="47" t="s">
        <v>1343</v>
      </c>
      <c r="K81" s="47" t="s">
        <v>1344</v>
      </c>
      <c r="L81" s="47" t="s">
        <v>1345</v>
      </c>
      <c r="M81" s="47" t="s">
        <v>1346</v>
      </c>
      <c r="N81" s="47" t="s">
        <v>1347</v>
      </c>
      <c r="O81" s="47" t="s">
        <v>7210</v>
      </c>
      <c r="P81" s="47" t="s">
        <v>7215</v>
      </c>
      <c r="Q81" s="47" t="s">
        <v>7220</v>
      </c>
      <c r="R81" s="47" t="s">
        <v>7225</v>
      </c>
      <c r="S81" s="47" t="s">
        <v>7230</v>
      </c>
      <c r="T81" s="47" t="s">
        <v>7235</v>
      </c>
    </row>
    <row r="82" spans="1:21" x14ac:dyDescent="0.2">
      <c r="A82" s="47" t="s">
        <v>29</v>
      </c>
      <c r="D82" s="47" t="s">
        <v>247</v>
      </c>
      <c r="G82" s="47" t="s">
        <v>8627</v>
      </c>
      <c r="H82" s="47" t="s">
        <v>248</v>
      </c>
      <c r="I82" s="47" t="s">
        <v>249</v>
      </c>
      <c r="J82" s="47" t="s">
        <v>250</v>
      </c>
      <c r="K82" s="47" t="s">
        <v>251</v>
      </c>
      <c r="L82" s="47" t="s">
        <v>252</v>
      </c>
      <c r="M82" s="47" t="s">
        <v>253</v>
      </c>
      <c r="N82" s="47" t="s">
        <v>254</v>
      </c>
      <c r="O82" s="47" t="s">
        <v>7211</v>
      </c>
      <c r="P82" s="47" t="s">
        <v>7216</v>
      </c>
      <c r="Q82" s="47" t="s">
        <v>7221</v>
      </c>
      <c r="R82" s="47" t="s">
        <v>7226</v>
      </c>
      <c r="S82" s="47" t="s">
        <v>7231</v>
      </c>
      <c r="T82" s="47" t="s">
        <v>7236</v>
      </c>
    </row>
    <row r="83" spans="1:21" x14ac:dyDescent="0.2">
      <c r="A83" s="47" t="s">
        <v>29</v>
      </c>
    </row>
    <row r="84" spans="1:21" x14ac:dyDescent="0.2">
      <c r="A84" s="47" t="s">
        <v>29</v>
      </c>
      <c r="E84" s="47" t="s">
        <v>30</v>
      </c>
      <c r="F84" s="47" t="s">
        <v>30</v>
      </c>
      <c r="G84" s="47" t="s">
        <v>30</v>
      </c>
      <c r="J84" s="47" t="s">
        <v>30</v>
      </c>
      <c r="K84" s="47" t="s">
        <v>30</v>
      </c>
      <c r="L84" s="47" t="s">
        <v>30</v>
      </c>
      <c r="M84" s="47" t="s">
        <v>30</v>
      </c>
    </row>
    <row r="85" spans="1:21" x14ac:dyDescent="0.2">
      <c r="A85" s="47" t="s">
        <v>29</v>
      </c>
      <c r="D85" s="47" t="s">
        <v>1790</v>
      </c>
      <c r="E85" s="47" t="s">
        <v>3029</v>
      </c>
      <c r="F85" s="47" t="s">
        <v>1791</v>
      </c>
      <c r="H85" s="47" t="s">
        <v>1792</v>
      </c>
      <c r="O85" s="47" t="s">
        <v>10080</v>
      </c>
      <c r="P85" s="47" t="s">
        <v>10081</v>
      </c>
      <c r="Q85" s="47" t="s">
        <v>10082</v>
      </c>
      <c r="R85" s="47" t="s">
        <v>10083</v>
      </c>
      <c r="S85" s="47" t="s">
        <v>10084</v>
      </c>
      <c r="T85" s="47" t="s">
        <v>10085</v>
      </c>
      <c r="U85" s="47" t="s">
        <v>10086</v>
      </c>
    </row>
    <row r="86" spans="1:21" x14ac:dyDescent="0.2">
      <c r="A86" s="47" t="s">
        <v>29</v>
      </c>
      <c r="D86" s="47" t="s">
        <v>1643</v>
      </c>
      <c r="G86" s="47" t="s">
        <v>10087</v>
      </c>
      <c r="H86" s="47" t="s">
        <v>1644</v>
      </c>
      <c r="I86" s="47" t="s">
        <v>1645</v>
      </c>
      <c r="J86" s="47" t="s">
        <v>1646</v>
      </c>
      <c r="K86" s="47" t="s">
        <v>1647</v>
      </c>
      <c r="L86" s="47" t="s">
        <v>1648</v>
      </c>
      <c r="M86" s="47" t="s">
        <v>1649</v>
      </c>
      <c r="N86" s="47" t="s">
        <v>1650</v>
      </c>
      <c r="O86" s="47" t="s">
        <v>9062</v>
      </c>
      <c r="P86" s="47" t="s">
        <v>9064</v>
      </c>
      <c r="Q86" s="47" t="s">
        <v>9066</v>
      </c>
      <c r="R86" s="47" t="s">
        <v>9068</v>
      </c>
      <c r="S86" s="47" t="s">
        <v>9070</v>
      </c>
      <c r="T86" s="47" t="s">
        <v>9072</v>
      </c>
    </row>
    <row r="87" spans="1:21" x14ac:dyDescent="0.2">
      <c r="A87" s="47" t="s">
        <v>29</v>
      </c>
      <c r="D87" s="47" t="s">
        <v>1793</v>
      </c>
      <c r="G87" s="47" t="s">
        <v>8629</v>
      </c>
      <c r="H87" s="47" t="s">
        <v>1794</v>
      </c>
      <c r="I87" s="47" t="s">
        <v>1795</v>
      </c>
      <c r="J87" s="47" t="s">
        <v>1796</v>
      </c>
      <c r="K87" s="47" t="s">
        <v>1797</v>
      </c>
      <c r="L87" s="47" t="s">
        <v>1798</v>
      </c>
      <c r="M87" s="47" t="s">
        <v>1799</v>
      </c>
      <c r="N87" s="47" t="s">
        <v>1800</v>
      </c>
      <c r="O87" s="47" t="s">
        <v>9063</v>
      </c>
      <c r="P87" s="47" t="s">
        <v>9065</v>
      </c>
      <c r="Q87" s="47" t="s">
        <v>9067</v>
      </c>
      <c r="R87" s="47" t="s">
        <v>9069</v>
      </c>
      <c r="S87" s="47" t="s">
        <v>9071</v>
      </c>
      <c r="T87" s="47" t="s">
        <v>9073</v>
      </c>
    </row>
    <row r="88" spans="1:21" x14ac:dyDescent="0.2">
      <c r="A88" s="47" t="s">
        <v>29</v>
      </c>
    </row>
    <row r="89" spans="1:21" x14ac:dyDescent="0.2">
      <c r="A89" s="47" t="s">
        <v>29</v>
      </c>
      <c r="E89" s="47" t="s">
        <v>30</v>
      </c>
      <c r="F89" s="47" t="s">
        <v>30</v>
      </c>
      <c r="G89" s="47" t="s">
        <v>30</v>
      </c>
      <c r="J89" s="47" t="s">
        <v>30</v>
      </c>
      <c r="K89" s="47" t="s">
        <v>30</v>
      </c>
      <c r="L89" s="47" t="s">
        <v>30</v>
      </c>
      <c r="M89" s="47" t="s">
        <v>30</v>
      </c>
    </row>
    <row r="90" spans="1:21" x14ac:dyDescent="0.2">
      <c r="A90" s="47" t="s">
        <v>29</v>
      </c>
      <c r="D90" s="47" t="s">
        <v>7849</v>
      </c>
      <c r="E90" s="47" t="s">
        <v>3048</v>
      </c>
      <c r="F90" s="47" t="s">
        <v>7850</v>
      </c>
      <c r="H90" s="47" t="s">
        <v>7851</v>
      </c>
      <c r="O90" s="47" t="s">
        <v>8106</v>
      </c>
      <c r="P90" s="47" t="s">
        <v>8107</v>
      </c>
      <c r="Q90" s="47" t="s">
        <v>8108</v>
      </c>
      <c r="R90" s="47" t="s">
        <v>8109</v>
      </c>
      <c r="S90" s="47" t="s">
        <v>8110</v>
      </c>
      <c r="T90" s="47" t="s">
        <v>8111</v>
      </c>
      <c r="U90" s="47" t="s">
        <v>8112</v>
      </c>
    </row>
    <row r="91" spans="1:21" x14ac:dyDescent="0.2">
      <c r="A91" s="47" t="s">
        <v>29</v>
      </c>
      <c r="D91" s="47" t="s">
        <v>263</v>
      </c>
      <c r="G91" s="47" t="s">
        <v>10088</v>
      </c>
      <c r="H91" s="47" t="s">
        <v>264</v>
      </c>
      <c r="I91" s="47" t="s">
        <v>265</v>
      </c>
      <c r="J91" s="47" t="s">
        <v>266</v>
      </c>
      <c r="K91" s="47" t="s">
        <v>267</v>
      </c>
      <c r="L91" s="47" t="s">
        <v>268</v>
      </c>
      <c r="M91" s="47" t="s">
        <v>269</v>
      </c>
      <c r="N91" s="47" t="s">
        <v>270</v>
      </c>
      <c r="O91" s="47" t="s">
        <v>2807</v>
      </c>
      <c r="P91" s="47" t="s">
        <v>2808</v>
      </c>
      <c r="Q91" s="47" t="s">
        <v>2809</v>
      </c>
      <c r="R91" s="47" t="s">
        <v>2810</v>
      </c>
      <c r="S91" s="47" t="s">
        <v>2811</v>
      </c>
      <c r="T91" s="47" t="s">
        <v>2812</v>
      </c>
    </row>
    <row r="92" spans="1:21" x14ac:dyDescent="0.2">
      <c r="A92" s="47" t="s">
        <v>29</v>
      </c>
      <c r="D92" s="47" t="s">
        <v>1216</v>
      </c>
      <c r="G92" s="47" t="s">
        <v>8631</v>
      </c>
      <c r="H92" s="47" t="s">
        <v>1217</v>
      </c>
      <c r="I92" s="47" t="s">
        <v>1218</v>
      </c>
      <c r="J92" s="47" t="s">
        <v>1219</v>
      </c>
      <c r="K92" s="47" t="s">
        <v>1220</v>
      </c>
      <c r="L92" s="47" t="s">
        <v>1221</v>
      </c>
      <c r="M92" s="47" t="s">
        <v>1222</v>
      </c>
      <c r="N92" s="47" t="s">
        <v>1223</v>
      </c>
      <c r="O92" s="47" t="s">
        <v>2813</v>
      </c>
      <c r="P92" s="47" t="s">
        <v>2814</v>
      </c>
      <c r="Q92" s="47" t="s">
        <v>2815</v>
      </c>
      <c r="R92" s="47" t="s">
        <v>2816</v>
      </c>
      <c r="S92" s="47" t="s">
        <v>2817</v>
      </c>
      <c r="T92" s="47" t="s">
        <v>2818</v>
      </c>
    </row>
    <row r="93" spans="1:21" x14ac:dyDescent="0.2">
      <c r="A93" s="47" t="s">
        <v>29</v>
      </c>
      <c r="D93" s="47" t="s">
        <v>5291</v>
      </c>
      <c r="G93" s="47" t="s">
        <v>8632</v>
      </c>
      <c r="H93" s="47" t="s">
        <v>5871</v>
      </c>
      <c r="I93" s="47" t="s">
        <v>5872</v>
      </c>
      <c r="J93" s="47" t="s">
        <v>5879</v>
      </c>
      <c r="K93" s="47" t="s">
        <v>5880</v>
      </c>
      <c r="L93" s="47" t="s">
        <v>5292</v>
      </c>
      <c r="M93" s="47" t="s">
        <v>5293</v>
      </c>
      <c r="N93" s="47" t="s">
        <v>5294</v>
      </c>
      <c r="O93" s="47" t="s">
        <v>5873</v>
      </c>
      <c r="P93" s="47" t="s">
        <v>5874</v>
      </c>
      <c r="Q93" s="47" t="s">
        <v>5875</v>
      </c>
      <c r="R93" s="47" t="s">
        <v>5876</v>
      </c>
      <c r="S93" s="47" t="s">
        <v>5877</v>
      </c>
      <c r="T93" s="47" t="s">
        <v>5878</v>
      </c>
    </row>
    <row r="94" spans="1:21" x14ac:dyDescent="0.2">
      <c r="A94" s="47" t="s">
        <v>29</v>
      </c>
    </row>
    <row r="95" spans="1:21" x14ac:dyDescent="0.2">
      <c r="A95" s="47" t="s">
        <v>29</v>
      </c>
      <c r="E95" s="47" t="s">
        <v>30</v>
      </c>
      <c r="F95" s="47" t="s">
        <v>30</v>
      </c>
      <c r="G95" s="47" t="s">
        <v>30</v>
      </c>
      <c r="J95" s="47" t="s">
        <v>30</v>
      </c>
      <c r="K95" s="47" t="s">
        <v>30</v>
      </c>
      <c r="L95" s="47" t="s">
        <v>30</v>
      </c>
      <c r="M95" s="47" t="s">
        <v>30</v>
      </c>
    </row>
    <row r="96" spans="1:21" x14ac:dyDescent="0.2">
      <c r="A96" s="47" t="s">
        <v>29</v>
      </c>
      <c r="D96" s="47" t="s">
        <v>6058</v>
      </c>
      <c r="E96" s="47" t="s">
        <v>3061</v>
      </c>
      <c r="F96" s="47" t="s">
        <v>6059</v>
      </c>
      <c r="H96" s="47" t="s">
        <v>6060</v>
      </c>
      <c r="O96" s="47" t="s">
        <v>10089</v>
      </c>
      <c r="P96" s="47" t="s">
        <v>10090</v>
      </c>
      <c r="Q96" s="47" t="s">
        <v>10091</v>
      </c>
      <c r="R96" s="47" t="s">
        <v>10092</v>
      </c>
      <c r="S96" s="47" t="s">
        <v>10093</v>
      </c>
      <c r="T96" s="47" t="s">
        <v>10094</v>
      </c>
      <c r="U96" s="47" t="s">
        <v>10095</v>
      </c>
    </row>
    <row r="97" spans="1:21" x14ac:dyDescent="0.2">
      <c r="A97" s="47" t="s">
        <v>29</v>
      </c>
      <c r="D97" s="47" t="s">
        <v>279</v>
      </c>
      <c r="G97" s="47" t="s">
        <v>8618</v>
      </c>
      <c r="H97" s="47" t="s">
        <v>280</v>
      </c>
      <c r="I97" s="47" t="s">
        <v>281</v>
      </c>
      <c r="J97" s="47" t="s">
        <v>282</v>
      </c>
      <c r="K97" s="47" t="s">
        <v>283</v>
      </c>
      <c r="L97" s="47" t="s">
        <v>284</v>
      </c>
      <c r="M97" s="47" t="s">
        <v>285</v>
      </c>
      <c r="N97" s="47" t="s">
        <v>286</v>
      </c>
      <c r="O97" s="47" t="s">
        <v>7177</v>
      </c>
      <c r="P97" s="47" t="s">
        <v>7182</v>
      </c>
      <c r="Q97" s="47" t="s">
        <v>7187</v>
      </c>
      <c r="R97" s="47" t="s">
        <v>7192</v>
      </c>
      <c r="S97" s="47" t="s">
        <v>7197</v>
      </c>
      <c r="T97" s="47" t="s">
        <v>7202</v>
      </c>
    </row>
    <row r="98" spans="1:21" x14ac:dyDescent="0.2">
      <c r="A98" s="47" t="s">
        <v>29</v>
      </c>
      <c r="D98" s="47" t="s">
        <v>287</v>
      </c>
      <c r="G98" s="47" t="s">
        <v>8633</v>
      </c>
      <c r="H98" s="47" t="s">
        <v>288</v>
      </c>
      <c r="I98" s="47" t="s">
        <v>289</v>
      </c>
      <c r="J98" s="47" t="s">
        <v>290</v>
      </c>
      <c r="K98" s="47" t="s">
        <v>291</v>
      </c>
      <c r="L98" s="47" t="s">
        <v>292</v>
      </c>
      <c r="M98" s="47" t="s">
        <v>293</v>
      </c>
      <c r="N98" s="47" t="s">
        <v>294</v>
      </c>
      <c r="O98" s="47" t="s">
        <v>7178</v>
      </c>
      <c r="P98" s="47" t="s">
        <v>7183</v>
      </c>
      <c r="Q98" s="47" t="s">
        <v>7188</v>
      </c>
      <c r="R98" s="47" t="s">
        <v>7193</v>
      </c>
      <c r="S98" s="47" t="s">
        <v>7198</v>
      </c>
      <c r="T98" s="47" t="s">
        <v>7203</v>
      </c>
    </row>
    <row r="99" spans="1:21" x14ac:dyDescent="0.2">
      <c r="A99" s="47" t="s">
        <v>29</v>
      </c>
      <c r="D99" s="47" t="s">
        <v>1651</v>
      </c>
      <c r="G99" s="47" t="s">
        <v>8634</v>
      </c>
      <c r="H99" s="47" t="s">
        <v>1652</v>
      </c>
      <c r="I99" s="47" t="s">
        <v>1653</v>
      </c>
      <c r="J99" s="47" t="s">
        <v>1654</v>
      </c>
      <c r="K99" s="47" t="s">
        <v>1655</v>
      </c>
      <c r="L99" s="47" t="s">
        <v>1656</v>
      </c>
      <c r="M99" s="47" t="s">
        <v>1657</v>
      </c>
      <c r="N99" s="47" t="s">
        <v>1658</v>
      </c>
      <c r="O99" s="47" t="s">
        <v>5295</v>
      </c>
      <c r="P99" s="47" t="s">
        <v>5296</v>
      </c>
      <c r="Q99" s="47" t="s">
        <v>5297</v>
      </c>
      <c r="R99" s="47" t="s">
        <v>5298</v>
      </c>
      <c r="S99" s="47" t="s">
        <v>5299</v>
      </c>
      <c r="T99" s="47" t="s">
        <v>5300</v>
      </c>
    </row>
    <row r="100" spans="1:21" x14ac:dyDescent="0.2">
      <c r="A100" s="47" t="s">
        <v>29</v>
      </c>
    </row>
    <row r="101" spans="1:21" x14ac:dyDescent="0.2">
      <c r="A101" s="47" t="s">
        <v>29</v>
      </c>
      <c r="E101" s="47" t="s">
        <v>30</v>
      </c>
      <c r="F101" s="47" t="s">
        <v>30</v>
      </c>
      <c r="G101" s="47" t="s">
        <v>30</v>
      </c>
      <c r="J101" s="47" t="s">
        <v>30</v>
      </c>
      <c r="K101" s="47" t="s">
        <v>30</v>
      </c>
      <c r="L101" s="47" t="s">
        <v>30</v>
      </c>
      <c r="M101" s="47" t="s">
        <v>30</v>
      </c>
    </row>
    <row r="102" spans="1:21" x14ac:dyDescent="0.2">
      <c r="A102" s="47" t="s">
        <v>29</v>
      </c>
      <c r="D102" s="47" t="s">
        <v>5076</v>
      </c>
      <c r="E102" s="47" t="s">
        <v>3062</v>
      </c>
      <c r="F102" s="47" t="s">
        <v>5077</v>
      </c>
      <c r="H102" s="47" t="s">
        <v>5078</v>
      </c>
      <c r="O102" s="47" t="s">
        <v>10096</v>
      </c>
      <c r="P102" s="47" t="s">
        <v>10097</v>
      </c>
      <c r="Q102" s="47" t="s">
        <v>10098</v>
      </c>
      <c r="R102" s="47" t="s">
        <v>10099</v>
      </c>
      <c r="S102" s="47" t="s">
        <v>10100</v>
      </c>
      <c r="T102" s="47" t="s">
        <v>10101</v>
      </c>
      <c r="U102" s="47" t="s">
        <v>10102</v>
      </c>
    </row>
    <row r="103" spans="1:21" x14ac:dyDescent="0.2">
      <c r="A103" s="47" t="s">
        <v>29</v>
      </c>
      <c r="D103" s="47" t="s">
        <v>295</v>
      </c>
      <c r="G103" s="47" t="s">
        <v>10103</v>
      </c>
      <c r="H103" s="47" t="s">
        <v>296</v>
      </c>
      <c r="I103" s="47" t="s">
        <v>297</v>
      </c>
      <c r="J103" s="47" t="s">
        <v>298</v>
      </c>
      <c r="K103" s="47" t="s">
        <v>299</v>
      </c>
      <c r="L103" s="47" t="s">
        <v>300</v>
      </c>
      <c r="M103" s="47" t="s">
        <v>301</v>
      </c>
      <c r="N103" s="47" t="s">
        <v>302</v>
      </c>
      <c r="O103" s="47" t="s">
        <v>7179</v>
      </c>
      <c r="P103" s="47" t="s">
        <v>7184</v>
      </c>
      <c r="Q103" s="47" t="s">
        <v>7189</v>
      </c>
      <c r="R103" s="47" t="s">
        <v>7194</v>
      </c>
      <c r="S103" s="47" t="s">
        <v>7199</v>
      </c>
      <c r="T103" s="47" t="s">
        <v>7204</v>
      </c>
    </row>
    <row r="104" spans="1:21" x14ac:dyDescent="0.2">
      <c r="A104" s="47" t="s">
        <v>29</v>
      </c>
      <c r="D104" s="47" t="s">
        <v>1659</v>
      </c>
      <c r="G104" s="47" t="s">
        <v>8636</v>
      </c>
      <c r="H104" s="47" t="s">
        <v>1660</v>
      </c>
      <c r="I104" s="47" t="s">
        <v>1661</v>
      </c>
      <c r="J104" s="47" t="s">
        <v>1662</v>
      </c>
      <c r="K104" s="47" t="s">
        <v>1663</v>
      </c>
      <c r="L104" s="47" t="s">
        <v>1664</v>
      </c>
      <c r="M104" s="47" t="s">
        <v>1665</v>
      </c>
      <c r="N104" s="47" t="s">
        <v>1666</v>
      </c>
      <c r="O104" s="47" t="s">
        <v>7180</v>
      </c>
      <c r="P104" s="47" t="s">
        <v>7185</v>
      </c>
      <c r="Q104" s="47" t="s">
        <v>7190</v>
      </c>
      <c r="R104" s="47" t="s">
        <v>7195</v>
      </c>
      <c r="S104" s="47" t="s">
        <v>7200</v>
      </c>
      <c r="T104" s="47" t="s">
        <v>7205</v>
      </c>
    </row>
    <row r="105" spans="1:21" x14ac:dyDescent="0.2">
      <c r="A105" s="47" t="s">
        <v>29</v>
      </c>
      <c r="D105" s="47" t="s">
        <v>1359</v>
      </c>
      <c r="G105" s="47" t="s">
        <v>8637</v>
      </c>
      <c r="H105" s="47" t="s">
        <v>1360</v>
      </c>
      <c r="I105" s="47" t="s">
        <v>1361</v>
      </c>
      <c r="J105" s="47" t="s">
        <v>1362</v>
      </c>
      <c r="K105" s="47" t="s">
        <v>1363</v>
      </c>
      <c r="L105" s="47" t="s">
        <v>1364</v>
      </c>
      <c r="M105" s="47" t="s">
        <v>1365</v>
      </c>
      <c r="N105" s="47" t="s">
        <v>1366</v>
      </c>
      <c r="O105" s="47" t="s">
        <v>7181</v>
      </c>
      <c r="P105" s="47" t="s">
        <v>7186</v>
      </c>
      <c r="Q105" s="47" t="s">
        <v>7191</v>
      </c>
      <c r="R105" s="47" t="s">
        <v>7196</v>
      </c>
      <c r="S105" s="47" t="s">
        <v>7201</v>
      </c>
      <c r="T105" s="47" t="s">
        <v>7206</v>
      </c>
    </row>
    <row r="106" spans="1:21" x14ac:dyDescent="0.2">
      <c r="A106" s="47" t="s">
        <v>29</v>
      </c>
      <c r="D106" s="47" t="s">
        <v>1367</v>
      </c>
      <c r="G106" s="47" t="s">
        <v>8638</v>
      </c>
      <c r="H106" s="47" t="s">
        <v>1368</v>
      </c>
      <c r="I106" s="47" t="s">
        <v>1369</v>
      </c>
      <c r="J106" s="47" t="s">
        <v>1370</v>
      </c>
      <c r="K106" s="47" t="s">
        <v>1371</v>
      </c>
      <c r="L106" s="47" t="s">
        <v>1372</v>
      </c>
      <c r="M106" s="47" t="s">
        <v>1373</v>
      </c>
      <c r="N106" s="47" t="s">
        <v>1374</v>
      </c>
      <c r="O106" s="47" t="s">
        <v>2122</v>
      </c>
      <c r="P106" s="47" t="s">
        <v>2123</v>
      </c>
      <c r="Q106" s="47" t="s">
        <v>2124</v>
      </c>
      <c r="R106" s="47" t="s">
        <v>2125</v>
      </c>
      <c r="S106" s="47" t="s">
        <v>2126</v>
      </c>
      <c r="T106" s="47" t="s">
        <v>2127</v>
      </c>
    </row>
    <row r="107" spans="1:21" x14ac:dyDescent="0.2">
      <c r="A107" s="47" t="s">
        <v>29</v>
      </c>
    </row>
    <row r="108" spans="1:21" x14ac:dyDescent="0.2">
      <c r="A108" s="47" t="s">
        <v>29</v>
      </c>
      <c r="E108" s="47" t="s">
        <v>30</v>
      </c>
      <c r="F108" s="47" t="s">
        <v>30</v>
      </c>
      <c r="G108" s="47" t="s">
        <v>30</v>
      </c>
      <c r="J108" s="47" t="s">
        <v>30</v>
      </c>
      <c r="K108" s="47" t="s">
        <v>30</v>
      </c>
      <c r="L108" s="47" t="s">
        <v>30</v>
      </c>
      <c r="M108" s="47" t="s">
        <v>30</v>
      </c>
    </row>
    <row r="109" spans="1:21" x14ac:dyDescent="0.2">
      <c r="A109" s="47" t="s">
        <v>29</v>
      </c>
      <c r="D109" s="47" t="s">
        <v>4943</v>
      </c>
      <c r="E109" s="47" t="s">
        <v>3063</v>
      </c>
      <c r="F109" s="47" t="s">
        <v>4944</v>
      </c>
      <c r="H109" s="47" t="s">
        <v>4945</v>
      </c>
      <c r="O109" s="47" t="s">
        <v>8280</v>
      </c>
      <c r="P109" s="47" t="s">
        <v>8281</v>
      </c>
      <c r="Q109" s="47" t="s">
        <v>8282</v>
      </c>
      <c r="R109" s="47" t="s">
        <v>8283</v>
      </c>
      <c r="S109" s="47" t="s">
        <v>8284</v>
      </c>
      <c r="T109" s="47" t="s">
        <v>8285</v>
      </c>
      <c r="U109" s="47" t="s">
        <v>8286</v>
      </c>
    </row>
    <row r="110" spans="1:21" x14ac:dyDescent="0.2">
      <c r="A110" s="47" t="s">
        <v>29</v>
      </c>
      <c r="D110" s="47" t="s">
        <v>1375</v>
      </c>
      <c r="G110" s="47" t="s">
        <v>6310</v>
      </c>
      <c r="H110" s="47" t="s">
        <v>1376</v>
      </c>
      <c r="I110" s="47" t="s">
        <v>1377</v>
      </c>
      <c r="J110" s="47" t="s">
        <v>1378</v>
      </c>
      <c r="K110" s="47" t="s">
        <v>1379</v>
      </c>
      <c r="L110" s="47" t="s">
        <v>1380</v>
      </c>
      <c r="M110" s="47" t="s">
        <v>1381</v>
      </c>
      <c r="N110" s="47" t="s">
        <v>1382</v>
      </c>
      <c r="O110" s="47" t="s">
        <v>5863</v>
      </c>
      <c r="P110" s="47" t="s">
        <v>5864</v>
      </c>
      <c r="Q110" s="47" t="s">
        <v>5865</v>
      </c>
      <c r="R110" s="47" t="s">
        <v>5866</v>
      </c>
      <c r="S110" s="47" t="s">
        <v>5867</v>
      </c>
      <c r="T110" s="47" t="s">
        <v>5868</v>
      </c>
    </row>
    <row r="111" spans="1:21" x14ac:dyDescent="0.2">
      <c r="A111" s="47" t="s">
        <v>29</v>
      </c>
      <c r="D111" s="47" t="s">
        <v>1801</v>
      </c>
      <c r="G111" s="47" t="s">
        <v>8639</v>
      </c>
      <c r="H111" s="47" t="s">
        <v>1802</v>
      </c>
      <c r="I111" s="47" t="s">
        <v>1803</v>
      </c>
      <c r="J111" s="47" t="s">
        <v>1804</v>
      </c>
      <c r="K111" s="47" t="s">
        <v>1805</v>
      </c>
      <c r="L111" s="47" t="s">
        <v>1806</v>
      </c>
      <c r="M111" s="47" t="s">
        <v>1807</v>
      </c>
      <c r="N111" s="47" t="s">
        <v>1808</v>
      </c>
      <c r="O111" s="47" t="s">
        <v>7165</v>
      </c>
      <c r="P111" s="47" t="s">
        <v>7167</v>
      </c>
      <c r="Q111" s="47" t="s">
        <v>7169</v>
      </c>
      <c r="R111" s="47" t="s">
        <v>7171</v>
      </c>
      <c r="S111" s="47" t="s">
        <v>7173</v>
      </c>
      <c r="T111" s="47" t="s">
        <v>7175</v>
      </c>
    </row>
    <row r="112" spans="1:21" x14ac:dyDescent="0.2">
      <c r="A112" s="47" t="s">
        <v>29</v>
      </c>
    </row>
    <row r="113" spans="1:21" x14ac:dyDescent="0.2">
      <c r="A113" s="47" t="s">
        <v>29</v>
      </c>
      <c r="E113" s="47" t="s">
        <v>30</v>
      </c>
      <c r="F113" s="47" t="s">
        <v>30</v>
      </c>
      <c r="G113" s="47" t="s">
        <v>30</v>
      </c>
      <c r="J113" s="47" t="s">
        <v>30</v>
      </c>
      <c r="K113" s="47" t="s">
        <v>30</v>
      </c>
      <c r="L113" s="47" t="s">
        <v>30</v>
      </c>
      <c r="M113" s="47" t="s">
        <v>30</v>
      </c>
    </row>
    <row r="114" spans="1:21" x14ac:dyDescent="0.2">
      <c r="A114" s="47" t="s">
        <v>29</v>
      </c>
      <c r="D114" s="47" t="s">
        <v>7267</v>
      </c>
      <c r="E114" s="47" t="s">
        <v>3072</v>
      </c>
      <c r="F114" s="47" t="s">
        <v>7268</v>
      </c>
      <c r="H114" s="47" t="s">
        <v>7269</v>
      </c>
      <c r="O114" s="47" t="s">
        <v>7270</v>
      </c>
      <c r="P114" s="47" t="s">
        <v>7271</v>
      </c>
      <c r="Q114" s="47" t="s">
        <v>7272</v>
      </c>
      <c r="R114" s="47" t="s">
        <v>7273</v>
      </c>
      <c r="S114" s="47" t="s">
        <v>7274</v>
      </c>
      <c r="T114" s="47" t="s">
        <v>7275</v>
      </c>
      <c r="U114" s="47" t="s">
        <v>7276</v>
      </c>
    </row>
    <row r="115" spans="1:21" x14ac:dyDescent="0.2">
      <c r="A115" s="47" t="s">
        <v>29</v>
      </c>
      <c r="D115" s="47" t="s">
        <v>327</v>
      </c>
      <c r="G115" s="47" t="s">
        <v>10104</v>
      </c>
      <c r="H115" s="47" t="s">
        <v>328</v>
      </c>
      <c r="I115" s="47" t="s">
        <v>329</v>
      </c>
      <c r="J115" s="47" t="s">
        <v>330</v>
      </c>
      <c r="K115" s="47" t="s">
        <v>331</v>
      </c>
      <c r="L115" s="47" t="s">
        <v>332</v>
      </c>
      <c r="M115" s="47" t="s">
        <v>333</v>
      </c>
      <c r="N115" s="47" t="s">
        <v>334</v>
      </c>
      <c r="O115" s="47" t="s">
        <v>2819</v>
      </c>
      <c r="P115" s="47" t="s">
        <v>2820</v>
      </c>
      <c r="Q115" s="47" t="s">
        <v>2821</v>
      </c>
      <c r="R115" s="47" t="s">
        <v>2822</v>
      </c>
      <c r="S115" s="47" t="s">
        <v>2823</v>
      </c>
      <c r="T115" s="47" t="s">
        <v>2824</v>
      </c>
    </row>
    <row r="116" spans="1:21" x14ac:dyDescent="0.2">
      <c r="A116" s="47" t="s">
        <v>29</v>
      </c>
      <c r="D116" s="47" t="s">
        <v>1978</v>
      </c>
      <c r="G116" s="47" t="s">
        <v>8644</v>
      </c>
      <c r="H116" s="47" t="s">
        <v>1979</v>
      </c>
      <c r="I116" s="47" t="s">
        <v>1980</v>
      </c>
      <c r="J116" s="47" t="s">
        <v>1981</v>
      </c>
      <c r="K116" s="47" t="s">
        <v>1982</v>
      </c>
      <c r="L116" s="47" t="s">
        <v>1983</v>
      </c>
      <c r="M116" s="47" t="s">
        <v>1984</v>
      </c>
      <c r="N116" s="47" t="s">
        <v>1985</v>
      </c>
      <c r="O116" s="47" t="s">
        <v>2128</v>
      </c>
      <c r="P116" s="47" t="s">
        <v>2129</v>
      </c>
      <c r="Q116" s="47" t="s">
        <v>2130</v>
      </c>
      <c r="R116" s="47" t="s">
        <v>2131</v>
      </c>
      <c r="S116" s="47" t="s">
        <v>2132</v>
      </c>
      <c r="T116" s="47" t="s">
        <v>2133</v>
      </c>
    </row>
    <row r="117" spans="1:21" x14ac:dyDescent="0.2">
      <c r="A117" s="47" t="s">
        <v>29</v>
      </c>
      <c r="D117" s="47" t="s">
        <v>1235</v>
      </c>
      <c r="G117" s="47" t="s">
        <v>8645</v>
      </c>
      <c r="H117" s="47" t="s">
        <v>1236</v>
      </c>
      <c r="I117" s="47" t="s">
        <v>1237</v>
      </c>
      <c r="J117" s="47" t="s">
        <v>1238</v>
      </c>
      <c r="K117" s="47" t="s">
        <v>1239</v>
      </c>
      <c r="L117" s="47" t="s">
        <v>1240</v>
      </c>
      <c r="M117" s="47" t="s">
        <v>1241</v>
      </c>
      <c r="N117" s="47" t="s">
        <v>1242</v>
      </c>
      <c r="O117" s="47" t="s">
        <v>2134</v>
      </c>
      <c r="P117" s="47" t="s">
        <v>2135</v>
      </c>
      <c r="Q117" s="47" t="s">
        <v>2136</v>
      </c>
      <c r="R117" s="47" t="s">
        <v>2137</v>
      </c>
      <c r="S117" s="47" t="s">
        <v>2138</v>
      </c>
      <c r="T117" s="47" t="s">
        <v>2139</v>
      </c>
    </row>
    <row r="118" spans="1:21" x14ac:dyDescent="0.2">
      <c r="A118" s="47" t="s">
        <v>29</v>
      </c>
    </row>
    <row r="119" spans="1:21" x14ac:dyDescent="0.2">
      <c r="A119" s="47" t="s">
        <v>29</v>
      </c>
      <c r="E119" s="47" t="s">
        <v>30</v>
      </c>
      <c r="F119" s="47" t="s">
        <v>30</v>
      </c>
      <c r="G119" s="47" t="s">
        <v>30</v>
      </c>
      <c r="J119" s="47" t="s">
        <v>30</v>
      </c>
      <c r="K119" s="47" t="s">
        <v>30</v>
      </c>
      <c r="L119" s="47" t="s">
        <v>30</v>
      </c>
      <c r="M119" s="47" t="s">
        <v>30</v>
      </c>
    </row>
    <row r="120" spans="1:21" x14ac:dyDescent="0.2">
      <c r="A120" s="47" t="s">
        <v>29</v>
      </c>
      <c r="D120" s="47" t="s">
        <v>4367</v>
      </c>
      <c r="E120" s="47" t="s">
        <v>3081</v>
      </c>
      <c r="F120" s="47" t="s">
        <v>4368</v>
      </c>
      <c r="H120" s="47" t="s">
        <v>4369</v>
      </c>
      <c r="O120" s="47" t="s">
        <v>10105</v>
      </c>
      <c r="P120" s="47" t="s">
        <v>10106</v>
      </c>
      <c r="Q120" s="47" t="s">
        <v>10107</v>
      </c>
      <c r="R120" s="47" t="s">
        <v>10108</v>
      </c>
      <c r="S120" s="47" t="s">
        <v>10109</v>
      </c>
      <c r="T120" s="47" t="s">
        <v>10110</v>
      </c>
      <c r="U120" s="47" t="s">
        <v>10111</v>
      </c>
    </row>
    <row r="121" spans="1:21" x14ac:dyDescent="0.2">
      <c r="A121" s="47" t="s">
        <v>29</v>
      </c>
      <c r="D121" s="47" t="s">
        <v>351</v>
      </c>
      <c r="G121" s="47" t="s">
        <v>10112</v>
      </c>
      <c r="H121" s="47" t="s">
        <v>352</v>
      </c>
      <c r="I121" s="47" t="s">
        <v>353</v>
      </c>
      <c r="J121" s="47" t="s">
        <v>354</v>
      </c>
      <c r="K121" s="47" t="s">
        <v>355</v>
      </c>
      <c r="L121" s="47" t="s">
        <v>356</v>
      </c>
      <c r="M121" s="47" t="s">
        <v>357</v>
      </c>
      <c r="N121" s="47" t="s">
        <v>358</v>
      </c>
      <c r="O121" s="47" t="s">
        <v>7166</v>
      </c>
      <c r="P121" s="47" t="s">
        <v>7168</v>
      </c>
      <c r="Q121" s="47" t="s">
        <v>7170</v>
      </c>
      <c r="R121" s="47" t="s">
        <v>7172</v>
      </c>
      <c r="S121" s="47" t="s">
        <v>7174</v>
      </c>
      <c r="T121" s="47" t="s">
        <v>7176</v>
      </c>
    </row>
    <row r="122" spans="1:21" x14ac:dyDescent="0.2">
      <c r="A122" s="47" t="s">
        <v>29</v>
      </c>
      <c r="D122" s="47" t="s">
        <v>359</v>
      </c>
      <c r="G122" s="47" t="s">
        <v>8646</v>
      </c>
      <c r="H122" s="47" t="s">
        <v>360</v>
      </c>
      <c r="I122" s="47" t="s">
        <v>361</v>
      </c>
      <c r="J122" s="47" t="s">
        <v>362</v>
      </c>
      <c r="K122" s="47" t="s">
        <v>363</v>
      </c>
      <c r="L122" s="47" t="s">
        <v>364</v>
      </c>
      <c r="M122" s="47" t="s">
        <v>365</v>
      </c>
      <c r="N122" s="47" t="s">
        <v>366</v>
      </c>
      <c r="O122" s="47" t="s">
        <v>3017</v>
      </c>
      <c r="P122" s="47" t="s">
        <v>3018</v>
      </c>
      <c r="Q122" s="47" t="s">
        <v>3019</v>
      </c>
      <c r="R122" s="47" t="s">
        <v>3020</v>
      </c>
      <c r="S122" s="47" t="s">
        <v>3021</v>
      </c>
      <c r="T122" s="47" t="s">
        <v>3022</v>
      </c>
    </row>
    <row r="123" spans="1:21" x14ac:dyDescent="0.2">
      <c r="A123" s="47" t="s">
        <v>29</v>
      </c>
      <c r="D123" s="47" t="s">
        <v>367</v>
      </c>
      <c r="G123" s="47" t="s">
        <v>8647</v>
      </c>
      <c r="H123" s="47" t="s">
        <v>368</v>
      </c>
      <c r="I123" s="47" t="s">
        <v>369</v>
      </c>
      <c r="J123" s="47" t="s">
        <v>370</v>
      </c>
      <c r="K123" s="47" t="s">
        <v>371</v>
      </c>
      <c r="L123" s="47" t="s">
        <v>372</v>
      </c>
      <c r="M123" s="47" t="s">
        <v>373</v>
      </c>
      <c r="N123" s="47" t="s">
        <v>374</v>
      </c>
      <c r="O123" s="47" t="s">
        <v>3023</v>
      </c>
      <c r="P123" s="47" t="s">
        <v>3024</v>
      </c>
      <c r="Q123" s="47" t="s">
        <v>3025</v>
      </c>
      <c r="R123" s="47" t="s">
        <v>3026</v>
      </c>
      <c r="S123" s="47" t="s">
        <v>3027</v>
      </c>
      <c r="T123" s="47" t="s">
        <v>3028</v>
      </c>
    </row>
    <row r="124" spans="1:21" x14ac:dyDescent="0.2">
      <c r="A124" s="47" t="s">
        <v>29</v>
      </c>
      <c r="D124" s="47" t="s">
        <v>375</v>
      </c>
      <c r="G124" s="47" t="s">
        <v>8648</v>
      </c>
      <c r="H124" s="47" t="s">
        <v>376</v>
      </c>
      <c r="I124" s="47" t="s">
        <v>377</v>
      </c>
      <c r="J124" s="47" t="s">
        <v>378</v>
      </c>
      <c r="K124" s="47" t="s">
        <v>379</v>
      </c>
      <c r="L124" s="47" t="s">
        <v>380</v>
      </c>
      <c r="M124" s="47" t="s">
        <v>381</v>
      </c>
      <c r="N124" s="47" t="s">
        <v>382</v>
      </c>
      <c r="O124" s="47" t="s">
        <v>2140</v>
      </c>
      <c r="P124" s="47" t="s">
        <v>2141</v>
      </c>
      <c r="Q124" s="47" t="s">
        <v>2142</v>
      </c>
      <c r="R124" s="47" t="s">
        <v>2143</v>
      </c>
      <c r="S124" s="47" t="s">
        <v>2144</v>
      </c>
      <c r="T124" s="47" t="s">
        <v>2145</v>
      </c>
    </row>
    <row r="125" spans="1:21" x14ac:dyDescent="0.2">
      <c r="A125" s="47" t="s">
        <v>29</v>
      </c>
    </row>
    <row r="126" spans="1:21" x14ac:dyDescent="0.2">
      <c r="A126" s="47" t="s">
        <v>29</v>
      </c>
      <c r="E126" s="47" t="s">
        <v>30</v>
      </c>
      <c r="F126" s="47" t="s">
        <v>30</v>
      </c>
      <c r="G126" s="47" t="s">
        <v>30</v>
      </c>
      <c r="J126" s="47" t="s">
        <v>30</v>
      </c>
      <c r="K126" s="47" t="s">
        <v>30</v>
      </c>
      <c r="L126" s="47" t="s">
        <v>30</v>
      </c>
      <c r="M126" s="47" t="s">
        <v>30</v>
      </c>
    </row>
    <row r="127" spans="1:21" x14ac:dyDescent="0.2">
      <c r="A127" s="47" t="s">
        <v>29</v>
      </c>
      <c r="D127" s="47" t="s">
        <v>1986</v>
      </c>
      <c r="E127" s="47" t="s">
        <v>3083</v>
      </c>
      <c r="F127" s="47" t="s">
        <v>1987</v>
      </c>
      <c r="H127" s="47" t="s">
        <v>1988</v>
      </c>
      <c r="O127" s="47" t="s">
        <v>8287</v>
      </c>
      <c r="P127" s="47" t="s">
        <v>8288</v>
      </c>
      <c r="Q127" s="47" t="s">
        <v>8289</v>
      </c>
      <c r="R127" s="47" t="s">
        <v>8290</v>
      </c>
      <c r="S127" s="47" t="s">
        <v>8291</v>
      </c>
      <c r="T127" s="47" t="s">
        <v>8292</v>
      </c>
      <c r="U127" s="47" t="s">
        <v>8293</v>
      </c>
    </row>
    <row r="128" spans="1:21" x14ac:dyDescent="0.2">
      <c r="A128" s="47" t="s">
        <v>29</v>
      </c>
      <c r="D128" s="47" t="s">
        <v>1410</v>
      </c>
      <c r="G128" s="47" t="s">
        <v>6311</v>
      </c>
      <c r="H128" s="47" t="s">
        <v>1411</v>
      </c>
      <c r="I128" s="47" t="s">
        <v>1412</v>
      </c>
      <c r="J128" s="47" t="s">
        <v>1413</v>
      </c>
      <c r="K128" s="47" t="s">
        <v>1414</v>
      </c>
      <c r="L128" s="47" t="s">
        <v>1415</v>
      </c>
      <c r="M128" s="47" t="s">
        <v>1416</v>
      </c>
      <c r="N128" s="47" t="s">
        <v>1417</v>
      </c>
      <c r="O128" s="47" t="s">
        <v>7153</v>
      </c>
      <c r="P128" s="47" t="s">
        <v>7155</v>
      </c>
      <c r="Q128" s="47" t="s">
        <v>7157</v>
      </c>
      <c r="R128" s="47" t="s">
        <v>7159</v>
      </c>
      <c r="S128" s="47" t="s">
        <v>7161</v>
      </c>
      <c r="T128" s="47" t="s">
        <v>7163</v>
      </c>
    </row>
    <row r="129" spans="1:21" x14ac:dyDescent="0.2">
      <c r="A129" s="47" t="s">
        <v>29</v>
      </c>
    </row>
    <row r="130" spans="1:21" x14ac:dyDescent="0.2">
      <c r="A130" s="47" t="s">
        <v>29</v>
      </c>
      <c r="E130" s="47" t="s">
        <v>30</v>
      </c>
      <c r="F130" s="47" t="s">
        <v>30</v>
      </c>
      <c r="G130" s="47" t="s">
        <v>30</v>
      </c>
      <c r="J130" s="47" t="s">
        <v>30</v>
      </c>
      <c r="K130" s="47" t="s">
        <v>30</v>
      </c>
      <c r="L130" s="47" t="s">
        <v>30</v>
      </c>
      <c r="M130" s="47" t="s">
        <v>30</v>
      </c>
    </row>
    <row r="131" spans="1:21" x14ac:dyDescent="0.2">
      <c r="A131" s="47" t="s">
        <v>29</v>
      </c>
      <c r="D131" s="47" t="s">
        <v>5083</v>
      </c>
      <c r="E131" s="47" t="s">
        <v>3087</v>
      </c>
      <c r="F131" s="47" t="s">
        <v>5084</v>
      </c>
      <c r="H131" s="47" t="s">
        <v>5085</v>
      </c>
      <c r="O131" s="47" t="s">
        <v>10113</v>
      </c>
      <c r="P131" s="47" t="s">
        <v>10114</v>
      </c>
      <c r="Q131" s="47" t="s">
        <v>10115</v>
      </c>
      <c r="R131" s="47" t="s">
        <v>10116</v>
      </c>
      <c r="S131" s="47" t="s">
        <v>10117</v>
      </c>
      <c r="T131" s="47" t="s">
        <v>10118</v>
      </c>
      <c r="U131" s="47" t="s">
        <v>10119</v>
      </c>
    </row>
    <row r="132" spans="1:21" x14ac:dyDescent="0.2">
      <c r="A132" s="47" t="s">
        <v>29</v>
      </c>
      <c r="D132" s="47" t="s">
        <v>407</v>
      </c>
      <c r="G132" s="47" t="s">
        <v>10120</v>
      </c>
      <c r="H132" s="47" t="s">
        <v>408</v>
      </c>
      <c r="I132" s="47" t="s">
        <v>409</v>
      </c>
      <c r="J132" s="47" t="s">
        <v>410</v>
      </c>
      <c r="K132" s="47" t="s">
        <v>411</v>
      </c>
      <c r="L132" s="47" t="s">
        <v>412</v>
      </c>
      <c r="M132" s="47" t="s">
        <v>413</v>
      </c>
      <c r="N132" s="47" t="s">
        <v>414</v>
      </c>
      <c r="O132" s="47" t="s">
        <v>3030</v>
      </c>
      <c r="P132" s="47" t="s">
        <v>3031</v>
      </c>
      <c r="Q132" s="47" t="s">
        <v>3032</v>
      </c>
      <c r="R132" s="47" t="s">
        <v>3033</v>
      </c>
      <c r="S132" s="47" t="s">
        <v>3034</v>
      </c>
      <c r="T132" s="47" t="s">
        <v>3035</v>
      </c>
    </row>
    <row r="133" spans="1:21" x14ac:dyDescent="0.2">
      <c r="A133" s="47" t="s">
        <v>29</v>
      </c>
      <c r="D133" s="47" t="s">
        <v>1243</v>
      </c>
      <c r="G133" s="47" t="s">
        <v>8649</v>
      </c>
      <c r="H133" s="47" t="s">
        <v>1244</v>
      </c>
      <c r="I133" s="47" t="s">
        <v>1245</v>
      </c>
      <c r="J133" s="47" t="s">
        <v>1246</v>
      </c>
      <c r="K133" s="47" t="s">
        <v>1247</v>
      </c>
      <c r="L133" s="47" t="s">
        <v>1248</v>
      </c>
      <c r="M133" s="47" t="s">
        <v>1249</v>
      </c>
      <c r="N133" s="47" t="s">
        <v>1250</v>
      </c>
      <c r="O133" s="47" t="s">
        <v>3036</v>
      </c>
      <c r="P133" s="47" t="s">
        <v>3037</v>
      </c>
      <c r="Q133" s="47" t="s">
        <v>3038</v>
      </c>
      <c r="R133" s="47" t="s">
        <v>3039</v>
      </c>
      <c r="S133" s="47" t="s">
        <v>3040</v>
      </c>
      <c r="T133" s="47" t="s">
        <v>3041</v>
      </c>
    </row>
    <row r="134" spans="1:21" x14ac:dyDescent="0.2">
      <c r="A134" s="47" t="s">
        <v>29</v>
      </c>
      <c r="D134" s="47" t="s">
        <v>1879</v>
      </c>
      <c r="G134" s="47" t="s">
        <v>8650</v>
      </c>
      <c r="H134" s="47" t="s">
        <v>1880</v>
      </c>
      <c r="I134" s="47" t="s">
        <v>1881</v>
      </c>
      <c r="J134" s="47" t="s">
        <v>1882</v>
      </c>
      <c r="K134" s="47" t="s">
        <v>1883</v>
      </c>
      <c r="L134" s="47" t="s">
        <v>1884</v>
      </c>
      <c r="M134" s="47" t="s">
        <v>1885</v>
      </c>
      <c r="N134" s="47" t="s">
        <v>1886</v>
      </c>
      <c r="O134" s="47" t="s">
        <v>3042</v>
      </c>
      <c r="P134" s="47" t="s">
        <v>3043</v>
      </c>
      <c r="Q134" s="47" t="s">
        <v>3044</v>
      </c>
      <c r="R134" s="47" t="s">
        <v>3045</v>
      </c>
      <c r="S134" s="47" t="s">
        <v>3046</v>
      </c>
      <c r="T134" s="47" t="s">
        <v>3047</v>
      </c>
    </row>
    <row r="135" spans="1:21" x14ac:dyDescent="0.2">
      <c r="A135" s="47" t="s">
        <v>29</v>
      </c>
      <c r="D135" s="47" t="s">
        <v>1887</v>
      </c>
      <c r="G135" s="47" t="s">
        <v>8651</v>
      </c>
      <c r="H135" s="47" t="s">
        <v>1888</v>
      </c>
      <c r="I135" s="47" t="s">
        <v>1889</v>
      </c>
      <c r="J135" s="47" t="s">
        <v>1890</v>
      </c>
      <c r="K135" s="47" t="s">
        <v>1891</v>
      </c>
      <c r="L135" s="47" t="s">
        <v>1892</v>
      </c>
      <c r="M135" s="47" t="s">
        <v>1893</v>
      </c>
      <c r="N135" s="47" t="s">
        <v>1894</v>
      </c>
      <c r="O135" s="47" t="s">
        <v>5849</v>
      </c>
      <c r="P135" s="47" t="s">
        <v>5851</v>
      </c>
      <c r="Q135" s="47" t="s">
        <v>5853</v>
      </c>
      <c r="R135" s="47" t="s">
        <v>5855</v>
      </c>
      <c r="S135" s="47" t="s">
        <v>5857</v>
      </c>
      <c r="T135" s="47" t="s">
        <v>5859</v>
      </c>
    </row>
    <row r="136" spans="1:21" x14ac:dyDescent="0.2">
      <c r="A136" s="47" t="s">
        <v>29</v>
      </c>
      <c r="D136" s="47" t="s">
        <v>415</v>
      </c>
      <c r="G136" s="47" t="s">
        <v>8652</v>
      </c>
      <c r="H136" s="47" t="s">
        <v>416</v>
      </c>
      <c r="I136" s="47" t="s">
        <v>417</v>
      </c>
      <c r="J136" s="47" t="s">
        <v>418</v>
      </c>
      <c r="K136" s="47" t="s">
        <v>419</v>
      </c>
      <c r="L136" s="47" t="s">
        <v>420</v>
      </c>
      <c r="M136" s="47" t="s">
        <v>421</v>
      </c>
      <c r="N136" s="47" t="s">
        <v>422</v>
      </c>
      <c r="O136" s="47" t="s">
        <v>5850</v>
      </c>
      <c r="P136" s="47" t="s">
        <v>5852</v>
      </c>
      <c r="Q136" s="47" t="s">
        <v>5854</v>
      </c>
      <c r="R136" s="47" t="s">
        <v>5856</v>
      </c>
      <c r="S136" s="47" t="s">
        <v>5858</v>
      </c>
      <c r="T136" s="47" t="s">
        <v>5860</v>
      </c>
    </row>
    <row r="137" spans="1:21" x14ac:dyDescent="0.2">
      <c r="A137" s="47" t="s">
        <v>29</v>
      </c>
      <c r="D137" s="47" t="s">
        <v>423</v>
      </c>
      <c r="G137" s="47" t="s">
        <v>8653</v>
      </c>
      <c r="H137" s="47" t="s">
        <v>424</v>
      </c>
      <c r="I137" s="47" t="s">
        <v>425</v>
      </c>
      <c r="J137" s="47" t="s">
        <v>426</v>
      </c>
      <c r="K137" s="47" t="s">
        <v>427</v>
      </c>
      <c r="L137" s="47" t="s">
        <v>428</v>
      </c>
      <c r="M137" s="47" t="s">
        <v>429</v>
      </c>
      <c r="N137" s="47" t="s">
        <v>430</v>
      </c>
      <c r="O137" s="47" t="s">
        <v>7154</v>
      </c>
      <c r="P137" s="47" t="s">
        <v>7156</v>
      </c>
      <c r="Q137" s="47" t="s">
        <v>7158</v>
      </c>
      <c r="R137" s="47" t="s">
        <v>7160</v>
      </c>
      <c r="S137" s="47" t="s">
        <v>7162</v>
      </c>
      <c r="T137" s="47" t="s">
        <v>7164</v>
      </c>
    </row>
    <row r="138" spans="1:21" x14ac:dyDescent="0.2">
      <c r="A138" s="47" t="s">
        <v>29</v>
      </c>
    </row>
    <row r="139" spans="1:21" x14ac:dyDescent="0.2">
      <c r="A139" s="47" t="s">
        <v>29</v>
      </c>
      <c r="E139" s="47" t="s">
        <v>30</v>
      </c>
      <c r="F139" s="47" t="s">
        <v>30</v>
      </c>
      <c r="G139" s="47" t="s">
        <v>30</v>
      </c>
      <c r="J139" s="47" t="s">
        <v>30</v>
      </c>
      <c r="K139" s="47" t="s">
        <v>30</v>
      </c>
      <c r="L139" s="47" t="s">
        <v>30</v>
      </c>
      <c r="M139" s="47" t="s">
        <v>30</v>
      </c>
    </row>
    <row r="140" spans="1:21" x14ac:dyDescent="0.2">
      <c r="A140" s="47" t="s">
        <v>29</v>
      </c>
      <c r="D140" s="47" t="s">
        <v>4376</v>
      </c>
      <c r="E140" s="47" t="s">
        <v>3090</v>
      </c>
      <c r="F140" s="47" t="s">
        <v>4377</v>
      </c>
      <c r="H140" s="47" t="s">
        <v>4378</v>
      </c>
      <c r="O140" s="47" t="s">
        <v>10121</v>
      </c>
      <c r="P140" s="47" t="s">
        <v>10122</v>
      </c>
      <c r="Q140" s="47" t="s">
        <v>10123</v>
      </c>
      <c r="R140" s="47" t="s">
        <v>10124</v>
      </c>
      <c r="S140" s="47" t="s">
        <v>10125</v>
      </c>
      <c r="T140" s="47" t="s">
        <v>10126</v>
      </c>
      <c r="U140" s="47" t="s">
        <v>10127</v>
      </c>
    </row>
    <row r="141" spans="1:21" x14ac:dyDescent="0.2">
      <c r="A141" s="47" t="s">
        <v>29</v>
      </c>
      <c r="D141" s="47" t="s">
        <v>1418</v>
      </c>
      <c r="G141" s="47" t="s">
        <v>6312</v>
      </c>
      <c r="H141" s="47" t="s">
        <v>1419</v>
      </c>
      <c r="I141" s="47" t="s">
        <v>1420</v>
      </c>
      <c r="J141" s="47" t="s">
        <v>1421</v>
      </c>
      <c r="K141" s="47" t="s">
        <v>1422</v>
      </c>
      <c r="L141" s="47" t="s">
        <v>1423</v>
      </c>
      <c r="M141" s="47" t="s">
        <v>1424</v>
      </c>
      <c r="N141" s="47" t="s">
        <v>1425</v>
      </c>
      <c r="O141" s="47" t="s">
        <v>3049</v>
      </c>
      <c r="P141" s="47" t="s">
        <v>3050</v>
      </c>
      <c r="Q141" s="47" t="s">
        <v>3051</v>
      </c>
      <c r="R141" s="47" t="s">
        <v>3052</v>
      </c>
      <c r="S141" s="47" t="s">
        <v>3053</v>
      </c>
      <c r="T141" s="47" t="s">
        <v>3054</v>
      </c>
    </row>
    <row r="142" spans="1:21" x14ac:dyDescent="0.2">
      <c r="A142" s="47" t="s">
        <v>29</v>
      </c>
      <c r="D142" s="47" t="s">
        <v>1251</v>
      </c>
      <c r="G142" s="47" t="s">
        <v>8657</v>
      </c>
      <c r="H142" s="47" t="s">
        <v>1252</v>
      </c>
      <c r="I142" s="47" t="s">
        <v>1253</v>
      </c>
      <c r="J142" s="47" t="s">
        <v>1254</v>
      </c>
      <c r="K142" s="47" t="s">
        <v>1255</v>
      </c>
      <c r="L142" s="47" t="s">
        <v>1256</v>
      </c>
      <c r="M142" s="47" t="s">
        <v>1257</v>
      </c>
      <c r="N142" s="47" t="s">
        <v>1258</v>
      </c>
      <c r="O142" s="47" t="s">
        <v>3055</v>
      </c>
      <c r="P142" s="47" t="s">
        <v>3056</v>
      </c>
      <c r="Q142" s="47" t="s">
        <v>3057</v>
      </c>
      <c r="R142" s="47" t="s">
        <v>3058</v>
      </c>
      <c r="S142" s="47" t="s">
        <v>3059</v>
      </c>
      <c r="T142" s="47" t="s">
        <v>3060</v>
      </c>
    </row>
    <row r="143" spans="1:21" x14ac:dyDescent="0.2">
      <c r="A143" s="47" t="s">
        <v>29</v>
      </c>
      <c r="D143" s="47" t="s">
        <v>1667</v>
      </c>
      <c r="G143" s="47" t="s">
        <v>8658</v>
      </c>
      <c r="H143" s="47" t="s">
        <v>1668</v>
      </c>
      <c r="I143" s="47" t="s">
        <v>1669</v>
      </c>
      <c r="J143" s="47" t="s">
        <v>1670</v>
      </c>
      <c r="K143" s="47" t="s">
        <v>1671</v>
      </c>
      <c r="L143" s="47" t="s">
        <v>1672</v>
      </c>
      <c r="M143" s="47" t="s">
        <v>1673</v>
      </c>
      <c r="N143" s="47" t="s">
        <v>1674</v>
      </c>
      <c r="O143" s="47" t="s">
        <v>5843</v>
      </c>
      <c r="P143" s="47" t="s">
        <v>5844</v>
      </c>
      <c r="Q143" s="47" t="s">
        <v>5845</v>
      </c>
      <c r="R143" s="47" t="s">
        <v>5846</v>
      </c>
      <c r="S143" s="47" t="s">
        <v>5847</v>
      </c>
      <c r="T143" s="47" t="s">
        <v>5848</v>
      </c>
    </row>
    <row r="144" spans="1:21" x14ac:dyDescent="0.2">
      <c r="A144" s="47" t="s">
        <v>29</v>
      </c>
    </row>
    <row r="145" spans="1:21" x14ac:dyDescent="0.2">
      <c r="A145" s="47" t="s">
        <v>29</v>
      </c>
      <c r="E145" s="47" t="s">
        <v>30</v>
      </c>
      <c r="F145" s="47" t="s">
        <v>30</v>
      </c>
      <c r="G145" s="47" t="s">
        <v>30</v>
      </c>
      <c r="J145" s="47" t="s">
        <v>30</v>
      </c>
      <c r="K145" s="47" t="s">
        <v>30</v>
      </c>
      <c r="L145" s="47" t="s">
        <v>30</v>
      </c>
      <c r="M145" s="47" t="s">
        <v>30</v>
      </c>
    </row>
    <row r="146" spans="1:21" x14ac:dyDescent="0.2">
      <c r="A146" s="47" t="s">
        <v>29</v>
      </c>
      <c r="D146" s="47" t="s">
        <v>7288</v>
      </c>
      <c r="E146" s="47" t="s">
        <v>3107</v>
      </c>
      <c r="F146" s="47" t="s">
        <v>7289</v>
      </c>
      <c r="H146" s="47" t="s">
        <v>7290</v>
      </c>
      <c r="O146" s="47" t="s">
        <v>7291</v>
      </c>
      <c r="P146" s="47" t="s">
        <v>7292</v>
      </c>
      <c r="Q146" s="47" t="s">
        <v>7293</v>
      </c>
      <c r="R146" s="47" t="s">
        <v>7294</v>
      </c>
      <c r="S146" s="47" t="s">
        <v>7295</v>
      </c>
      <c r="T146" s="47" t="s">
        <v>7296</v>
      </c>
      <c r="U146" s="47" t="s">
        <v>7297</v>
      </c>
    </row>
    <row r="147" spans="1:21" x14ac:dyDescent="0.2">
      <c r="A147" s="47" t="s">
        <v>29</v>
      </c>
      <c r="D147" s="47" t="s">
        <v>6313</v>
      </c>
      <c r="G147" s="47" t="s">
        <v>10128</v>
      </c>
      <c r="H147" s="47" t="s">
        <v>7137</v>
      </c>
      <c r="I147" s="47" t="s">
        <v>7138</v>
      </c>
      <c r="J147" s="47" t="s">
        <v>7151</v>
      </c>
      <c r="K147" s="47" t="s">
        <v>7152</v>
      </c>
      <c r="L147" s="47" t="s">
        <v>6314</v>
      </c>
      <c r="M147" s="47" t="s">
        <v>6315</v>
      </c>
      <c r="N147" s="47" t="s">
        <v>6316</v>
      </c>
      <c r="O147" s="47" t="s">
        <v>7139</v>
      </c>
      <c r="P147" s="47" t="s">
        <v>7141</v>
      </c>
      <c r="Q147" s="47" t="s">
        <v>7143</v>
      </c>
      <c r="R147" s="47" t="s">
        <v>7145</v>
      </c>
      <c r="S147" s="47" t="s">
        <v>7147</v>
      </c>
      <c r="T147" s="47" t="s">
        <v>7149</v>
      </c>
    </row>
    <row r="148" spans="1:21" x14ac:dyDescent="0.2">
      <c r="A148" s="47" t="s">
        <v>29</v>
      </c>
      <c r="D148" s="47" t="s">
        <v>455</v>
      </c>
      <c r="G148" s="47" t="s">
        <v>8660</v>
      </c>
      <c r="H148" s="47" t="s">
        <v>456</v>
      </c>
      <c r="I148" s="47" t="s">
        <v>457</v>
      </c>
      <c r="J148" s="47" t="s">
        <v>458</v>
      </c>
      <c r="K148" s="47" t="s">
        <v>459</v>
      </c>
      <c r="L148" s="47" t="s">
        <v>460</v>
      </c>
      <c r="M148" s="47" t="s">
        <v>461</v>
      </c>
      <c r="N148" s="47" t="s">
        <v>462</v>
      </c>
      <c r="O148" s="47" t="s">
        <v>7140</v>
      </c>
      <c r="P148" s="47" t="s">
        <v>7142</v>
      </c>
      <c r="Q148" s="47" t="s">
        <v>7144</v>
      </c>
      <c r="R148" s="47" t="s">
        <v>7146</v>
      </c>
      <c r="S148" s="47" t="s">
        <v>7148</v>
      </c>
      <c r="T148" s="47" t="s">
        <v>7150</v>
      </c>
    </row>
    <row r="149" spans="1:21" x14ac:dyDescent="0.2">
      <c r="A149" s="47" t="s">
        <v>29</v>
      </c>
    </row>
    <row r="150" spans="1:21" x14ac:dyDescent="0.2">
      <c r="A150" s="47" t="s">
        <v>29</v>
      </c>
      <c r="E150" s="47" t="s">
        <v>30</v>
      </c>
      <c r="F150" s="47" t="s">
        <v>30</v>
      </c>
      <c r="G150" s="47" t="s">
        <v>30</v>
      </c>
      <c r="J150" s="47" t="s">
        <v>30</v>
      </c>
      <c r="K150" s="47" t="s">
        <v>30</v>
      </c>
      <c r="L150" s="47" t="s">
        <v>30</v>
      </c>
      <c r="M150" s="47" t="s">
        <v>30</v>
      </c>
    </row>
    <row r="151" spans="1:21" x14ac:dyDescent="0.2">
      <c r="A151" s="47" t="s">
        <v>29</v>
      </c>
      <c r="D151" s="47" t="s">
        <v>7305</v>
      </c>
      <c r="E151" s="47" t="s">
        <v>3109</v>
      </c>
      <c r="F151" s="47" t="s">
        <v>7306</v>
      </c>
      <c r="H151" s="47" t="s">
        <v>7307</v>
      </c>
      <c r="O151" s="47" t="s">
        <v>10129</v>
      </c>
      <c r="P151" s="47" t="s">
        <v>10130</v>
      </c>
      <c r="Q151" s="47" t="s">
        <v>10131</v>
      </c>
      <c r="R151" s="47" t="s">
        <v>10132</v>
      </c>
      <c r="S151" s="47" t="s">
        <v>10133</v>
      </c>
      <c r="T151" s="47" t="s">
        <v>10134</v>
      </c>
      <c r="U151" s="47" t="s">
        <v>10135</v>
      </c>
    </row>
    <row r="152" spans="1:21" x14ac:dyDescent="0.2">
      <c r="A152" s="47" t="s">
        <v>29</v>
      </c>
      <c r="D152" s="47" t="s">
        <v>487</v>
      </c>
      <c r="G152" s="47" t="s">
        <v>10136</v>
      </c>
      <c r="H152" s="47" t="s">
        <v>488</v>
      </c>
      <c r="I152" s="47" t="s">
        <v>489</v>
      </c>
      <c r="J152" s="47" t="s">
        <v>490</v>
      </c>
      <c r="K152" s="47" t="s">
        <v>491</v>
      </c>
      <c r="L152" s="47" t="s">
        <v>492</v>
      </c>
      <c r="M152" s="47" t="s">
        <v>493</v>
      </c>
      <c r="N152" s="47" t="s">
        <v>494</v>
      </c>
      <c r="O152" s="47" t="s">
        <v>9050</v>
      </c>
      <c r="P152" s="47" t="s">
        <v>9052</v>
      </c>
      <c r="Q152" s="47" t="s">
        <v>9054</v>
      </c>
      <c r="R152" s="47" t="s">
        <v>9056</v>
      </c>
      <c r="S152" s="47" t="s">
        <v>9058</v>
      </c>
      <c r="T152" s="47" t="s">
        <v>9060</v>
      </c>
    </row>
    <row r="153" spans="1:21" x14ac:dyDescent="0.2">
      <c r="A153" s="47" t="s">
        <v>29</v>
      </c>
      <c r="D153" s="47" t="s">
        <v>495</v>
      </c>
      <c r="G153" s="47" t="s">
        <v>8661</v>
      </c>
      <c r="H153" s="47" t="s">
        <v>496</v>
      </c>
      <c r="I153" s="47" t="s">
        <v>497</v>
      </c>
      <c r="J153" s="47" t="s">
        <v>498</v>
      </c>
      <c r="K153" s="47" t="s">
        <v>499</v>
      </c>
      <c r="L153" s="47" t="s">
        <v>500</v>
      </c>
      <c r="M153" s="47" t="s">
        <v>501</v>
      </c>
      <c r="N153" s="47" t="s">
        <v>502</v>
      </c>
      <c r="O153" s="47" t="s">
        <v>9051</v>
      </c>
      <c r="P153" s="47" t="s">
        <v>9053</v>
      </c>
      <c r="Q153" s="47" t="s">
        <v>9055</v>
      </c>
      <c r="R153" s="47" t="s">
        <v>9057</v>
      </c>
      <c r="S153" s="47" t="s">
        <v>9059</v>
      </c>
      <c r="T153" s="47" t="s">
        <v>9061</v>
      </c>
    </row>
    <row r="154" spans="1:21" x14ac:dyDescent="0.2">
      <c r="A154" s="47" t="s">
        <v>29</v>
      </c>
    </row>
    <row r="155" spans="1:21" x14ac:dyDescent="0.2">
      <c r="A155" s="47" t="s">
        <v>29</v>
      </c>
      <c r="E155" s="47" t="s">
        <v>30</v>
      </c>
      <c r="F155" s="47" t="s">
        <v>30</v>
      </c>
      <c r="G155" s="47" t="s">
        <v>30</v>
      </c>
      <c r="J155" s="47" t="s">
        <v>30</v>
      </c>
      <c r="K155" s="47" t="s">
        <v>30</v>
      </c>
      <c r="L155" s="47" t="s">
        <v>30</v>
      </c>
      <c r="M155" s="47" t="s">
        <v>30</v>
      </c>
    </row>
    <row r="156" spans="1:21" x14ac:dyDescent="0.2">
      <c r="A156" s="47" t="s">
        <v>29</v>
      </c>
      <c r="D156" s="47" t="s">
        <v>9196</v>
      </c>
      <c r="E156" s="47" t="s">
        <v>3112</v>
      </c>
      <c r="F156" s="47" t="s">
        <v>9197</v>
      </c>
      <c r="H156" s="47" t="s">
        <v>9198</v>
      </c>
      <c r="O156" s="47" t="s">
        <v>10137</v>
      </c>
      <c r="P156" s="47" t="s">
        <v>10138</v>
      </c>
      <c r="Q156" s="47" t="s">
        <v>10139</v>
      </c>
      <c r="R156" s="47" t="s">
        <v>10140</v>
      </c>
      <c r="S156" s="47" t="s">
        <v>10141</v>
      </c>
      <c r="T156" s="47" t="s">
        <v>10142</v>
      </c>
      <c r="U156" s="47" t="s">
        <v>10143</v>
      </c>
    </row>
    <row r="157" spans="1:21" x14ac:dyDescent="0.2">
      <c r="A157" s="47" t="s">
        <v>29</v>
      </c>
      <c r="D157" s="47" t="s">
        <v>1426</v>
      </c>
      <c r="G157" s="47" t="s">
        <v>10144</v>
      </c>
      <c r="H157" s="47" t="s">
        <v>1427</v>
      </c>
      <c r="I157" s="47" t="s">
        <v>1428</v>
      </c>
      <c r="J157" s="47" t="s">
        <v>1429</v>
      </c>
      <c r="K157" s="47" t="s">
        <v>1430</v>
      </c>
      <c r="L157" s="47" t="s">
        <v>1431</v>
      </c>
      <c r="M157" s="47" t="s">
        <v>1432</v>
      </c>
      <c r="N157" s="47" t="s">
        <v>1433</v>
      </c>
      <c r="O157" s="47" t="s">
        <v>7123</v>
      </c>
      <c r="P157" s="47" t="s">
        <v>7125</v>
      </c>
      <c r="Q157" s="47" t="s">
        <v>7127</v>
      </c>
      <c r="R157" s="47" t="s">
        <v>7129</v>
      </c>
      <c r="S157" s="47" t="s">
        <v>7131</v>
      </c>
      <c r="T157" s="47" t="s">
        <v>7133</v>
      </c>
    </row>
    <row r="158" spans="1:21" x14ac:dyDescent="0.2">
      <c r="A158" s="47" t="s">
        <v>29</v>
      </c>
      <c r="D158" s="47" t="s">
        <v>1434</v>
      </c>
      <c r="G158" s="47" t="s">
        <v>8666</v>
      </c>
      <c r="H158" s="47" t="s">
        <v>1435</v>
      </c>
      <c r="I158" s="47" t="s">
        <v>1436</v>
      </c>
      <c r="J158" s="47" t="s">
        <v>1437</v>
      </c>
      <c r="K158" s="47" t="s">
        <v>1438</v>
      </c>
      <c r="L158" s="47" t="s">
        <v>1439</v>
      </c>
      <c r="M158" s="47" t="s">
        <v>1440</v>
      </c>
      <c r="N158" s="47" t="s">
        <v>1441</v>
      </c>
      <c r="O158" s="47" t="s">
        <v>7124</v>
      </c>
      <c r="P158" s="47" t="s">
        <v>7126</v>
      </c>
      <c r="Q158" s="47" t="s">
        <v>7128</v>
      </c>
      <c r="R158" s="47" t="s">
        <v>7130</v>
      </c>
      <c r="S158" s="47" t="s">
        <v>7132</v>
      </c>
      <c r="T158" s="47" t="s">
        <v>7134</v>
      </c>
    </row>
    <row r="159" spans="1:21" x14ac:dyDescent="0.2">
      <c r="A159" s="47" t="s">
        <v>29</v>
      </c>
      <c r="D159" s="47" t="s">
        <v>522</v>
      </c>
      <c r="G159" s="47" t="s">
        <v>8667</v>
      </c>
      <c r="H159" s="47" t="s">
        <v>523</v>
      </c>
      <c r="I159" s="47" t="s">
        <v>524</v>
      </c>
      <c r="J159" s="47" t="s">
        <v>525</v>
      </c>
      <c r="K159" s="47" t="s">
        <v>526</v>
      </c>
      <c r="L159" s="47" t="s">
        <v>527</v>
      </c>
      <c r="M159" s="47" t="s">
        <v>528</v>
      </c>
      <c r="N159" s="47" t="s">
        <v>529</v>
      </c>
      <c r="O159" s="47" t="s">
        <v>2146</v>
      </c>
      <c r="P159" s="47" t="s">
        <v>2147</v>
      </c>
      <c r="Q159" s="47" t="s">
        <v>2148</v>
      </c>
      <c r="R159" s="47" t="s">
        <v>2149</v>
      </c>
      <c r="S159" s="47" t="s">
        <v>2150</v>
      </c>
      <c r="T159" s="47" t="s">
        <v>2151</v>
      </c>
    </row>
    <row r="160" spans="1:21" x14ac:dyDescent="0.2">
      <c r="A160" s="47" t="s">
        <v>29</v>
      </c>
    </row>
    <row r="161" spans="1:21" x14ac:dyDescent="0.2">
      <c r="A161" s="47" t="s">
        <v>29</v>
      </c>
      <c r="E161" s="47" t="s">
        <v>30</v>
      </c>
      <c r="F161" s="47" t="s">
        <v>30</v>
      </c>
      <c r="G161" s="47" t="s">
        <v>30</v>
      </c>
      <c r="J161" s="47" t="s">
        <v>30</v>
      </c>
      <c r="K161" s="47" t="s">
        <v>30</v>
      </c>
      <c r="L161" s="47" t="s">
        <v>30</v>
      </c>
      <c r="M161" s="47" t="s">
        <v>30</v>
      </c>
    </row>
    <row r="162" spans="1:21" x14ac:dyDescent="0.2">
      <c r="A162" s="47" t="s">
        <v>29</v>
      </c>
      <c r="D162" s="47" t="s">
        <v>9113</v>
      </c>
      <c r="E162" s="47" t="s">
        <v>3127</v>
      </c>
      <c r="F162" s="47" t="s">
        <v>9114</v>
      </c>
      <c r="H162" s="47" t="s">
        <v>9115</v>
      </c>
      <c r="O162" s="47" t="s">
        <v>10145</v>
      </c>
      <c r="P162" s="47" t="s">
        <v>10146</v>
      </c>
      <c r="Q162" s="47" t="s">
        <v>10147</v>
      </c>
      <c r="R162" s="47" t="s">
        <v>10148</v>
      </c>
      <c r="S162" s="47" t="s">
        <v>10149</v>
      </c>
      <c r="T162" s="47" t="s">
        <v>10150</v>
      </c>
      <c r="U162" s="47" t="s">
        <v>10151</v>
      </c>
    </row>
    <row r="163" spans="1:21" x14ac:dyDescent="0.2">
      <c r="A163" s="47" t="s">
        <v>29</v>
      </c>
      <c r="D163" s="47" t="s">
        <v>546</v>
      </c>
      <c r="G163" s="47" t="s">
        <v>10152</v>
      </c>
      <c r="H163" s="47" t="s">
        <v>547</v>
      </c>
      <c r="I163" s="47" t="s">
        <v>548</v>
      </c>
      <c r="J163" s="47" t="s">
        <v>549</v>
      </c>
      <c r="K163" s="47" t="s">
        <v>550</v>
      </c>
      <c r="L163" s="47" t="s">
        <v>551</v>
      </c>
      <c r="M163" s="47" t="s">
        <v>552</v>
      </c>
      <c r="N163" s="47" t="s">
        <v>553</v>
      </c>
      <c r="O163" s="47" t="s">
        <v>9038</v>
      </c>
      <c r="P163" s="47" t="s">
        <v>9040</v>
      </c>
      <c r="Q163" s="47" t="s">
        <v>9042</v>
      </c>
      <c r="R163" s="47" t="s">
        <v>9044</v>
      </c>
      <c r="S163" s="47" t="s">
        <v>9046</v>
      </c>
      <c r="T163" s="47" t="s">
        <v>9048</v>
      </c>
    </row>
    <row r="164" spans="1:21" x14ac:dyDescent="0.2">
      <c r="A164" s="47" t="s">
        <v>29</v>
      </c>
      <c r="D164" s="47" t="s">
        <v>1442</v>
      </c>
      <c r="G164" s="47" t="s">
        <v>8669</v>
      </c>
      <c r="H164" s="47" t="s">
        <v>1443</v>
      </c>
      <c r="I164" s="47" t="s">
        <v>1444</v>
      </c>
      <c r="J164" s="47" t="s">
        <v>1445</v>
      </c>
      <c r="K164" s="47" t="s">
        <v>1446</v>
      </c>
      <c r="L164" s="47" t="s">
        <v>1447</v>
      </c>
      <c r="M164" s="47" t="s">
        <v>1448</v>
      </c>
      <c r="N164" s="47" t="s">
        <v>1449</v>
      </c>
      <c r="O164" s="47" t="s">
        <v>9039</v>
      </c>
      <c r="P164" s="47" t="s">
        <v>9041</v>
      </c>
      <c r="Q164" s="47" t="s">
        <v>9043</v>
      </c>
      <c r="R164" s="47" t="s">
        <v>9045</v>
      </c>
      <c r="S164" s="47" t="s">
        <v>9047</v>
      </c>
      <c r="T164" s="47" t="s">
        <v>9049</v>
      </c>
    </row>
    <row r="165" spans="1:21" x14ac:dyDescent="0.2">
      <c r="A165" s="47" t="s">
        <v>29</v>
      </c>
      <c r="D165" s="47" t="s">
        <v>2022</v>
      </c>
      <c r="G165" s="47" t="s">
        <v>8670</v>
      </c>
      <c r="H165" s="47" t="s">
        <v>2023</v>
      </c>
      <c r="I165" s="47" t="s">
        <v>2024</v>
      </c>
      <c r="J165" s="47" t="s">
        <v>2025</v>
      </c>
      <c r="K165" s="47" t="s">
        <v>2026</v>
      </c>
      <c r="L165" s="47" t="s">
        <v>2027</v>
      </c>
      <c r="M165" s="47" t="s">
        <v>2028</v>
      </c>
      <c r="N165" s="47" t="s">
        <v>2029</v>
      </c>
      <c r="O165" s="47" t="s">
        <v>5837</v>
      </c>
      <c r="P165" s="47" t="s">
        <v>5838</v>
      </c>
      <c r="Q165" s="47" t="s">
        <v>5839</v>
      </c>
      <c r="R165" s="47" t="s">
        <v>5840</v>
      </c>
      <c r="S165" s="47" t="s">
        <v>5841</v>
      </c>
      <c r="T165" s="47" t="s">
        <v>5842</v>
      </c>
    </row>
    <row r="166" spans="1:21" x14ac:dyDescent="0.2">
      <c r="A166" s="47" t="s">
        <v>29</v>
      </c>
    </row>
    <row r="167" spans="1:21" x14ac:dyDescent="0.2">
      <c r="A167" s="47" t="s">
        <v>29</v>
      </c>
      <c r="E167" s="47" t="s">
        <v>30</v>
      </c>
      <c r="F167" s="47" t="s">
        <v>30</v>
      </c>
      <c r="G167" s="47" t="s">
        <v>30</v>
      </c>
      <c r="J167" s="47" t="s">
        <v>30</v>
      </c>
      <c r="K167" s="47" t="s">
        <v>30</v>
      </c>
      <c r="L167" s="47" t="s">
        <v>30</v>
      </c>
      <c r="M167" s="47" t="s">
        <v>30</v>
      </c>
    </row>
    <row r="168" spans="1:21" x14ac:dyDescent="0.2">
      <c r="A168" s="47" t="s">
        <v>29</v>
      </c>
      <c r="D168" s="47" t="s">
        <v>2030</v>
      </c>
      <c r="E168" s="47" t="s">
        <v>3152</v>
      </c>
      <c r="F168" s="47" t="s">
        <v>2031</v>
      </c>
      <c r="H168" s="47" t="s">
        <v>2032</v>
      </c>
      <c r="O168" s="47" t="s">
        <v>10153</v>
      </c>
      <c r="P168" s="47" t="s">
        <v>10154</v>
      </c>
      <c r="Q168" s="47" t="s">
        <v>10155</v>
      </c>
      <c r="R168" s="47" t="s">
        <v>10156</v>
      </c>
      <c r="S168" s="47" t="s">
        <v>10157</v>
      </c>
      <c r="T168" s="47" t="s">
        <v>10158</v>
      </c>
      <c r="U168" s="47" t="s">
        <v>10159</v>
      </c>
    </row>
    <row r="169" spans="1:21" x14ac:dyDescent="0.2">
      <c r="A169" s="47" t="s">
        <v>29</v>
      </c>
      <c r="D169" s="47" t="s">
        <v>554</v>
      </c>
      <c r="G169" s="47" t="s">
        <v>10160</v>
      </c>
      <c r="H169" s="47" t="s">
        <v>555</v>
      </c>
      <c r="I169" s="47" t="s">
        <v>556</v>
      </c>
      <c r="J169" s="47" t="s">
        <v>557</v>
      </c>
      <c r="K169" s="47" t="s">
        <v>558</v>
      </c>
      <c r="L169" s="47" t="s">
        <v>559</v>
      </c>
      <c r="M169" s="47" t="s">
        <v>560</v>
      </c>
      <c r="N169" s="47" t="s">
        <v>561</v>
      </c>
      <c r="O169" s="47" t="s">
        <v>7109</v>
      </c>
      <c r="P169" s="47" t="s">
        <v>7111</v>
      </c>
      <c r="Q169" s="47" t="s">
        <v>7113</v>
      </c>
      <c r="R169" s="47" t="s">
        <v>7115</v>
      </c>
      <c r="S169" s="47" t="s">
        <v>7117</v>
      </c>
      <c r="T169" s="47" t="s">
        <v>7119</v>
      </c>
    </row>
    <row r="170" spans="1:21" x14ac:dyDescent="0.2">
      <c r="A170" s="47" t="s">
        <v>29</v>
      </c>
      <c r="D170" s="47" t="s">
        <v>562</v>
      </c>
      <c r="G170" s="47" t="s">
        <v>8671</v>
      </c>
      <c r="H170" s="47" t="s">
        <v>563</v>
      </c>
      <c r="I170" s="47" t="s">
        <v>564</v>
      </c>
      <c r="J170" s="47" t="s">
        <v>565</v>
      </c>
      <c r="K170" s="47" t="s">
        <v>566</v>
      </c>
      <c r="L170" s="47" t="s">
        <v>567</v>
      </c>
      <c r="M170" s="47" t="s">
        <v>568</v>
      </c>
      <c r="N170" s="47" t="s">
        <v>569</v>
      </c>
      <c r="O170" s="47" t="s">
        <v>7110</v>
      </c>
      <c r="P170" s="47" t="s">
        <v>7112</v>
      </c>
      <c r="Q170" s="47" t="s">
        <v>7114</v>
      </c>
      <c r="R170" s="47" t="s">
        <v>7116</v>
      </c>
      <c r="S170" s="47" t="s">
        <v>7118</v>
      </c>
      <c r="T170" s="47" t="s">
        <v>7120</v>
      </c>
    </row>
    <row r="171" spans="1:21" x14ac:dyDescent="0.2">
      <c r="A171" s="47" t="s">
        <v>29</v>
      </c>
    </row>
    <row r="172" spans="1:21" x14ac:dyDescent="0.2">
      <c r="A172" s="47" t="s">
        <v>29</v>
      </c>
      <c r="E172" s="47" t="s">
        <v>30</v>
      </c>
      <c r="F172" s="47" t="s">
        <v>30</v>
      </c>
      <c r="G172" s="47" t="s">
        <v>30</v>
      </c>
      <c r="J172" s="47" t="s">
        <v>30</v>
      </c>
      <c r="K172" s="47" t="s">
        <v>30</v>
      </c>
      <c r="L172" s="47" t="s">
        <v>30</v>
      </c>
      <c r="M172" s="47" t="s">
        <v>30</v>
      </c>
    </row>
    <row r="173" spans="1:21" x14ac:dyDescent="0.2">
      <c r="A173" s="47" t="s">
        <v>29</v>
      </c>
      <c r="D173" s="47" t="s">
        <v>5958</v>
      </c>
      <c r="E173" s="47" t="s">
        <v>3153</v>
      </c>
      <c r="F173" s="47" t="s">
        <v>5959</v>
      </c>
      <c r="H173" s="47" t="s">
        <v>5960</v>
      </c>
      <c r="O173" s="47" t="s">
        <v>8305</v>
      </c>
      <c r="P173" s="47" t="s">
        <v>8306</v>
      </c>
      <c r="Q173" s="47" t="s">
        <v>8307</v>
      </c>
      <c r="R173" s="47" t="s">
        <v>8308</v>
      </c>
      <c r="S173" s="47" t="s">
        <v>8309</v>
      </c>
      <c r="T173" s="47" t="s">
        <v>8310</v>
      </c>
      <c r="U173" s="47" t="s">
        <v>8311</v>
      </c>
    </row>
    <row r="174" spans="1:21" x14ac:dyDescent="0.2">
      <c r="A174" s="47" t="s">
        <v>29</v>
      </c>
      <c r="D174" s="47" t="s">
        <v>1992</v>
      </c>
      <c r="G174" s="47" t="s">
        <v>10161</v>
      </c>
      <c r="H174" s="47" t="s">
        <v>1993</v>
      </c>
      <c r="I174" s="47" t="s">
        <v>1994</v>
      </c>
      <c r="J174" s="47" t="s">
        <v>1995</v>
      </c>
      <c r="K174" s="47" t="s">
        <v>1996</v>
      </c>
      <c r="L174" s="47" t="s">
        <v>1997</v>
      </c>
      <c r="M174" s="47" t="s">
        <v>1998</v>
      </c>
      <c r="N174" s="47" t="s">
        <v>1999</v>
      </c>
      <c r="O174" s="47" t="s">
        <v>9020</v>
      </c>
      <c r="P174" s="47" t="s">
        <v>9023</v>
      </c>
      <c r="Q174" s="47" t="s">
        <v>9026</v>
      </c>
      <c r="R174" s="47" t="s">
        <v>9029</v>
      </c>
      <c r="S174" s="47" t="s">
        <v>9032</v>
      </c>
      <c r="T174" s="47" t="s">
        <v>9035</v>
      </c>
    </row>
    <row r="175" spans="1:21" x14ac:dyDescent="0.2">
      <c r="A175" s="47" t="s">
        <v>29</v>
      </c>
      <c r="D175" s="47" t="s">
        <v>1259</v>
      </c>
      <c r="G175" s="47" t="s">
        <v>8672</v>
      </c>
      <c r="H175" s="47" t="s">
        <v>1260</v>
      </c>
      <c r="I175" s="47" t="s">
        <v>1261</v>
      </c>
      <c r="J175" s="47" t="s">
        <v>1262</v>
      </c>
      <c r="K175" s="47" t="s">
        <v>1263</v>
      </c>
      <c r="L175" s="47" t="s">
        <v>1264</v>
      </c>
      <c r="M175" s="47" t="s">
        <v>1265</v>
      </c>
      <c r="N175" s="47" t="s">
        <v>1266</v>
      </c>
      <c r="O175" s="47" t="s">
        <v>9021</v>
      </c>
      <c r="P175" s="47" t="s">
        <v>9024</v>
      </c>
      <c r="Q175" s="47" t="s">
        <v>9027</v>
      </c>
      <c r="R175" s="47" t="s">
        <v>9030</v>
      </c>
      <c r="S175" s="47" t="s">
        <v>9033</v>
      </c>
      <c r="T175" s="47" t="s">
        <v>9036</v>
      </c>
    </row>
    <row r="176" spans="1:21" x14ac:dyDescent="0.2">
      <c r="A176" s="47" t="s">
        <v>29</v>
      </c>
      <c r="D176" s="47" t="s">
        <v>570</v>
      </c>
      <c r="G176" s="47" t="s">
        <v>8673</v>
      </c>
      <c r="H176" s="47" t="s">
        <v>571</v>
      </c>
      <c r="I176" s="47" t="s">
        <v>572</v>
      </c>
      <c r="J176" s="47" t="s">
        <v>573</v>
      </c>
      <c r="K176" s="47" t="s">
        <v>574</v>
      </c>
      <c r="L176" s="47" t="s">
        <v>575</v>
      </c>
      <c r="M176" s="47" t="s">
        <v>576</v>
      </c>
      <c r="N176" s="47" t="s">
        <v>577</v>
      </c>
      <c r="O176" s="47" t="s">
        <v>9022</v>
      </c>
      <c r="P176" s="47" t="s">
        <v>9025</v>
      </c>
      <c r="Q176" s="47" t="s">
        <v>9028</v>
      </c>
      <c r="R176" s="47" t="s">
        <v>9031</v>
      </c>
      <c r="S176" s="47" t="s">
        <v>9034</v>
      </c>
      <c r="T176" s="47" t="s">
        <v>9037</v>
      </c>
    </row>
    <row r="177" spans="1:21" x14ac:dyDescent="0.2">
      <c r="A177" s="47" t="s">
        <v>29</v>
      </c>
      <c r="D177" s="47" t="s">
        <v>578</v>
      </c>
      <c r="G177" s="47" t="s">
        <v>8674</v>
      </c>
      <c r="H177" s="47" t="s">
        <v>579</v>
      </c>
      <c r="I177" s="47" t="s">
        <v>580</v>
      </c>
      <c r="J177" s="47" t="s">
        <v>581</v>
      </c>
      <c r="K177" s="47" t="s">
        <v>582</v>
      </c>
      <c r="L177" s="47" t="s">
        <v>583</v>
      </c>
      <c r="M177" s="47" t="s">
        <v>584</v>
      </c>
      <c r="N177" s="47" t="s">
        <v>585</v>
      </c>
      <c r="O177" s="47" t="s">
        <v>5831</v>
      </c>
      <c r="P177" s="47" t="s">
        <v>5832</v>
      </c>
      <c r="Q177" s="47" t="s">
        <v>5833</v>
      </c>
      <c r="R177" s="47" t="s">
        <v>5834</v>
      </c>
      <c r="S177" s="47" t="s">
        <v>5835</v>
      </c>
      <c r="T177" s="47" t="s">
        <v>5836</v>
      </c>
    </row>
    <row r="178" spans="1:21" x14ac:dyDescent="0.2">
      <c r="A178" s="47" t="s">
        <v>29</v>
      </c>
      <c r="D178" s="47" t="s">
        <v>586</v>
      </c>
      <c r="G178" s="47" t="s">
        <v>8679</v>
      </c>
      <c r="H178" s="47" t="s">
        <v>587</v>
      </c>
      <c r="I178" s="47" t="s">
        <v>588</v>
      </c>
      <c r="J178" s="47" t="s">
        <v>589</v>
      </c>
      <c r="K178" s="47" t="s">
        <v>590</v>
      </c>
      <c r="L178" s="47" t="s">
        <v>591</v>
      </c>
      <c r="M178" s="47" t="s">
        <v>592</v>
      </c>
      <c r="N178" s="47" t="s">
        <v>593</v>
      </c>
      <c r="O178" s="47" t="s">
        <v>2152</v>
      </c>
      <c r="P178" s="47" t="s">
        <v>2153</v>
      </c>
      <c r="Q178" s="47" t="s">
        <v>2154</v>
      </c>
      <c r="R178" s="47" t="s">
        <v>2155</v>
      </c>
      <c r="S178" s="47" t="s">
        <v>2156</v>
      </c>
      <c r="T178" s="47" t="s">
        <v>2157</v>
      </c>
    </row>
    <row r="179" spans="1:21" x14ac:dyDescent="0.2">
      <c r="A179" s="47" t="s">
        <v>29</v>
      </c>
    </row>
    <row r="180" spans="1:21" x14ac:dyDescent="0.2">
      <c r="A180" s="47" t="s">
        <v>29</v>
      </c>
      <c r="E180" s="47" t="s">
        <v>30</v>
      </c>
      <c r="F180" s="47" t="s">
        <v>30</v>
      </c>
      <c r="G180" s="47" t="s">
        <v>30</v>
      </c>
      <c r="J180" s="47" t="s">
        <v>30</v>
      </c>
      <c r="K180" s="47" t="s">
        <v>30</v>
      </c>
      <c r="L180" s="47" t="s">
        <v>30</v>
      </c>
      <c r="M180" s="47" t="s">
        <v>30</v>
      </c>
    </row>
    <row r="181" spans="1:21" x14ac:dyDescent="0.2">
      <c r="A181" s="47" t="s">
        <v>29</v>
      </c>
      <c r="D181" s="47" t="s">
        <v>5096</v>
      </c>
      <c r="E181" s="47" t="s">
        <v>3154</v>
      </c>
      <c r="F181" s="47" t="s">
        <v>5097</v>
      </c>
      <c r="H181" s="47" t="s">
        <v>5098</v>
      </c>
      <c r="O181" s="47" t="s">
        <v>5099</v>
      </c>
      <c r="P181" s="47" t="s">
        <v>5100</v>
      </c>
      <c r="Q181" s="47" t="s">
        <v>5101</v>
      </c>
      <c r="R181" s="47" t="s">
        <v>5102</v>
      </c>
      <c r="S181" s="47" t="s">
        <v>5103</v>
      </c>
      <c r="T181" s="47" t="s">
        <v>5104</v>
      </c>
      <c r="U181" s="47" t="s">
        <v>5105</v>
      </c>
    </row>
    <row r="182" spans="1:21" x14ac:dyDescent="0.2">
      <c r="A182" s="47" t="s">
        <v>29</v>
      </c>
      <c r="D182" s="47" t="s">
        <v>610</v>
      </c>
      <c r="G182" s="47" t="s">
        <v>10162</v>
      </c>
      <c r="H182" s="47" t="s">
        <v>611</v>
      </c>
      <c r="I182" s="47" t="s">
        <v>612</v>
      </c>
      <c r="J182" s="47" t="s">
        <v>613</v>
      </c>
      <c r="K182" s="47" t="s">
        <v>614</v>
      </c>
      <c r="L182" s="47" t="s">
        <v>615</v>
      </c>
      <c r="M182" s="47" t="s">
        <v>616</v>
      </c>
      <c r="N182" s="47" t="s">
        <v>617</v>
      </c>
      <c r="O182" s="47" t="s">
        <v>7103</v>
      </c>
      <c r="P182" s="47" t="s">
        <v>7104</v>
      </c>
      <c r="Q182" s="47" t="s">
        <v>7105</v>
      </c>
      <c r="R182" s="47" t="s">
        <v>7106</v>
      </c>
      <c r="S182" s="47" t="s">
        <v>7107</v>
      </c>
      <c r="T182" s="47" t="s">
        <v>7108</v>
      </c>
    </row>
    <row r="183" spans="1:21" x14ac:dyDescent="0.2">
      <c r="A183" s="47" t="s">
        <v>29</v>
      </c>
    </row>
    <row r="184" spans="1:21" x14ac:dyDescent="0.2">
      <c r="A184" s="47" t="s">
        <v>29</v>
      </c>
      <c r="E184" s="47" t="s">
        <v>30</v>
      </c>
      <c r="F184" s="47" t="s">
        <v>30</v>
      </c>
      <c r="G184" s="47" t="s">
        <v>30</v>
      </c>
      <c r="J184" s="47" t="s">
        <v>30</v>
      </c>
      <c r="K184" s="47" t="s">
        <v>30</v>
      </c>
      <c r="L184" s="47" t="s">
        <v>30</v>
      </c>
      <c r="M184" s="47" t="s">
        <v>30</v>
      </c>
    </row>
    <row r="185" spans="1:21" x14ac:dyDescent="0.2">
      <c r="A185" s="47" t="s">
        <v>29</v>
      </c>
      <c r="D185" s="47" t="s">
        <v>1903</v>
      </c>
      <c r="E185" s="47" t="s">
        <v>3185</v>
      </c>
      <c r="F185" s="47" t="s">
        <v>1904</v>
      </c>
      <c r="H185" s="47" t="s">
        <v>1905</v>
      </c>
      <c r="O185" s="47" t="s">
        <v>10163</v>
      </c>
      <c r="P185" s="47" t="s">
        <v>10164</v>
      </c>
      <c r="Q185" s="47" t="s">
        <v>10165</v>
      </c>
      <c r="R185" s="47" t="s">
        <v>10166</v>
      </c>
      <c r="S185" s="47" t="s">
        <v>10167</v>
      </c>
      <c r="T185" s="47" t="s">
        <v>10168</v>
      </c>
      <c r="U185" s="47" t="s">
        <v>10169</v>
      </c>
    </row>
    <row r="186" spans="1:21" x14ac:dyDescent="0.2">
      <c r="A186" s="47" t="s">
        <v>29</v>
      </c>
      <c r="D186" s="47" t="s">
        <v>1906</v>
      </c>
      <c r="G186" s="47" t="s">
        <v>10170</v>
      </c>
      <c r="H186" s="47" t="s">
        <v>1907</v>
      </c>
      <c r="I186" s="47" t="s">
        <v>1908</v>
      </c>
      <c r="J186" s="47" t="s">
        <v>1909</v>
      </c>
      <c r="K186" s="47" t="s">
        <v>1910</v>
      </c>
      <c r="L186" s="47" t="s">
        <v>1911</v>
      </c>
      <c r="M186" s="47" t="s">
        <v>1912</v>
      </c>
      <c r="N186" s="47" t="s">
        <v>1913</v>
      </c>
      <c r="O186" s="47" t="s">
        <v>9008</v>
      </c>
      <c r="P186" s="47" t="s">
        <v>9010</v>
      </c>
      <c r="Q186" s="47" t="s">
        <v>9012</v>
      </c>
      <c r="R186" s="47" t="s">
        <v>9014</v>
      </c>
      <c r="S186" s="47" t="s">
        <v>9016</v>
      </c>
      <c r="T186" s="47" t="s">
        <v>9018</v>
      </c>
    </row>
    <row r="187" spans="1:21" x14ac:dyDescent="0.2">
      <c r="A187" s="47" t="s">
        <v>29</v>
      </c>
      <c r="D187" s="47" t="s">
        <v>1270</v>
      </c>
      <c r="G187" s="47" t="s">
        <v>8680</v>
      </c>
      <c r="H187" s="47" t="s">
        <v>1271</v>
      </c>
      <c r="I187" s="47" t="s">
        <v>1272</v>
      </c>
      <c r="J187" s="47" t="s">
        <v>1273</v>
      </c>
      <c r="K187" s="47" t="s">
        <v>1274</v>
      </c>
      <c r="L187" s="47" t="s">
        <v>1275</v>
      </c>
      <c r="M187" s="47" t="s">
        <v>1276</v>
      </c>
      <c r="N187" s="47" t="s">
        <v>1277</v>
      </c>
      <c r="O187" s="47" t="s">
        <v>9009</v>
      </c>
      <c r="P187" s="47" t="s">
        <v>9011</v>
      </c>
      <c r="Q187" s="47" t="s">
        <v>9013</v>
      </c>
      <c r="R187" s="47" t="s">
        <v>9015</v>
      </c>
      <c r="S187" s="47" t="s">
        <v>9017</v>
      </c>
      <c r="T187" s="47" t="s">
        <v>9019</v>
      </c>
    </row>
    <row r="188" spans="1:21" x14ac:dyDescent="0.2">
      <c r="A188" s="47" t="s">
        <v>29</v>
      </c>
      <c r="D188" s="47" t="s">
        <v>626</v>
      </c>
      <c r="G188" s="47" t="s">
        <v>8681</v>
      </c>
      <c r="H188" s="47" t="s">
        <v>627</v>
      </c>
      <c r="I188" s="47" t="s">
        <v>628</v>
      </c>
      <c r="J188" s="47" t="s">
        <v>629</v>
      </c>
      <c r="K188" s="47" t="s">
        <v>630</v>
      </c>
      <c r="L188" s="47" t="s">
        <v>631</v>
      </c>
      <c r="M188" s="47" t="s">
        <v>632</v>
      </c>
      <c r="N188" s="47" t="s">
        <v>633</v>
      </c>
      <c r="O188" s="47" t="s">
        <v>7091</v>
      </c>
      <c r="P188" s="47" t="s">
        <v>7093</v>
      </c>
      <c r="Q188" s="47" t="s">
        <v>7095</v>
      </c>
      <c r="R188" s="47" t="s">
        <v>7097</v>
      </c>
      <c r="S188" s="47" t="s">
        <v>7099</v>
      </c>
      <c r="T188" s="47" t="s">
        <v>7101</v>
      </c>
    </row>
    <row r="189" spans="1:21" x14ac:dyDescent="0.2">
      <c r="A189" s="47" t="s">
        <v>29</v>
      </c>
    </row>
    <row r="190" spans="1:21" x14ac:dyDescent="0.2">
      <c r="A190" s="47" t="s">
        <v>29</v>
      </c>
      <c r="E190" s="47" t="s">
        <v>30</v>
      </c>
      <c r="F190" s="47" t="s">
        <v>30</v>
      </c>
      <c r="G190" s="47" t="s">
        <v>30</v>
      </c>
      <c r="J190" s="47" t="s">
        <v>30</v>
      </c>
      <c r="K190" s="47" t="s">
        <v>30</v>
      </c>
      <c r="L190" s="47" t="s">
        <v>30</v>
      </c>
      <c r="M190" s="47" t="s">
        <v>30</v>
      </c>
    </row>
    <row r="191" spans="1:21" x14ac:dyDescent="0.2">
      <c r="A191" s="47" t="s">
        <v>29</v>
      </c>
      <c r="D191" s="47" t="s">
        <v>5000</v>
      </c>
      <c r="E191" s="47" t="s">
        <v>3186</v>
      </c>
      <c r="F191" s="47" t="s">
        <v>5001</v>
      </c>
      <c r="H191" s="47" t="s">
        <v>5002</v>
      </c>
      <c r="O191" s="47" t="s">
        <v>9116</v>
      </c>
      <c r="P191" s="47" t="s">
        <v>9117</v>
      </c>
      <c r="Q191" s="47" t="s">
        <v>9118</v>
      </c>
      <c r="R191" s="47" t="s">
        <v>9119</v>
      </c>
      <c r="S191" s="47" t="s">
        <v>9120</v>
      </c>
      <c r="T191" s="47" t="s">
        <v>9121</v>
      </c>
      <c r="U191" s="47" t="s">
        <v>9122</v>
      </c>
    </row>
    <row r="192" spans="1:21" x14ac:dyDescent="0.2">
      <c r="A192" s="47" t="s">
        <v>29</v>
      </c>
      <c r="D192" s="47" t="s">
        <v>634</v>
      </c>
      <c r="G192" s="47" t="s">
        <v>10171</v>
      </c>
      <c r="H192" s="47" t="s">
        <v>635</v>
      </c>
      <c r="I192" s="47" t="s">
        <v>636</v>
      </c>
      <c r="J192" s="47" t="s">
        <v>637</v>
      </c>
      <c r="K192" s="47" t="s">
        <v>638</v>
      </c>
      <c r="L192" s="47" t="s">
        <v>639</v>
      </c>
      <c r="M192" s="47" t="s">
        <v>640</v>
      </c>
      <c r="N192" s="47" t="s">
        <v>641</v>
      </c>
      <c r="O192" s="47" t="s">
        <v>2911</v>
      </c>
      <c r="P192" s="47" t="s">
        <v>2912</v>
      </c>
      <c r="Q192" s="47" t="s">
        <v>2913</v>
      </c>
      <c r="R192" s="47" t="s">
        <v>2914</v>
      </c>
      <c r="S192" s="47" t="s">
        <v>2915</v>
      </c>
      <c r="T192" s="47" t="s">
        <v>2916</v>
      </c>
    </row>
    <row r="193" spans="1:21" x14ac:dyDescent="0.2">
      <c r="A193" s="47" t="s">
        <v>29</v>
      </c>
      <c r="D193" s="47" t="s">
        <v>1675</v>
      </c>
      <c r="G193" s="47" t="s">
        <v>8683</v>
      </c>
      <c r="H193" s="47" t="s">
        <v>1676</v>
      </c>
      <c r="I193" s="47" t="s">
        <v>1677</v>
      </c>
      <c r="J193" s="47" t="s">
        <v>1678</v>
      </c>
      <c r="K193" s="47" t="s">
        <v>1679</v>
      </c>
      <c r="L193" s="47" t="s">
        <v>1680</v>
      </c>
      <c r="M193" s="47" t="s">
        <v>1681</v>
      </c>
      <c r="N193" s="47" t="s">
        <v>1682</v>
      </c>
      <c r="O193" s="47" t="s">
        <v>2158</v>
      </c>
      <c r="P193" s="47" t="s">
        <v>2159</v>
      </c>
      <c r="Q193" s="47" t="s">
        <v>2160</v>
      </c>
      <c r="R193" s="47" t="s">
        <v>2161</v>
      </c>
      <c r="S193" s="47" t="s">
        <v>2162</v>
      </c>
      <c r="T193" s="47" t="s">
        <v>2163</v>
      </c>
    </row>
    <row r="194" spans="1:21" x14ac:dyDescent="0.2">
      <c r="A194" s="47" t="s">
        <v>29</v>
      </c>
    </row>
    <row r="195" spans="1:21" x14ac:dyDescent="0.2">
      <c r="A195" s="47" t="s">
        <v>29</v>
      </c>
      <c r="E195" s="47" t="s">
        <v>30</v>
      </c>
      <c r="F195" s="47" t="s">
        <v>30</v>
      </c>
      <c r="G195" s="47" t="s">
        <v>30</v>
      </c>
      <c r="J195" s="47" t="s">
        <v>30</v>
      </c>
      <c r="K195" s="47" t="s">
        <v>30</v>
      </c>
      <c r="L195" s="47" t="s">
        <v>30</v>
      </c>
      <c r="M195" s="47" t="s">
        <v>30</v>
      </c>
    </row>
    <row r="196" spans="1:21" x14ac:dyDescent="0.2">
      <c r="A196" s="47" t="s">
        <v>29</v>
      </c>
      <c r="D196" s="47" t="s">
        <v>9123</v>
      </c>
      <c r="E196" s="47" t="s">
        <v>3188</v>
      </c>
      <c r="F196" s="47" t="s">
        <v>9124</v>
      </c>
      <c r="H196" s="47" t="s">
        <v>9125</v>
      </c>
      <c r="O196" s="47" t="s">
        <v>10172</v>
      </c>
      <c r="P196" s="47" t="s">
        <v>10173</v>
      </c>
      <c r="Q196" s="47" t="s">
        <v>10174</v>
      </c>
      <c r="R196" s="47" t="s">
        <v>10175</v>
      </c>
      <c r="S196" s="47" t="s">
        <v>10176</v>
      </c>
      <c r="T196" s="47" t="s">
        <v>10177</v>
      </c>
      <c r="U196" s="47" t="s">
        <v>10178</v>
      </c>
    </row>
    <row r="197" spans="1:21" x14ac:dyDescent="0.2">
      <c r="A197" s="47" t="s">
        <v>29</v>
      </c>
      <c r="D197" s="47" t="s">
        <v>650</v>
      </c>
      <c r="G197" s="47" t="s">
        <v>10179</v>
      </c>
      <c r="H197" s="47" t="s">
        <v>651</v>
      </c>
      <c r="I197" s="47" t="s">
        <v>652</v>
      </c>
      <c r="J197" s="47" t="s">
        <v>653</v>
      </c>
      <c r="K197" s="47" t="s">
        <v>654</v>
      </c>
      <c r="L197" s="47" t="s">
        <v>655</v>
      </c>
      <c r="M197" s="47" t="s">
        <v>656</v>
      </c>
      <c r="N197" s="47" t="s">
        <v>657</v>
      </c>
      <c r="O197" s="47" t="s">
        <v>2164</v>
      </c>
      <c r="P197" s="47" t="s">
        <v>2165</v>
      </c>
      <c r="Q197" s="47" t="s">
        <v>2166</v>
      </c>
      <c r="R197" s="47" t="s">
        <v>2167</v>
      </c>
      <c r="S197" s="47" t="s">
        <v>2168</v>
      </c>
      <c r="T197" s="47" t="s">
        <v>2169</v>
      </c>
    </row>
    <row r="198" spans="1:21" x14ac:dyDescent="0.2">
      <c r="A198" s="47" t="s">
        <v>29</v>
      </c>
      <c r="D198" s="47" t="s">
        <v>658</v>
      </c>
      <c r="G198" s="47" t="s">
        <v>8684</v>
      </c>
      <c r="H198" s="47" t="s">
        <v>659</v>
      </c>
      <c r="I198" s="47" t="s">
        <v>660</v>
      </c>
      <c r="J198" s="47" t="s">
        <v>661</v>
      </c>
      <c r="K198" s="47" t="s">
        <v>662</v>
      </c>
      <c r="L198" s="47" t="s">
        <v>663</v>
      </c>
      <c r="M198" s="47" t="s">
        <v>664</v>
      </c>
      <c r="N198" s="47" t="s">
        <v>665</v>
      </c>
      <c r="O198" s="47" t="s">
        <v>7092</v>
      </c>
      <c r="P198" s="47" t="s">
        <v>7094</v>
      </c>
      <c r="Q198" s="47" t="s">
        <v>7096</v>
      </c>
      <c r="R198" s="47" t="s">
        <v>7098</v>
      </c>
      <c r="S198" s="47" t="s">
        <v>7100</v>
      </c>
      <c r="T198" s="47" t="s">
        <v>7102</v>
      </c>
    </row>
    <row r="199" spans="1:21" x14ac:dyDescent="0.2">
      <c r="A199" s="47" t="s">
        <v>29</v>
      </c>
    </row>
    <row r="200" spans="1:21" x14ac:dyDescent="0.2">
      <c r="A200" s="47" t="s">
        <v>29</v>
      </c>
      <c r="E200" s="47" t="s">
        <v>30</v>
      </c>
      <c r="F200" s="47" t="s">
        <v>30</v>
      </c>
      <c r="G200" s="47" t="s">
        <v>30</v>
      </c>
      <c r="J200" s="47" t="s">
        <v>30</v>
      </c>
      <c r="K200" s="47" t="s">
        <v>30</v>
      </c>
      <c r="L200" s="47" t="s">
        <v>30</v>
      </c>
      <c r="M200" s="47" t="s">
        <v>30</v>
      </c>
    </row>
    <row r="201" spans="1:21" x14ac:dyDescent="0.2">
      <c r="A201" s="47" t="s">
        <v>29</v>
      </c>
      <c r="D201" s="47" t="s">
        <v>4391</v>
      </c>
      <c r="E201" s="47" t="s">
        <v>3213</v>
      </c>
      <c r="F201" s="47" t="s">
        <v>4392</v>
      </c>
      <c r="H201" s="47" t="s">
        <v>4393</v>
      </c>
      <c r="O201" s="47" t="s">
        <v>7339</v>
      </c>
      <c r="P201" s="47" t="s">
        <v>7340</v>
      </c>
      <c r="Q201" s="47" t="s">
        <v>7341</v>
      </c>
      <c r="R201" s="47" t="s">
        <v>7342</v>
      </c>
      <c r="S201" s="47" t="s">
        <v>7343</v>
      </c>
      <c r="T201" s="47" t="s">
        <v>7344</v>
      </c>
      <c r="U201" s="47" t="s">
        <v>7345</v>
      </c>
    </row>
    <row r="202" spans="1:21" x14ac:dyDescent="0.2">
      <c r="A202" s="47" t="s">
        <v>29</v>
      </c>
      <c r="D202" s="47" t="s">
        <v>666</v>
      </c>
      <c r="G202" s="47" t="s">
        <v>10180</v>
      </c>
      <c r="H202" s="47" t="s">
        <v>667</v>
      </c>
      <c r="I202" s="47" t="s">
        <v>668</v>
      </c>
      <c r="J202" s="47" t="s">
        <v>669</v>
      </c>
      <c r="K202" s="47" t="s">
        <v>670</v>
      </c>
      <c r="L202" s="47" t="s">
        <v>671</v>
      </c>
      <c r="M202" s="47" t="s">
        <v>672</v>
      </c>
      <c r="N202" s="47" t="s">
        <v>673</v>
      </c>
      <c r="O202" s="47" t="s">
        <v>9002</v>
      </c>
      <c r="P202" s="47" t="s">
        <v>9003</v>
      </c>
      <c r="Q202" s="47" t="s">
        <v>9004</v>
      </c>
      <c r="R202" s="47" t="s">
        <v>9005</v>
      </c>
      <c r="S202" s="47" t="s">
        <v>9006</v>
      </c>
      <c r="T202" s="47" t="s">
        <v>9007</v>
      </c>
    </row>
    <row r="203" spans="1:21" x14ac:dyDescent="0.2">
      <c r="A203" s="47" t="s">
        <v>29</v>
      </c>
      <c r="D203" s="47" t="s">
        <v>674</v>
      </c>
      <c r="G203" s="47" t="s">
        <v>8686</v>
      </c>
      <c r="H203" s="47" t="s">
        <v>675</v>
      </c>
      <c r="I203" s="47" t="s">
        <v>676</v>
      </c>
      <c r="J203" s="47" t="s">
        <v>677</v>
      </c>
      <c r="K203" s="47" t="s">
        <v>678</v>
      </c>
      <c r="L203" s="47" t="s">
        <v>679</v>
      </c>
      <c r="M203" s="47" t="s">
        <v>680</v>
      </c>
      <c r="N203" s="47" t="s">
        <v>681</v>
      </c>
      <c r="O203" s="47" t="s">
        <v>5819</v>
      </c>
      <c r="P203" s="47" t="s">
        <v>5821</v>
      </c>
      <c r="Q203" s="47" t="s">
        <v>5823</v>
      </c>
      <c r="R203" s="47" t="s">
        <v>5825</v>
      </c>
      <c r="S203" s="47" t="s">
        <v>5827</v>
      </c>
      <c r="T203" s="47" t="s">
        <v>5829</v>
      </c>
    </row>
    <row r="204" spans="1:21" x14ac:dyDescent="0.2">
      <c r="A204" s="47" t="s">
        <v>29</v>
      </c>
    </row>
    <row r="205" spans="1:21" x14ac:dyDescent="0.2">
      <c r="A205" s="47" t="s">
        <v>29</v>
      </c>
      <c r="E205" s="47" t="s">
        <v>30</v>
      </c>
      <c r="F205" s="47" t="s">
        <v>30</v>
      </c>
      <c r="G205" s="47" t="s">
        <v>30</v>
      </c>
      <c r="J205" s="47" t="s">
        <v>30</v>
      </c>
      <c r="K205" s="47" t="s">
        <v>30</v>
      </c>
      <c r="L205" s="47" t="s">
        <v>30</v>
      </c>
      <c r="M205" s="47" t="s">
        <v>30</v>
      </c>
    </row>
    <row r="206" spans="1:21" x14ac:dyDescent="0.2">
      <c r="A206" s="47" t="s">
        <v>29</v>
      </c>
      <c r="D206" s="47" t="s">
        <v>7346</v>
      </c>
      <c r="E206" s="47" t="s">
        <v>3228</v>
      </c>
      <c r="F206" s="47" t="s">
        <v>7347</v>
      </c>
      <c r="H206" s="47" t="s">
        <v>7348</v>
      </c>
      <c r="O206" s="47" t="s">
        <v>7349</v>
      </c>
      <c r="P206" s="47" t="s">
        <v>7350</v>
      </c>
      <c r="Q206" s="47" t="s">
        <v>7351</v>
      </c>
      <c r="R206" s="47" t="s">
        <v>7352</v>
      </c>
      <c r="S206" s="47" t="s">
        <v>7353</v>
      </c>
      <c r="T206" s="47" t="s">
        <v>7354</v>
      </c>
      <c r="U206" s="47" t="s">
        <v>7355</v>
      </c>
    </row>
    <row r="207" spans="1:21" x14ac:dyDescent="0.2">
      <c r="A207" s="47" t="s">
        <v>29</v>
      </c>
      <c r="D207" s="47" t="s">
        <v>698</v>
      </c>
      <c r="G207" s="47" t="s">
        <v>10181</v>
      </c>
      <c r="H207" s="47" t="s">
        <v>699</v>
      </c>
      <c r="I207" s="47" t="s">
        <v>700</v>
      </c>
      <c r="J207" s="47" t="s">
        <v>701</v>
      </c>
      <c r="K207" s="47" t="s">
        <v>702</v>
      </c>
      <c r="L207" s="47" t="s">
        <v>703</v>
      </c>
      <c r="M207" s="47" t="s">
        <v>704</v>
      </c>
      <c r="N207" s="47" t="s">
        <v>705</v>
      </c>
      <c r="O207" s="47" t="s">
        <v>5820</v>
      </c>
      <c r="P207" s="47" t="s">
        <v>5822</v>
      </c>
      <c r="Q207" s="47" t="s">
        <v>5824</v>
      </c>
      <c r="R207" s="47" t="s">
        <v>5826</v>
      </c>
      <c r="S207" s="47" t="s">
        <v>5828</v>
      </c>
      <c r="T207" s="47" t="s">
        <v>5830</v>
      </c>
    </row>
    <row r="208" spans="1:21" x14ac:dyDescent="0.2">
      <c r="A208" s="47" t="s">
        <v>29</v>
      </c>
    </row>
    <row r="209" spans="1:21" x14ac:dyDescent="0.2">
      <c r="A209" s="47" t="s">
        <v>29</v>
      </c>
      <c r="E209" s="47" t="s">
        <v>30</v>
      </c>
      <c r="F209" s="47" t="s">
        <v>30</v>
      </c>
      <c r="G209" s="47" t="s">
        <v>30</v>
      </c>
      <c r="J209" s="47" t="s">
        <v>30</v>
      </c>
      <c r="K209" s="47" t="s">
        <v>30</v>
      </c>
      <c r="L209" s="47" t="s">
        <v>30</v>
      </c>
      <c r="M209" s="47" t="s">
        <v>30</v>
      </c>
    </row>
    <row r="210" spans="1:21" x14ac:dyDescent="0.2">
      <c r="A210" s="47" t="s">
        <v>29</v>
      </c>
      <c r="D210" s="47" t="s">
        <v>7356</v>
      </c>
      <c r="E210" s="47" t="s">
        <v>3229</v>
      </c>
      <c r="F210" s="47" t="s">
        <v>7357</v>
      </c>
      <c r="H210" s="47" t="s">
        <v>7358</v>
      </c>
      <c r="O210" s="47" t="s">
        <v>7359</v>
      </c>
      <c r="P210" s="47" t="s">
        <v>7360</v>
      </c>
      <c r="Q210" s="47" t="s">
        <v>7361</v>
      </c>
      <c r="R210" s="47" t="s">
        <v>7362</v>
      </c>
      <c r="S210" s="47" t="s">
        <v>7363</v>
      </c>
      <c r="T210" s="47" t="s">
        <v>7364</v>
      </c>
      <c r="U210" s="47" t="s">
        <v>7365</v>
      </c>
    </row>
    <row r="211" spans="1:21" x14ac:dyDescent="0.2">
      <c r="A211" s="47" t="s">
        <v>29</v>
      </c>
      <c r="D211" s="47" t="s">
        <v>1474</v>
      </c>
      <c r="G211" s="47" t="s">
        <v>8628</v>
      </c>
      <c r="H211" s="47" t="s">
        <v>1475</v>
      </c>
      <c r="I211" s="47" t="s">
        <v>1476</v>
      </c>
      <c r="J211" s="47" t="s">
        <v>1477</v>
      </c>
      <c r="K211" s="47" t="s">
        <v>1478</v>
      </c>
      <c r="L211" s="47" t="s">
        <v>1479</v>
      </c>
      <c r="M211" s="47" t="s">
        <v>1480</v>
      </c>
      <c r="N211" s="47" t="s">
        <v>1481</v>
      </c>
      <c r="O211" s="47" t="s">
        <v>7085</v>
      </c>
      <c r="P211" s="47" t="s">
        <v>7086</v>
      </c>
      <c r="Q211" s="47" t="s">
        <v>7087</v>
      </c>
      <c r="R211" s="47" t="s">
        <v>7088</v>
      </c>
      <c r="S211" s="47" t="s">
        <v>7089</v>
      </c>
      <c r="T211" s="47" t="s">
        <v>7090</v>
      </c>
    </row>
    <row r="212" spans="1:21" x14ac:dyDescent="0.2">
      <c r="A212" s="47" t="s">
        <v>29</v>
      </c>
    </row>
    <row r="213" spans="1:21" x14ac:dyDescent="0.2">
      <c r="A213" s="47" t="s">
        <v>29</v>
      </c>
      <c r="E213" s="47" t="s">
        <v>30</v>
      </c>
      <c r="F213" s="47" t="s">
        <v>30</v>
      </c>
      <c r="G213" s="47" t="s">
        <v>30</v>
      </c>
      <c r="J213" s="47" t="s">
        <v>30</v>
      </c>
      <c r="K213" s="47" t="s">
        <v>30</v>
      </c>
      <c r="L213" s="47" t="s">
        <v>30</v>
      </c>
      <c r="M213" s="47" t="s">
        <v>30</v>
      </c>
    </row>
    <row r="214" spans="1:21" x14ac:dyDescent="0.2">
      <c r="A214" s="47" t="s">
        <v>29</v>
      </c>
      <c r="D214" s="47" t="s">
        <v>6240</v>
      </c>
      <c r="E214" s="47" t="s">
        <v>3244</v>
      </c>
      <c r="F214" s="47" t="s">
        <v>6241</v>
      </c>
      <c r="H214" s="47" t="s">
        <v>6242</v>
      </c>
      <c r="O214" s="47" t="s">
        <v>7366</v>
      </c>
      <c r="P214" s="47" t="s">
        <v>7367</v>
      </c>
      <c r="Q214" s="47" t="s">
        <v>7368</v>
      </c>
      <c r="R214" s="47" t="s">
        <v>7369</v>
      </c>
      <c r="S214" s="47" t="s">
        <v>7370</v>
      </c>
      <c r="T214" s="47" t="s">
        <v>7371</v>
      </c>
      <c r="U214" s="47" t="s">
        <v>7372</v>
      </c>
    </row>
    <row r="215" spans="1:21" x14ac:dyDescent="0.2">
      <c r="A215" s="47" t="s">
        <v>29</v>
      </c>
      <c r="D215" s="47" t="s">
        <v>714</v>
      </c>
      <c r="G215" s="47" t="s">
        <v>6328</v>
      </c>
      <c r="H215" s="47" t="s">
        <v>715</v>
      </c>
      <c r="I215" s="47" t="s">
        <v>716</v>
      </c>
      <c r="J215" s="47" t="s">
        <v>717</v>
      </c>
      <c r="K215" s="47" t="s">
        <v>718</v>
      </c>
      <c r="L215" s="47" t="s">
        <v>719</v>
      </c>
      <c r="M215" s="47" t="s">
        <v>720</v>
      </c>
      <c r="N215" s="47" t="s">
        <v>721</v>
      </c>
      <c r="O215" s="47" t="s">
        <v>2170</v>
      </c>
      <c r="P215" s="47" t="s">
        <v>2171</v>
      </c>
      <c r="Q215" s="47" t="s">
        <v>2172</v>
      </c>
      <c r="R215" s="47" t="s">
        <v>2173</v>
      </c>
      <c r="S215" s="47" t="s">
        <v>2174</v>
      </c>
      <c r="T215" s="47" t="s">
        <v>2175</v>
      </c>
    </row>
    <row r="216" spans="1:21" x14ac:dyDescent="0.2">
      <c r="A216" s="47" t="s">
        <v>29</v>
      </c>
    </row>
    <row r="217" spans="1:21" x14ac:dyDescent="0.2">
      <c r="A217" s="47" t="s">
        <v>29</v>
      </c>
      <c r="E217" s="47" t="s">
        <v>30</v>
      </c>
      <c r="F217" s="47" t="s">
        <v>30</v>
      </c>
      <c r="G217" s="47" t="s">
        <v>30</v>
      </c>
      <c r="J217" s="47" t="s">
        <v>30</v>
      </c>
      <c r="K217" s="47" t="s">
        <v>30</v>
      </c>
      <c r="L217" s="47" t="s">
        <v>30</v>
      </c>
      <c r="M217" s="47" t="s">
        <v>30</v>
      </c>
    </row>
    <row r="218" spans="1:21" x14ac:dyDescent="0.2">
      <c r="A218" s="47" t="s">
        <v>29</v>
      </c>
      <c r="D218" s="47" t="s">
        <v>7373</v>
      </c>
      <c r="E218" s="47" t="s">
        <v>3245</v>
      </c>
      <c r="F218" s="47" t="s">
        <v>7374</v>
      </c>
      <c r="H218" s="47" t="s">
        <v>7375</v>
      </c>
      <c r="O218" s="47" t="s">
        <v>7376</v>
      </c>
      <c r="P218" s="47" t="s">
        <v>7377</v>
      </c>
      <c r="Q218" s="47" t="s">
        <v>7378</v>
      </c>
      <c r="R218" s="47" t="s">
        <v>7379</v>
      </c>
      <c r="S218" s="47" t="s">
        <v>7380</v>
      </c>
      <c r="T218" s="47" t="s">
        <v>7381</v>
      </c>
      <c r="U218" s="47" t="s">
        <v>7382</v>
      </c>
    </row>
    <row r="219" spans="1:21" x14ac:dyDescent="0.2">
      <c r="A219" s="47" t="s">
        <v>29</v>
      </c>
      <c r="D219" s="47" t="s">
        <v>730</v>
      </c>
      <c r="G219" s="47" t="s">
        <v>10182</v>
      </c>
      <c r="H219" s="47" t="s">
        <v>731</v>
      </c>
      <c r="I219" s="47" t="s">
        <v>732</v>
      </c>
      <c r="J219" s="47" t="s">
        <v>733</v>
      </c>
      <c r="K219" s="47" t="s">
        <v>734</v>
      </c>
      <c r="L219" s="47" t="s">
        <v>735</v>
      </c>
      <c r="M219" s="47" t="s">
        <v>736</v>
      </c>
      <c r="N219" s="47" t="s">
        <v>737</v>
      </c>
      <c r="O219" s="47" t="s">
        <v>2176</v>
      </c>
      <c r="P219" s="47" t="s">
        <v>2177</v>
      </c>
      <c r="Q219" s="47" t="s">
        <v>2178</v>
      </c>
      <c r="R219" s="47" t="s">
        <v>2179</v>
      </c>
      <c r="S219" s="47" t="s">
        <v>2180</v>
      </c>
      <c r="T219" s="47" t="s">
        <v>2181</v>
      </c>
    </row>
    <row r="220" spans="1:21" x14ac:dyDescent="0.2">
      <c r="A220" s="47" t="s">
        <v>29</v>
      </c>
      <c r="D220" s="47" t="s">
        <v>5014</v>
      </c>
      <c r="G220" s="47" t="s">
        <v>8688</v>
      </c>
      <c r="H220" s="47" t="s">
        <v>5015</v>
      </c>
      <c r="I220" s="47" t="s">
        <v>5016</v>
      </c>
      <c r="J220" s="47" t="s">
        <v>5017</v>
      </c>
      <c r="K220" s="47" t="s">
        <v>5018</v>
      </c>
      <c r="L220" s="47" t="s">
        <v>5019</v>
      </c>
      <c r="M220" s="47" t="s">
        <v>5020</v>
      </c>
      <c r="N220" s="47" t="s">
        <v>5021</v>
      </c>
      <c r="O220" s="47" t="s">
        <v>5813</v>
      </c>
      <c r="P220" s="47" t="s">
        <v>5814</v>
      </c>
      <c r="Q220" s="47" t="s">
        <v>5815</v>
      </c>
      <c r="R220" s="47" t="s">
        <v>5816</v>
      </c>
      <c r="S220" s="47" t="s">
        <v>5817</v>
      </c>
      <c r="T220" s="47" t="s">
        <v>5818</v>
      </c>
    </row>
    <row r="221" spans="1:21" x14ac:dyDescent="0.2">
      <c r="A221" s="47" t="s">
        <v>29</v>
      </c>
    </row>
    <row r="222" spans="1:21" x14ac:dyDescent="0.2">
      <c r="A222" s="47" t="s">
        <v>29</v>
      </c>
      <c r="E222" s="47" t="s">
        <v>30</v>
      </c>
      <c r="F222" s="47" t="s">
        <v>30</v>
      </c>
      <c r="G222" s="47" t="s">
        <v>30</v>
      </c>
      <c r="J222" s="47" t="s">
        <v>30</v>
      </c>
      <c r="K222" s="47" t="s">
        <v>30</v>
      </c>
      <c r="L222" s="47" t="s">
        <v>30</v>
      </c>
      <c r="M222" s="47" t="s">
        <v>30</v>
      </c>
    </row>
    <row r="223" spans="1:21" x14ac:dyDescent="0.2">
      <c r="A223" s="47" t="s">
        <v>29</v>
      </c>
      <c r="D223" s="47" t="s">
        <v>7390</v>
      </c>
      <c r="E223" s="47" t="s">
        <v>3262</v>
      </c>
      <c r="F223" s="47" t="s">
        <v>7391</v>
      </c>
      <c r="H223" s="47" t="s">
        <v>7392</v>
      </c>
      <c r="O223" s="47" t="s">
        <v>10183</v>
      </c>
      <c r="P223" s="47" t="s">
        <v>10184</v>
      </c>
      <c r="Q223" s="47" t="s">
        <v>10185</v>
      </c>
      <c r="R223" s="47" t="s">
        <v>10186</v>
      </c>
      <c r="S223" s="47" t="s">
        <v>10187</v>
      </c>
      <c r="T223" s="47" t="s">
        <v>10188</v>
      </c>
      <c r="U223" s="47" t="s">
        <v>10189</v>
      </c>
    </row>
    <row r="224" spans="1:21" x14ac:dyDescent="0.2">
      <c r="A224" s="47" t="s">
        <v>29</v>
      </c>
      <c r="D224" s="47" t="s">
        <v>6329</v>
      </c>
      <c r="G224" s="47" t="s">
        <v>8630</v>
      </c>
      <c r="H224" s="47" t="s">
        <v>7069</v>
      </c>
      <c r="I224" s="47" t="s">
        <v>7070</v>
      </c>
      <c r="J224" s="47" t="s">
        <v>7083</v>
      </c>
      <c r="K224" s="47" t="s">
        <v>7084</v>
      </c>
      <c r="L224" s="47" t="s">
        <v>6330</v>
      </c>
      <c r="M224" s="47" t="s">
        <v>6331</v>
      </c>
      <c r="N224" s="47" t="s">
        <v>6332</v>
      </c>
      <c r="O224" s="47" t="s">
        <v>7071</v>
      </c>
      <c r="P224" s="47" t="s">
        <v>7073</v>
      </c>
      <c r="Q224" s="47" t="s">
        <v>7075</v>
      </c>
      <c r="R224" s="47" t="s">
        <v>7077</v>
      </c>
      <c r="S224" s="47" t="s">
        <v>7079</v>
      </c>
      <c r="T224" s="47" t="s">
        <v>7081</v>
      </c>
    </row>
    <row r="225" spans="1:21" x14ac:dyDescent="0.2">
      <c r="A225" s="47" t="s">
        <v>29</v>
      </c>
      <c r="D225" s="47" t="s">
        <v>1482</v>
      </c>
      <c r="G225" s="47" t="s">
        <v>8689</v>
      </c>
      <c r="H225" s="47" t="s">
        <v>1483</v>
      </c>
      <c r="I225" s="47" t="s">
        <v>1484</v>
      </c>
      <c r="J225" s="47" t="s">
        <v>1485</v>
      </c>
      <c r="K225" s="47" t="s">
        <v>1486</v>
      </c>
      <c r="L225" s="47" t="s">
        <v>1487</v>
      </c>
      <c r="M225" s="47" t="s">
        <v>1488</v>
      </c>
      <c r="N225" s="47" t="s">
        <v>1489</v>
      </c>
      <c r="O225" s="47" t="s">
        <v>7072</v>
      </c>
      <c r="P225" s="47" t="s">
        <v>7074</v>
      </c>
      <c r="Q225" s="47" t="s">
        <v>7076</v>
      </c>
      <c r="R225" s="47" t="s">
        <v>7078</v>
      </c>
      <c r="S225" s="47" t="s">
        <v>7080</v>
      </c>
      <c r="T225" s="47" t="s">
        <v>7082</v>
      </c>
    </row>
    <row r="226" spans="1:21" x14ac:dyDescent="0.2">
      <c r="A226" s="47" t="s">
        <v>29</v>
      </c>
    </row>
    <row r="227" spans="1:21" x14ac:dyDescent="0.2">
      <c r="A227" s="47" t="s">
        <v>29</v>
      </c>
      <c r="E227" s="47" t="s">
        <v>30</v>
      </c>
      <c r="F227" s="47" t="s">
        <v>30</v>
      </c>
      <c r="G227" s="47" t="s">
        <v>30</v>
      </c>
      <c r="J227" s="47" t="s">
        <v>30</v>
      </c>
      <c r="K227" s="47" t="s">
        <v>30</v>
      </c>
      <c r="L227" s="47" t="s">
        <v>30</v>
      </c>
      <c r="M227" s="47" t="s">
        <v>30</v>
      </c>
    </row>
    <row r="228" spans="1:21" x14ac:dyDescent="0.2">
      <c r="A228" s="47" t="s">
        <v>29</v>
      </c>
      <c r="D228" s="47" t="s">
        <v>10190</v>
      </c>
      <c r="E228" s="47" t="s">
        <v>3277</v>
      </c>
      <c r="F228" s="47" t="s">
        <v>10191</v>
      </c>
      <c r="H228" s="47" t="s">
        <v>10192</v>
      </c>
      <c r="O228" s="47" t="s">
        <v>10193</v>
      </c>
      <c r="P228" s="47" t="s">
        <v>10194</v>
      </c>
      <c r="Q228" s="47" t="s">
        <v>10195</v>
      </c>
      <c r="R228" s="47" t="s">
        <v>10196</v>
      </c>
      <c r="S228" s="47" t="s">
        <v>10197</v>
      </c>
      <c r="T228" s="47" t="s">
        <v>10198</v>
      </c>
      <c r="U228" s="47" t="s">
        <v>10199</v>
      </c>
    </row>
    <row r="229" spans="1:21" x14ac:dyDescent="0.2">
      <c r="A229" s="47" t="s">
        <v>29</v>
      </c>
      <c r="D229" s="47" t="s">
        <v>746</v>
      </c>
      <c r="G229" s="47" t="s">
        <v>10200</v>
      </c>
      <c r="H229" s="47" t="s">
        <v>747</v>
      </c>
      <c r="I229" s="47" t="s">
        <v>748</v>
      </c>
      <c r="J229" s="47" t="s">
        <v>749</v>
      </c>
      <c r="K229" s="47" t="s">
        <v>750</v>
      </c>
      <c r="L229" s="47" t="s">
        <v>751</v>
      </c>
      <c r="M229" s="47" t="s">
        <v>752</v>
      </c>
      <c r="N229" s="47" t="s">
        <v>753</v>
      </c>
      <c r="O229" s="47" t="s">
        <v>8996</v>
      </c>
      <c r="P229" s="47" t="s">
        <v>8997</v>
      </c>
      <c r="Q229" s="47" t="s">
        <v>8998</v>
      </c>
      <c r="R229" s="47" t="s">
        <v>8999</v>
      </c>
      <c r="S229" s="47" t="s">
        <v>9000</v>
      </c>
      <c r="T229" s="47" t="s">
        <v>9001</v>
      </c>
    </row>
    <row r="230" spans="1:21" x14ac:dyDescent="0.2">
      <c r="A230" s="47" t="s">
        <v>29</v>
      </c>
    </row>
    <row r="231" spans="1:21" x14ac:dyDescent="0.2">
      <c r="A231" s="47" t="s">
        <v>29</v>
      </c>
      <c r="E231" s="47" t="s">
        <v>30</v>
      </c>
      <c r="F231" s="47" t="s">
        <v>30</v>
      </c>
      <c r="G231" s="47" t="s">
        <v>30</v>
      </c>
      <c r="J231" s="47" t="s">
        <v>30</v>
      </c>
      <c r="K231" s="47" t="s">
        <v>30</v>
      </c>
      <c r="L231" s="47" t="s">
        <v>30</v>
      </c>
      <c r="M231" s="47" t="s">
        <v>30</v>
      </c>
    </row>
    <row r="232" spans="1:21" x14ac:dyDescent="0.2">
      <c r="A232" s="47" t="s">
        <v>29</v>
      </c>
      <c r="D232" s="47" t="s">
        <v>7415</v>
      </c>
      <c r="E232" s="47" t="s">
        <v>3286</v>
      </c>
      <c r="F232" s="47" t="s">
        <v>7416</v>
      </c>
      <c r="H232" s="47" t="s">
        <v>7417</v>
      </c>
      <c r="O232" s="47" t="s">
        <v>10201</v>
      </c>
      <c r="P232" s="47" t="s">
        <v>10202</v>
      </c>
      <c r="Q232" s="47" t="s">
        <v>10203</v>
      </c>
      <c r="R232" s="47" t="s">
        <v>10204</v>
      </c>
      <c r="S232" s="47" t="s">
        <v>10205</v>
      </c>
      <c r="T232" s="47" t="s">
        <v>10206</v>
      </c>
      <c r="U232" s="47" t="s">
        <v>10207</v>
      </c>
    </row>
    <row r="233" spans="1:21" x14ac:dyDescent="0.2">
      <c r="A233" s="47" t="s">
        <v>29</v>
      </c>
      <c r="D233" s="47" t="s">
        <v>4400</v>
      </c>
      <c r="G233" s="47" t="s">
        <v>10208</v>
      </c>
      <c r="H233" s="47" t="s">
        <v>4401</v>
      </c>
      <c r="I233" s="47" t="s">
        <v>4402</v>
      </c>
      <c r="J233" s="47" t="s">
        <v>4403</v>
      </c>
      <c r="K233" s="47" t="s">
        <v>4404</v>
      </c>
      <c r="L233" s="47" t="s">
        <v>4405</v>
      </c>
      <c r="M233" s="47" t="s">
        <v>4406</v>
      </c>
      <c r="N233" s="47" t="s">
        <v>4407</v>
      </c>
      <c r="O233" s="47" t="s">
        <v>5801</v>
      </c>
      <c r="P233" s="47" t="s">
        <v>5803</v>
      </c>
      <c r="Q233" s="47" t="s">
        <v>5805</v>
      </c>
      <c r="R233" s="47" t="s">
        <v>5807</v>
      </c>
      <c r="S233" s="47" t="s">
        <v>5809</v>
      </c>
      <c r="T233" s="47" t="s">
        <v>5811</v>
      </c>
    </row>
    <row r="234" spans="1:21" x14ac:dyDescent="0.2">
      <c r="A234" s="47" t="s">
        <v>29</v>
      </c>
      <c r="D234" s="47" t="s">
        <v>762</v>
      </c>
      <c r="G234" s="47" t="s">
        <v>8691</v>
      </c>
      <c r="H234" s="47" t="s">
        <v>763</v>
      </c>
      <c r="I234" s="47" t="s">
        <v>764</v>
      </c>
      <c r="J234" s="47" t="s">
        <v>765</v>
      </c>
      <c r="K234" s="47" t="s">
        <v>766</v>
      </c>
      <c r="L234" s="47" t="s">
        <v>767</v>
      </c>
      <c r="M234" s="47" t="s">
        <v>768</v>
      </c>
      <c r="N234" s="47" t="s">
        <v>769</v>
      </c>
      <c r="O234" s="47" t="s">
        <v>5802</v>
      </c>
      <c r="P234" s="47" t="s">
        <v>5804</v>
      </c>
      <c r="Q234" s="47" t="s">
        <v>5806</v>
      </c>
      <c r="R234" s="47" t="s">
        <v>5808</v>
      </c>
      <c r="S234" s="47" t="s">
        <v>5810</v>
      </c>
      <c r="T234" s="47" t="s">
        <v>5812</v>
      </c>
    </row>
    <row r="235" spans="1:21" x14ac:dyDescent="0.2">
      <c r="A235" s="47" t="s">
        <v>29</v>
      </c>
    </row>
    <row r="236" spans="1:21" x14ac:dyDescent="0.2">
      <c r="A236" s="47" t="s">
        <v>29</v>
      </c>
      <c r="E236" s="47" t="s">
        <v>30</v>
      </c>
      <c r="F236" s="47" t="s">
        <v>30</v>
      </c>
      <c r="G236" s="47" t="s">
        <v>30</v>
      </c>
      <c r="J236" s="47" t="s">
        <v>30</v>
      </c>
      <c r="K236" s="47" t="s">
        <v>30</v>
      </c>
      <c r="L236" s="47" t="s">
        <v>30</v>
      </c>
      <c r="M236" s="47" t="s">
        <v>30</v>
      </c>
    </row>
    <row r="237" spans="1:21" x14ac:dyDescent="0.2">
      <c r="A237" s="47" t="s">
        <v>29</v>
      </c>
      <c r="D237" s="47" t="s">
        <v>5028</v>
      </c>
      <c r="E237" s="47" t="s">
        <v>3323</v>
      </c>
      <c r="F237" s="47" t="s">
        <v>5029</v>
      </c>
      <c r="H237" s="47" t="s">
        <v>5030</v>
      </c>
      <c r="O237" s="47" t="s">
        <v>9301</v>
      </c>
      <c r="P237" s="47" t="s">
        <v>9302</v>
      </c>
      <c r="Q237" s="47" t="s">
        <v>9303</v>
      </c>
      <c r="R237" s="47" t="s">
        <v>9304</v>
      </c>
      <c r="S237" s="47" t="s">
        <v>9305</v>
      </c>
      <c r="T237" s="47" t="s">
        <v>9306</v>
      </c>
      <c r="U237" s="47" t="s">
        <v>9307</v>
      </c>
    </row>
    <row r="238" spans="1:21" x14ac:dyDescent="0.2">
      <c r="A238" s="47" t="s">
        <v>29</v>
      </c>
      <c r="D238" s="47" t="s">
        <v>1683</v>
      </c>
      <c r="G238" s="47" t="s">
        <v>10209</v>
      </c>
      <c r="H238" s="47" t="s">
        <v>1684</v>
      </c>
      <c r="I238" s="47" t="s">
        <v>1685</v>
      </c>
      <c r="J238" s="47" t="s">
        <v>1686</v>
      </c>
      <c r="K238" s="47" t="s">
        <v>1687</v>
      </c>
      <c r="L238" s="47" t="s">
        <v>1688</v>
      </c>
      <c r="M238" s="47" t="s">
        <v>1689</v>
      </c>
      <c r="N238" s="47" t="s">
        <v>1690</v>
      </c>
      <c r="O238" s="47" t="s">
        <v>2917</v>
      </c>
      <c r="P238" s="47" t="s">
        <v>2918</v>
      </c>
      <c r="Q238" s="47" t="s">
        <v>2919</v>
      </c>
      <c r="R238" s="47" t="s">
        <v>2920</v>
      </c>
      <c r="S238" s="47" t="s">
        <v>2921</v>
      </c>
      <c r="T238" s="47" t="s">
        <v>2922</v>
      </c>
    </row>
    <row r="239" spans="1:21" x14ac:dyDescent="0.2">
      <c r="A239" s="47" t="s">
        <v>29</v>
      </c>
    </row>
    <row r="240" spans="1:21" x14ac:dyDescent="0.2">
      <c r="A240" s="47" t="s">
        <v>29</v>
      </c>
      <c r="E240" s="47" t="s">
        <v>30</v>
      </c>
      <c r="F240" s="47" t="s">
        <v>30</v>
      </c>
      <c r="G240" s="47" t="s">
        <v>30</v>
      </c>
      <c r="J240" s="47" t="s">
        <v>30</v>
      </c>
      <c r="K240" s="47" t="s">
        <v>30</v>
      </c>
      <c r="L240" s="47" t="s">
        <v>30</v>
      </c>
      <c r="M240" s="47" t="s">
        <v>30</v>
      </c>
    </row>
    <row r="241" spans="1:21" x14ac:dyDescent="0.2">
      <c r="A241" s="47" t="s">
        <v>29</v>
      </c>
      <c r="D241" s="47" t="s">
        <v>9308</v>
      </c>
      <c r="E241" s="47" t="s">
        <v>3332</v>
      </c>
      <c r="F241" s="47" t="s">
        <v>9309</v>
      </c>
      <c r="H241" s="47" t="s">
        <v>9310</v>
      </c>
      <c r="O241" s="47" t="s">
        <v>10210</v>
      </c>
      <c r="P241" s="47" t="s">
        <v>10211</v>
      </c>
      <c r="Q241" s="47" t="s">
        <v>10212</v>
      </c>
      <c r="R241" s="47" t="s">
        <v>10213</v>
      </c>
      <c r="S241" s="47" t="s">
        <v>10214</v>
      </c>
      <c r="T241" s="47" t="s">
        <v>10215</v>
      </c>
      <c r="U241" s="47" t="s">
        <v>10216</v>
      </c>
    </row>
    <row r="242" spans="1:21" x14ac:dyDescent="0.2">
      <c r="A242" s="47" t="s">
        <v>29</v>
      </c>
      <c r="D242" s="47" t="s">
        <v>1914</v>
      </c>
      <c r="G242" s="47" t="s">
        <v>10217</v>
      </c>
      <c r="H242" s="47" t="s">
        <v>1915</v>
      </c>
      <c r="I242" s="47" t="s">
        <v>1916</v>
      </c>
      <c r="J242" s="47" t="s">
        <v>1917</v>
      </c>
      <c r="K242" s="47" t="s">
        <v>1918</v>
      </c>
      <c r="L242" s="47" t="s">
        <v>1919</v>
      </c>
      <c r="M242" s="47" t="s">
        <v>1920</v>
      </c>
      <c r="N242" s="47" t="s">
        <v>1921</v>
      </c>
      <c r="O242" s="47" t="s">
        <v>2182</v>
      </c>
      <c r="P242" s="47" t="s">
        <v>2183</v>
      </c>
      <c r="Q242" s="47" t="s">
        <v>2184</v>
      </c>
      <c r="R242" s="47" t="s">
        <v>2185</v>
      </c>
      <c r="S242" s="47" t="s">
        <v>2186</v>
      </c>
      <c r="T242" s="47" t="s">
        <v>2187</v>
      </c>
    </row>
    <row r="243" spans="1:21" x14ac:dyDescent="0.2">
      <c r="A243" s="47" t="s">
        <v>29</v>
      </c>
      <c r="D243" s="47" t="s">
        <v>778</v>
      </c>
      <c r="G243" s="47" t="s">
        <v>8692</v>
      </c>
      <c r="H243" s="47" t="s">
        <v>779</v>
      </c>
      <c r="I243" s="47" t="s">
        <v>780</v>
      </c>
      <c r="J243" s="47" t="s">
        <v>781</v>
      </c>
      <c r="K243" s="47" t="s">
        <v>782</v>
      </c>
      <c r="L243" s="47" t="s">
        <v>783</v>
      </c>
      <c r="M243" s="47" t="s">
        <v>784</v>
      </c>
      <c r="N243" s="47" t="s">
        <v>785</v>
      </c>
      <c r="O243" s="47" t="s">
        <v>8990</v>
      </c>
      <c r="P243" s="47" t="s">
        <v>8991</v>
      </c>
      <c r="Q243" s="47" t="s">
        <v>8992</v>
      </c>
      <c r="R243" s="47" t="s">
        <v>8993</v>
      </c>
      <c r="S243" s="47" t="s">
        <v>8994</v>
      </c>
      <c r="T243" s="47" t="s">
        <v>8995</v>
      </c>
    </row>
    <row r="244" spans="1:21" x14ac:dyDescent="0.2">
      <c r="A244" s="47" t="s">
        <v>29</v>
      </c>
    </row>
    <row r="245" spans="1:21" x14ac:dyDescent="0.2">
      <c r="A245" s="47" t="s">
        <v>29</v>
      </c>
      <c r="E245" s="47" t="s">
        <v>30</v>
      </c>
      <c r="F245" s="47" t="s">
        <v>30</v>
      </c>
      <c r="G245" s="47" t="s">
        <v>30</v>
      </c>
      <c r="J245" s="47" t="s">
        <v>30</v>
      </c>
      <c r="K245" s="47" t="s">
        <v>30</v>
      </c>
      <c r="L245" s="47" t="s">
        <v>30</v>
      </c>
      <c r="M245" s="47" t="s">
        <v>30</v>
      </c>
    </row>
    <row r="246" spans="1:21" x14ac:dyDescent="0.2">
      <c r="A246" s="47" t="s">
        <v>29</v>
      </c>
      <c r="D246" s="47" t="s">
        <v>9284</v>
      </c>
      <c r="E246" s="47" t="s">
        <v>3347</v>
      </c>
      <c r="F246" s="47" t="s">
        <v>9285</v>
      </c>
      <c r="H246" s="47" t="s">
        <v>9286</v>
      </c>
      <c r="O246" s="47" t="s">
        <v>10218</v>
      </c>
      <c r="P246" s="47" t="s">
        <v>10219</v>
      </c>
      <c r="Q246" s="47" t="s">
        <v>10220</v>
      </c>
      <c r="R246" s="47" t="s">
        <v>10221</v>
      </c>
      <c r="S246" s="47" t="s">
        <v>10222</v>
      </c>
      <c r="T246" s="47" t="s">
        <v>10223</v>
      </c>
      <c r="U246" s="47" t="s">
        <v>10224</v>
      </c>
    </row>
    <row r="247" spans="1:21" x14ac:dyDescent="0.2">
      <c r="A247" s="47" t="s">
        <v>29</v>
      </c>
      <c r="D247" s="47" t="s">
        <v>786</v>
      </c>
      <c r="G247" s="47" t="s">
        <v>10225</v>
      </c>
      <c r="H247" s="47" t="s">
        <v>787</v>
      </c>
      <c r="I247" s="47" t="s">
        <v>788</v>
      </c>
      <c r="J247" s="47" t="s">
        <v>789</v>
      </c>
      <c r="K247" s="47" t="s">
        <v>790</v>
      </c>
      <c r="L247" s="47" t="s">
        <v>791</v>
      </c>
      <c r="M247" s="47" t="s">
        <v>792</v>
      </c>
      <c r="N247" s="47" t="s">
        <v>793</v>
      </c>
      <c r="O247" s="47" t="s">
        <v>7063</v>
      </c>
      <c r="P247" s="47" t="s">
        <v>7064</v>
      </c>
      <c r="Q247" s="47" t="s">
        <v>7065</v>
      </c>
      <c r="R247" s="47" t="s">
        <v>7066</v>
      </c>
      <c r="S247" s="47" t="s">
        <v>7067</v>
      </c>
      <c r="T247" s="47" t="s">
        <v>7068</v>
      </c>
    </row>
    <row r="248" spans="1:21" x14ac:dyDescent="0.2">
      <c r="A248" s="47" t="s">
        <v>29</v>
      </c>
    </row>
    <row r="249" spans="1:21" x14ac:dyDescent="0.2">
      <c r="A249" s="47" t="s">
        <v>29</v>
      </c>
      <c r="E249" s="47" t="s">
        <v>30</v>
      </c>
      <c r="F249" s="47" t="s">
        <v>30</v>
      </c>
      <c r="G249" s="47" t="s">
        <v>30</v>
      </c>
      <c r="J249" s="47" t="s">
        <v>30</v>
      </c>
      <c r="K249" s="47" t="s">
        <v>30</v>
      </c>
      <c r="L249" s="47" t="s">
        <v>30</v>
      </c>
      <c r="M249" s="47" t="s">
        <v>30</v>
      </c>
    </row>
    <row r="250" spans="1:21" x14ac:dyDescent="0.2">
      <c r="A250" s="47" t="s">
        <v>29</v>
      </c>
      <c r="D250" s="47" t="s">
        <v>5041</v>
      </c>
      <c r="E250" s="47" t="s">
        <v>3348</v>
      </c>
      <c r="F250" s="47" t="s">
        <v>5042</v>
      </c>
      <c r="H250" s="47" t="s">
        <v>5043</v>
      </c>
      <c r="O250" s="47" t="s">
        <v>10226</v>
      </c>
      <c r="P250" s="47" t="s">
        <v>10227</v>
      </c>
      <c r="Q250" s="47" t="s">
        <v>10228</v>
      </c>
      <c r="R250" s="47" t="s">
        <v>10229</v>
      </c>
      <c r="S250" s="47" t="s">
        <v>10230</v>
      </c>
      <c r="T250" s="47" t="s">
        <v>10231</v>
      </c>
      <c r="U250" s="47" t="s">
        <v>10232</v>
      </c>
    </row>
    <row r="251" spans="1:21" x14ac:dyDescent="0.2">
      <c r="A251" s="47" t="s">
        <v>29</v>
      </c>
      <c r="D251" s="47" t="s">
        <v>794</v>
      </c>
      <c r="G251" s="47" t="s">
        <v>10233</v>
      </c>
      <c r="H251" s="47" t="s">
        <v>795</v>
      </c>
      <c r="I251" s="47" t="s">
        <v>796</v>
      </c>
      <c r="J251" s="47" t="s">
        <v>797</v>
      </c>
      <c r="K251" s="47" t="s">
        <v>798</v>
      </c>
      <c r="L251" s="47" t="s">
        <v>799</v>
      </c>
      <c r="M251" s="47" t="s">
        <v>800</v>
      </c>
      <c r="N251" s="47" t="s">
        <v>801</v>
      </c>
      <c r="O251" s="47" t="s">
        <v>2188</v>
      </c>
      <c r="P251" s="47" t="s">
        <v>2189</v>
      </c>
      <c r="Q251" s="47" t="s">
        <v>2190</v>
      </c>
      <c r="R251" s="47" t="s">
        <v>2191</v>
      </c>
      <c r="S251" s="47" t="s">
        <v>2192</v>
      </c>
      <c r="T251" s="47" t="s">
        <v>2193</v>
      </c>
    </row>
    <row r="252" spans="1:21" x14ac:dyDescent="0.2">
      <c r="A252" s="47" t="s">
        <v>29</v>
      </c>
      <c r="D252" s="47" t="s">
        <v>802</v>
      </c>
      <c r="G252" s="47" t="s">
        <v>8693</v>
      </c>
      <c r="H252" s="47" t="s">
        <v>803</v>
      </c>
      <c r="I252" s="47" t="s">
        <v>804</v>
      </c>
      <c r="J252" s="47" t="s">
        <v>805</v>
      </c>
      <c r="K252" s="47" t="s">
        <v>806</v>
      </c>
      <c r="L252" s="47" t="s">
        <v>807</v>
      </c>
      <c r="M252" s="47" t="s">
        <v>808</v>
      </c>
      <c r="N252" s="47" t="s">
        <v>809</v>
      </c>
      <c r="O252" s="47" t="s">
        <v>2825</v>
      </c>
      <c r="P252" s="47" t="s">
        <v>2826</v>
      </c>
      <c r="Q252" s="47" t="s">
        <v>2827</v>
      </c>
      <c r="R252" s="47" t="s">
        <v>2828</v>
      </c>
      <c r="S252" s="47" t="s">
        <v>2829</v>
      </c>
      <c r="T252" s="47" t="s">
        <v>2830</v>
      </c>
    </row>
    <row r="253" spans="1:21" x14ac:dyDescent="0.2">
      <c r="A253" s="47" t="s">
        <v>29</v>
      </c>
    </row>
    <row r="254" spans="1:21" x14ac:dyDescent="0.2">
      <c r="A254" s="47" t="s">
        <v>29</v>
      </c>
      <c r="E254" s="47" t="s">
        <v>30</v>
      </c>
      <c r="F254" s="47" t="s">
        <v>30</v>
      </c>
      <c r="G254" s="47" t="s">
        <v>30</v>
      </c>
      <c r="J254" s="47" t="s">
        <v>30</v>
      </c>
      <c r="K254" s="47" t="s">
        <v>30</v>
      </c>
      <c r="L254" s="47" t="s">
        <v>30</v>
      </c>
      <c r="M254" s="47" t="s">
        <v>30</v>
      </c>
    </row>
    <row r="255" spans="1:21" x14ac:dyDescent="0.2">
      <c r="A255" s="47" t="s">
        <v>29</v>
      </c>
      <c r="D255" s="47" t="s">
        <v>4420</v>
      </c>
      <c r="E255" s="47" t="s">
        <v>3377</v>
      </c>
      <c r="F255" s="47" t="s">
        <v>4421</v>
      </c>
      <c r="H255" s="47" t="s">
        <v>4422</v>
      </c>
      <c r="O255" s="47" t="s">
        <v>10234</v>
      </c>
      <c r="P255" s="47" t="s">
        <v>10235</v>
      </c>
      <c r="Q255" s="47" t="s">
        <v>10236</v>
      </c>
      <c r="R255" s="47" t="s">
        <v>10237</v>
      </c>
      <c r="S255" s="47" t="s">
        <v>10238</v>
      </c>
      <c r="T255" s="47" t="s">
        <v>10239</v>
      </c>
      <c r="U255" s="47" t="s">
        <v>10240</v>
      </c>
    </row>
    <row r="256" spans="1:21" x14ac:dyDescent="0.2">
      <c r="A256" s="47" t="s">
        <v>29</v>
      </c>
      <c r="D256" s="47" t="s">
        <v>1922</v>
      </c>
      <c r="G256" s="47" t="s">
        <v>8635</v>
      </c>
      <c r="H256" s="47" t="s">
        <v>1923</v>
      </c>
      <c r="I256" s="47" t="s">
        <v>1924</v>
      </c>
      <c r="J256" s="47" t="s">
        <v>1925</v>
      </c>
      <c r="K256" s="47" t="s">
        <v>1926</v>
      </c>
      <c r="L256" s="47" t="s">
        <v>1927</v>
      </c>
      <c r="M256" s="47" t="s">
        <v>1928</v>
      </c>
      <c r="N256" s="47" t="s">
        <v>1929</v>
      </c>
      <c r="O256" s="47" t="s">
        <v>2194</v>
      </c>
      <c r="P256" s="47" t="s">
        <v>2195</v>
      </c>
      <c r="Q256" s="47" t="s">
        <v>2196</v>
      </c>
      <c r="R256" s="47" t="s">
        <v>2197</v>
      </c>
      <c r="S256" s="47" t="s">
        <v>2198</v>
      </c>
      <c r="T256" s="47" t="s">
        <v>2199</v>
      </c>
    </row>
    <row r="257" spans="1:21" x14ac:dyDescent="0.2">
      <c r="A257" s="47" t="s">
        <v>29</v>
      </c>
      <c r="D257" s="47" t="s">
        <v>810</v>
      </c>
      <c r="G257" s="47" t="s">
        <v>8694</v>
      </c>
      <c r="H257" s="47" t="s">
        <v>811</v>
      </c>
      <c r="I257" s="47" t="s">
        <v>812</v>
      </c>
      <c r="J257" s="47" t="s">
        <v>813</v>
      </c>
      <c r="K257" s="47" t="s">
        <v>814</v>
      </c>
      <c r="L257" s="47" t="s">
        <v>815</v>
      </c>
      <c r="M257" s="47" t="s">
        <v>816</v>
      </c>
      <c r="N257" s="47" t="s">
        <v>817</v>
      </c>
      <c r="O257" s="47" t="s">
        <v>2831</v>
      </c>
      <c r="P257" s="47" t="s">
        <v>2832</v>
      </c>
      <c r="Q257" s="47" t="s">
        <v>2833</v>
      </c>
      <c r="R257" s="47" t="s">
        <v>2834</v>
      </c>
      <c r="S257" s="47" t="s">
        <v>2835</v>
      </c>
      <c r="T257" s="47" t="s">
        <v>2836</v>
      </c>
    </row>
    <row r="258" spans="1:21" x14ac:dyDescent="0.2">
      <c r="A258" s="47" t="s">
        <v>29</v>
      </c>
      <c r="D258" s="47" t="s">
        <v>818</v>
      </c>
      <c r="G258" s="47" t="s">
        <v>8695</v>
      </c>
      <c r="H258" s="47" t="s">
        <v>819</v>
      </c>
      <c r="I258" s="47" t="s">
        <v>820</v>
      </c>
      <c r="J258" s="47" t="s">
        <v>821</v>
      </c>
      <c r="K258" s="47" t="s">
        <v>822</v>
      </c>
      <c r="L258" s="47" t="s">
        <v>823</v>
      </c>
      <c r="M258" s="47" t="s">
        <v>824</v>
      </c>
      <c r="N258" s="47" t="s">
        <v>825</v>
      </c>
      <c r="O258" s="47" t="s">
        <v>8984</v>
      </c>
      <c r="P258" s="47" t="s">
        <v>8985</v>
      </c>
      <c r="Q258" s="47" t="s">
        <v>8986</v>
      </c>
      <c r="R258" s="47" t="s">
        <v>8987</v>
      </c>
      <c r="S258" s="47" t="s">
        <v>8988</v>
      </c>
      <c r="T258" s="47" t="s">
        <v>8989</v>
      </c>
    </row>
    <row r="259" spans="1:21" x14ac:dyDescent="0.2">
      <c r="A259" s="47" t="s">
        <v>29</v>
      </c>
    </row>
    <row r="260" spans="1:21" x14ac:dyDescent="0.2">
      <c r="A260" s="47" t="s">
        <v>29</v>
      </c>
      <c r="E260" s="47" t="s">
        <v>30</v>
      </c>
      <c r="F260" s="47" t="s">
        <v>30</v>
      </c>
      <c r="G260" s="47" t="s">
        <v>30</v>
      </c>
      <c r="J260" s="47" t="s">
        <v>30</v>
      </c>
      <c r="K260" s="47" t="s">
        <v>30</v>
      </c>
      <c r="L260" s="47" t="s">
        <v>30</v>
      </c>
      <c r="M260" s="47" t="s">
        <v>30</v>
      </c>
    </row>
    <row r="261" spans="1:21" x14ac:dyDescent="0.2">
      <c r="A261" s="47" t="s">
        <v>29</v>
      </c>
      <c r="D261" s="47" t="s">
        <v>9327</v>
      </c>
      <c r="E261" s="47" t="s">
        <v>3378</v>
      </c>
      <c r="F261" s="47" t="s">
        <v>9328</v>
      </c>
      <c r="H261" s="47" t="s">
        <v>9329</v>
      </c>
      <c r="O261" s="47" t="s">
        <v>10241</v>
      </c>
      <c r="P261" s="47" t="s">
        <v>10242</v>
      </c>
      <c r="Q261" s="47" t="s">
        <v>10243</v>
      </c>
      <c r="R261" s="47" t="s">
        <v>10244</v>
      </c>
      <c r="S261" s="47" t="s">
        <v>10245</v>
      </c>
      <c r="T261" s="47" t="s">
        <v>10246</v>
      </c>
      <c r="U261" s="47" t="s">
        <v>10247</v>
      </c>
    </row>
    <row r="262" spans="1:21" x14ac:dyDescent="0.2">
      <c r="A262" s="47" t="s">
        <v>29</v>
      </c>
      <c r="D262" s="47" t="s">
        <v>1930</v>
      </c>
      <c r="G262" s="47" t="s">
        <v>10248</v>
      </c>
      <c r="H262" s="47" t="s">
        <v>1931</v>
      </c>
      <c r="I262" s="47" t="s">
        <v>1932</v>
      </c>
      <c r="J262" s="47" t="s">
        <v>1933</v>
      </c>
      <c r="K262" s="47" t="s">
        <v>1934</v>
      </c>
      <c r="L262" s="47" t="s">
        <v>1935</v>
      </c>
      <c r="M262" s="47" t="s">
        <v>1936</v>
      </c>
      <c r="N262" s="47" t="s">
        <v>1937</v>
      </c>
      <c r="O262" s="47" t="s">
        <v>5795</v>
      </c>
      <c r="P262" s="47" t="s">
        <v>5796</v>
      </c>
      <c r="Q262" s="47" t="s">
        <v>5797</v>
      </c>
      <c r="R262" s="47" t="s">
        <v>5798</v>
      </c>
      <c r="S262" s="47" t="s">
        <v>5799</v>
      </c>
      <c r="T262" s="47" t="s">
        <v>5800</v>
      </c>
    </row>
    <row r="263" spans="1:21" x14ac:dyDescent="0.2">
      <c r="A263" s="47" t="s">
        <v>29</v>
      </c>
    </row>
    <row r="264" spans="1:21" x14ac:dyDescent="0.2">
      <c r="A264" s="47" t="s">
        <v>29</v>
      </c>
      <c r="E264" s="47" t="s">
        <v>30</v>
      </c>
      <c r="F264" s="47" t="s">
        <v>30</v>
      </c>
      <c r="G264" s="47" t="s">
        <v>30</v>
      </c>
      <c r="J264" s="47" t="s">
        <v>30</v>
      </c>
      <c r="K264" s="47" t="s">
        <v>30</v>
      </c>
      <c r="L264" s="47" t="s">
        <v>30</v>
      </c>
      <c r="M264" s="47" t="s">
        <v>30</v>
      </c>
    </row>
    <row r="265" spans="1:21" x14ac:dyDescent="0.2">
      <c r="A265" s="47" t="s">
        <v>29</v>
      </c>
      <c r="D265" s="47" t="s">
        <v>4435</v>
      </c>
      <c r="E265" s="47" t="s">
        <v>3379</v>
      </c>
      <c r="F265" s="47" t="s">
        <v>4436</v>
      </c>
      <c r="H265" s="47" t="s">
        <v>4437</v>
      </c>
      <c r="O265" s="47" t="s">
        <v>10249</v>
      </c>
      <c r="P265" s="47" t="s">
        <v>10250</v>
      </c>
      <c r="Q265" s="47" t="s">
        <v>10251</v>
      </c>
      <c r="R265" s="47" t="s">
        <v>10252</v>
      </c>
      <c r="S265" s="47" t="s">
        <v>10253</v>
      </c>
      <c r="T265" s="47" t="s">
        <v>10254</v>
      </c>
      <c r="U265" s="47" t="s">
        <v>10255</v>
      </c>
    </row>
    <row r="266" spans="1:21" x14ac:dyDescent="0.2">
      <c r="A266" s="47" t="s">
        <v>29</v>
      </c>
      <c r="D266" s="47" t="s">
        <v>1699</v>
      </c>
      <c r="G266" s="47" t="s">
        <v>10256</v>
      </c>
      <c r="H266" s="47" t="s">
        <v>1700</v>
      </c>
      <c r="I266" s="47" t="s">
        <v>1701</v>
      </c>
      <c r="J266" s="47" t="s">
        <v>1702</v>
      </c>
      <c r="K266" s="47" t="s">
        <v>1703</v>
      </c>
      <c r="L266" s="47" t="s">
        <v>1704</v>
      </c>
      <c r="M266" s="47" t="s">
        <v>1705</v>
      </c>
      <c r="N266" s="47" t="s">
        <v>1706</v>
      </c>
      <c r="O266" s="47" t="s">
        <v>7037</v>
      </c>
      <c r="P266" s="47" t="s">
        <v>7041</v>
      </c>
      <c r="Q266" s="47" t="s">
        <v>7045</v>
      </c>
      <c r="R266" s="47" t="s">
        <v>7049</v>
      </c>
      <c r="S266" s="47" t="s">
        <v>7053</v>
      </c>
      <c r="T266" s="47" t="s">
        <v>7057</v>
      </c>
    </row>
    <row r="267" spans="1:21" x14ac:dyDescent="0.2">
      <c r="A267" s="47" t="s">
        <v>29</v>
      </c>
      <c r="D267" s="47" t="s">
        <v>6333</v>
      </c>
      <c r="G267" s="47" t="s">
        <v>8697</v>
      </c>
      <c r="H267" s="47" t="s">
        <v>7035</v>
      </c>
      <c r="I267" s="47" t="s">
        <v>7036</v>
      </c>
      <c r="J267" s="47" t="s">
        <v>7061</v>
      </c>
      <c r="K267" s="47" t="s">
        <v>7062</v>
      </c>
      <c r="L267" s="47" t="s">
        <v>6334</v>
      </c>
      <c r="M267" s="47" t="s">
        <v>6335</v>
      </c>
      <c r="N267" s="47" t="s">
        <v>6336</v>
      </c>
      <c r="O267" s="47" t="s">
        <v>7038</v>
      </c>
      <c r="P267" s="47" t="s">
        <v>7042</v>
      </c>
      <c r="Q267" s="47" t="s">
        <v>7046</v>
      </c>
      <c r="R267" s="47" t="s">
        <v>7050</v>
      </c>
      <c r="S267" s="47" t="s">
        <v>7054</v>
      </c>
      <c r="T267" s="47" t="s">
        <v>7058</v>
      </c>
    </row>
    <row r="268" spans="1:21" x14ac:dyDescent="0.2">
      <c r="A268" s="47" t="s">
        <v>29</v>
      </c>
    </row>
    <row r="269" spans="1:21" x14ac:dyDescent="0.2">
      <c r="A269" s="47" t="s">
        <v>29</v>
      </c>
      <c r="E269" s="47" t="s">
        <v>30</v>
      </c>
      <c r="F269" s="47" t="s">
        <v>30</v>
      </c>
      <c r="G269" s="47" t="s">
        <v>30</v>
      </c>
      <c r="J269" s="47" t="s">
        <v>30</v>
      </c>
      <c r="K269" s="47" t="s">
        <v>30</v>
      </c>
      <c r="L269" s="47" t="s">
        <v>30</v>
      </c>
      <c r="M269" s="47" t="s">
        <v>30</v>
      </c>
    </row>
    <row r="270" spans="1:21" x14ac:dyDescent="0.2">
      <c r="A270" s="47" t="s">
        <v>29</v>
      </c>
      <c r="D270" s="47" t="s">
        <v>7418</v>
      </c>
      <c r="E270" s="47" t="s">
        <v>3396</v>
      </c>
      <c r="F270" s="47" t="s">
        <v>7419</v>
      </c>
      <c r="H270" s="47" t="s">
        <v>7420</v>
      </c>
      <c r="O270" s="47" t="s">
        <v>7533</v>
      </c>
      <c r="P270" s="47" t="s">
        <v>7534</v>
      </c>
      <c r="Q270" s="47" t="s">
        <v>7535</v>
      </c>
      <c r="R270" s="47" t="s">
        <v>7536</v>
      </c>
      <c r="S270" s="47" t="s">
        <v>7537</v>
      </c>
      <c r="T270" s="47" t="s">
        <v>7538</v>
      </c>
      <c r="U270" s="47" t="s">
        <v>7539</v>
      </c>
    </row>
    <row r="271" spans="1:21" x14ac:dyDescent="0.2">
      <c r="A271" s="47" t="s">
        <v>29</v>
      </c>
      <c r="D271" s="47" t="s">
        <v>3113</v>
      </c>
      <c r="G271" s="47" t="s">
        <v>10257</v>
      </c>
      <c r="H271" s="47" t="s">
        <v>3114</v>
      </c>
      <c r="I271" s="47" t="s">
        <v>3115</v>
      </c>
      <c r="J271" s="47" t="s">
        <v>3116</v>
      </c>
      <c r="K271" s="47" t="s">
        <v>3117</v>
      </c>
      <c r="L271" s="47" t="s">
        <v>3118</v>
      </c>
      <c r="M271" s="47" t="s">
        <v>3119</v>
      </c>
      <c r="N271" s="47" t="s">
        <v>3120</v>
      </c>
      <c r="O271" s="47" t="s">
        <v>3121</v>
      </c>
      <c r="P271" s="47" t="s">
        <v>3122</v>
      </c>
      <c r="Q271" s="47" t="s">
        <v>3123</v>
      </c>
      <c r="R271" s="47" t="s">
        <v>3124</v>
      </c>
      <c r="S271" s="47" t="s">
        <v>3125</v>
      </c>
      <c r="T271" s="47" t="s">
        <v>3126</v>
      </c>
    </row>
    <row r="272" spans="1:21" x14ac:dyDescent="0.2">
      <c r="A272" s="47" t="s">
        <v>29</v>
      </c>
      <c r="D272" s="47" t="s">
        <v>842</v>
      </c>
      <c r="G272" s="47" t="s">
        <v>8698</v>
      </c>
      <c r="H272" s="47" t="s">
        <v>843</v>
      </c>
      <c r="I272" s="47" t="s">
        <v>844</v>
      </c>
      <c r="J272" s="47" t="s">
        <v>845</v>
      </c>
      <c r="K272" s="47" t="s">
        <v>846</v>
      </c>
      <c r="L272" s="47" t="s">
        <v>847</v>
      </c>
      <c r="M272" s="47" t="s">
        <v>848</v>
      </c>
      <c r="N272" s="47" t="s">
        <v>849</v>
      </c>
      <c r="O272" s="47" t="s">
        <v>5783</v>
      </c>
      <c r="P272" s="47" t="s">
        <v>5785</v>
      </c>
      <c r="Q272" s="47" t="s">
        <v>5787</v>
      </c>
      <c r="R272" s="47" t="s">
        <v>5789</v>
      </c>
      <c r="S272" s="47" t="s">
        <v>5791</v>
      </c>
      <c r="T272" s="47" t="s">
        <v>5793</v>
      </c>
    </row>
    <row r="273" spans="1:21" x14ac:dyDescent="0.2">
      <c r="A273" s="47" t="s">
        <v>29</v>
      </c>
      <c r="D273" s="47" t="s">
        <v>850</v>
      </c>
      <c r="G273" s="47" t="s">
        <v>8699</v>
      </c>
      <c r="H273" s="47" t="s">
        <v>851</v>
      </c>
      <c r="I273" s="47" t="s">
        <v>852</v>
      </c>
      <c r="J273" s="47" t="s">
        <v>853</v>
      </c>
      <c r="K273" s="47" t="s">
        <v>854</v>
      </c>
      <c r="L273" s="47" t="s">
        <v>855</v>
      </c>
      <c r="M273" s="47" t="s">
        <v>856</v>
      </c>
      <c r="N273" s="47" t="s">
        <v>857</v>
      </c>
      <c r="O273" s="47" t="s">
        <v>5784</v>
      </c>
      <c r="P273" s="47" t="s">
        <v>5786</v>
      </c>
      <c r="Q273" s="47" t="s">
        <v>5788</v>
      </c>
      <c r="R273" s="47" t="s">
        <v>5790</v>
      </c>
      <c r="S273" s="47" t="s">
        <v>5792</v>
      </c>
      <c r="T273" s="47" t="s">
        <v>5794</v>
      </c>
    </row>
    <row r="274" spans="1:21" x14ac:dyDescent="0.2">
      <c r="A274" s="47" t="s">
        <v>29</v>
      </c>
    </row>
    <row r="275" spans="1:21" x14ac:dyDescent="0.2">
      <c r="A275" s="47" t="s">
        <v>29</v>
      </c>
      <c r="E275" s="47" t="s">
        <v>30</v>
      </c>
      <c r="F275" s="47" t="s">
        <v>30</v>
      </c>
      <c r="G275" s="47" t="s">
        <v>30</v>
      </c>
      <c r="J275" s="47" t="s">
        <v>30</v>
      </c>
      <c r="K275" s="47" t="s">
        <v>30</v>
      </c>
      <c r="L275" s="47" t="s">
        <v>30</v>
      </c>
      <c r="M275" s="47" t="s">
        <v>30</v>
      </c>
    </row>
    <row r="276" spans="1:21" x14ac:dyDescent="0.2">
      <c r="A276" s="47" t="s">
        <v>29</v>
      </c>
      <c r="D276" s="47" t="s">
        <v>7540</v>
      </c>
      <c r="E276" s="47" t="s">
        <v>3426</v>
      </c>
      <c r="F276" s="47" t="s">
        <v>7541</v>
      </c>
      <c r="H276" s="47" t="s">
        <v>7542</v>
      </c>
      <c r="O276" s="47" t="s">
        <v>7543</v>
      </c>
      <c r="P276" s="47" t="s">
        <v>7544</v>
      </c>
      <c r="Q276" s="47" t="s">
        <v>7545</v>
      </c>
      <c r="R276" s="47" t="s">
        <v>7546</v>
      </c>
      <c r="S276" s="47" t="s">
        <v>7547</v>
      </c>
      <c r="T276" s="47" t="s">
        <v>7548</v>
      </c>
      <c r="U276" s="47" t="s">
        <v>7549</v>
      </c>
    </row>
    <row r="277" spans="1:21" x14ac:dyDescent="0.2">
      <c r="A277" s="47" t="s">
        <v>29</v>
      </c>
      <c r="D277" s="47" t="s">
        <v>874</v>
      </c>
      <c r="G277" s="47" t="s">
        <v>10258</v>
      </c>
      <c r="H277" s="47" t="s">
        <v>875</v>
      </c>
      <c r="I277" s="47" t="s">
        <v>876</v>
      </c>
      <c r="J277" s="47" t="s">
        <v>877</v>
      </c>
      <c r="K277" s="47" t="s">
        <v>878</v>
      </c>
      <c r="L277" s="47" t="s">
        <v>879</v>
      </c>
      <c r="M277" s="47" t="s">
        <v>880</v>
      </c>
      <c r="N277" s="47" t="s">
        <v>881</v>
      </c>
      <c r="O277" s="47" t="s">
        <v>7039</v>
      </c>
      <c r="P277" s="47" t="s">
        <v>7043</v>
      </c>
      <c r="Q277" s="47" t="s">
        <v>7047</v>
      </c>
      <c r="R277" s="47" t="s">
        <v>7051</v>
      </c>
      <c r="S277" s="47" t="s">
        <v>7055</v>
      </c>
      <c r="T277" s="47" t="s">
        <v>7059</v>
      </c>
    </row>
    <row r="278" spans="1:21" x14ac:dyDescent="0.2">
      <c r="A278" s="47" t="s">
        <v>29</v>
      </c>
      <c r="D278" s="47" t="s">
        <v>1707</v>
      </c>
      <c r="G278" s="47" t="s">
        <v>8700</v>
      </c>
      <c r="H278" s="47" t="s">
        <v>1708</v>
      </c>
      <c r="I278" s="47" t="s">
        <v>1709</v>
      </c>
      <c r="J278" s="47" t="s">
        <v>1710</v>
      </c>
      <c r="K278" s="47" t="s">
        <v>1711</v>
      </c>
      <c r="L278" s="47" t="s">
        <v>1712</v>
      </c>
      <c r="M278" s="47" t="s">
        <v>1713</v>
      </c>
      <c r="N278" s="47" t="s">
        <v>1714</v>
      </c>
      <c r="O278" s="47" t="s">
        <v>7040</v>
      </c>
      <c r="P278" s="47" t="s">
        <v>7044</v>
      </c>
      <c r="Q278" s="47" t="s">
        <v>7048</v>
      </c>
      <c r="R278" s="47" t="s">
        <v>7052</v>
      </c>
      <c r="S278" s="47" t="s">
        <v>7056</v>
      </c>
      <c r="T278" s="47" t="s">
        <v>7060</v>
      </c>
    </row>
    <row r="279" spans="1:21" x14ac:dyDescent="0.2">
      <c r="A279" s="47" t="s">
        <v>29</v>
      </c>
    </row>
    <row r="280" spans="1:21" x14ac:dyDescent="0.2">
      <c r="A280" s="47" t="s">
        <v>29</v>
      </c>
      <c r="E280" s="47" t="s">
        <v>30</v>
      </c>
      <c r="F280" s="47" t="s">
        <v>30</v>
      </c>
      <c r="G280" s="47" t="s">
        <v>30</v>
      </c>
      <c r="J280" s="47" t="s">
        <v>30</v>
      </c>
      <c r="K280" s="47" t="s">
        <v>30</v>
      </c>
      <c r="L280" s="47" t="s">
        <v>30</v>
      </c>
      <c r="M280" s="47" t="s">
        <v>30</v>
      </c>
    </row>
    <row r="281" spans="1:21" x14ac:dyDescent="0.2">
      <c r="A281" s="47" t="s">
        <v>29</v>
      </c>
      <c r="D281" s="47" t="s">
        <v>5044</v>
      </c>
      <c r="E281" s="47" t="s">
        <v>3471</v>
      </c>
      <c r="F281" s="47" t="s">
        <v>5045</v>
      </c>
      <c r="H281" s="47" t="s">
        <v>5046</v>
      </c>
      <c r="O281" s="47" t="s">
        <v>9137</v>
      </c>
      <c r="P281" s="47" t="s">
        <v>9138</v>
      </c>
      <c r="Q281" s="47" t="s">
        <v>9139</v>
      </c>
      <c r="R281" s="47" t="s">
        <v>9140</v>
      </c>
      <c r="S281" s="47" t="s">
        <v>9141</v>
      </c>
      <c r="T281" s="47" t="s">
        <v>9142</v>
      </c>
      <c r="U281" s="47" t="s">
        <v>9143</v>
      </c>
    </row>
    <row r="282" spans="1:21" x14ac:dyDescent="0.2">
      <c r="A282" s="47" t="s">
        <v>29</v>
      </c>
      <c r="D282" s="47" t="s">
        <v>3136</v>
      </c>
      <c r="G282" s="47" t="s">
        <v>10259</v>
      </c>
      <c r="H282" s="47" t="s">
        <v>3137</v>
      </c>
      <c r="I282" s="47" t="s">
        <v>3138</v>
      </c>
      <c r="J282" s="47" t="s">
        <v>3139</v>
      </c>
      <c r="K282" s="47" t="s">
        <v>3140</v>
      </c>
      <c r="L282" s="47" t="s">
        <v>3141</v>
      </c>
      <c r="M282" s="47" t="s">
        <v>3142</v>
      </c>
      <c r="N282" s="47" t="s">
        <v>3143</v>
      </c>
      <c r="O282" s="47" t="s">
        <v>8978</v>
      </c>
      <c r="P282" s="47" t="s">
        <v>8979</v>
      </c>
      <c r="Q282" s="47" t="s">
        <v>8980</v>
      </c>
      <c r="R282" s="47" t="s">
        <v>8981</v>
      </c>
      <c r="S282" s="47" t="s">
        <v>8982</v>
      </c>
      <c r="T282" s="47" t="s">
        <v>8983</v>
      </c>
    </row>
    <row r="283" spans="1:21" x14ac:dyDescent="0.2">
      <c r="A283" s="47" t="s">
        <v>29</v>
      </c>
    </row>
    <row r="284" spans="1:21" x14ac:dyDescent="0.2">
      <c r="A284" s="47" t="s">
        <v>29</v>
      </c>
      <c r="E284" s="47" t="s">
        <v>30</v>
      </c>
      <c r="F284" s="47" t="s">
        <v>30</v>
      </c>
      <c r="G284" s="47" t="s">
        <v>30</v>
      </c>
      <c r="J284" s="47" t="s">
        <v>30</v>
      </c>
      <c r="K284" s="47" t="s">
        <v>30</v>
      </c>
      <c r="L284" s="47" t="s">
        <v>30</v>
      </c>
      <c r="M284" s="47" t="s">
        <v>30</v>
      </c>
    </row>
    <row r="285" spans="1:21" x14ac:dyDescent="0.2">
      <c r="A285" s="47" t="s">
        <v>29</v>
      </c>
      <c r="D285" s="47" t="s">
        <v>8640</v>
      </c>
      <c r="E285" s="47" t="s">
        <v>3486</v>
      </c>
      <c r="F285" s="47" t="s">
        <v>8641</v>
      </c>
      <c r="H285" s="47" t="s">
        <v>8642</v>
      </c>
      <c r="O285" s="47" t="s">
        <v>9144</v>
      </c>
      <c r="P285" s="47" t="s">
        <v>9145</v>
      </c>
      <c r="Q285" s="47" t="s">
        <v>9146</v>
      </c>
      <c r="R285" s="47" t="s">
        <v>9147</v>
      </c>
      <c r="S285" s="47" t="s">
        <v>9148</v>
      </c>
      <c r="T285" s="47" t="s">
        <v>9149</v>
      </c>
      <c r="U285" s="47" t="s">
        <v>9150</v>
      </c>
    </row>
    <row r="286" spans="1:21" x14ac:dyDescent="0.2">
      <c r="A286" s="47" t="s">
        <v>29</v>
      </c>
      <c r="D286" s="47" t="s">
        <v>6085</v>
      </c>
      <c r="G286" s="47" t="s">
        <v>8643</v>
      </c>
      <c r="H286" s="47" t="s">
        <v>6086</v>
      </c>
      <c r="I286" s="47" t="s">
        <v>6087</v>
      </c>
      <c r="J286" s="47" t="s">
        <v>6088</v>
      </c>
      <c r="K286" s="47" t="s">
        <v>6089</v>
      </c>
      <c r="L286" s="47" t="s">
        <v>6090</v>
      </c>
      <c r="M286" s="47" t="s">
        <v>6091</v>
      </c>
      <c r="N286" s="47" t="s">
        <v>6092</v>
      </c>
      <c r="O286" s="47" t="s">
        <v>7011</v>
      </c>
      <c r="P286" s="47" t="s">
        <v>7015</v>
      </c>
      <c r="Q286" s="47" t="s">
        <v>7019</v>
      </c>
      <c r="R286" s="47" t="s">
        <v>7023</v>
      </c>
      <c r="S286" s="47" t="s">
        <v>7027</v>
      </c>
      <c r="T286" s="47" t="s">
        <v>7031</v>
      </c>
    </row>
    <row r="287" spans="1:21" x14ac:dyDescent="0.2">
      <c r="A287" s="47" t="s">
        <v>29</v>
      </c>
      <c r="D287" s="47" t="s">
        <v>882</v>
      </c>
      <c r="G287" s="47" t="s">
        <v>8701</v>
      </c>
      <c r="H287" s="47" t="s">
        <v>883</v>
      </c>
      <c r="I287" s="47" t="s">
        <v>884</v>
      </c>
      <c r="J287" s="47" t="s">
        <v>885</v>
      </c>
      <c r="K287" s="47" t="s">
        <v>886</v>
      </c>
      <c r="L287" s="47" t="s">
        <v>887</v>
      </c>
      <c r="M287" s="47" t="s">
        <v>888</v>
      </c>
      <c r="N287" s="47" t="s">
        <v>889</v>
      </c>
      <c r="O287" s="47" t="s">
        <v>7012</v>
      </c>
      <c r="P287" s="47" t="s">
        <v>7016</v>
      </c>
      <c r="Q287" s="47" t="s">
        <v>7020</v>
      </c>
      <c r="R287" s="47" t="s">
        <v>7024</v>
      </c>
      <c r="S287" s="47" t="s">
        <v>7028</v>
      </c>
      <c r="T287" s="47" t="s">
        <v>7032</v>
      </c>
    </row>
    <row r="288" spans="1:21" x14ac:dyDescent="0.2">
      <c r="A288" s="47" t="s">
        <v>29</v>
      </c>
      <c r="D288" s="47" t="s">
        <v>890</v>
      </c>
      <c r="G288" s="47" t="s">
        <v>8702</v>
      </c>
      <c r="H288" s="47" t="s">
        <v>891</v>
      </c>
      <c r="I288" s="47" t="s">
        <v>892</v>
      </c>
      <c r="J288" s="47" t="s">
        <v>893</v>
      </c>
      <c r="K288" s="47" t="s">
        <v>894</v>
      </c>
      <c r="L288" s="47" t="s">
        <v>895</v>
      </c>
      <c r="M288" s="47" t="s">
        <v>896</v>
      </c>
      <c r="N288" s="47" t="s">
        <v>897</v>
      </c>
      <c r="O288" s="47" t="s">
        <v>7013</v>
      </c>
      <c r="P288" s="47" t="s">
        <v>7017</v>
      </c>
      <c r="Q288" s="47" t="s">
        <v>7021</v>
      </c>
      <c r="R288" s="47" t="s">
        <v>7025</v>
      </c>
      <c r="S288" s="47" t="s">
        <v>7029</v>
      </c>
      <c r="T288" s="47" t="s">
        <v>7033</v>
      </c>
    </row>
    <row r="289" spans="1:21" x14ac:dyDescent="0.2">
      <c r="A289" s="47" t="s">
        <v>29</v>
      </c>
    </row>
    <row r="290" spans="1:21" x14ac:dyDescent="0.2">
      <c r="A290" s="47" t="s">
        <v>29</v>
      </c>
      <c r="E290" s="47" t="s">
        <v>30</v>
      </c>
      <c r="F290" s="47" t="s">
        <v>30</v>
      </c>
      <c r="G290" s="47" t="s">
        <v>30</v>
      </c>
      <c r="J290" s="47" t="s">
        <v>30</v>
      </c>
      <c r="K290" s="47" t="s">
        <v>30</v>
      </c>
      <c r="L290" s="47" t="s">
        <v>30</v>
      </c>
      <c r="M290" s="47" t="s">
        <v>30</v>
      </c>
    </row>
    <row r="291" spans="1:21" x14ac:dyDescent="0.2">
      <c r="A291" s="47" t="s">
        <v>29</v>
      </c>
      <c r="D291" s="47" t="s">
        <v>4460</v>
      </c>
      <c r="E291" s="47" t="s">
        <v>6532</v>
      </c>
      <c r="F291" s="47" t="s">
        <v>4461</v>
      </c>
      <c r="H291" s="47" t="s">
        <v>4462</v>
      </c>
      <c r="O291" s="47" t="s">
        <v>10260</v>
      </c>
      <c r="P291" s="47" t="s">
        <v>10261</v>
      </c>
      <c r="Q291" s="47" t="s">
        <v>10262</v>
      </c>
      <c r="R291" s="47" t="s">
        <v>10263</v>
      </c>
      <c r="S291" s="47" t="s">
        <v>10264</v>
      </c>
      <c r="T291" s="47" t="s">
        <v>10265</v>
      </c>
      <c r="U291" s="47" t="s">
        <v>10266</v>
      </c>
    </row>
    <row r="292" spans="1:21" x14ac:dyDescent="0.2">
      <c r="A292" s="47" t="s">
        <v>29</v>
      </c>
      <c r="D292" s="47" t="s">
        <v>2597</v>
      </c>
      <c r="G292" s="47" t="s">
        <v>10267</v>
      </c>
      <c r="H292" s="47" t="s">
        <v>2598</v>
      </c>
      <c r="I292" s="47" t="s">
        <v>2599</v>
      </c>
      <c r="J292" s="47" t="s">
        <v>2600</v>
      </c>
      <c r="K292" s="47" t="s">
        <v>2601</v>
      </c>
      <c r="L292" s="47" t="s">
        <v>2602</v>
      </c>
      <c r="M292" s="47" t="s">
        <v>2603</v>
      </c>
      <c r="N292" s="47" t="s">
        <v>2604</v>
      </c>
      <c r="O292" s="47" t="s">
        <v>7014</v>
      </c>
      <c r="P292" s="47" t="s">
        <v>7018</v>
      </c>
      <c r="Q292" s="47" t="s">
        <v>7022</v>
      </c>
      <c r="R292" s="47" t="s">
        <v>7026</v>
      </c>
      <c r="S292" s="47" t="s">
        <v>7030</v>
      </c>
      <c r="T292" s="47" t="s">
        <v>7034</v>
      </c>
    </row>
    <row r="293" spans="1:21" x14ac:dyDescent="0.2">
      <c r="A293" s="47" t="s">
        <v>29</v>
      </c>
    </row>
    <row r="294" spans="1:21" x14ac:dyDescent="0.2">
      <c r="A294" s="47" t="s">
        <v>29</v>
      </c>
      <c r="E294" s="47" t="s">
        <v>30</v>
      </c>
      <c r="F294" s="47" t="s">
        <v>30</v>
      </c>
      <c r="G294" s="47" t="s">
        <v>30</v>
      </c>
      <c r="J294" s="47" t="s">
        <v>30</v>
      </c>
      <c r="K294" s="47" t="s">
        <v>30</v>
      </c>
      <c r="L294" s="47" t="s">
        <v>30</v>
      </c>
      <c r="M294" s="47" t="s">
        <v>30</v>
      </c>
    </row>
    <row r="295" spans="1:21" x14ac:dyDescent="0.2">
      <c r="A295" s="47" t="s">
        <v>29</v>
      </c>
      <c r="D295" s="47" t="s">
        <v>8570</v>
      </c>
      <c r="E295" s="47" t="s">
        <v>3495</v>
      </c>
      <c r="F295" s="47" t="s">
        <v>8571</v>
      </c>
      <c r="H295" s="47" t="s">
        <v>8572</v>
      </c>
      <c r="O295" s="47" t="s">
        <v>10268</v>
      </c>
      <c r="P295" s="47" t="s">
        <v>10269</v>
      </c>
      <c r="Q295" s="47" t="s">
        <v>10270</v>
      </c>
      <c r="R295" s="47" t="s">
        <v>10271</v>
      </c>
      <c r="S295" s="47" t="s">
        <v>10272</v>
      </c>
      <c r="T295" s="47" t="s">
        <v>10273</v>
      </c>
      <c r="U295" s="47" t="s">
        <v>10274</v>
      </c>
    </row>
    <row r="296" spans="1:21" x14ac:dyDescent="0.2">
      <c r="A296" s="47" t="s">
        <v>29</v>
      </c>
      <c r="D296" s="47" t="s">
        <v>1954</v>
      </c>
      <c r="G296" s="47" t="s">
        <v>10275</v>
      </c>
      <c r="H296" s="47" t="s">
        <v>1955</v>
      </c>
      <c r="I296" s="47" t="s">
        <v>1956</v>
      </c>
      <c r="J296" s="47" t="s">
        <v>1957</v>
      </c>
      <c r="K296" s="47" t="s">
        <v>1958</v>
      </c>
      <c r="L296" s="47" t="s">
        <v>1959</v>
      </c>
      <c r="M296" s="47" t="s">
        <v>1960</v>
      </c>
      <c r="N296" s="47" t="s">
        <v>1961</v>
      </c>
      <c r="O296" s="47" t="s">
        <v>5316</v>
      </c>
      <c r="P296" s="47" t="s">
        <v>5317</v>
      </c>
      <c r="Q296" s="47" t="s">
        <v>5318</v>
      </c>
      <c r="R296" s="47" t="s">
        <v>5319</v>
      </c>
      <c r="S296" s="47" t="s">
        <v>5320</v>
      </c>
      <c r="T296" s="47" t="s">
        <v>5321</v>
      </c>
    </row>
    <row r="297" spans="1:21" x14ac:dyDescent="0.2">
      <c r="A297" s="47" t="s">
        <v>29</v>
      </c>
      <c r="D297" s="47" t="s">
        <v>1723</v>
      </c>
      <c r="G297" s="47" t="s">
        <v>8703</v>
      </c>
      <c r="H297" s="47" t="s">
        <v>1724</v>
      </c>
      <c r="I297" s="47" t="s">
        <v>1725</v>
      </c>
      <c r="J297" s="47" t="s">
        <v>1726</v>
      </c>
      <c r="K297" s="47" t="s">
        <v>1727</v>
      </c>
      <c r="L297" s="47" t="s">
        <v>1728</v>
      </c>
      <c r="M297" s="47" t="s">
        <v>1729</v>
      </c>
      <c r="N297" s="47" t="s">
        <v>1730</v>
      </c>
      <c r="O297" s="47" t="s">
        <v>2837</v>
      </c>
      <c r="P297" s="47" t="s">
        <v>2838</v>
      </c>
      <c r="Q297" s="47" t="s">
        <v>2839</v>
      </c>
      <c r="R297" s="47" t="s">
        <v>2840</v>
      </c>
      <c r="S297" s="47" t="s">
        <v>2841</v>
      </c>
      <c r="T297" s="47" t="s">
        <v>2842</v>
      </c>
    </row>
    <row r="298" spans="1:21" x14ac:dyDescent="0.2">
      <c r="A298" s="47" t="s">
        <v>29</v>
      </c>
      <c r="D298" s="47" t="s">
        <v>898</v>
      </c>
      <c r="G298" s="47" t="s">
        <v>8704</v>
      </c>
      <c r="H298" s="47" t="s">
        <v>899</v>
      </c>
      <c r="I298" s="47" t="s">
        <v>900</v>
      </c>
      <c r="J298" s="47" t="s">
        <v>901</v>
      </c>
      <c r="K298" s="47" t="s">
        <v>902</v>
      </c>
      <c r="L298" s="47" t="s">
        <v>903</v>
      </c>
      <c r="M298" s="47" t="s">
        <v>904</v>
      </c>
      <c r="N298" s="47" t="s">
        <v>905</v>
      </c>
      <c r="O298" s="47" t="s">
        <v>2923</v>
      </c>
      <c r="P298" s="47" t="s">
        <v>2924</v>
      </c>
      <c r="Q298" s="47" t="s">
        <v>2925</v>
      </c>
      <c r="R298" s="47" t="s">
        <v>2926</v>
      </c>
      <c r="S298" s="47" t="s">
        <v>2927</v>
      </c>
      <c r="T298" s="47" t="s">
        <v>2928</v>
      </c>
    </row>
    <row r="299" spans="1:21" x14ac:dyDescent="0.2">
      <c r="A299" s="47" t="s">
        <v>29</v>
      </c>
      <c r="D299" s="47" t="s">
        <v>7893</v>
      </c>
      <c r="G299" s="47" t="s">
        <v>8705</v>
      </c>
      <c r="H299" s="47" t="s">
        <v>8085</v>
      </c>
      <c r="I299" s="47" t="s">
        <v>8086</v>
      </c>
      <c r="J299" s="47" t="s">
        <v>8093</v>
      </c>
      <c r="K299" s="47" t="s">
        <v>8094</v>
      </c>
      <c r="L299" s="47" t="s">
        <v>7894</v>
      </c>
      <c r="M299" s="47" t="s">
        <v>7895</v>
      </c>
      <c r="N299" s="47" t="s">
        <v>7896</v>
      </c>
      <c r="O299" s="47" t="s">
        <v>8966</v>
      </c>
      <c r="P299" s="47" t="s">
        <v>8968</v>
      </c>
      <c r="Q299" s="47" t="s">
        <v>8970</v>
      </c>
      <c r="R299" s="47" t="s">
        <v>8972</v>
      </c>
      <c r="S299" s="47" t="s">
        <v>8974</v>
      </c>
      <c r="T299" s="47" t="s">
        <v>8976</v>
      </c>
    </row>
    <row r="300" spans="1:21" x14ac:dyDescent="0.2">
      <c r="A300" s="47" t="s">
        <v>29</v>
      </c>
      <c r="D300" s="47" t="s">
        <v>1836</v>
      </c>
      <c r="G300" s="47" t="s">
        <v>8706</v>
      </c>
      <c r="H300" s="47" t="s">
        <v>1837</v>
      </c>
      <c r="I300" s="47" t="s">
        <v>1838</v>
      </c>
      <c r="J300" s="47" t="s">
        <v>1839</v>
      </c>
      <c r="K300" s="47" t="s">
        <v>1840</v>
      </c>
      <c r="L300" s="47" t="s">
        <v>1841</v>
      </c>
      <c r="M300" s="47" t="s">
        <v>1842</v>
      </c>
      <c r="N300" s="47" t="s">
        <v>1843</v>
      </c>
      <c r="O300" s="47" t="s">
        <v>8967</v>
      </c>
      <c r="P300" s="47" t="s">
        <v>8969</v>
      </c>
      <c r="Q300" s="47" t="s">
        <v>8971</v>
      </c>
      <c r="R300" s="47" t="s">
        <v>8973</v>
      </c>
      <c r="S300" s="47" t="s">
        <v>8975</v>
      </c>
      <c r="T300" s="47" t="s">
        <v>8977</v>
      </c>
    </row>
    <row r="301" spans="1:21" x14ac:dyDescent="0.2">
      <c r="A301" s="47" t="s">
        <v>29</v>
      </c>
    </row>
    <row r="302" spans="1:21" x14ac:dyDescent="0.2">
      <c r="A302" s="47" t="s">
        <v>29</v>
      </c>
      <c r="E302" s="47" t="s">
        <v>30</v>
      </c>
      <c r="F302" s="47" t="s">
        <v>30</v>
      </c>
      <c r="G302" s="47" t="s">
        <v>30</v>
      </c>
      <c r="J302" s="47" t="s">
        <v>30</v>
      </c>
      <c r="K302" s="47" t="s">
        <v>30</v>
      </c>
      <c r="L302" s="47" t="s">
        <v>30</v>
      </c>
      <c r="M302" s="47" t="s">
        <v>30</v>
      </c>
    </row>
    <row r="303" spans="1:21" x14ac:dyDescent="0.2">
      <c r="A303" s="47" t="s">
        <v>29</v>
      </c>
      <c r="D303" s="47" t="s">
        <v>4481</v>
      </c>
      <c r="E303" s="47" t="s">
        <v>3554</v>
      </c>
      <c r="F303" s="47" t="s">
        <v>4482</v>
      </c>
      <c r="H303" s="47" t="s">
        <v>4483</v>
      </c>
      <c r="O303" s="47" t="s">
        <v>9206</v>
      </c>
      <c r="P303" s="47" t="s">
        <v>9207</v>
      </c>
      <c r="Q303" s="47" t="s">
        <v>9208</v>
      </c>
      <c r="R303" s="47" t="s">
        <v>9209</v>
      </c>
      <c r="S303" s="47" t="s">
        <v>9210</v>
      </c>
      <c r="T303" s="47" t="s">
        <v>9211</v>
      </c>
      <c r="U303" s="47" t="s">
        <v>9212</v>
      </c>
    </row>
    <row r="304" spans="1:21" x14ac:dyDescent="0.2">
      <c r="A304" s="47" t="s">
        <v>29</v>
      </c>
      <c r="D304" s="47" t="s">
        <v>906</v>
      </c>
      <c r="G304" s="47" t="s">
        <v>10276</v>
      </c>
      <c r="H304" s="47" t="s">
        <v>907</v>
      </c>
      <c r="I304" s="47" t="s">
        <v>908</v>
      </c>
      <c r="J304" s="47" t="s">
        <v>909</v>
      </c>
      <c r="K304" s="47" t="s">
        <v>910</v>
      </c>
      <c r="L304" s="47" t="s">
        <v>911</v>
      </c>
      <c r="M304" s="47" t="s">
        <v>912</v>
      </c>
      <c r="N304" s="47" t="s">
        <v>913</v>
      </c>
      <c r="O304" s="47" t="s">
        <v>2843</v>
      </c>
      <c r="P304" s="47" t="s">
        <v>2844</v>
      </c>
      <c r="Q304" s="47" t="s">
        <v>2845</v>
      </c>
      <c r="R304" s="47" t="s">
        <v>2846</v>
      </c>
      <c r="S304" s="47" t="s">
        <v>2847</v>
      </c>
      <c r="T304" s="47" t="s">
        <v>2848</v>
      </c>
    </row>
    <row r="305" spans="1:21" x14ac:dyDescent="0.2">
      <c r="A305" s="47" t="s">
        <v>29</v>
      </c>
    </row>
    <row r="306" spans="1:21" x14ac:dyDescent="0.2">
      <c r="A306" s="47" t="s">
        <v>29</v>
      </c>
      <c r="E306" s="47" t="s">
        <v>30</v>
      </c>
      <c r="F306" s="47" t="s">
        <v>30</v>
      </c>
      <c r="G306" s="47" t="s">
        <v>30</v>
      </c>
      <c r="J306" s="47" t="s">
        <v>30</v>
      </c>
      <c r="K306" s="47" t="s">
        <v>30</v>
      </c>
      <c r="L306" s="47" t="s">
        <v>30</v>
      </c>
      <c r="M306" s="47" t="s">
        <v>30</v>
      </c>
    </row>
    <row r="307" spans="1:21" x14ac:dyDescent="0.2">
      <c r="A307" s="47" t="s">
        <v>29</v>
      </c>
      <c r="D307" s="47" t="s">
        <v>7550</v>
      </c>
      <c r="E307" s="47" t="s">
        <v>3555</v>
      </c>
      <c r="F307" s="47" t="s">
        <v>7551</v>
      </c>
      <c r="H307" s="47" t="s">
        <v>7552</v>
      </c>
      <c r="O307" s="47" t="s">
        <v>10277</v>
      </c>
      <c r="P307" s="47" t="s">
        <v>10278</v>
      </c>
      <c r="Q307" s="47" t="s">
        <v>10279</v>
      </c>
      <c r="R307" s="47" t="s">
        <v>10280</v>
      </c>
      <c r="S307" s="47" t="s">
        <v>10281</v>
      </c>
      <c r="T307" s="47" t="s">
        <v>10282</v>
      </c>
      <c r="U307" s="47" t="s">
        <v>10283</v>
      </c>
    </row>
    <row r="308" spans="1:21" x14ac:dyDescent="0.2">
      <c r="A308" s="47" t="s">
        <v>29</v>
      </c>
      <c r="D308" s="47" t="s">
        <v>5322</v>
      </c>
      <c r="G308" s="47" t="s">
        <v>10284</v>
      </c>
      <c r="H308" s="47" t="s">
        <v>5773</v>
      </c>
      <c r="I308" s="47" t="s">
        <v>5774</v>
      </c>
      <c r="J308" s="47" t="s">
        <v>5781</v>
      </c>
      <c r="K308" s="47" t="s">
        <v>5782</v>
      </c>
      <c r="L308" s="47" t="s">
        <v>5323</v>
      </c>
      <c r="M308" s="47" t="s">
        <v>5324</v>
      </c>
      <c r="N308" s="47" t="s">
        <v>5325</v>
      </c>
      <c r="O308" s="47" t="s">
        <v>5775</v>
      </c>
      <c r="P308" s="47" t="s">
        <v>5776</v>
      </c>
      <c r="Q308" s="47" t="s">
        <v>5777</v>
      </c>
      <c r="R308" s="47" t="s">
        <v>5778</v>
      </c>
      <c r="S308" s="47" t="s">
        <v>5779</v>
      </c>
      <c r="T308" s="47" t="s">
        <v>5780</v>
      </c>
    </row>
    <row r="309" spans="1:21" x14ac:dyDescent="0.2">
      <c r="A309" s="47" t="s">
        <v>29</v>
      </c>
    </row>
    <row r="310" spans="1:21" x14ac:dyDescent="0.2">
      <c r="A310" s="47" t="s">
        <v>29</v>
      </c>
      <c r="E310" s="47" t="s">
        <v>30</v>
      </c>
      <c r="F310" s="47" t="s">
        <v>30</v>
      </c>
      <c r="G310" s="47" t="s">
        <v>30</v>
      </c>
      <c r="J310" s="47" t="s">
        <v>30</v>
      </c>
      <c r="K310" s="47" t="s">
        <v>30</v>
      </c>
      <c r="L310" s="47" t="s">
        <v>30</v>
      </c>
      <c r="M310" s="47" t="s">
        <v>30</v>
      </c>
    </row>
    <row r="311" spans="1:21" x14ac:dyDescent="0.2">
      <c r="A311" s="47" t="s">
        <v>29</v>
      </c>
      <c r="D311" s="47" t="s">
        <v>5326</v>
      </c>
      <c r="E311" s="47" t="s">
        <v>3580</v>
      </c>
      <c r="F311" s="47" t="s">
        <v>5327</v>
      </c>
      <c r="H311" s="47" t="s">
        <v>5328</v>
      </c>
      <c r="O311" s="47" t="s">
        <v>10285</v>
      </c>
      <c r="P311" s="47" t="s">
        <v>10286</v>
      </c>
      <c r="Q311" s="47" t="s">
        <v>10287</v>
      </c>
      <c r="R311" s="47" t="s">
        <v>10288</v>
      </c>
      <c r="S311" s="47" t="s">
        <v>10289</v>
      </c>
      <c r="T311" s="47" t="s">
        <v>10290</v>
      </c>
      <c r="U311" s="47" t="s">
        <v>10291</v>
      </c>
    </row>
    <row r="312" spans="1:21" x14ac:dyDescent="0.2">
      <c r="A312" s="47" t="s">
        <v>29</v>
      </c>
      <c r="D312" s="47" t="s">
        <v>3155</v>
      </c>
      <c r="G312" s="47" t="s">
        <v>10292</v>
      </c>
      <c r="H312" s="47" t="s">
        <v>3156</v>
      </c>
      <c r="I312" s="47" t="s">
        <v>3157</v>
      </c>
      <c r="J312" s="47" t="s">
        <v>3158</v>
      </c>
      <c r="K312" s="47" t="s">
        <v>3159</v>
      </c>
      <c r="L312" s="47" t="s">
        <v>3160</v>
      </c>
      <c r="M312" s="47" t="s">
        <v>3161</v>
      </c>
      <c r="N312" s="47" t="s">
        <v>3162</v>
      </c>
      <c r="O312" s="47" t="s">
        <v>3163</v>
      </c>
      <c r="P312" s="47" t="s">
        <v>3164</v>
      </c>
      <c r="Q312" s="47" t="s">
        <v>3165</v>
      </c>
      <c r="R312" s="47" t="s">
        <v>3166</v>
      </c>
      <c r="S312" s="47" t="s">
        <v>3167</v>
      </c>
      <c r="T312" s="47" t="s">
        <v>3168</v>
      </c>
    </row>
    <row r="313" spans="1:21" x14ac:dyDescent="0.2">
      <c r="A313" s="47" t="s">
        <v>29</v>
      </c>
      <c r="D313" s="47" t="s">
        <v>3169</v>
      </c>
      <c r="G313" s="47" t="s">
        <v>8707</v>
      </c>
      <c r="H313" s="47" t="s">
        <v>3170</v>
      </c>
      <c r="I313" s="47" t="s">
        <v>3171</v>
      </c>
      <c r="J313" s="47" t="s">
        <v>3172</v>
      </c>
      <c r="K313" s="47" t="s">
        <v>3173</v>
      </c>
      <c r="L313" s="47" t="s">
        <v>3174</v>
      </c>
      <c r="M313" s="47" t="s">
        <v>3175</v>
      </c>
      <c r="N313" s="47" t="s">
        <v>3176</v>
      </c>
      <c r="O313" s="47" t="s">
        <v>8960</v>
      </c>
      <c r="P313" s="47" t="s">
        <v>8961</v>
      </c>
      <c r="Q313" s="47" t="s">
        <v>8962</v>
      </c>
      <c r="R313" s="47" t="s">
        <v>8963</v>
      </c>
      <c r="S313" s="47" t="s">
        <v>8964</v>
      </c>
      <c r="T313" s="47" t="s">
        <v>8965</v>
      </c>
    </row>
    <row r="314" spans="1:21" x14ac:dyDescent="0.2">
      <c r="A314" s="47" t="s">
        <v>29</v>
      </c>
    </row>
    <row r="315" spans="1:21" x14ac:dyDescent="0.2">
      <c r="A315" s="47" t="s">
        <v>29</v>
      </c>
      <c r="E315" s="47" t="s">
        <v>30</v>
      </c>
      <c r="F315" s="47" t="s">
        <v>30</v>
      </c>
      <c r="G315" s="47" t="s">
        <v>30</v>
      </c>
      <c r="J315" s="47" t="s">
        <v>30</v>
      </c>
      <c r="K315" s="47" t="s">
        <v>30</v>
      </c>
      <c r="L315" s="47" t="s">
        <v>30</v>
      </c>
      <c r="M315" s="47" t="s">
        <v>30</v>
      </c>
    </row>
    <row r="316" spans="1:21" x14ac:dyDescent="0.2">
      <c r="A316" s="47" t="s">
        <v>29</v>
      </c>
      <c r="D316" s="47" t="s">
        <v>5166</v>
      </c>
      <c r="E316" s="47" t="s">
        <v>3603</v>
      </c>
      <c r="F316" s="47" t="s">
        <v>5167</v>
      </c>
      <c r="H316" s="47" t="s">
        <v>5168</v>
      </c>
      <c r="O316" s="47" t="s">
        <v>10293</v>
      </c>
      <c r="P316" s="47" t="s">
        <v>10294</v>
      </c>
      <c r="Q316" s="47" t="s">
        <v>10295</v>
      </c>
      <c r="R316" s="47" t="s">
        <v>10296</v>
      </c>
      <c r="S316" s="47" t="s">
        <v>10297</v>
      </c>
      <c r="T316" s="47" t="s">
        <v>10298</v>
      </c>
      <c r="U316" s="47" t="s">
        <v>10299</v>
      </c>
    </row>
    <row r="317" spans="1:21" x14ac:dyDescent="0.2">
      <c r="A317" s="47" t="s">
        <v>29</v>
      </c>
      <c r="D317" s="47" t="s">
        <v>938</v>
      </c>
      <c r="G317" s="47" t="s">
        <v>10300</v>
      </c>
      <c r="H317" s="47" t="s">
        <v>939</v>
      </c>
      <c r="I317" s="47" t="s">
        <v>940</v>
      </c>
      <c r="J317" s="47" t="s">
        <v>941</v>
      </c>
      <c r="K317" s="47" t="s">
        <v>942</v>
      </c>
      <c r="L317" s="47" t="s">
        <v>943</v>
      </c>
      <c r="M317" s="47" t="s">
        <v>944</v>
      </c>
      <c r="N317" s="47" t="s">
        <v>945</v>
      </c>
      <c r="O317" s="47" t="s">
        <v>6977</v>
      </c>
      <c r="P317" s="47" t="s">
        <v>6982</v>
      </c>
      <c r="Q317" s="47" t="s">
        <v>6987</v>
      </c>
      <c r="R317" s="47" t="s">
        <v>6992</v>
      </c>
      <c r="S317" s="47" t="s">
        <v>6997</v>
      </c>
      <c r="T317" s="47" t="s">
        <v>7002</v>
      </c>
    </row>
    <row r="318" spans="1:21" x14ac:dyDescent="0.2">
      <c r="A318" s="47" t="s">
        <v>29</v>
      </c>
      <c r="D318" s="47" t="s">
        <v>6340</v>
      </c>
      <c r="G318" s="47" t="s">
        <v>8708</v>
      </c>
      <c r="H318" s="47" t="s">
        <v>6973</v>
      </c>
      <c r="I318" s="47" t="s">
        <v>6975</v>
      </c>
      <c r="J318" s="47" t="s">
        <v>7007</v>
      </c>
      <c r="K318" s="47" t="s">
        <v>7009</v>
      </c>
      <c r="L318" s="47" t="s">
        <v>6341</v>
      </c>
      <c r="M318" s="47" t="s">
        <v>6342</v>
      </c>
      <c r="N318" s="47" t="s">
        <v>6343</v>
      </c>
      <c r="O318" s="47" t="s">
        <v>6978</v>
      </c>
      <c r="P318" s="47" t="s">
        <v>6983</v>
      </c>
      <c r="Q318" s="47" t="s">
        <v>6988</v>
      </c>
      <c r="R318" s="47" t="s">
        <v>6993</v>
      </c>
      <c r="S318" s="47" t="s">
        <v>6998</v>
      </c>
      <c r="T318" s="47" t="s">
        <v>7003</v>
      </c>
    </row>
    <row r="319" spans="1:21" x14ac:dyDescent="0.2">
      <c r="A319" s="47" t="s">
        <v>29</v>
      </c>
    </row>
    <row r="320" spans="1:21" x14ac:dyDescent="0.2">
      <c r="A320" s="47" t="s">
        <v>29</v>
      </c>
      <c r="E320" s="47" t="s">
        <v>30</v>
      </c>
      <c r="F320" s="47" t="s">
        <v>30</v>
      </c>
      <c r="G320" s="47" t="s">
        <v>30</v>
      </c>
      <c r="J320" s="47" t="s">
        <v>30</v>
      </c>
      <c r="K320" s="47" t="s">
        <v>30</v>
      </c>
      <c r="L320" s="47" t="s">
        <v>30</v>
      </c>
      <c r="M320" s="47" t="s">
        <v>30</v>
      </c>
    </row>
    <row r="321" spans="1:21" x14ac:dyDescent="0.2">
      <c r="A321" s="47" t="s">
        <v>29</v>
      </c>
      <c r="D321" s="47" t="s">
        <v>7908</v>
      </c>
      <c r="E321" s="47" t="s">
        <v>3604</v>
      </c>
      <c r="F321" s="47" t="s">
        <v>7909</v>
      </c>
      <c r="H321" s="47" t="s">
        <v>7910</v>
      </c>
      <c r="O321" s="47" t="s">
        <v>10301</v>
      </c>
      <c r="P321" s="47" t="s">
        <v>10302</v>
      </c>
      <c r="Q321" s="47" t="s">
        <v>10303</v>
      </c>
      <c r="R321" s="47" t="s">
        <v>10304</v>
      </c>
      <c r="S321" s="47" t="s">
        <v>10305</v>
      </c>
      <c r="T321" s="47" t="s">
        <v>10306</v>
      </c>
      <c r="U321" s="47" t="s">
        <v>10307</v>
      </c>
    </row>
    <row r="322" spans="1:21" x14ac:dyDescent="0.2">
      <c r="A322" s="47" t="s">
        <v>29</v>
      </c>
      <c r="D322" s="47" t="s">
        <v>946</v>
      </c>
      <c r="G322" s="47" t="s">
        <v>10308</v>
      </c>
      <c r="H322" s="47" t="s">
        <v>947</v>
      </c>
      <c r="I322" s="47" t="s">
        <v>948</v>
      </c>
      <c r="J322" s="47" t="s">
        <v>949</v>
      </c>
      <c r="K322" s="47" t="s">
        <v>950</v>
      </c>
      <c r="L322" s="47" t="s">
        <v>951</v>
      </c>
      <c r="M322" s="47" t="s">
        <v>952</v>
      </c>
      <c r="N322" s="47" t="s">
        <v>953</v>
      </c>
      <c r="O322" s="47" t="s">
        <v>2200</v>
      </c>
      <c r="P322" s="47" t="s">
        <v>2201</v>
      </c>
      <c r="Q322" s="47" t="s">
        <v>2202</v>
      </c>
      <c r="R322" s="47" t="s">
        <v>2203</v>
      </c>
      <c r="S322" s="47" t="s">
        <v>2204</v>
      </c>
      <c r="T322" s="47" t="s">
        <v>2205</v>
      </c>
    </row>
    <row r="323" spans="1:21" x14ac:dyDescent="0.2">
      <c r="A323" s="47" t="s">
        <v>29</v>
      </c>
      <c r="D323" s="47" t="s">
        <v>1844</v>
      </c>
      <c r="G323" s="47" t="s">
        <v>8709</v>
      </c>
      <c r="H323" s="47" t="s">
        <v>1845</v>
      </c>
      <c r="I323" s="47" t="s">
        <v>1846</v>
      </c>
      <c r="J323" s="47" t="s">
        <v>1847</v>
      </c>
      <c r="K323" s="47" t="s">
        <v>1848</v>
      </c>
      <c r="L323" s="47" t="s">
        <v>1849</v>
      </c>
      <c r="M323" s="47" t="s">
        <v>1850</v>
      </c>
      <c r="N323" s="47" t="s">
        <v>1851</v>
      </c>
      <c r="O323" s="47" t="s">
        <v>5755</v>
      </c>
      <c r="P323" s="47" t="s">
        <v>5758</v>
      </c>
      <c r="Q323" s="47" t="s">
        <v>5761</v>
      </c>
      <c r="R323" s="47" t="s">
        <v>5764</v>
      </c>
      <c r="S323" s="47" t="s">
        <v>5767</v>
      </c>
      <c r="T323" s="47" t="s">
        <v>5770</v>
      </c>
    </row>
    <row r="324" spans="1:21" x14ac:dyDescent="0.2">
      <c r="A324" s="47" t="s">
        <v>29</v>
      </c>
      <c r="D324" s="47" t="s">
        <v>1747</v>
      </c>
      <c r="G324" s="47" t="s">
        <v>8710</v>
      </c>
      <c r="H324" s="47" t="s">
        <v>1748</v>
      </c>
      <c r="I324" s="47" t="s">
        <v>1749</v>
      </c>
      <c r="J324" s="47" t="s">
        <v>1750</v>
      </c>
      <c r="K324" s="47" t="s">
        <v>1751</v>
      </c>
      <c r="L324" s="47" t="s">
        <v>1752</v>
      </c>
      <c r="M324" s="47" t="s">
        <v>1753</v>
      </c>
      <c r="N324" s="47" t="s">
        <v>1754</v>
      </c>
      <c r="O324" s="47" t="s">
        <v>5756</v>
      </c>
      <c r="P324" s="47" t="s">
        <v>5759</v>
      </c>
      <c r="Q324" s="47" t="s">
        <v>5762</v>
      </c>
      <c r="R324" s="47" t="s">
        <v>5765</v>
      </c>
      <c r="S324" s="47" t="s">
        <v>5768</v>
      </c>
      <c r="T324" s="47" t="s">
        <v>5771</v>
      </c>
    </row>
    <row r="325" spans="1:21" x14ac:dyDescent="0.2">
      <c r="A325" s="47" t="s">
        <v>29</v>
      </c>
      <c r="D325" s="47" t="s">
        <v>1538</v>
      </c>
      <c r="G325" s="47" t="s">
        <v>8711</v>
      </c>
      <c r="H325" s="47" t="s">
        <v>1539</v>
      </c>
      <c r="I325" s="47" t="s">
        <v>1540</v>
      </c>
      <c r="J325" s="47" t="s">
        <v>1541</v>
      </c>
      <c r="K325" s="47" t="s">
        <v>1542</v>
      </c>
      <c r="L325" s="47" t="s">
        <v>1543</v>
      </c>
      <c r="M325" s="47" t="s">
        <v>1544</v>
      </c>
      <c r="N325" s="47" t="s">
        <v>1545</v>
      </c>
      <c r="O325" s="47" t="s">
        <v>5757</v>
      </c>
      <c r="P325" s="47" t="s">
        <v>5760</v>
      </c>
      <c r="Q325" s="47" t="s">
        <v>5763</v>
      </c>
      <c r="R325" s="47" t="s">
        <v>5766</v>
      </c>
      <c r="S325" s="47" t="s">
        <v>5769</v>
      </c>
      <c r="T325" s="47" t="s">
        <v>5772</v>
      </c>
    </row>
    <row r="326" spans="1:21" x14ac:dyDescent="0.2">
      <c r="A326" s="47" t="s">
        <v>29</v>
      </c>
    </row>
    <row r="327" spans="1:21" x14ac:dyDescent="0.2">
      <c r="A327" s="47" t="s">
        <v>29</v>
      </c>
      <c r="E327" s="47" t="s">
        <v>30</v>
      </c>
      <c r="F327" s="47" t="s">
        <v>30</v>
      </c>
      <c r="G327" s="47" t="s">
        <v>30</v>
      </c>
      <c r="J327" s="47" t="s">
        <v>30</v>
      </c>
      <c r="K327" s="47" t="s">
        <v>30</v>
      </c>
      <c r="L327" s="47" t="s">
        <v>30</v>
      </c>
      <c r="M327" s="47" t="s">
        <v>30</v>
      </c>
    </row>
    <row r="328" spans="1:21" x14ac:dyDescent="0.2">
      <c r="A328" s="47" t="s">
        <v>29</v>
      </c>
      <c r="D328" s="47" t="s">
        <v>9151</v>
      </c>
      <c r="E328" s="47" t="s">
        <v>3627</v>
      </c>
      <c r="F328" s="47" t="s">
        <v>9152</v>
      </c>
      <c r="H328" s="47" t="s">
        <v>9153</v>
      </c>
      <c r="O328" s="47" t="s">
        <v>9154</v>
      </c>
      <c r="P328" s="47" t="s">
        <v>9155</v>
      </c>
      <c r="Q328" s="47" t="s">
        <v>9156</v>
      </c>
      <c r="R328" s="47" t="s">
        <v>9157</v>
      </c>
      <c r="S328" s="47" t="s">
        <v>9158</v>
      </c>
      <c r="T328" s="47" t="s">
        <v>9159</v>
      </c>
      <c r="U328" s="47" t="s">
        <v>9160</v>
      </c>
    </row>
    <row r="329" spans="1:21" x14ac:dyDescent="0.2">
      <c r="A329" s="47" t="s">
        <v>29</v>
      </c>
      <c r="D329" s="47" t="s">
        <v>1546</v>
      </c>
      <c r="G329" s="47" t="s">
        <v>10309</v>
      </c>
      <c r="H329" s="47" t="s">
        <v>1547</v>
      </c>
      <c r="I329" s="47" t="s">
        <v>1548</v>
      </c>
      <c r="J329" s="47" t="s">
        <v>1549</v>
      </c>
      <c r="K329" s="47" t="s">
        <v>1550</v>
      </c>
      <c r="L329" s="47" t="s">
        <v>1551</v>
      </c>
      <c r="M329" s="47" t="s">
        <v>1552</v>
      </c>
      <c r="N329" s="47" t="s">
        <v>1553</v>
      </c>
      <c r="O329" s="47" t="s">
        <v>2849</v>
      </c>
      <c r="P329" s="47" t="s">
        <v>2850</v>
      </c>
      <c r="Q329" s="47" t="s">
        <v>2851</v>
      </c>
      <c r="R329" s="47" t="s">
        <v>2852</v>
      </c>
      <c r="S329" s="47" t="s">
        <v>2853</v>
      </c>
      <c r="T329" s="47" t="s">
        <v>2854</v>
      </c>
    </row>
    <row r="330" spans="1:21" x14ac:dyDescent="0.2">
      <c r="A330" s="47" t="s">
        <v>29</v>
      </c>
    </row>
    <row r="331" spans="1:21" x14ac:dyDescent="0.2">
      <c r="A331" s="47" t="s">
        <v>29</v>
      </c>
      <c r="E331" s="47" t="s">
        <v>30</v>
      </c>
      <c r="F331" s="47" t="s">
        <v>30</v>
      </c>
      <c r="G331" s="47" t="s">
        <v>30</v>
      </c>
      <c r="J331" s="47" t="s">
        <v>30</v>
      </c>
      <c r="K331" s="47" t="s">
        <v>30</v>
      </c>
      <c r="L331" s="47" t="s">
        <v>30</v>
      </c>
      <c r="M331" s="47" t="s">
        <v>30</v>
      </c>
    </row>
    <row r="332" spans="1:21" x14ac:dyDescent="0.2">
      <c r="A332" s="47" t="s">
        <v>29</v>
      </c>
      <c r="D332" s="47" t="s">
        <v>3187</v>
      </c>
      <c r="E332" s="47" t="s">
        <v>3670</v>
      </c>
      <c r="F332" s="47" t="s">
        <v>3189</v>
      </c>
      <c r="H332" s="47" t="s">
        <v>3190</v>
      </c>
      <c r="O332" s="47" t="s">
        <v>10310</v>
      </c>
      <c r="P332" s="47" t="s">
        <v>10311</v>
      </c>
      <c r="Q332" s="47" t="s">
        <v>10312</v>
      </c>
      <c r="R332" s="47" t="s">
        <v>10313</v>
      </c>
      <c r="S332" s="47" t="s">
        <v>10314</v>
      </c>
      <c r="T332" s="47" t="s">
        <v>10315</v>
      </c>
      <c r="U332" s="47" t="s">
        <v>10316</v>
      </c>
    </row>
    <row r="333" spans="1:21" x14ac:dyDescent="0.2">
      <c r="A333" s="47" t="s">
        <v>29</v>
      </c>
      <c r="D333" s="47" t="s">
        <v>962</v>
      </c>
      <c r="G333" s="47" t="s">
        <v>10317</v>
      </c>
      <c r="H333" s="47" t="s">
        <v>963</v>
      </c>
      <c r="I333" s="47" t="s">
        <v>964</v>
      </c>
      <c r="J333" s="47" t="s">
        <v>965</v>
      </c>
      <c r="K333" s="47" t="s">
        <v>966</v>
      </c>
      <c r="L333" s="47" t="s">
        <v>967</v>
      </c>
      <c r="M333" s="47" t="s">
        <v>968</v>
      </c>
      <c r="N333" s="47" t="s">
        <v>969</v>
      </c>
      <c r="O333" s="47" t="s">
        <v>6979</v>
      </c>
      <c r="P333" s="47" t="s">
        <v>6984</v>
      </c>
      <c r="Q333" s="47" t="s">
        <v>6989</v>
      </c>
      <c r="R333" s="47" t="s">
        <v>6994</v>
      </c>
      <c r="S333" s="47" t="s">
        <v>6999</v>
      </c>
      <c r="T333" s="47" t="s">
        <v>7004</v>
      </c>
    </row>
    <row r="334" spans="1:21" x14ac:dyDescent="0.2">
      <c r="A334" s="47" t="s">
        <v>29</v>
      </c>
      <c r="D334" s="47" t="s">
        <v>970</v>
      </c>
      <c r="G334" s="47" t="s">
        <v>8712</v>
      </c>
      <c r="H334" s="47" t="s">
        <v>971</v>
      </c>
      <c r="I334" s="47" t="s">
        <v>972</v>
      </c>
      <c r="J334" s="47" t="s">
        <v>973</v>
      </c>
      <c r="K334" s="47" t="s">
        <v>974</v>
      </c>
      <c r="L334" s="47" t="s">
        <v>975</v>
      </c>
      <c r="M334" s="47" t="s">
        <v>976</v>
      </c>
      <c r="N334" s="47" t="s">
        <v>977</v>
      </c>
      <c r="O334" s="47" t="s">
        <v>6980</v>
      </c>
      <c r="P334" s="47" t="s">
        <v>6985</v>
      </c>
      <c r="Q334" s="47" t="s">
        <v>6990</v>
      </c>
      <c r="R334" s="47" t="s">
        <v>6995</v>
      </c>
      <c r="S334" s="47" t="s">
        <v>7000</v>
      </c>
      <c r="T334" s="47" t="s">
        <v>7005</v>
      </c>
    </row>
    <row r="335" spans="1:21" x14ac:dyDescent="0.2">
      <c r="A335" s="47" t="s">
        <v>29</v>
      </c>
      <c r="D335" s="47" t="s">
        <v>3191</v>
      </c>
      <c r="G335" s="47" t="s">
        <v>8713</v>
      </c>
      <c r="H335" s="47" t="s">
        <v>3192</v>
      </c>
      <c r="I335" s="47" t="s">
        <v>3193</v>
      </c>
      <c r="J335" s="47" t="s">
        <v>3194</v>
      </c>
      <c r="K335" s="47" t="s">
        <v>3195</v>
      </c>
      <c r="L335" s="47" t="s">
        <v>3196</v>
      </c>
      <c r="M335" s="47" t="s">
        <v>3197</v>
      </c>
      <c r="N335" s="47" t="s">
        <v>3198</v>
      </c>
      <c r="O335" s="47" t="s">
        <v>6981</v>
      </c>
      <c r="P335" s="47" t="s">
        <v>6986</v>
      </c>
      <c r="Q335" s="47" t="s">
        <v>6991</v>
      </c>
      <c r="R335" s="47" t="s">
        <v>6996</v>
      </c>
      <c r="S335" s="47" t="s">
        <v>7001</v>
      </c>
      <c r="T335" s="47" t="s">
        <v>7006</v>
      </c>
    </row>
    <row r="336" spans="1:21" x14ac:dyDescent="0.2">
      <c r="A336" s="47" t="s">
        <v>29</v>
      </c>
      <c r="D336" s="47" t="s">
        <v>3199</v>
      </c>
      <c r="G336" s="47" t="s">
        <v>8714</v>
      </c>
      <c r="H336" s="47" t="s">
        <v>3200</v>
      </c>
      <c r="I336" s="47" t="s">
        <v>3201</v>
      </c>
      <c r="J336" s="47" t="s">
        <v>3202</v>
      </c>
      <c r="K336" s="47" t="s">
        <v>3203</v>
      </c>
      <c r="L336" s="47" t="s">
        <v>3204</v>
      </c>
      <c r="M336" s="47" t="s">
        <v>3205</v>
      </c>
      <c r="N336" s="47" t="s">
        <v>3206</v>
      </c>
      <c r="O336" s="47" t="s">
        <v>3207</v>
      </c>
      <c r="P336" s="47" t="s">
        <v>3208</v>
      </c>
      <c r="Q336" s="47" t="s">
        <v>3209</v>
      </c>
      <c r="R336" s="47" t="s">
        <v>3210</v>
      </c>
      <c r="S336" s="47" t="s">
        <v>3211</v>
      </c>
      <c r="T336" s="47" t="s">
        <v>3212</v>
      </c>
    </row>
    <row r="337" spans="1:21" x14ac:dyDescent="0.2">
      <c r="A337" s="47" t="s">
        <v>29</v>
      </c>
    </row>
    <row r="338" spans="1:21" x14ac:dyDescent="0.2">
      <c r="A338" s="47" t="s">
        <v>29</v>
      </c>
      <c r="E338" s="47" t="s">
        <v>30</v>
      </c>
      <c r="F338" s="47" t="s">
        <v>30</v>
      </c>
      <c r="G338" s="47" t="s">
        <v>30</v>
      </c>
      <c r="J338" s="47" t="s">
        <v>30</v>
      </c>
      <c r="K338" s="47" t="s">
        <v>30</v>
      </c>
      <c r="L338" s="47" t="s">
        <v>30</v>
      </c>
      <c r="M338" s="47" t="s">
        <v>30</v>
      </c>
    </row>
    <row r="339" spans="1:21" x14ac:dyDescent="0.2">
      <c r="A339" s="47" t="s">
        <v>29</v>
      </c>
      <c r="D339" s="47" t="s">
        <v>5059</v>
      </c>
      <c r="E339" s="47" t="s">
        <v>3735</v>
      </c>
      <c r="F339" s="47" t="s">
        <v>5060</v>
      </c>
      <c r="H339" s="47" t="s">
        <v>5061</v>
      </c>
      <c r="O339" s="47" t="s">
        <v>10318</v>
      </c>
      <c r="P339" s="47" t="s">
        <v>10319</v>
      </c>
      <c r="Q339" s="47" t="s">
        <v>10320</v>
      </c>
      <c r="R339" s="47" t="s">
        <v>10321</v>
      </c>
      <c r="S339" s="47" t="s">
        <v>10322</v>
      </c>
      <c r="T339" s="47" t="s">
        <v>10323</v>
      </c>
      <c r="U339" s="47" t="s">
        <v>10324</v>
      </c>
    </row>
    <row r="340" spans="1:21" x14ac:dyDescent="0.2">
      <c r="A340" s="47" t="s">
        <v>29</v>
      </c>
      <c r="D340" s="47" t="s">
        <v>978</v>
      </c>
      <c r="G340" s="47" t="s">
        <v>10325</v>
      </c>
      <c r="H340" s="47" t="s">
        <v>979</v>
      </c>
      <c r="I340" s="47" t="s">
        <v>980</v>
      </c>
      <c r="J340" s="47" t="s">
        <v>981</v>
      </c>
      <c r="K340" s="47" t="s">
        <v>982</v>
      </c>
      <c r="L340" s="47" t="s">
        <v>983</v>
      </c>
      <c r="M340" s="47" t="s">
        <v>984</v>
      </c>
      <c r="N340" s="47" t="s">
        <v>985</v>
      </c>
      <c r="O340" s="47" t="s">
        <v>8954</v>
      </c>
      <c r="P340" s="47" t="s">
        <v>8955</v>
      </c>
      <c r="Q340" s="47" t="s">
        <v>8956</v>
      </c>
      <c r="R340" s="47" t="s">
        <v>8957</v>
      </c>
      <c r="S340" s="47" t="s">
        <v>8958</v>
      </c>
      <c r="T340" s="47" t="s">
        <v>8959</v>
      </c>
    </row>
    <row r="341" spans="1:21" x14ac:dyDescent="0.2">
      <c r="A341" s="47" t="s">
        <v>29</v>
      </c>
      <c r="D341" s="47" t="s">
        <v>986</v>
      </c>
      <c r="G341" s="47" t="s">
        <v>8715</v>
      </c>
      <c r="H341" s="47" t="s">
        <v>987</v>
      </c>
      <c r="I341" s="47" t="s">
        <v>988</v>
      </c>
      <c r="J341" s="47" t="s">
        <v>989</v>
      </c>
      <c r="K341" s="47" t="s">
        <v>990</v>
      </c>
      <c r="L341" s="47" t="s">
        <v>991</v>
      </c>
      <c r="M341" s="47" t="s">
        <v>992</v>
      </c>
      <c r="N341" s="47" t="s">
        <v>993</v>
      </c>
      <c r="O341" s="47" t="s">
        <v>6935</v>
      </c>
      <c r="P341" s="47" t="s">
        <v>6941</v>
      </c>
      <c r="Q341" s="47" t="s">
        <v>6947</v>
      </c>
      <c r="R341" s="47" t="s">
        <v>6953</v>
      </c>
      <c r="S341" s="47" t="s">
        <v>6959</v>
      </c>
      <c r="T341" s="47" t="s">
        <v>6965</v>
      </c>
    </row>
    <row r="342" spans="1:21" x14ac:dyDescent="0.2">
      <c r="A342" s="47" t="s">
        <v>29</v>
      </c>
    </row>
    <row r="343" spans="1:21" x14ac:dyDescent="0.2">
      <c r="A343" s="47" t="s">
        <v>29</v>
      </c>
      <c r="E343" s="47" t="s">
        <v>30</v>
      </c>
      <c r="F343" s="47" t="s">
        <v>30</v>
      </c>
      <c r="G343" s="47" t="s">
        <v>30</v>
      </c>
      <c r="J343" s="47" t="s">
        <v>30</v>
      </c>
      <c r="K343" s="47" t="s">
        <v>30</v>
      </c>
      <c r="L343" s="47" t="s">
        <v>30</v>
      </c>
      <c r="M343" s="47" t="s">
        <v>30</v>
      </c>
    </row>
    <row r="344" spans="1:21" x14ac:dyDescent="0.2">
      <c r="A344" s="47" t="s">
        <v>29</v>
      </c>
      <c r="D344" s="47" t="s">
        <v>10326</v>
      </c>
      <c r="E344" s="47" t="s">
        <v>3778</v>
      </c>
      <c r="F344" s="47" t="s">
        <v>10327</v>
      </c>
      <c r="H344" s="47" t="s">
        <v>10328</v>
      </c>
      <c r="O344" s="47" t="s">
        <v>10329</v>
      </c>
      <c r="P344" s="47" t="s">
        <v>10330</v>
      </c>
      <c r="Q344" s="47" t="s">
        <v>10331</v>
      </c>
      <c r="R344" s="47" t="s">
        <v>10332</v>
      </c>
      <c r="S344" s="47" t="s">
        <v>10333</v>
      </c>
      <c r="T344" s="47" t="s">
        <v>10334</v>
      </c>
      <c r="U344" s="47" t="s">
        <v>10335</v>
      </c>
    </row>
    <row r="345" spans="1:21" x14ac:dyDescent="0.2">
      <c r="A345" s="47" t="s">
        <v>29</v>
      </c>
      <c r="D345" s="47" t="s">
        <v>1860</v>
      </c>
      <c r="G345" s="47" t="s">
        <v>10336</v>
      </c>
      <c r="H345" s="47" t="s">
        <v>1861</v>
      </c>
      <c r="I345" s="47" t="s">
        <v>1862</v>
      </c>
      <c r="J345" s="47" t="s">
        <v>1863</v>
      </c>
      <c r="K345" s="47" t="s">
        <v>1864</v>
      </c>
      <c r="L345" s="47" t="s">
        <v>1865</v>
      </c>
      <c r="M345" s="47" t="s">
        <v>1866</v>
      </c>
      <c r="N345" s="47" t="s">
        <v>1867</v>
      </c>
      <c r="O345" s="47" t="s">
        <v>2855</v>
      </c>
      <c r="P345" s="47" t="s">
        <v>2856</v>
      </c>
      <c r="Q345" s="47" t="s">
        <v>2857</v>
      </c>
      <c r="R345" s="47" t="s">
        <v>2858</v>
      </c>
      <c r="S345" s="47" t="s">
        <v>2859</v>
      </c>
      <c r="T345" s="47" t="s">
        <v>2860</v>
      </c>
    </row>
    <row r="346" spans="1:21" x14ac:dyDescent="0.2">
      <c r="A346" s="47" t="s">
        <v>29</v>
      </c>
      <c r="D346" s="47" t="s">
        <v>2861</v>
      </c>
      <c r="G346" s="47" t="s">
        <v>8716</v>
      </c>
      <c r="H346" s="47" t="s">
        <v>2862</v>
      </c>
      <c r="I346" s="47" t="s">
        <v>2863</v>
      </c>
      <c r="J346" s="47" t="s">
        <v>2864</v>
      </c>
      <c r="K346" s="47" t="s">
        <v>2865</v>
      </c>
      <c r="L346" s="47" t="s">
        <v>2866</v>
      </c>
      <c r="M346" s="47" t="s">
        <v>2867</v>
      </c>
      <c r="N346" s="47" t="s">
        <v>2868</v>
      </c>
      <c r="O346" s="47" t="s">
        <v>2869</v>
      </c>
      <c r="P346" s="47" t="s">
        <v>2870</v>
      </c>
      <c r="Q346" s="47" t="s">
        <v>2871</v>
      </c>
      <c r="R346" s="47" t="s">
        <v>2872</v>
      </c>
      <c r="S346" s="47" t="s">
        <v>2873</v>
      </c>
      <c r="T346" s="47" t="s">
        <v>2874</v>
      </c>
    </row>
    <row r="347" spans="1:21" x14ac:dyDescent="0.2">
      <c r="A347" s="47" t="s">
        <v>29</v>
      </c>
      <c r="D347" s="47" t="s">
        <v>3214</v>
      </c>
      <c r="G347" s="47" t="s">
        <v>8717</v>
      </c>
      <c r="H347" s="47" t="s">
        <v>3215</v>
      </c>
      <c r="I347" s="47" t="s">
        <v>3216</v>
      </c>
      <c r="J347" s="47" t="s">
        <v>3217</v>
      </c>
      <c r="K347" s="47" t="s">
        <v>3218</v>
      </c>
      <c r="L347" s="47" t="s">
        <v>3219</v>
      </c>
      <c r="M347" s="47" t="s">
        <v>3220</v>
      </c>
      <c r="N347" s="47" t="s">
        <v>3221</v>
      </c>
      <c r="O347" s="47" t="s">
        <v>3222</v>
      </c>
      <c r="P347" s="47" t="s">
        <v>3223</v>
      </c>
      <c r="Q347" s="47" t="s">
        <v>3224</v>
      </c>
      <c r="R347" s="47" t="s">
        <v>3225</v>
      </c>
      <c r="S347" s="47" t="s">
        <v>3226</v>
      </c>
      <c r="T347" s="47" t="s">
        <v>3227</v>
      </c>
    </row>
    <row r="348" spans="1:21" x14ac:dyDescent="0.2">
      <c r="A348" s="47" t="s">
        <v>29</v>
      </c>
    </row>
    <row r="349" spans="1:21" x14ac:dyDescent="0.2">
      <c r="A349" s="47" t="s">
        <v>29</v>
      </c>
      <c r="E349" s="47" t="s">
        <v>30</v>
      </c>
      <c r="F349" s="47" t="s">
        <v>30</v>
      </c>
      <c r="G349" s="47" t="s">
        <v>30</v>
      </c>
      <c r="J349" s="47" t="s">
        <v>30</v>
      </c>
      <c r="K349" s="47" t="s">
        <v>30</v>
      </c>
      <c r="L349" s="47" t="s">
        <v>30</v>
      </c>
      <c r="M349" s="47" t="s">
        <v>30</v>
      </c>
    </row>
    <row r="350" spans="1:21" x14ac:dyDescent="0.2">
      <c r="A350" s="47" t="s">
        <v>29</v>
      </c>
      <c r="D350" s="47" t="s">
        <v>10337</v>
      </c>
      <c r="E350" s="47" t="s">
        <v>3807</v>
      </c>
      <c r="F350" s="47" t="s">
        <v>10338</v>
      </c>
      <c r="H350" s="47" t="s">
        <v>10339</v>
      </c>
      <c r="O350" s="47" t="s">
        <v>10340</v>
      </c>
      <c r="P350" s="47" t="s">
        <v>10341</v>
      </c>
      <c r="Q350" s="47" t="s">
        <v>10342</v>
      </c>
      <c r="R350" s="47" t="s">
        <v>10343</v>
      </c>
      <c r="S350" s="47" t="s">
        <v>10344</v>
      </c>
      <c r="T350" s="47" t="s">
        <v>10345</v>
      </c>
      <c r="U350" s="47" t="s">
        <v>10346</v>
      </c>
    </row>
    <row r="351" spans="1:21" x14ac:dyDescent="0.2">
      <c r="A351" s="47" t="s">
        <v>29</v>
      </c>
      <c r="D351" s="47" t="s">
        <v>1010</v>
      </c>
      <c r="G351" s="47" t="s">
        <v>10347</v>
      </c>
      <c r="H351" s="47" t="s">
        <v>1011</v>
      </c>
      <c r="I351" s="47" t="s">
        <v>1012</v>
      </c>
      <c r="J351" s="47" t="s">
        <v>1013</v>
      </c>
      <c r="K351" s="47" t="s">
        <v>1014</v>
      </c>
      <c r="L351" s="47" t="s">
        <v>1015</v>
      </c>
      <c r="M351" s="47" t="s">
        <v>1016</v>
      </c>
      <c r="N351" s="47" t="s">
        <v>1017</v>
      </c>
      <c r="O351" s="47" t="s">
        <v>6936</v>
      </c>
      <c r="P351" s="47" t="s">
        <v>6942</v>
      </c>
      <c r="Q351" s="47" t="s">
        <v>6948</v>
      </c>
      <c r="R351" s="47" t="s">
        <v>6954</v>
      </c>
      <c r="S351" s="47" t="s">
        <v>6960</v>
      </c>
      <c r="T351" s="47" t="s">
        <v>6966</v>
      </c>
    </row>
    <row r="352" spans="1:21" x14ac:dyDescent="0.2">
      <c r="A352" s="47" t="s">
        <v>29</v>
      </c>
      <c r="D352" s="47" t="s">
        <v>6348</v>
      </c>
      <c r="G352" s="47" t="s">
        <v>8718</v>
      </c>
      <c r="H352" s="47" t="s">
        <v>6933</v>
      </c>
      <c r="I352" s="47" t="s">
        <v>6934</v>
      </c>
      <c r="J352" s="47" t="s">
        <v>6971</v>
      </c>
      <c r="K352" s="47" t="s">
        <v>6972</v>
      </c>
      <c r="L352" s="47" t="s">
        <v>6349</v>
      </c>
      <c r="M352" s="47" t="s">
        <v>6350</v>
      </c>
      <c r="N352" s="47" t="s">
        <v>6351</v>
      </c>
      <c r="O352" s="47" t="s">
        <v>6937</v>
      </c>
      <c r="P352" s="47" t="s">
        <v>6943</v>
      </c>
      <c r="Q352" s="47" t="s">
        <v>6949</v>
      </c>
      <c r="R352" s="47" t="s">
        <v>6955</v>
      </c>
      <c r="S352" s="47" t="s">
        <v>6961</v>
      </c>
      <c r="T352" s="47" t="s">
        <v>6967</v>
      </c>
    </row>
    <row r="353" spans="1:21" x14ac:dyDescent="0.2">
      <c r="A353" s="47" t="s">
        <v>29</v>
      </c>
      <c r="D353" s="47" t="s">
        <v>1763</v>
      </c>
      <c r="G353" s="47" t="s">
        <v>8719</v>
      </c>
      <c r="H353" s="47" t="s">
        <v>1764</v>
      </c>
      <c r="I353" s="47" t="s">
        <v>1765</v>
      </c>
      <c r="J353" s="47" t="s">
        <v>1766</v>
      </c>
      <c r="K353" s="47" t="s">
        <v>1767</v>
      </c>
      <c r="L353" s="47" t="s">
        <v>1768</v>
      </c>
      <c r="M353" s="47" t="s">
        <v>1769</v>
      </c>
      <c r="N353" s="47" t="s">
        <v>1770</v>
      </c>
      <c r="O353" s="47" t="s">
        <v>6938</v>
      </c>
      <c r="P353" s="47" t="s">
        <v>6944</v>
      </c>
      <c r="Q353" s="47" t="s">
        <v>6950</v>
      </c>
      <c r="R353" s="47" t="s">
        <v>6956</v>
      </c>
      <c r="S353" s="47" t="s">
        <v>6962</v>
      </c>
      <c r="T353" s="47" t="s">
        <v>6968</v>
      </c>
    </row>
    <row r="354" spans="1:21" x14ac:dyDescent="0.2">
      <c r="A354" s="47" t="s">
        <v>29</v>
      </c>
      <c r="D354" s="47" t="s">
        <v>1970</v>
      </c>
      <c r="G354" s="47" t="s">
        <v>8720</v>
      </c>
      <c r="H354" s="47" t="s">
        <v>1971</v>
      </c>
      <c r="I354" s="47" t="s">
        <v>1972</v>
      </c>
      <c r="J354" s="47" t="s">
        <v>1973</v>
      </c>
      <c r="K354" s="47" t="s">
        <v>1974</v>
      </c>
      <c r="L354" s="47" t="s">
        <v>1975</v>
      </c>
      <c r="M354" s="47" t="s">
        <v>1976</v>
      </c>
      <c r="N354" s="47" t="s">
        <v>1977</v>
      </c>
      <c r="O354" s="47" t="s">
        <v>2206</v>
      </c>
      <c r="P354" s="47" t="s">
        <v>2207</v>
      </c>
      <c r="Q354" s="47" t="s">
        <v>2208</v>
      </c>
      <c r="R354" s="47" t="s">
        <v>2209</v>
      </c>
      <c r="S354" s="47" t="s">
        <v>2210</v>
      </c>
      <c r="T354" s="47" t="s">
        <v>2211</v>
      </c>
    </row>
    <row r="355" spans="1:21" x14ac:dyDescent="0.2">
      <c r="A355" s="47" t="s">
        <v>29</v>
      </c>
      <c r="D355" s="47" t="s">
        <v>1018</v>
      </c>
      <c r="G355" s="47" t="s">
        <v>8721</v>
      </c>
      <c r="H355" s="47" t="s">
        <v>1019</v>
      </c>
      <c r="I355" s="47" t="s">
        <v>1020</v>
      </c>
      <c r="J355" s="47" t="s">
        <v>1021</v>
      </c>
      <c r="K355" s="47" t="s">
        <v>1022</v>
      </c>
      <c r="L355" s="47" t="s">
        <v>1023</v>
      </c>
      <c r="M355" s="47" t="s">
        <v>1024</v>
      </c>
      <c r="N355" s="47" t="s">
        <v>1025</v>
      </c>
      <c r="O355" s="47" t="s">
        <v>2212</v>
      </c>
      <c r="P355" s="47" t="s">
        <v>2213</v>
      </c>
      <c r="Q355" s="47" t="s">
        <v>2214</v>
      </c>
      <c r="R355" s="47" t="s">
        <v>2215</v>
      </c>
      <c r="S355" s="47" t="s">
        <v>2216</v>
      </c>
      <c r="T355" s="47" t="s">
        <v>2217</v>
      </c>
    </row>
    <row r="356" spans="1:21" x14ac:dyDescent="0.2">
      <c r="A356" s="47" t="s">
        <v>29</v>
      </c>
      <c r="D356" s="47" t="s">
        <v>1026</v>
      </c>
      <c r="G356" s="47" t="s">
        <v>8722</v>
      </c>
      <c r="H356" s="47" t="s">
        <v>1027</v>
      </c>
      <c r="I356" s="47" t="s">
        <v>1028</v>
      </c>
      <c r="J356" s="47" t="s">
        <v>1029</v>
      </c>
      <c r="K356" s="47" t="s">
        <v>1030</v>
      </c>
      <c r="L356" s="47" t="s">
        <v>1031</v>
      </c>
      <c r="M356" s="47" t="s">
        <v>1032</v>
      </c>
      <c r="N356" s="47" t="s">
        <v>1033</v>
      </c>
      <c r="O356" s="47" t="s">
        <v>2218</v>
      </c>
      <c r="P356" s="47" t="s">
        <v>2219</v>
      </c>
      <c r="Q356" s="47" t="s">
        <v>2220</v>
      </c>
      <c r="R356" s="47" t="s">
        <v>2221</v>
      </c>
      <c r="S356" s="47" t="s">
        <v>2222</v>
      </c>
      <c r="T356" s="47" t="s">
        <v>2223</v>
      </c>
    </row>
    <row r="357" spans="1:21" x14ac:dyDescent="0.2">
      <c r="A357" s="47" t="s">
        <v>29</v>
      </c>
    </row>
    <row r="358" spans="1:21" x14ac:dyDescent="0.2">
      <c r="A358" s="47" t="s">
        <v>29</v>
      </c>
      <c r="E358" s="47" t="s">
        <v>30</v>
      </c>
      <c r="F358" s="47" t="s">
        <v>30</v>
      </c>
      <c r="G358" s="47" t="s">
        <v>30</v>
      </c>
      <c r="J358" s="47" t="s">
        <v>30</v>
      </c>
      <c r="K358" s="47" t="s">
        <v>30</v>
      </c>
      <c r="L358" s="47" t="s">
        <v>30</v>
      </c>
      <c r="M358" s="47" t="s">
        <v>30</v>
      </c>
    </row>
    <row r="359" spans="1:21" x14ac:dyDescent="0.2">
      <c r="A359" s="47" t="s">
        <v>29</v>
      </c>
      <c r="D359" s="47" t="s">
        <v>7557</v>
      </c>
      <c r="E359" s="47" t="s">
        <v>3866</v>
      </c>
      <c r="F359" s="47" t="s">
        <v>7558</v>
      </c>
      <c r="H359" s="47" t="s">
        <v>7559</v>
      </c>
      <c r="O359" s="47" t="s">
        <v>7560</v>
      </c>
      <c r="P359" s="47" t="s">
        <v>7561</v>
      </c>
      <c r="Q359" s="47" t="s">
        <v>7562</v>
      </c>
      <c r="R359" s="47" t="s">
        <v>7563</v>
      </c>
      <c r="S359" s="47" t="s">
        <v>7564</v>
      </c>
      <c r="T359" s="47" t="s">
        <v>7565</v>
      </c>
      <c r="U359" s="47" t="s">
        <v>7566</v>
      </c>
    </row>
    <row r="360" spans="1:21" x14ac:dyDescent="0.2">
      <c r="A360" s="47" t="s">
        <v>29</v>
      </c>
      <c r="D360" s="47" t="s">
        <v>4557</v>
      </c>
      <c r="G360" s="47" t="s">
        <v>10348</v>
      </c>
      <c r="H360" s="47" t="s">
        <v>4558</v>
      </c>
      <c r="I360" s="47" t="s">
        <v>4559</v>
      </c>
      <c r="J360" s="47" t="s">
        <v>4560</v>
      </c>
      <c r="K360" s="47" t="s">
        <v>4561</v>
      </c>
      <c r="L360" s="47" t="s">
        <v>4562</v>
      </c>
      <c r="M360" s="47" t="s">
        <v>4563</v>
      </c>
      <c r="N360" s="47" t="s">
        <v>4564</v>
      </c>
      <c r="O360" s="47" t="s">
        <v>6939</v>
      </c>
      <c r="P360" s="47" t="s">
        <v>6945</v>
      </c>
      <c r="Q360" s="47" t="s">
        <v>6951</v>
      </c>
      <c r="R360" s="47" t="s">
        <v>6957</v>
      </c>
      <c r="S360" s="47" t="s">
        <v>6963</v>
      </c>
      <c r="T360" s="47" t="s">
        <v>6969</v>
      </c>
    </row>
    <row r="361" spans="1:21" x14ac:dyDescent="0.2">
      <c r="A361" s="47" t="s">
        <v>29</v>
      </c>
      <c r="D361" s="47" t="s">
        <v>3230</v>
      </c>
      <c r="G361" s="47" t="s">
        <v>8723</v>
      </c>
      <c r="H361" s="47" t="s">
        <v>3231</v>
      </c>
      <c r="I361" s="47" t="s">
        <v>3232</v>
      </c>
      <c r="J361" s="47" t="s">
        <v>3233</v>
      </c>
      <c r="K361" s="47" t="s">
        <v>3234</v>
      </c>
      <c r="L361" s="47" t="s">
        <v>3235</v>
      </c>
      <c r="M361" s="47" t="s">
        <v>3236</v>
      </c>
      <c r="N361" s="47" t="s">
        <v>3237</v>
      </c>
      <c r="O361" s="47" t="s">
        <v>3238</v>
      </c>
      <c r="P361" s="47" t="s">
        <v>3239</v>
      </c>
      <c r="Q361" s="47" t="s">
        <v>3240</v>
      </c>
      <c r="R361" s="47" t="s">
        <v>3241</v>
      </c>
      <c r="S361" s="47" t="s">
        <v>3242</v>
      </c>
      <c r="T361" s="47" t="s">
        <v>3243</v>
      </c>
    </row>
    <row r="362" spans="1:21" x14ac:dyDescent="0.2">
      <c r="A362" s="47" t="s">
        <v>29</v>
      </c>
    </row>
    <row r="363" spans="1:21" x14ac:dyDescent="0.2">
      <c r="A363" s="47" t="s">
        <v>29</v>
      </c>
      <c r="E363" s="47" t="s">
        <v>30</v>
      </c>
      <c r="F363" s="47" t="s">
        <v>30</v>
      </c>
      <c r="G363" s="47" t="s">
        <v>30</v>
      </c>
      <c r="J363" s="47" t="s">
        <v>30</v>
      </c>
      <c r="K363" s="47" t="s">
        <v>30</v>
      </c>
      <c r="L363" s="47" t="s">
        <v>30</v>
      </c>
      <c r="M363" s="47" t="s">
        <v>30</v>
      </c>
    </row>
    <row r="364" spans="1:21" x14ac:dyDescent="0.2">
      <c r="A364" s="47" t="s">
        <v>29</v>
      </c>
      <c r="D364" s="47" t="s">
        <v>6099</v>
      </c>
      <c r="E364" s="47" t="s">
        <v>3937</v>
      </c>
      <c r="F364" s="47" t="s">
        <v>6100</v>
      </c>
      <c r="H364" s="47" t="s">
        <v>6101</v>
      </c>
      <c r="O364" s="47" t="s">
        <v>6102</v>
      </c>
      <c r="P364" s="47" t="s">
        <v>6103</v>
      </c>
      <c r="Q364" s="47" t="s">
        <v>6104</v>
      </c>
      <c r="R364" s="47" t="s">
        <v>6105</v>
      </c>
      <c r="S364" s="47" t="s">
        <v>6106</v>
      </c>
      <c r="T364" s="47" t="s">
        <v>6107</v>
      </c>
      <c r="U364" s="47" t="s">
        <v>6108</v>
      </c>
    </row>
    <row r="365" spans="1:21" x14ac:dyDescent="0.2">
      <c r="A365" s="47" t="s">
        <v>29</v>
      </c>
      <c r="D365" s="47" t="s">
        <v>1042</v>
      </c>
      <c r="G365" s="47" t="s">
        <v>10349</v>
      </c>
      <c r="H365" s="47" t="s">
        <v>1043</v>
      </c>
      <c r="I365" s="47" t="s">
        <v>1044</v>
      </c>
      <c r="J365" s="47" t="s">
        <v>1045</v>
      </c>
      <c r="K365" s="47" t="s">
        <v>1046</v>
      </c>
      <c r="L365" s="47" t="s">
        <v>1047</v>
      </c>
      <c r="M365" s="47" t="s">
        <v>1048</v>
      </c>
      <c r="N365" s="47" t="s">
        <v>1049</v>
      </c>
      <c r="O365" s="47" t="s">
        <v>5749</v>
      </c>
      <c r="P365" s="47" t="s">
        <v>5750</v>
      </c>
      <c r="Q365" s="47" t="s">
        <v>5751</v>
      </c>
      <c r="R365" s="47" t="s">
        <v>5752</v>
      </c>
      <c r="S365" s="47" t="s">
        <v>5753</v>
      </c>
      <c r="T365" s="47" t="s">
        <v>5754</v>
      </c>
    </row>
    <row r="366" spans="1:21" x14ac:dyDescent="0.2">
      <c r="A366" s="47" t="s">
        <v>29</v>
      </c>
      <c r="D366" s="47" t="s">
        <v>1050</v>
      </c>
      <c r="G366" s="47" t="s">
        <v>8724</v>
      </c>
      <c r="H366" s="47" t="s">
        <v>1051</v>
      </c>
      <c r="I366" s="47" t="s">
        <v>1052</v>
      </c>
      <c r="J366" s="47" t="s">
        <v>1053</v>
      </c>
      <c r="K366" s="47" t="s">
        <v>1054</v>
      </c>
      <c r="L366" s="47" t="s">
        <v>1055</v>
      </c>
      <c r="M366" s="47" t="s">
        <v>1056</v>
      </c>
      <c r="N366" s="47" t="s">
        <v>1057</v>
      </c>
      <c r="O366" s="47" t="s">
        <v>6940</v>
      </c>
      <c r="P366" s="47" t="s">
        <v>6946</v>
      </c>
      <c r="Q366" s="47" t="s">
        <v>6952</v>
      </c>
      <c r="R366" s="47" t="s">
        <v>6958</v>
      </c>
      <c r="S366" s="47" t="s">
        <v>6964</v>
      </c>
      <c r="T366" s="47" t="s">
        <v>6970</v>
      </c>
    </row>
    <row r="367" spans="1:21" x14ac:dyDescent="0.2">
      <c r="A367" s="47" t="s">
        <v>29</v>
      </c>
    </row>
    <row r="368" spans="1:21" x14ac:dyDescent="0.2">
      <c r="A368" s="47" t="s">
        <v>29</v>
      </c>
      <c r="E368" s="47" t="s">
        <v>30</v>
      </c>
      <c r="F368" s="47" t="s">
        <v>30</v>
      </c>
      <c r="G368" s="47" t="s">
        <v>30</v>
      </c>
      <c r="J368" s="47" t="s">
        <v>30</v>
      </c>
      <c r="K368" s="47" t="s">
        <v>30</v>
      </c>
      <c r="L368" s="47" t="s">
        <v>30</v>
      </c>
      <c r="M368" s="47" t="s">
        <v>30</v>
      </c>
    </row>
    <row r="369" spans="1:21" x14ac:dyDescent="0.2">
      <c r="A369" s="47" t="s">
        <v>29</v>
      </c>
      <c r="D369" s="47" t="s">
        <v>6109</v>
      </c>
      <c r="E369" s="47" t="s">
        <v>4022</v>
      </c>
      <c r="F369" s="47" t="s">
        <v>6110</v>
      </c>
      <c r="H369" s="47" t="s">
        <v>6111</v>
      </c>
      <c r="O369" s="47" t="s">
        <v>7912</v>
      </c>
      <c r="P369" s="47" t="s">
        <v>7913</v>
      </c>
      <c r="Q369" s="47" t="s">
        <v>7914</v>
      </c>
      <c r="R369" s="47" t="s">
        <v>7915</v>
      </c>
      <c r="S369" s="47" t="s">
        <v>7916</v>
      </c>
      <c r="T369" s="47" t="s">
        <v>7917</v>
      </c>
      <c r="U369" s="47" t="s">
        <v>7918</v>
      </c>
    </row>
    <row r="370" spans="1:21" x14ac:dyDescent="0.2">
      <c r="A370" s="47" t="s">
        <v>29</v>
      </c>
      <c r="D370" s="47" t="s">
        <v>1562</v>
      </c>
      <c r="G370" s="47" t="s">
        <v>6352</v>
      </c>
      <c r="H370" s="47" t="s">
        <v>1563</v>
      </c>
      <c r="I370" s="47" t="s">
        <v>1564</v>
      </c>
      <c r="J370" s="47" t="s">
        <v>1565</v>
      </c>
      <c r="K370" s="47" t="s">
        <v>1566</v>
      </c>
      <c r="L370" s="47" t="s">
        <v>1567</v>
      </c>
      <c r="M370" s="47" t="s">
        <v>1568</v>
      </c>
      <c r="N370" s="47" t="s">
        <v>1569</v>
      </c>
      <c r="O370" s="47" t="s">
        <v>2224</v>
      </c>
      <c r="P370" s="47" t="s">
        <v>2225</v>
      </c>
      <c r="Q370" s="47" t="s">
        <v>2226</v>
      </c>
      <c r="R370" s="47" t="s">
        <v>2227</v>
      </c>
      <c r="S370" s="47" t="s">
        <v>2228</v>
      </c>
      <c r="T370" s="47" t="s">
        <v>2229</v>
      </c>
    </row>
    <row r="371" spans="1:21" x14ac:dyDescent="0.2">
      <c r="A371" s="47" t="s">
        <v>29</v>
      </c>
      <c r="D371" s="47" t="s">
        <v>1058</v>
      </c>
      <c r="G371" s="47" t="s">
        <v>8725</v>
      </c>
      <c r="H371" s="47" t="s">
        <v>1059</v>
      </c>
      <c r="I371" s="47" t="s">
        <v>1060</v>
      </c>
      <c r="J371" s="47" t="s">
        <v>1061</v>
      </c>
      <c r="K371" s="47" t="s">
        <v>1062</v>
      </c>
      <c r="L371" s="47" t="s">
        <v>1063</v>
      </c>
      <c r="M371" s="47" t="s">
        <v>1064</v>
      </c>
      <c r="N371" s="47" t="s">
        <v>1065</v>
      </c>
      <c r="O371" s="47" t="s">
        <v>2230</v>
      </c>
      <c r="P371" s="47" t="s">
        <v>2231</v>
      </c>
      <c r="Q371" s="47" t="s">
        <v>2232</v>
      </c>
      <c r="R371" s="47" t="s">
        <v>2233</v>
      </c>
      <c r="S371" s="47" t="s">
        <v>2234</v>
      </c>
      <c r="T371" s="47" t="s">
        <v>2235</v>
      </c>
    </row>
    <row r="372" spans="1:21" x14ac:dyDescent="0.2">
      <c r="A372" s="47" t="s">
        <v>29</v>
      </c>
      <c r="D372" s="47" t="s">
        <v>6353</v>
      </c>
      <c r="G372" s="47" t="s">
        <v>8726</v>
      </c>
      <c r="H372" s="47" t="s">
        <v>6913</v>
      </c>
      <c r="I372" s="47" t="s">
        <v>6915</v>
      </c>
      <c r="J372" s="47" t="s">
        <v>6929</v>
      </c>
      <c r="K372" s="47" t="s">
        <v>6931</v>
      </c>
      <c r="L372" s="47" t="s">
        <v>6354</v>
      </c>
      <c r="M372" s="47" t="s">
        <v>6355</v>
      </c>
      <c r="N372" s="47" t="s">
        <v>6356</v>
      </c>
      <c r="O372" s="47" t="s">
        <v>6917</v>
      </c>
      <c r="P372" s="47" t="s">
        <v>6919</v>
      </c>
      <c r="Q372" s="47" t="s">
        <v>6921</v>
      </c>
      <c r="R372" s="47" t="s">
        <v>6923</v>
      </c>
      <c r="S372" s="47" t="s">
        <v>6925</v>
      </c>
      <c r="T372" s="47" t="s">
        <v>6927</v>
      </c>
    </row>
    <row r="373" spans="1:21" x14ac:dyDescent="0.2">
      <c r="A373" s="47" t="s">
        <v>29</v>
      </c>
      <c r="D373" s="47" t="s">
        <v>6357</v>
      </c>
      <c r="G373" s="47" t="s">
        <v>8727</v>
      </c>
      <c r="H373" s="47" t="s">
        <v>6914</v>
      </c>
      <c r="I373" s="47" t="s">
        <v>6916</v>
      </c>
      <c r="J373" s="47" t="s">
        <v>6930</v>
      </c>
      <c r="K373" s="47" t="s">
        <v>6932</v>
      </c>
      <c r="L373" s="47" t="s">
        <v>6358</v>
      </c>
      <c r="M373" s="47" t="s">
        <v>6359</v>
      </c>
      <c r="N373" s="47" t="s">
        <v>6360</v>
      </c>
      <c r="O373" s="47" t="s">
        <v>6918</v>
      </c>
      <c r="P373" s="47" t="s">
        <v>6920</v>
      </c>
      <c r="Q373" s="47" t="s">
        <v>6922</v>
      </c>
      <c r="R373" s="47" t="s">
        <v>6924</v>
      </c>
      <c r="S373" s="47" t="s">
        <v>6926</v>
      </c>
      <c r="T373" s="47" t="s">
        <v>6928</v>
      </c>
    </row>
    <row r="374" spans="1:21" x14ac:dyDescent="0.2">
      <c r="A374" s="47" t="s">
        <v>29</v>
      </c>
    </row>
    <row r="375" spans="1:21" x14ac:dyDescent="0.2">
      <c r="A375" s="47" t="s">
        <v>29</v>
      </c>
      <c r="E375" s="47" t="s">
        <v>30</v>
      </c>
      <c r="F375" s="47" t="s">
        <v>30</v>
      </c>
      <c r="G375" s="47" t="s">
        <v>30</v>
      </c>
      <c r="J375" s="47" t="s">
        <v>30</v>
      </c>
      <c r="K375" s="47" t="s">
        <v>30</v>
      </c>
      <c r="L375" s="47" t="s">
        <v>30</v>
      </c>
      <c r="M375" s="47" t="s">
        <v>30</v>
      </c>
    </row>
    <row r="376" spans="1:21" x14ac:dyDescent="0.2">
      <c r="A376" s="47" t="s">
        <v>29</v>
      </c>
      <c r="D376" s="47" t="s">
        <v>7919</v>
      </c>
      <c r="E376" s="47" t="s">
        <v>4075</v>
      </c>
      <c r="F376" s="47" t="s">
        <v>7920</v>
      </c>
      <c r="H376" s="47" t="s">
        <v>7921</v>
      </c>
      <c r="O376" s="47" t="s">
        <v>9658</v>
      </c>
      <c r="P376" s="47" t="s">
        <v>9659</v>
      </c>
      <c r="Q376" s="47" t="s">
        <v>9660</v>
      </c>
      <c r="R376" s="47" t="s">
        <v>9661</v>
      </c>
      <c r="S376" s="47" t="s">
        <v>9662</v>
      </c>
      <c r="T376" s="47" t="s">
        <v>9663</v>
      </c>
      <c r="U376" s="47" t="s">
        <v>9664</v>
      </c>
    </row>
    <row r="377" spans="1:21" x14ac:dyDescent="0.2">
      <c r="A377" s="47" t="s">
        <v>29</v>
      </c>
      <c r="D377" s="47" t="s">
        <v>5329</v>
      </c>
      <c r="G377" s="47" t="s">
        <v>10350</v>
      </c>
      <c r="H377" s="47" t="s">
        <v>5330</v>
      </c>
      <c r="I377" s="47" t="s">
        <v>5331</v>
      </c>
      <c r="J377" s="47" t="s">
        <v>5332</v>
      </c>
      <c r="K377" s="47" t="s">
        <v>5333</v>
      </c>
      <c r="L377" s="47" t="s">
        <v>5334</v>
      </c>
      <c r="M377" s="47" t="s">
        <v>5335</v>
      </c>
      <c r="N377" s="47" t="s">
        <v>5336</v>
      </c>
      <c r="O377" s="47" t="s">
        <v>5337</v>
      </c>
      <c r="P377" s="47" t="s">
        <v>5338</v>
      </c>
      <c r="Q377" s="47" t="s">
        <v>5339</v>
      </c>
      <c r="R377" s="47" t="s">
        <v>5340</v>
      </c>
      <c r="S377" s="47" t="s">
        <v>5341</v>
      </c>
      <c r="T377" s="47" t="s">
        <v>5342</v>
      </c>
    </row>
    <row r="378" spans="1:21" x14ac:dyDescent="0.2">
      <c r="A378" s="47" t="s">
        <v>29</v>
      </c>
    </row>
    <row r="379" spans="1:21" x14ac:dyDescent="0.2">
      <c r="A379" s="47" t="s">
        <v>29</v>
      </c>
      <c r="E379" s="47" t="s">
        <v>30</v>
      </c>
      <c r="F379" s="47" t="s">
        <v>30</v>
      </c>
      <c r="G379" s="47" t="s">
        <v>30</v>
      </c>
      <c r="J379" s="47" t="s">
        <v>30</v>
      </c>
      <c r="K379" s="47" t="s">
        <v>30</v>
      </c>
      <c r="L379" s="47" t="s">
        <v>30</v>
      </c>
      <c r="M379" s="47" t="s">
        <v>30</v>
      </c>
    </row>
    <row r="380" spans="1:21" x14ac:dyDescent="0.2">
      <c r="A380" s="47" t="s">
        <v>29</v>
      </c>
      <c r="D380" s="47" t="s">
        <v>9665</v>
      </c>
      <c r="E380" s="47" t="s">
        <v>4146</v>
      </c>
      <c r="F380" s="47" t="s">
        <v>9666</v>
      </c>
      <c r="H380" s="47" t="s">
        <v>9667</v>
      </c>
      <c r="O380" s="47" t="s">
        <v>10351</v>
      </c>
      <c r="P380" s="47" t="s">
        <v>10352</v>
      </c>
      <c r="Q380" s="47" t="s">
        <v>10353</v>
      </c>
      <c r="R380" s="47" t="s">
        <v>10354</v>
      </c>
      <c r="S380" s="47" t="s">
        <v>10355</v>
      </c>
      <c r="T380" s="47" t="s">
        <v>10356</v>
      </c>
      <c r="U380" s="47" t="s">
        <v>10357</v>
      </c>
    </row>
    <row r="381" spans="1:21" x14ac:dyDescent="0.2">
      <c r="A381" s="47" t="s">
        <v>29</v>
      </c>
      <c r="D381" s="47" t="s">
        <v>1066</v>
      </c>
      <c r="G381" s="47" t="s">
        <v>10358</v>
      </c>
      <c r="H381" s="47" t="s">
        <v>1067</v>
      </c>
      <c r="I381" s="47" t="s">
        <v>1068</v>
      </c>
      <c r="J381" s="47" t="s">
        <v>1069</v>
      </c>
      <c r="K381" s="47" t="s">
        <v>1070</v>
      </c>
      <c r="L381" s="47" t="s">
        <v>1071</v>
      </c>
      <c r="M381" s="47" t="s">
        <v>1072</v>
      </c>
      <c r="N381" s="47" t="s">
        <v>1073</v>
      </c>
      <c r="O381" s="47" t="s">
        <v>8936</v>
      </c>
      <c r="P381" s="47" t="s">
        <v>8939</v>
      </c>
      <c r="Q381" s="47" t="s">
        <v>8942</v>
      </c>
      <c r="R381" s="47" t="s">
        <v>8945</v>
      </c>
      <c r="S381" s="47" t="s">
        <v>8948</v>
      </c>
      <c r="T381" s="47" t="s">
        <v>8951</v>
      </c>
    </row>
    <row r="382" spans="1:21" x14ac:dyDescent="0.2">
      <c r="A382" s="47" t="s">
        <v>29</v>
      </c>
      <c r="D382" s="47" t="s">
        <v>1074</v>
      </c>
      <c r="G382" s="47" t="s">
        <v>8728</v>
      </c>
      <c r="H382" s="47" t="s">
        <v>1075</v>
      </c>
      <c r="I382" s="47" t="s">
        <v>1076</v>
      </c>
      <c r="J382" s="47" t="s">
        <v>1077</v>
      </c>
      <c r="K382" s="47" t="s">
        <v>1078</v>
      </c>
      <c r="L382" s="47" t="s">
        <v>1079</v>
      </c>
      <c r="M382" s="47" t="s">
        <v>1080</v>
      </c>
      <c r="N382" s="47" t="s">
        <v>1081</v>
      </c>
      <c r="O382" s="47" t="s">
        <v>8937</v>
      </c>
      <c r="P382" s="47" t="s">
        <v>8940</v>
      </c>
      <c r="Q382" s="47" t="s">
        <v>8943</v>
      </c>
      <c r="R382" s="47" t="s">
        <v>8946</v>
      </c>
      <c r="S382" s="47" t="s">
        <v>8949</v>
      </c>
      <c r="T382" s="47" t="s">
        <v>8952</v>
      </c>
    </row>
    <row r="383" spans="1:21" x14ac:dyDescent="0.2">
      <c r="A383" s="47" t="s">
        <v>29</v>
      </c>
      <c r="D383" s="47" t="s">
        <v>1082</v>
      </c>
      <c r="G383" s="47" t="s">
        <v>8729</v>
      </c>
      <c r="H383" s="47" t="s">
        <v>1083</v>
      </c>
      <c r="I383" s="47" t="s">
        <v>1084</v>
      </c>
      <c r="J383" s="47" t="s">
        <v>1085</v>
      </c>
      <c r="K383" s="47" t="s">
        <v>1086</v>
      </c>
      <c r="L383" s="47" t="s">
        <v>1087</v>
      </c>
      <c r="M383" s="47" t="s">
        <v>1088</v>
      </c>
      <c r="N383" s="47" t="s">
        <v>1089</v>
      </c>
      <c r="O383" s="47" t="s">
        <v>8938</v>
      </c>
      <c r="P383" s="47" t="s">
        <v>8941</v>
      </c>
      <c r="Q383" s="47" t="s">
        <v>8944</v>
      </c>
      <c r="R383" s="47" t="s">
        <v>8947</v>
      </c>
      <c r="S383" s="47" t="s">
        <v>8950</v>
      </c>
      <c r="T383" s="47" t="s">
        <v>8953</v>
      </c>
    </row>
    <row r="384" spans="1:21" x14ac:dyDescent="0.2">
      <c r="A384" s="47" t="s">
        <v>29</v>
      </c>
      <c r="D384" s="47" t="s">
        <v>1090</v>
      </c>
      <c r="G384" s="47" t="s">
        <v>8730</v>
      </c>
      <c r="H384" s="47" t="s">
        <v>1091</v>
      </c>
      <c r="I384" s="47" t="s">
        <v>1092</v>
      </c>
      <c r="J384" s="47" t="s">
        <v>1093</v>
      </c>
      <c r="K384" s="47" t="s">
        <v>1094</v>
      </c>
      <c r="L384" s="47" t="s">
        <v>1095</v>
      </c>
      <c r="M384" s="47" t="s">
        <v>1096</v>
      </c>
      <c r="N384" s="47" t="s">
        <v>1097</v>
      </c>
      <c r="O384" s="47" t="s">
        <v>2236</v>
      </c>
      <c r="P384" s="47" t="s">
        <v>2237</v>
      </c>
      <c r="Q384" s="47" t="s">
        <v>2238</v>
      </c>
      <c r="R384" s="47" t="s">
        <v>2239</v>
      </c>
      <c r="S384" s="47" t="s">
        <v>2240</v>
      </c>
      <c r="T384" s="47" t="s">
        <v>2241</v>
      </c>
    </row>
    <row r="385" spans="1:21" x14ac:dyDescent="0.2">
      <c r="A385" s="47" t="s">
        <v>29</v>
      </c>
      <c r="D385" s="47" t="s">
        <v>1098</v>
      </c>
      <c r="G385" s="47" t="s">
        <v>8731</v>
      </c>
      <c r="H385" s="47" t="s">
        <v>1099</v>
      </c>
      <c r="I385" s="47" t="s">
        <v>1100</v>
      </c>
      <c r="J385" s="47" t="s">
        <v>1101</v>
      </c>
      <c r="K385" s="47" t="s">
        <v>1102</v>
      </c>
      <c r="L385" s="47" t="s">
        <v>1103</v>
      </c>
      <c r="M385" s="47" t="s">
        <v>1104</v>
      </c>
      <c r="N385" s="47" t="s">
        <v>1105</v>
      </c>
      <c r="O385" s="47" t="s">
        <v>2242</v>
      </c>
      <c r="P385" s="47" t="s">
        <v>2243</v>
      </c>
      <c r="Q385" s="47" t="s">
        <v>2244</v>
      </c>
      <c r="R385" s="47" t="s">
        <v>2245</v>
      </c>
      <c r="S385" s="47" t="s">
        <v>2246</v>
      </c>
      <c r="T385" s="47" t="s">
        <v>2247</v>
      </c>
    </row>
    <row r="386" spans="1:21" x14ac:dyDescent="0.2">
      <c r="A386" s="47" t="s">
        <v>29</v>
      </c>
      <c r="D386" s="47" t="s">
        <v>1106</v>
      </c>
      <c r="G386" s="47" t="s">
        <v>8732</v>
      </c>
      <c r="H386" s="47" t="s">
        <v>1107</v>
      </c>
      <c r="I386" s="47" t="s">
        <v>1108</v>
      </c>
      <c r="J386" s="47" t="s">
        <v>1109</v>
      </c>
      <c r="K386" s="47" t="s">
        <v>1110</v>
      </c>
      <c r="L386" s="47" t="s">
        <v>1111</v>
      </c>
      <c r="M386" s="47" t="s">
        <v>1112</v>
      </c>
      <c r="N386" s="47" t="s">
        <v>1113</v>
      </c>
      <c r="O386" s="47" t="s">
        <v>2248</v>
      </c>
      <c r="P386" s="47" t="s">
        <v>2249</v>
      </c>
      <c r="Q386" s="47" t="s">
        <v>2250</v>
      </c>
      <c r="R386" s="47" t="s">
        <v>2251</v>
      </c>
      <c r="S386" s="47" t="s">
        <v>2252</v>
      </c>
      <c r="T386" s="47" t="s">
        <v>2253</v>
      </c>
    </row>
    <row r="387" spans="1:21" x14ac:dyDescent="0.2">
      <c r="A387" s="47" t="s">
        <v>29</v>
      </c>
    </row>
    <row r="388" spans="1:21" x14ac:dyDescent="0.2">
      <c r="A388" s="47" t="s">
        <v>29</v>
      </c>
      <c r="E388" s="47" t="s">
        <v>30</v>
      </c>
      <c r="F388" s="47" t="s">
        <v>30</v>
      </c>
      <c r="G388" s="47" t="s">
        <v>30</v>
      </c>
      <c r="J388" s="47" t="s">
        <v>30</v>
      </c>
      <c r="K388" s="47" t="s">
        <v>30</v>
      </c>
      <c r="L388" s="47" t="s">
        <v>30</v>
      </c>
      <c r="M388" s="47" t="s">
        <v>30</v>
      </c>
    </row>
    <row r="389" spans="1:21" x14ac:dyDescent="0.2">
      <c r="A389" s="47" t="s">
        <v>29</v>
      </c>
      <c r="D389" s="47" t="s">
        <v>5343</v>
      </c>
      <c r="E389" s="47" t="s">
        <v>4183</v>
      </c>
      <c r="F389" s="47" t="s">
        <v>5344</v>
      </c>
      <c r="H389" s="47" t="s">
        <v>5345</v>
      </c>
      <c r="O389" s="47" t="s">
        <v>10359</v>
      </c>
      <c r="P389" s="47" t="s">
        <v>10360</v>
      </c>
      <c r="Q389" s="47" t="s">
        <v>10361</v>
      </c>
      <c r="R389" s="47" t="s">
        <v>10362</v>
      </c>
      <c r="S389" s="47" t="s">
        <v>10363</v>
      </c>
      <c r="T389" s="47" t="s">
        <v>10364</v>
      </c>
      <c r="U389" s="47" t="s">
        <v>10365</v>
      </c>
    </row>
    <row r="390" spans="1:21" x14ac:dyDescent="0.2">
      <c r="A390" s="47" t="s">
        <v>29</v>
      </c>
      <c r="D390" s="47" t="s">
        <v>1578</v>
      </c>
      <c r="G390" s="47" t="s">
        <v>8659</v>
      </c>
      <c r="H390" s="47" t="s">
        <v>1579</v>
      </c>
      <c r="I390" s="47" t="s">
        <v>1580</v>
      </c>
      <c r="J390" s="47" t="s">
        <v>1581</v>
      </c>
      <c r="K390" s="47" t="s">
        <v>1582</v>
      </c>
      <c r="L390" s="47" t="s">
        <v>1583</v>
      </c>
      <c r="M390" s="47" t="s">
        <v>1584</v>
      </c>
      <c r="N390" s="47" t="s">
        <v>1585</v>
      </c>
      <c r="O390" s="47" t="s">
        <v>5346</v>
      </c>
      <c r="P390" s="47" t="s">
        <v>5347</v>
      </c>
      <c r="Q390" s="47" t="s">
        <v>5348</v>
      </c>
      <c r="R390" s="47" t="s">
        <v>5349</v>
      </c>
      <c r="S390" s="47" t="s">
        <v>5350</v>
      </c>
      <c r="T390" s="47" t="s">
        <v>5351</v>
      </c>
    </row>
    <row r="391" spans="1:21" x14ac:dyDescent="0.2">
      <c r="A391" s="47" t="s">
        <v>29</v>
      </c>
      <c r="D391" s="47" t="s">
        <v>1114</v>
      </c>
      <c r="G391" s="47" t="s">
        <v>8733</v>
      </c>
      <c r="H391" s="47" t="s">
        <v>1115</v>
      </c>
      <c r="I391" s="47" t="s">
        <v>1116</v>
      </c>
      <c r="J391" s="47" t="s">
        <v>1117</v>
      </c>
      <c r="K391" s="47" t="s">
        <v>1118</v>
      </c>
      <c r="L391" s="47" t="s">
        <v>1119</v>
      </c>
      <c r="M391" s="47" t="s">
        <v>1120</v>
      </c>
      <c r="N391" s="47" t="s">
        <v>1121</v>
      </c>
      <c r="O391" s="47" t="s">
        <v>5352</v>
      </c>
      <c r="P391" s="47" t="s">
        <v>5353</v>
      </c>
      <c r="Q391" s="47" t="s">
        <v>5354</v>
      </c>
      <c r="R391" s="47" t="s">
        <v>5355</v>
      </c>
      <c r="S391" s="47" t="s">
        <v>5356</v>
      </c>
      <c r="T391" s="47" t="s">
        <v>5357</v>
      </c>
    </row>
    <row r="392" spans="1:21" x14ac:dyDescent="0.2">
      <c r="A392" s="47" t="s">
        <v>29</v>
      </c>
      <c r="D392" s="47" t="s">
        <v>6361</v>
      </c>
      <c r="G392" s="47" t="s">
        <v>8734</v>
      </c>
      <c r="H392" s="47" t="s">
        <v>6861</v>
      </c>
      <c r="I392" s="47" t="s">
        <v>6865</v>
      </c>
      <c r="J392" s="47" t="s">
        <v>6905</v>
      </c>
      <c r="K392" s="47" t="s">
        <v>6909</v>
      </c>
      <c r="L392" s="47" t="s">
        <v>6362</v>
      </c>
      <c r="M392" s="47" t="s">
        <v>6363</v>
      </c>
      <c r="N392" s="47" t="s">
        <v>6364</v>
      </c>
      <c r="O392" s="47" t="s">
        <v>6869</v>
      </c>
      <c r="P392" s="47" t="s">
        <v>6875</v>
      </c>
      <c r="Q392" s="47" t="s">
        <v>6881</v>
      </c>
      <c r="R392" s="47" t="s">
        <v>6887</v>
      </c>
      <c r="S392" s="47" t="s">
        <v>6893</v>
      </c>
      <c r="T392" s="47" t="s">
        <v>6899</v>
      </c>
    </row>
    <row r="393" spans="1:21" x14ac:dyDescent="0.2">
      <c r="A393" s="47" t="s">
        <v>29</v>
      </c>
      <c r="D393" s="47" t="s">
        <v>3246</v>
      </c>
      <c r="G393" s="47" t="s">
        <v>8735</v>
      </c>
      <c r="H393" s="47" t="s">
        <v>3247</v>
      </c>
      <c r="I393" s="47" t="s">
        <v>3248</v>
      </c>
      <c r="J393" s="47" t="s">
        <v>3249</v>
      </c>
      <c r="K393" s="47" t="s">
        <v>3250</v>
      </c>
      <c r="L393" s="47" t="s">
        <v>3251</v>
      </c>
      <c r="M393" s="47" t="s">
        <v>3252</v>
      </c>
      <c r="N393" s="47" t="s">
        <v>3253</v>
      </c>
      <c r="O393" s="47" t="s">
        <v>6870</v>
      </c>
      <c r="P393" s="47" t="s">
        <v>6876</v>
      </c>
      <c r="Q393" s="47" t="s">
        <v>6882</v>
      </c>
      <c r="R393" s="47" t="s">
        <v>6888</v>
      </c>
      <c r="S393" s="47" t="s">
        <v>6894</v>
      </c>
      <c r="T393" s="47" t="s">
        <v>6900</v>
      </c>
    </row>
    <row r="394" spans="1:21" x14ac:dyDescent="0.2">
      <c r="A394" s="47" t="s">
        <v>29</v>
      </c>
      <c r="D394" s="47" t="s">
        <v>3254</v>
      </c>
      <c r="G394" s="47" t="s">
        <v>8736</v>
      </c>
      <c r="H394" s="47" t="s">
        <v>3255</v>
      </c>
      <c r="I394" s="47" t="s">
        <v>3256</v>
      </c>
      <c r="J394" s="47" t="s">
        <v>3257</v>
      </c>
      <c r="K394" s="47" t="s">
        <v>3258</v>
      </c>
      <c r="L394" s="47" t="s">
        <v>3259</v>
      </c>
      <c r="M394" s="47" t="s">
        <v>3260</v>
      </c>
      <c r="N394" s="47" t="s">
        <v>3261</v>
      </c>
      <c r="O394" s="47" t="s">
        <v>6871</v>
      </c>
      <c r="P394" s="47" t="s">
        <v>6877</v>
      </c>
      <c r="Q394" s="47" t="s">
        <v>6883</v>
      </c>
      <c r="R394" s="47" t="s">
        <v>6889</v>
      </c>
      <c r="S394" s="47" t="s">
        <v>6895</v>
      </c>
      <c r="T394" s="47" t="s">
        <v>6901</v>
      </c>
    </row>
    <row r="395" spans="1:21" x14ac:dyDescent="0.2">
      <c r="A395" s="47" t="s">
        <v>29</v>
      </c>
    </row>
    <row r="396" spans="1:21" x14ac:dyDescent="0.2">
      <c r="A396" s="47" t="s">
        <v>29</v>
      </c>
      <c r="E396" s="47" t="s">
        <v>30</v>
      </c>
      <c r="F396" s="47" t="s">
        <v>30</v>
      </c>
      <c r="G396" s="47" t="s">
        <v>30</v>
      </c>
      <c r="J396" s="47" t="s">
        <v>30</v>
      </c>
      <c r="K396" s="47" t="s">
        <v>30</v>
      </c>
      <c r="L396" s="47" t="s">
        <v>30</v>
      </c>
      <c r="M396" s="47" t="s">
        <v>30</v>
      </c>
    </row>
    <row r="397" spans="1:21" x14ac:dyDescent="0.2">
      <c r="A397" s="47" t="s">
        <v>29</v>
      </c>
      <c r="D397" s="47" t="s">
        <v>4583</v>
      </c>
      <c r="E397" s="47" t="s">
        <v>4220</v>
      </c>
      <c r="F397" s="47" t="s">
        <v>4584</v>
      </c>
      <c r="H397" s="47" t="s">
        <v>4585</v>
      </c>
      <c r="O397" s="47" t="s">
        <v>10366</v>
      </c>
      <c r="P397" s="47" t="s">
        <v>10367</v>
      </c>
      <c r="Q397" s="47" t="s">
        <v>10368</v>
      </c>
      <c r="R397" s="47" t="s">
        <v>10369</v>
      </c>
      <c r="S397" s="47" t="s">
        <v>10370</v>
      </c>
      <c r="T397" s="47" t="s">
        <v>10371</v>
      </c>
      <c r="U397" s="47" t="s">
        <v>10372</v>
      </c>
    </row>
    <row r="398" spans="1:21" x14ac:dyDescent="0.2">
      <c r="A398" s="47" t="s">
        <v>29</v>
      </c>
      <c r="D398" s="47" t="s">
        <v>2254</v>
      </c>
      <c r="G398" s="47" t="s">
        <v>10373</v>
      </c>
      <c r="H398" s="47" t="s">
        <v>2255</v>
      </c>
      <c r="I398" s="47" t="s">
        <v>2256</v>
      </c>
      <c r="J398" s="47" t="s">
        <v>2257</v>
      </c>
      <c r="K398" s="47" t="s">
        <v>2258</v>
      </c>
      <c r="L398" s="47" t="s">
        <v>2259</v>
      </c>
      <c r="M398" s="47" t="s">
        <v>2260</v>
      </c>
      <c r="N398" s="47" t="s">
        <v>2261</v>
      </c>
      <c r="O398" s="47" t="s">
        <v>5358</v>
      </c>
      <c r="P398" s="47" t="s">
        <v>5359</v>
      </c>
      <c r="Q398" s="47" t="s">
        <v>5360</v>
      </c>
      <c r="R398" s="47" t="s">
        <v>5361</v>
      </c>
      <c r="S398" s="47" t="s">
        <v>5362</v>
      </c>
      <c r="T398" s="47" t="s">
        <v>5363</v>
      </c>
    </row>
    <row r="399" spans="1:21" x14ac:dyDescent="0.2">
      <c r="A399" s="47" t="s">
        <v>29</v>
      </c>
      <c r="D399" s="47" t="s">
        <v>6365</v>
      </c>
      <c r="G399" s="47" t="s">
        <v>8737</v>
      </c>
      <c r="H399" s="47" t="s">
        <v>6862</v>
      </c>
      <c r="I399" s="47" t="s">
        <v>6866</v>
      </c>
      <c r="J399" s="47" t="s">
        <v>6906</v>
      </c>
      <c r="K399" s="47" t="s">
        <v>6910</v>
      </c>
      <c r="L399" s="47" t="s">
        <v>6366</v>
      </c>
      <c r="M399" s="47" t="s">
        <v>6367</v>
      </c>
      <c r="N399" s="47" t="s">
        <v>6368</v>
      </c>
      <c r="O399" s="47" t="s">
        <v>6872</v>
      </c>
      <c r="P399" s="47" t="s">
        <v>6878</v>
      </c>
      <c r="Q399" s="47" t="s">
        <v>6884</v>
      </c>
      <c r="R399" s="47" t="s">
        <v>6890</v>
      </c>
      <c r="S399" s="47" t="s">
        <v>6896</v>
      </c>
      <c r="T399" s="47" t="s">
        <v>6902</v>
      </c>
    </row>
    <row r="400" spans="1:21" x14ac:dyDescent="0.2">
      <c r="A400" s="47" t="s">
        <v>29</v>
      </c>
      <c r="D400" s="47" t="s">
        <v>6369</v>
      </c>
      <c r="G400" s="47" t="s">
        <v>8738</v>
      </c>
      <c r="H400" s="47" t="s">
        <v>6863</v>
      </c>
      <c r="I400" s="47" t="s">
        <v>6867</v>
      </c>
      <c r="J400" s="47" t="s">
        <v>6907</v>
      </c>
      <c r="K400" s="47" t="s">
        <v>6911</v>
      </c>
      <c r="L400" s="47" t="s">
        <v>6370</v>
      </c>
      <c r="M400" s="47" t="s">
        <v>6371</v>
      </c>
      <c r="N400" s="47" t="s">
        <v>6372</v>
      </c>
      <c r="O400" s="47" t="s">
        <v>6873</v>
      </c>
      <c r="P400" s="47" t="s">
        <v>6879</v>
      </c>
      <c r="Q400" s="47" t="s">
        <v>6885</v>
      </c>
      <c r="R400" s="47" t="s">
        <v>6891</v>
      </c>
      <c r="S400" s="47" t="s">
        <v>6897</v>
      </c>
      <c r="T400" s="47" t="s">
        <v>6903</v>
      </c>
    </row>
    <row r="401" spans="1:21" x14ac:dyDescent="0.2">
      <c r="A401" s="47" t="s">
        <v>29</v>
      </c>
      <c r="D401" s="47" t="s">
        <v>6373</v>
      </c>
      <c r="G401" s="47" t="s">
        <v>8739</v>
      </c>
      <c r="H401" s="47" t="s">
        <v>6864</v>
      </c>
      <c r="I401" s="47" t="s">
        <v>6868</v>
      </c>
      <c r="J401" s="47" t="s">
        <v>6908</v>
      </c>
      <c r="K401" s="47" t="s">
        <v>6912</v>
      </c>
      <c r="L401" s="47" t="s">
        <v>6374</v>
      </c>
      <c r="M401" s="47" t="s">
        <v>6375</v>
      </c>
      <c r="N401" s="47" t="s">
        <v>6376</v>
      </c>
      <c r="O401" s="47" t="s">
        <v>6874</v>
      </c>
      <c r="P401" s="47" t="s">
        <v>6880</v>
      </c>
      <c r="Q401" s="47" t="s">
        <v>6886</v>
      </c>
      <c r="R401" s="47" t="s">
        <v>6892</v>
      </c>
      <c r="S401" s="47" t="s">
        <v>6898</v>
      </c>
      <c r="T401" s="47" t="s">
        <v>6904</v>
      </c>
    </row>
    <row r="402" spans="1:21" x14ac:dyDescent="0.2">
      <c r="A402" s="47" t="s">
        <v>29</v>
      </c>
      <c r="D402" s="47" t="s">
        <v>3263</v>
      </c>
      <c r="G402" s="47" t="s">
        <v>8740</v>
      </c>
      <c r="H402" s="47" t="s">
        <v>3264</v>
      </c>
      <c r="I402" s="47" t="s">
        <v>3265</v>
      </c>
      <c r="J402" s="47" t="s">
        <v>3266</v>
      </c>
      <c r="K402" s="47" t="s">
        <v>3267</v>
      </c>
      <c r="L402" s="47" t="s">
        <v>3268</v>
      </c>
      <c r="M402" s="47" t="s">
        <v>3269</v>
      </c>
      <c r="N402" s="47" t="s">
        <v>3270</v>
      </c>
      <c r="O402" s="47" t="s">
        <v>3271</v>
      </c>
      <c r="P402" s="47" t="s">
        <v>3272</v>
      </c>
      <c r="Q402" s="47" t="s">
        <v>3273</v>
      </c>
      <c r="R402" s="47" t="s">
        <v>3274</v>
      </c>
      <c r="S402" s="47" t="s">
        <v>3275</v>
      </c>
      <c r="T402" s="47" t="s">
        <v>3276</v>
      </c>
    </row>
    <row r="403" spans="1:21" x14ac:dyDescent="0.2">
      <c r="A403" s="47" t="s">
        <v>29</v>
      </c>
      <c r="D403" s="47" t="s">
        <v>1122</v>
      </c>
      <c r="G403" s="47" t="s">
        <v>8741</v>
      </c>
      <c r="H403" s="47" t="s">
        <v>1123</v>
      </c>
      <c r="I403" s="47" t="s">
        <v>1124</v>
      </c>
      <c r="J403" s="47" t="s">
        <v>1125</v>
      </c>
      <c r="K403" s="47" t="s">
        <v>1126</v>
      </c>
      <c r="L403" s="47" t="s">
        <v>1127</v>
      </c>
      <c r="M403" s="47" t="s">
        <v>1128</v>
      </c>
      <c r="N403" s="47" t="s">
        <v>1129</v>
      </c>
      <c r="O403" s="47" t="s">
        <v>2929</v>
      </c>
      <c r="P403" s="47" t="s">
        <v>2930</v>
      </c>
      <c r="Q403" s="47" t="s">
        <v>2931</v>
      </c>
      <c r="R403" s="47" t="s">
        <v>2932</v>
      </c>
      <c r="S403" s="47" t="s">
        <v>2933</v>
      </c>
      <c r="T403" s="47" t="s">
        <v>2934</v>
      </c>
    </row>
    <row r="404" spans="1:21" x14ac:dyDescent="0.2">
      <c r="A404" s="47" t="s">
        <v>29</v>
      </c>
    </row>
    <row r="405" spans="1:21" x14ac:dyDescent="0.2">
      <c r="A405" s="47" t="s">
        <v>29</v>
      </c>
      <c r="E405" s="47" t="s">
        <v>30</v>
      </c>
      <c r="F405" s="47" t="s">
        <v>30</v>
      </c>
      <c r="G405" s="47" t="s">
        <v>30</v>
      </c>
      <c r="J405" s="47" t="s">
        <v>30</v>
      </c>
      <c r="K405" s="47" t="s">
        <v>30</v>
      </c>
      <c r="L405" s="47" t="s">
        <v>30</v>
      </c>
      <c r="M405" s="47" t="s">
        <v>30</v>
      </c>
    </row>
    <row r="406" spans="1:21" x14ac:dyDescent="0.2">
      <c r="A406" s="47" t="s">
        <v>29</v>
      </c>
      <c r="D406" s="47" t="s">
        <v>9189</v>
      </c>
      <c r="E406" s="47" t="s">
        <v>4277</v>
      </c>
      <c r="F406" s="47" t="s">
        <v>9190</v>
      </c>
      <c r="H406" s="47" t="s">
        <v>9191</v>
      </c>
      <c r="O406" s="47" t="s">
        <v>10374</v>
      </c>
      <c r="P406" s="47" t="s">
        <v>10375</v>
      </c>
      <c r="Q406" s="47" t="s">
        <v>10376</v>
      </c>
      <c r="R406" s="47" t="s">
        <v>10377</v>
      </c>
      <c r="S406" s="47" t="s">
        <v>10378</v>
      </c>
      <c r="T406" s="47" t="s">
        <v>10379</v>
      </c>
      <c r="U406" s="47" t="s">
        <v>10380</v>
      </c>
    </row>
    <row r="407" spans="1:21" x14ac:dyDescent="0.2">
      <c r="A407" s="47" t="s">
        <v>29</v>
      </c>
      <c r="D407" s="47" t="s">
        <v>5364</v>
      </c>
      <c r="G407" s="47" t="s">
        <v>10381</v>
      </c>
      <c r="H407" s="47" t="s">
        <v>5729</v>
      </c>
      <c r="I407" s="47" t="s">
        <v>5731</v>
      </c>
      <c r="J407" s="47" t="s">
        <v>5745</v>
      </c>
      <c r="K407" s="47" t="s">
        <v>5747</v>
      </c>
      <c r="L407" s="47" t="s">
        <v>5365</v>
      </c>
      <c r="M407" s="47" t="s">
        <v>5366</v>
      </c>
      <c r="N407" s="47" t="s">
        <v>5367</v>
      </c>
      <c r="O407" s="47" t="s">
        <v>10382</v>
      </c>
      <c r="P407" s="47" t="s">
        <v>10383</v>
      </c>
      <c r="Q407" s="47" t="s">
        <v>10384</v>
      </c>
      <c r="R407" s="47" t="s">
        <v>10385</v>
      </c>
      <c r="S407" s="47" t="s">
        <v>10386</v>
      </c>
      <c r="T407" s="47" t="s">
        <v>10387</v>
      </c>
    </row>
    <row r="408" spans="1:21" x14ac:dyDescent="0.2">
      <c r="A408" s="47" t="s">
        <v>29</v>
      </c>
      <c r="D408" s="47" t="s">
        <v>3278</v>
      </c>
      <c r="G408" s="47" t="s">
        <v>8742</v>
      </c>
      <c r="H408" s="47" t="s">
        <v>3279</v>
      </c>
      <c r="I408" s="47" t="s">
        <v>3280</v>
      </c>
      <c r="J408" s="47" t="s">
        <v>3281</v>
      </c>
      <c r="K408" s="47" t="s">
        <v>3282</v>
      </c>
      <c r="L408" s="47" t="s">
        <v>3283</v>
      </c>
      <c r="M408" s="47" t="s">
        <v>3284</v>
      </c>
      <c r="N408" s="47" t="s">
        <v>3285</v>
      </c>
      <c r="O408" s="47" t="s">
        <v>8930</v>
      </c>
      <c r="P408" s="47" t="s">
        <v>8931</v>
      </c>
      <c r="Q408" s="47" t="s">
        <v>8932</v>
      </c>
      <c r="R408" s="47" t="s">
        <v>8933</v>
      </c>
      <c r="S408" s="47" t="s">
        <v>8934</v>
      </c>
      <c r="T408" s="47" t="s">
        <v>8935</v>
      </c>
    </row>
    <row r="409" spans="1:21" x14ac:dyDescent="0.2">
      <c r="A409" s="47" t="s">
        <v>29</v>
      </c>
    </row>
    <row r="410" spans="1:21" x14ac:dyDescent="0.2">
      <c r="A410" s="47" t="s">
        <v>29</v>
      </c>
      <c r="E410" s="47" t="s">
        <v>30</v>
      </c>
      <c r="F410" s="47" t="s">
        <v>30</v>
      </c>
      <c r="G410" s="47" t="s">
        <v>30</v>
      </c>
      <c r="J410" s="47" t="s">
        <v>30</v>
      </c>
      <c r="K410" s="47" t="s">
        <v>30</v>
      </c>
      <c r="L410" s="47" t="s">
        <v>30</v>
      </c>
      <c r="M410" s="47" t="s">
        <v>30</v>
      </c>
    </row>
    <row r="411" spans="1:21" x14ac:dyDescent="0.2">
      <c r="A411" s="47" t="s">
        <v>29</v>
      </c>
      <c r="D411" s="47" t="s">
        <v>8319</v>
      </c>
      <c r="E411" s="47" t="s">
        <v>4292</v>
      </c>
      <c r="F411" s="47" t="s">
        <v>8320</v>
      </c>
      <c r="H411" s="47" t="s">
        <v>8321</v>
      </c>
      <c r="O411" s="47" t="s">
        <v>10388</v>
      </c>
      <c r="P411" s="47" t="s">
        <v>10389</v>
      </c>
      <c r="Q411" s="47" t="s">
        <v>10390</v>
      </c>
      <c r="R411" s="47" t="s">
        <v>10391</v>
      </c>
      <c r="S411" s="47" t="s">
        <v>10392</v>
      </c>
      <c r="T411" s="47" t="s">
        <v>10393</v>
      </c>
      <c r="U411" s="47" t="s">
        <v>10394</v>
      </c>
    </row>
    <row r="412" spans="1:21" x14ac:dyDescent="0.2">
      <c r="A412" s="47" t="s">
        <v>29</v>
      </c>
      <c r="D412" s="47" t="s">
        <v>4839</v>
      </c>
      <c r="G412" s="47" t="s">
        <v>10395</v>
      </c>
      <c r="H412" s="47" t="s">
        <v>4840</v>
      </c>
      <c r="I412" s="47" t="s">
        <v>4841</v>
      </c>
      <c r="J412" s="47" t="s">
        <v>4842</v>
      </c>
      <c r="K412" s="47" t="s">
        <v>4843</v>
      </c>
      <c r="L412" s="47" t="s">
        <v>4844</v>
      </c>
      <c r="M412" s="47" t="s">
        <v>4845</v>
      </c>
      <c r="N412" s="47" t="s">
        <v>4846</v>
      </c>
      <c r="O412" s="47" t="s">
        <v>5733</v>
      </c>
      <c r="P412" s="47" t="s">
        <v>5735</v>
      </c>
      <c r="Q412" s="47" t="s">
        <v>5737</v>
      </c>
      <c r="R412" s="47" t="s">
        <v>5739</v>
      </c>
      <c r="S412" s="47" t="s">
        <v>5741</v>
      </c>
      <c r="T412" s="47" t="s">
        <v>5743</v>
      </c>
    </row>
    <row r="413" spans="1:21" x14ac:dyDescent="0.2">
      <c r="A413" s="47" t="s">
        <v>29</v>
      </c>
      <c r="D413" s="47" t="s">
        <v>5368</v>
      </c>
      <c r="G413" s="47" t="s">
        <v>8743</v>
      </c>
      <c r="H413" s="47" t="s">
        <v>5730</v>
      </c>
      <c r="I413" s="47" t="s">
        <v>5732</v>
      </c>
      <c r="J413" s="47" t="s">
        <v>5746</v>
      </c>
      <c r="K413" s="47" t="s">
        <v>5748</v>
      </c>
      <c r="L413" s="47" t="s">
        <v>5369</v>
      </c>
      <c r="M413" s="47" t="s">
        <v>5370</v>
      </c>
      <c r="N413" s="47" t="s">
        <v>5371</v>
      </c>
      <c r="O413" s="47" t="s">
        <v>5734</v>
      </c>
      <c r="P413" s="47" t="s">
        <v>5736</v>
      </c>
      <c r="Q413" s="47" t="s">
        <v>5738</v>
      </c>
      <c r="R413" s="47" t="s">
        <v>5740</v>
      </c>
      <c r="S413" s="47" t="s">
        <v>5742</v>
      </c>
      <c r="T413" s="47" t="s">
        <v>5744</v>
      </c>
    </row>
    <row r="414" spans="1:21" x14ac:dyDescent="0.2">
      <c r="A414" s="47" t="s">
        <v>29</v>
      </c>
    </row>
    <row r="415" spans="1:21" x14ac:dyDescent="0.2">
      <c r="A415" s="47" t="s">
        <v>29</v>
      </c>
      <c r="E415" s="47" t="s">
        <v>30</v>
      </c>
      <c r="F415" s="47" t="s">
        <v>30</v>
      </c>
      <c r="G415" s="47" t="s">
        <v>30</v>
      </c>
      <c r="J415" s="47" t="s">
        <v>30</v>
      </c>
      <c r="K415" s="47" t="s">
        <v>30</v>
      </c>
      <c r="L415" s="47" t="s">
        <v>30</v>
      </c>
      <c r="M415" s="47" t="s">
        <v>30</v>
      </c>
    </row>
    <row r="416" spans="1:21" x14ac:dyDescent="0.2">
      <c r="A416" s="47" t="s">
        <v>29</v>
      </c>
      <c r="D416" s="47" t="s">
        <v>10396</v>
      </c>
      <c r="E416" s="47" t="s">
        <v>4293</v>
      </c>
      <c r="F416" s="47" t="s">
        <v>10397</v>
      </c>
      <c r="H416" s="47" t="s">
        <v>10398</v>
      </c>
      <c r="O416" s="47" t="s">
        <v>10399</v>
      </c>
      <c r="P416" s="47" t="s">
        <v>10400</v>
      </c>
      <c r="Q416" s="47" t="s">
        <v>10401</v>
      </c>
      <c r="R416" s="47" t="s">
        <v>10402</v>
      </c>
      <c r="S416" s="47" t="s">
        <v>10403</v>
      </c>
      <c r="T416" s="47" t="s">
        <v>10404</v>
      </c>
      <c r="U416" s="47" t="s">
        <v>10405</v>
      </c>
    </row>
    <row r="417" spans="1:21" x14ac:dyDescent="0.2">
      <c r="A417" s="47" t="s">
        <v>29</v>
      </c>
      <c r="D417" s="47" t="s">
        <v>3287</v>
      </c>
      <c r="G417" s="47" t="s">
        <v>10406</v>
      </c>
      <c r="H417" s="47" t="s">
        <v>3288</v>
      </c>
      <c r="I417" s="47" t="s">
        <v>3289</v>
      </c>
      <c r="J417" s="47" t="s">
        <v>3290</v>
      </c>
      <c r="K417" s="47" t="s">
        <v>3291</v>
      </c>
      <c r="L417" s="47" t="s">
        <v>3292</v>
      </c>
      <c r="M417" s="47" t="s">
        <v>3293</v>
      </c>
      <c r="N417" s="47" t="s">
        <v>3294</v>
      </c>
      <c r="O417" s="47" t="s">
        <v>3295</v>
      </c>
      <c r="P417" s="47" t="s">
        <v>3296</v>
      </c>
      <c r="Q417" s="47" t="s">
        <v>3297</v>
      </c>
      <c r="R417" s="47" t="s">
        <v>3298</v>
      </c>
      <c r="S417" s="47" t="s">
        <v>3299</v>
      </c>
      <c r="T417" s="47" t="s">
        <v>3300</v>
      </c>
    </row>
    <row r="418" spans="1:21" x14ac:dyDescent="0.2">
      <c r="A418" s="47" t="s">
        <v>29</v>
      </c>
      <c r="D418" s="47" t="s">
        <v>6377</v>
      </c>
      <c r="G418" s="47" t="s">
        <v>8744</v>
      </c>
      <c r="H418" s="47" t="s">
        <v>6835</v>
      </c>
      <c r="I418" s="47" t="s">
        <v>6837</v>
      </c>
      <c r="J418" s="47" t="s">
        <v>6857</v>
      </c>
      <c r="K418" s="47" t="s">
        <v>6859</v>
      </c>
      <c r="L418" s="47" t="s">
        <v>6378</v>
      </c>
      <c r="M418" s="47" t="s">
        <v>6379</v>
      </c>
      <c r="N418" s="47" t="s">
        <v>6380</v>
      </c>
      <c r="O418" s="47" t="s">
        <v>6839</v>
      </c>
      <c r="P418" s="47" t="s">
        <v>6842</v>
      </c>
      <c r="Q418" s="47" t="s">
        <v>6845</v>
      </c>
      <c r="R418" s="47" t="s">
        <v>6848</v>
      </c>
      <c r="S418" s="47" t="s">
        <v>6851</v>
      </c>
      <c r="T418" s="47" t="s">
        <v>6854</v>
      </c>
    </row>
    <row r="419" spans="1:21" x14ac:dyDescent="0.2">
      <c r="A419" s="47" t="s">
        <v>29</v>
      </c>
      <c r="D419" s="47" t="s">
        <v>6132</v>
      </c>
      <c r="G419" s="47" t="s">
        <v>8745</v>
      </c>
      <c r="H419" s="47" t="s">
        <v>6133</v>
      </c>
      <c r="I419" s="47" t="s">
        <v>6134</v>
      </c>
      <c r="J419" s="47" t="s">
        <v>6135</v>
      </c>
      <c r="K419" s="47" t="s">
        <v>6136</v>
      </c>
      <c r="L419" s="47" t="s">
        <v>6137</v>
      </c>
      <c r="M419" s="47" t="s">
        <v>6138</v>
      </c>
      <c r="N419" s="47" t="s">
        <v>6139</v>
      </c>
      <c r="O419" s="47" t="s">
        <v>6840</v>
      </c>
      <c r="P419" s="47" t="s">
        <v>6843</v>
      </c>
      <c r="Q419" s="47" t="s">
        <v>6846</v>
      </c>
      <c r="R419" s="47" t="s">
        <v>6849</v>
      </c>
      <c r="S419" s="47" t="s">
        <v>6852</v>
      </c>
      <c r="T419" s="47" t="s">
        <v>6855</v>
      </c>
    </row>
    <row r="420" spans="1:21" x14ac:dyDescent="0.2">
      <c r="A420" s="47" t="s">
        <v>29</v>
      </c>
      <c r="D420" s="47" t="s">
        <v>6381</v>
      </c>
      <c r="G420" s="47" t="s">
        <v>8746</v>
      </c>
      <c r="H420" s="47" t="s">
        <v>6836</v>
      </c>
      <c r="I420" s="47" t="s">
        <v>6838</v>
      </c>
      <c r="J420" s="47" t="s">
        <v>6858</v>
      </c>
      <c r="K420" s="47" t="s">
        <v>6860</v>
      </c>
      <c r="L420" s="47" t="s">
        <v>6382</v>
      </c>
      <c r="M420" s="47" t="s">
        <v>6383</v>
      </c>
      <c r="N420" s="47" t="s">
        <v>6384</v>
      </c>
      <c r="O420" s="47" t="s">
        <v>6841</v>
      </c>
      <c r="P420" s="47" t="s">
        <v>6844</v>
      </c>
      <c r="Q420" s="47" t="s">
        <v>6847</v>
      </c>
      <c r="R420" s="47" t="s">
        <v>6850</v>
      </c>
      <c r="S420" s="47" t="s">
        <v>6853</v>
      </c>
      <c r="T420" s="47" t="s">
        <v>6856</v>
      </c>
    </row>
    <row r="421" spans="1:21" x14ac:dyDescent="0.2">
      <c r="A421" s="47" t="s">
        <v>29</v>
      </c>
      <c r="D421" s="47" t="s">
        <v>3301</v>
      </c>
      <c r="G421" s="47" t="s">
        <v>8747</v>
      </c>
      <c r="H421" s="47" t="s">
        <v>3302</v>
      </c>
      <c r="I421" s="47" t="s">
        <v>3303</v>
      </c>
      <c r="J421" s="47" t="s">
        <v>3304</v>
      </c>
      <c r="K421" s="47" t="s">
        <v>3305</v>
      </c>
      <c r="L421" s="47" t="s">
        <v>3306</v>
      </c>
      <c r="M421" s="47" t="s">
        <v>3307</v>
      </c>
      <c r="N421" s="47" t="s">
        <v>3308</v>
      </c>
      <c r="O421" s="47" t="s">
        <v>3309</v>
      </c>
      <c r="P421" s="47" t="s">
        <v>3310</v>
      </c>
      <c r="Q421" s="47" t="s">
        <v>3311</v>
      </c>
      <c r="R421" s="47" t="s">
        <v>3312</v>
      </c>
      <c r="S421" s="47" t="s">
        <v>3313</v>
      </c>
      <c r="T421" s="47" t="s">
        <v>3314</v>
      </c>
    </row>
    <row r="422" spans="1:21" x14ac:dyDescent="0.2">
      <c r="A422" s="47" t="s">
        <v>29</v>
      </c>
    </row>
    <row r="423" spans="1:21" x14ac:dyDescent="0.2">
      <c r="A423" s="47" t="s">
        <v>29</v>
      </c>
      <c r="E423" s="47" t="s">
        <v>30</v>
      </c>
      <c r="F423" s="47" t="s">
        <v>30</v>
      </c>
      <c r="G423" s="47" t="s">
        <v>30</v>
      </c>
      <c r="J423" s="47" t="s">
        <v>30</v>
      </c>
      <c r="K423" s="47" t="s">
        <v>30</v>
      </c>
      <c r="L423" s="47" t="s">
        <v>30</v>
      </c>
      <c r="M423" s="47" t="s">
        <v>30</v>
      </c>
    </row>
    <row r="424" spans="1:21" x14ac:dyDescent="0.2">
      <c r="A424" s="47" t="s">
        <v>29</v>
      </c>
      <c r="D424" s="47" t="s">
        <v>8662</v>
      </c>
      <c r="E424" s="47" t="s">
        <v>4294</v>
      </c>
      <c r="F424" s="47" t="s">
        <v>8663</v>
      </c>
      <c r="H424" s="47" t="s">
        <v>8664</v>
      </c>
      <c r="O424" s="47" t="s">
        <v>9214</v>
      </c>
      <c r="P424" s="47" t="s">
        <v>9215</v>
      </c>
      <c r="Q424" s="47" t="s">
        <v>9216</v>
      </c>
      <c r="R424" s="47" t="s">
        <v>9217</v>
      </c>
      <c r="S424" s="47" t="s">
        <v>9218</v>
      </c>
      <c r="T424" s="47" t="s">
        <v>9219</v>
      </c>
      <c r="U424" s="47" t="s">
        <v>9220</v>
      </c>
    </row>
    <row r="425" spans="1:21" x14ac:dyDescent="0.2">
      <c r="A425" s="47" t="s">
        <v>29</v>
      </c>
      <c r="D425" s="47" t="s">
        <v>1138</v>
      </c>
      <c r="G425" s="47" t="s">
        <v>8665</v>
      </c>
      <c r="H425" s="47" t="s">
        <v>1139</v>
      </c>
      <c r="I425" s="47" t="s">
        <v>1140</v>
      </c>
      <c r="J425" s="47" t="s">
        <v>1141</v>
      </c>
      <c r="K425" s="47" t="s">
        <v>1142</v>
      </c>
      <c r="L425" s="47" t="s">
        <v>1143</v>
      </c>
      <c r="M425" s="47" t="s">
        <v>1144</v>
      </c>
      <c r="N425" s="47" t="s">
        <v>1145</v>
      </c>
      <c r="O425" s="47" t="s">
        <v>2262</v>
      </c>
      <c r="P425" s="47" t="s">
        <v>2263</v>
      </c>
      <c r="Q425" s="47" t="s">
        <v>2264</v>
      </c>
      <c r="R425" s="47" t="s">
        <v>2265</v>
      </c>
      <c r="S425" s="47" t="s">
        <v>2266</v>
      </c>
      <c r="T425" s="47" t="s">
        <v>2267</v>
      </c>
    </row>
    <row r="426" spans="1:21" x14ac:dyDescent="0.2">
      <c r="A426" s="47" t="s">
        <v>29</v>
      </c>
    </row>
    <row r="427" spans="1:21" x14ac:dyDescent="0.2">
      <c r="A427" s="47" t="s">
        <v>29</v>
      </c>
      <c r="E427" s="47" t="s">
        <v>30</v>
      </c>
      <c r="F427" s="47" t="s">
        <v>30</v>
      </c>
      <c r="G427" s="47" t="s">
        <v>30</v>
      </c>
      <c r="J427" s="47" t="s">
        <v>30</v>
      </c>
      <c r="K427" s="47" t="s">
        <v>30</v>
      </c>
      <c r="L427" s="47" t="s">
        <v>30</v>
      </c>
      <c r="M427" s="47" t="s">
        <v>30</v>
      </c>
    </row>
    <row r="428" spans="1:21" x14ac:dyDescent="0.2">
      <c r="A428" s="47" t="s">
        <v>29</v>
      </c>
      <c r="D428" s="47" t="s">
        <v>7499</v>
      </c>
      <c r="E428" s="47" t="s">
        <v>4295</v>
      </c>
      <c r="F428" s="47" t="s">
        <v>7500</v>
      </c>
      <c r="H428" s="47" t="s">
        <v>7501</v>
      </c>
      <c r="O428" s="47" t="s">
        <v>9221</v>
      </c>
      <c r="P428" s="47" t="s">
        <v>9222</v>
      </c>
      <c r="Q428" s="47" t="s">
        <v>9223</v>
      </c>
      <c r="R428" s="47" t="s">
        <v>9224</v>
      </c>
      <c r="S428" s="47" t="s">
        <v>9225</v>
      </c>
      <c r="T428" s="47" t="s">
        <v>9226</v>
      </c>
      <c r="U428" s="47" t="s">
        <v>9227</v>
      </c>
    </row>
    <row r="429" spans="1:21" x14ac:dyDescent="0.2">
      <c r="A429" s="47" t="s">
        <v>29</v>
      </c>
      <c r="D429" s="47" t="s">
        <v>4853</v>
      </c>
      <c r="G429" s="47" t="s">
        <v>10407</v>
      </c>
      <c r="H429" s="47" t="s">
        <v>4854</v>
      </c>
      <c r="I429" s="47" t="s">
        <v>4855</v>
      </c>
      <c r="J429" s="47" t="s">
        <v>4856</v>
      </c>
      <c r="K429" s="47" t="s">
        <v>4857</v>
      </c>
      <c r="L429" s="47" t="s">
        <v>4858</v>
      </c>
      <c r="M429" s="47" t="s">
        <v>4859</v>
      </c>
      <c r="N429" s="47" t="s">
        <v>4860</v>
      </c>
      <c r="O429" s="47" t="s">
        <v>8918</v>
      </c>
      <c r="P429" s="47" t="s">
        <v>8920</v>
      </c>
      <c r="Q429" s="47" t="s">
        <v>8922</v>
      </c>
      <c r="R429" s="47" t="s">
        <v>8924</v>
      </c>
      <c r="S429" s="47" t="s">
        <v>8926</v>
      </c>
      <c r="T429" s="47" t="s">
        <v>8928</v>
      </c>
    </row>
    <row r="430" spans="1:21" x14ac:dyDescent="0.2">
      <c r="A430" s="47" t="s">
        <v>29</v>
      </c>
      <c r="D430" s="47" t="s">
        <v>3324</v>
      </c>
      <c r="G430" s="47" t="s">
        <v>8748</v>
      </c>
      <c r="H430" s="47" t="s">
        <v>3325</v>
      </c>
      <c r="I430" s="47" t="s">
        <v>3326</v>
      </c>
      <c r="J430" s="47" t="s">
        <v>3327</v>
      </c>
      <c r="K430" s="47" t="s">
        <v>3328</v>
      </c>
      <c r="L430" s="47" t="s">
        <v>3329</v>
      </c>
      <c r="M430" s="47" t="s">
        <v>3330</v>
      </c>
      <c r="N430" s="47" t="s">
        <v>3331</v>
      </c>
      <c r="O430" s="47" t="s">
        <v>8919</v>
      </c>
      <c r="P430" s="47" t="s">
        <v>8921</v>
      </c>
      <c r="Q430" s="47" t="s">
        <v>8923</v>
      </c>
      <c r="R430" s="47" t="s">
        <v>8925</v>
      </c>
      <c r="S430" s="47" t="s">
        <v>8927</v>
      </c>
      <c r="T430" s="47" t="s">
        <v>8929</v>
      </c>
    </row>
    <row r="431" spans="1:21" x14ac:dyDescent="0.2">
      <c r="A431" s="47" t="s">
        <v>29</v>
      </c>
    </row>
    <row r="432" spans="1:21" x14ac:dyDescent="0.2">
      <c r="A432" s="47" t="s">
        <v>29</v>
      </c>
      <c r="E432" s="47" t="s">
        <v>30</v>
      </c>
      <c r="F432" s="47" t="s">
        <v>30</v>
      </c>
      <c r="G432" s="47" t="s">
        <v>30</v>
      </c>
      <c r="J432" s="47" t="s">
        <v>30</v>
      </c>
      <c r="K432" s="47" t="s">
        <v>30</v>
      </c>
      <c r="L432" s="47" t="s">
        <v>30</v>
      </c>
      <c r="M432" s="47" t="s">
        <v>30</v>
      </c>
    </row>
    <row r="433" spans="1:21" x14ac:dyDescent="0.2">
      <c r="A433" s="47" t="s">
        <v>29</v>
      </c>
      <c r="D433" s="47" t="s">
        <v>9228</v>
      </c>
      <c r="E433" s="47" t="s">
        <v>4296</v>
      </c>
      <c r="F433" s="47" t="s">
        <v>9229</v>
      </c>
      <c r="H433" s="47" t="s">
        <v>9230</v>
      </c>
      <c r="O433" s="47" t="s">
        <v>10408</v>
      </c>
      <c r="P433" s="47" t="s">
        <v>10409</v>
      </c>
      <c r="Q433" s="47" t="s">
        <v>10410</v>
      </c>
      <c r="R433" s="47" t="s">
        <v>10411</v>
      </c>
      <c r="S433" s="47" t="s">
        <v>10412</v>
      </c>
      <c r="T433" s="47" t="s">
        <v>10413</v>
      </c>
      <c r="U433" s="47" t="s">
        <v>10414</v>
      </c>
    </row>
    <row r="434" spans="1:21" x14ac:dyDescent="0.2">
      <c r="A434" s="47" t="s">
        <v>29</v>
      </c>
      <c r="D434" s="47" t="s">
        <v>5372</v>
      </c>
      <c r="G434" s="47" t="s">
        <v>10415</v>
      </c>
      <c r="H434" s="47" t="s">
        <v>5373</v>
      </c>
      <c r="I434" s="47" t="s">
        <v>5374</v>
      </c>
      <c r="J434" s="47" t="s">
        <v>5375</v>
      </c>
      <c r="K434" s="47" t="s">
        <v>5376</v>
      </c>
      <c r="L434" s="47" t="s">
        <v>5377</v>
      </c>
      <c r="M434" s="47" t="s">
        <v>5378</v>
      </c>
      <c r="N434" s="47" t="s">
        <v>5379</v>
      </c>
      <c r="O434" s="47" t="s">
        <v>5380</v>
      </c>
      <c r="P434" s="47" t="s">
        <v>5381</v>
      </c>
      <c r="Q434" s="47" t="s">
        <v>5382</v>
      </c>
      <c r="R434" s="47" t="s">
        <v>5383</v>
      </c>
      <c r="S434" s="47" t="s">
        <v>5384</v>
      </c>
      <c r="T434" s="47" t="s">
        <v>5385</v>
      </c>
    </row>
    <row r="435" spans="1:21" x14ac:dyDescent="0.2">
      <c r="A435" s="47" t="s">
        <v>29</v>
      </c>
      <c r="D435" s="47" t="s">
        <v>3333</v>
      </c>
      <c r="G435" s="47" t="s">
        <v>8749</v>
      </c>
      <c r="H435" s="47" t="s">
        <v>3334</v>
      </c>
      <c r="I435" s="47" t="s">
        <v>3335</v>
      </c>
      <c r="J435" s="47" t="s">
        <v>3336</v>
      </c>
      <c r="K435" s="47" t="s">
        <v>3337</v>
      </c>
      <c r="L435" s="47" t="s">
        <v>3338</v>
      </c>
      <c r="M435" s="47" t="s">
        <v>3339</v>
      </c>
      <c r="N435" s="47" t="s">
        <v>3340</v>
      </c>
      <c r="O435" s="47" t="s">
        <v>3341</v>
      </c>
      <c r="P435" s="47" t="s">
        <v>3342</v>
      </c>
      <c r="Q435" s="47" t="s">
        <v>3343</v>
      </c>
      <c r="R435" s="47" t="s">
        <v>3344</v>
      </c>
      <c r="S435" s="47" t="s">
        <v>3345</v>
      </c>
      <c r="T435" s="47" t="s">
        <v>3346</v>
      </c>
    </row>
    <row r="436" spans="1:21" x14ac:dyDescent="0.2">
      <c r="A436" s="47" t="s">
        <v>29</v>
      </c>
      <c r="D436" s="47" t="s">
        <v>1154</v>
      </c>
      <c r="G436" s="47" t="s">
        <v>8750</v>
      </c>
      <c r="H436" s="47" t="s">
        <v>1155</v>
      </c>
      <c r="I436" s="47" t="s">
        <v>1156</v>
      </c>
      <c r="J436" s="47" t="s">
        <v>1157</v>
      </c>
      <c r="K436" s="47" t="s">
        <v>1158</v>
      </c>
      <c r="L436" s="47" t="s">
        <v>1159</v>
      </c>
      <c r="M436" s="47" t="s">
        <v>1160</v>
      </c>
      <c r="N436" s="47" t="s">
        <v>1161</v>
      </c>
      <c r="O436" s="47" t="s">
        <v>6813</v>
      </c>
      <c r="P436" s="47" t="s">
        <v>6816</v>
      </c>
      <c r="Q436" s="47" t="s">
        <v>6819</v>
      </c>
      <c r="R436" s="47" t="s">
        <v>6822</v>
      </c>
      <c r="S436" s="47" t="s">
        <v>6825</v>
      </c>
      <c r="T436" s="47" t="s">
        <v>6828</v>
      </c>
    </row>
    <row r="437" spans="1:21" x14ac:dyDescent="0.2">
      <c r="A437" s="47" t="s">
        <v>29</v>
      </c>
    </row>
    <row r="438" spans="1:21" x14ac:dyDescent="0.2">
      <c r="A438" s="47" t="s">
        <v>29</v>
      </c>
      <c r="E438" s="47" t="s">
        <v>30</v>
      </c>
      <c r="F438" s="47" t="s">
        <v>30</v>
      </c>
      <c r="G438" s="47" t="s">
        <v>30</v>
      </c>
      <c r="J438" s="47" t="s">
        <v>30</v>
      </c>
      <c r="K438" s="47" t="s">
        <v>30</v>
      </c>
      <c r="L438" s="47" t="s">
        <v>30</v>
      </c>
      <c r="M438" s="47" t="s">
        <v>30</v>
      </c>
    </row>
    <row r="439" spans="1:21" x14ac:dyDescent="0.2">
      <c r="A439" s="47" t="s">
        <v>29</v>
      </c>
      <c r="D439" s="47" t="s">
        <v>6156</v>
      </c>
      <c r="E439" s="47" t="s">
        <v>4297</v>
      </c>
      <c r="F439" s="47" t="s">
        <v>6157</v>
      </c>
      <c r="H439" s="47" t="s">
        <v>6158</v>
      </c>
      <c r="O439" s="47" t="s">
        <v>10416</v>
      </c>
      <c r="P439" s="47" t="s">
        <v>10417</v>
      </c>
      <c r="Q439" s="47" t="s">
        <v>10418</v>
      </c>
      <c r="R439" s="47" t="s">
        <v>10419</v>
      </c>
      <c r="S439" s="47" t="s">
        <v>10420</v>
      </c>
      <c r="T439" s="47" t="s">
        <v>10421</v>
      </c>
      <c r="U439" s="47" t="s">
        <v>10422</v>
      </c>
    </row>
    <row r="440" spans="1:21" x14ac:dyDescent="0.2">
      <c r="A440" s="47" t="s">
        <v>29</v>
      </c>
      <c r="D440" s="47" t="s">
        <v>5389</v>
      </c>
      <c r="G440" s="47" t="s">
        <v>10423</v>
      </c>
      <c r="H440" s="47" t="s">
        <v>5390</v>
      </c>
      <c r="I440" s="47" t="s">
        <v>5391</v>
      </c>
      <c r="J440" s="47" t="s">
        <v>5392</v>
      </c>
      <c r="K440" s="47" t="s">
        <v>5393</v>
      </c>
      <c r="L440" s="47" t="s">
        <v>5394</v>
      </c>
      <c r="M440" s="47" t="s">
        <v>5395</v>
      </c>
      <c r="N440" s="47" t="s">
        <v>5396</v>
      </c>
      <c r="O440" s="47" t="s">
        <v>5397</v>
      </c>
      <c r="P440" s="47" t="s">
        <v>5398</v>
      </c>
      <c r="Q440" s="47" t="s">
        <v>5399</v>
      </c>
      <c r="R440" s="47" t="s">
        <v>5400</v>
      </c>
      <c r="S440" s="47" t="s">
        <v>5401</v>
      </c>
      <c r="T440" s="47" t="s">
        <v>5402</v>
      </c>
    </row>
    <row r="441" spans="1:21" x14ac:dyDescent="0.2">
      <c r="A441" s="47" t="s">
        <v>29</v>
      </c>
      <c r="D441" s="47" t="s">
        <v>4861</v>
      </c>
      <c r="G441" s="47" t="s">
        <v>8751</v>
      </c>
      <c r="H441" s="47" t="s">
        <v>4862</v>
      </c>
      <c r="I441" s="47" t="s">
        <v>4863</v>
      </c>
      <c r="J441" s="47" t="s">
        <v>4864</v>
      </c>
      <c r="K441" s="47" t="s">
        <v>4865</v>
      </c>
      <c r="L441" s="47" t="s">
        <v>4866</v>
      </c>
      <c r="M441" s="47" t="s">
        <v>4867</v>
      </c>
      <c r="N441" s="47" t="s">
        <v>4868</v>
      </c>
      <c r="O441" s="47" t="s">
        <v>5403</v>
      </c>
      <c r="P441" s="47" t="s">
        <v>5404</v>
      </c>
      <c r="Q441" s="47" t="s">
        <v>5405</v>
      </c>
      <c r="R441" s="47" t="s">
        <v>5406</v>
      </c>
      <c r="S441" s="47" t="s">
        <v>5407</v>
      </c>
      <c r="T441" s="47" t="s">
        <v>5408</v>
      </c>
    </row>
    <row r="442" spans="1:21" x14ac:dyDescent="0.2">
      <c r="A442" s="47" t="s">
        <v>29</v>
      </c>
      <c r="D442" s="47" t="s">
        <v>6385</v>
      </c>
      <c r="G442" s="47" t="s">
        <v>8752</v>
      </c>
      <c r="H442" s="47" t="s">
        <v>6809</v>
      </c>
      <c r="I442" s="47" t="s">
        <v>6811</v>
      </c>
      <c r="J442" s="47" t="s">
        <v>6831</v>
      </c>
      <c r="K442" s="47" t="s">
        <v>6833</v>
      </c>
      <c r="L442" s="47" t="s">
        <v>6386</v>
      </c>
      <c r="M442" s="47" t="s">
        <v>6387</v>
      </c>
      <c r="N442" s="47" t="s">
        <v>6388</v>
      </c>
      <c r="O442" s="47" t="s">
        <v>6814</v>
      </c>
      <c r="P442" s="47" t="s">
        <v>6817</v>
      </c>
      <c r="Q442" s="47" t="s">
        <v>6820</v>
      </c>
      <c r="R442" s="47" t="s">
        <v>6823</v>
      </c>
      <c r="S442" s="47" t="s">
        <v>6826</v>
      </c>
      <c r="T442" s="47" t="s">
        <v>6829</v>
      </c>
    </row>
    <row r="443" spans="1:21" x14ac:dyDescent="0.2">
      <c r="A443" s="47" t="s">
        <v>29</v>
      </c>
      <c r="D443" s="47" t="s">
        <v>6389</v>
      </c>
      <c r="G443" s="47" t="s">
        <v>8753</v>
      </c>
      <c r="H443" s="47" t="s">
        <v>6810</v>
      </c>
      <c r="I443" s="47" t="s">
        <v>6812</v>
      </c>
      <c r="J443" s="47" t="s">
        <v>6832</v>
      </c>
      <c r="K443" s="47" t="s">
        <v>6834</v>
      </c>
      <c r="L443" s="47" t="s">
        <v>6390</v>
      </c>
      <c r="M443" s="47" t="s">
        <v>6391</v>
      </c>
      <c r="N443" s="47" t="s">
        <v>6392</v>
      </c>
      <c r="O443" s="47" t="s">
        <v>6815</v>
      </c>
      <c r="P443" s="47" t="s">
        <v>6818</v>
      </c>
      <c r="Q443" s="47" t="s">
        <v>6821</v>
      </c>
      <c r="R443" s="47" t="s">
        <v>6824</v>
      </c>
      <c r="S443" s="47" t="s">
        <v>6827</v>
      </c>
      <c r="T443" s="47" t="s">
        <v>6830</v>
      </c>
    </row>
    <row r="444" spans="1:21" x14ac:dyDescent="0.2">
      <c r="A444" s="47" t="s">
        <v>29</v>
      </c>
    </row>
    <row r="445" spans="1:21" x14ac:dyDescent="0.2">
      <c r="A445" s="47" t="s">
        <v>29</v>
      </c>
      <c r="E445" s="47" t="s">
        <v>30</v>
      </c>
      <c r="F445" s="47" t="s">
        <v>30</v>
      </c>
      <c r="G445" s="47" t="s">
        <v>30</v>
      </c>
      <c r="J445" s="47" t="s">
        <v>30</v>
      </c>
      <c r="K445" s="47" t="s">
        <v>30</v>
      </c>
      <c r="L445" s="47" t="s">
        <v>30</v>
      </c>
      <c r="M445" s="47" t="s">
        <v>30</v>
      </c>
    </row>
    <row r="446" spans="1:21" x14ac:dyDescent="0.2">
      <c r="A446" s="47" t="s">
        <v>29</v>
      </c>
      <c r="D446" s="47" t="s">
        <v>7576</v>
      </c>
      <c r="E446" s="47" t="s">
        <v>4298</v>
      </c>
      <c r="F446" s="47" t="s">
        <v>7577</v>
      </c>
      <c r="H446" s="47" t="s">
        <v>7578</v>
      </c>
      <c r="O446" s="47" t="s">
        <v>10424</v>
      </c>
      <c r="P446" s="47" t="s">
        <v>10425</v>
      </c>
      <c r="Q446" s="47" t="s">
        <v>10426</v>
      </c>
      <c r="R446" s="47" t="s">
        <v>10427</v>
      </c>
      <c r="S446" s="47" t="s">
        <v>10428</v>
      </c>
      <c r="T446" s="47" t="s">
        <v>10429</v>
      </c>
      <c r="U446" s="47" t="s">
        <v>10430</v>
      </c>
    </row>
    <row r="447" spans="1:21" x14ac:dyDescent="0.2">
      <c r="A447" s="47" t="s">
        <v>29</v>
      </c>
      <c r="D447" s="47" t="s">
        <v>5409</v>
      </c>
      <c r="G447" s="47" t="s">
        <v>8668</v>
      </c>
      <c r="H447" s="47" t="s">
        <v>5410</v>
      </c>
      <c r="I447" s="47" t="s">
        <v>5411</v>
      </c>
      <c r="J447" s="47" t="s">
        <v>5412</v>
      </c>
      <c r="K447" s="47" t="s">
        <v>5413</v>
      </c>
      <c r="L447" s="47" t="s">
        <v>5414</v>
      </c>
      <c r="M447" s="47" t="s">
        <v>5415</v>
      </c>
      <c r="N447" s="47" t="s">
        <v>5416</v>
      </c>
      <c r="O447" s="47" t="s">
        <v>5417</v>
      </c>
      <c r="P447" s="47" t="s">
        <v>5418</v>
      </c>
      <c r="Q447" s="47" t="s">
        <v>5419</v>
      </c>
      <c r="R447" s="47" t="s">
        <v>5420</v>
      </c>
      <c r="S447" s="47" t="s">
        <v>5421</v>
      </c>
      <c r="T447" s="47" t="s">
        <v>5422</v>
      </c>
    </row>
    <row r="448" spans="1:21" x14ac:dyDescent="0.2">
      <c r="A448" s="47" t="s">
        <v>29</v>
      </c>
      <c r="D448" s="47" t="s">
        <v>5423</v>
      </c>
      <c r="G448" s="47" t="s">
        <v>8754</v>
      </c>
      <c r="H448" s="47" t="s">
        <v>5424</v>
      </c>
      <c r="I448" s="47" t="s">
        <v>5425</v>
      </c>
      <c r="J448" s="47" t="s">
        <v>5426</v>
      </c>
      <c r="K448" s="47" t="s">
        <v>5427</v>
      </c>
      <c r="L448" s="47" t="s">
        <v>5428</v>
      </c>
      <c r="M448" s="47" t="s">
        <v>5429</v>
      </c>
      <c r="N448" s="47" t="s">
        <v>5430</v>
      </c>
      <c r="O448" s="47" t="s">
        <v>8912</v>
      </c>
      <c r="P448" s="47" t="s">
        <v>8913</v>
      </c>
      <c r="Q448" s="47" t="s">
        <v>8914</v>
      </c>
      <c r="R448" s="47" t="s">
        <v>8915</v>
      </c>
      <c r="S448" s="47" t="s">
        <v>8916</v>
      </c>
      <c r="T448" s="47" t="s">
        <v>8917</v>
      </c>
    </row>
    <row r="449" spans="1:21" x14ac:dyDescent="0.2">
      <c r="A449" s="47" t="s">
        <v>29</v>
      </c>
    </row>
    <row r="450" spans="1:21" x14ac:dyDescent="0.2">
      <c r="A450" s="47" t="s">
        <v>29</v>
      </c>
      <c r="E450" s="47" t="s">
        <v>30</v>
      </c>
      <c r="F450" s="47" t="s">
        <v>30</v>
      </c>
      <c r="G450" s="47" t="s">
        <v>30</v>
      </c>
      <c r="J450" s="47" t="s">
        <v>30</v>
      </c>
      <c r="K450" s="47" t="s">
        <v>30</v>
      </c>
      <c r="L450" s="47" t="s">
        <v>30</v>
      </c>
      <c r="M450" s="47" t="s">
        <v>30</v>
      </c>
    </row>
    <row r="451" spans="1:21" x14ac:dyDescent="0.2">
      <c r="A451" s="47" t="s">
        <v>29</v>
      </c>
      <c r="D451" s="47" t="s">
        <v>5431</v>
      </c>
      <c r="E451" s="47" t="s">
        <v>4299</v>
      </c>
      <c r="F451" s="47" t="s">
        <v>5432</v>
      </c>
      <c r="H451" s="47" t="s">
        <v>5433</v>
      </c>
      <c r="O451" s="47" t="s">
        <v>10431</v>
      </c>
      <c r="P451" s="47" t="s">
        <v>10432</v>
      </c>
      <c r="Q451" s="47" t="s">
        <v>10433</v>
      </c>
      <c r="R451" s="47" t="s">
        <v>10434</v>
      </c>
      <c r="S451" s="47" t="s">
        <v>10435</v>
      </c>
      <c r="T451" s="47" t="s">
        <v>10436</v>
      </c>
      <c r="U451" s="47" t="s">
        <v>10437</v>
      </c>
    </row>
    <row r="452" spans="1:21" x14ac:dyDescent="0.2">
      <c r="A452" s="47" t="s">
        <v>29</v>
      </c>
      <c r="D452" s="47" t="s">
        <v>1170</v>
      </c>
      <c r="G452" s="47" t="s">
        <v>10438</v>
      </c>
      <c r="H452" s="47" t="s">
        <v>1171</v>
      </c>
      <c r="I452" s="47" t="s">
        <v>1172</v>
      </c>
      <c r="J452" s="47" t="s">
        <v>1173</v>
      </c>
      <c r="K452" s="47" t="s">
        <v>1174</v>
      </c>
      <c r="L452" s="47" t="s">
        <v>1175</v>
      </c>
      <c r="M452" s="47" t="s">
        <v>1176</v>
      </c>
      <c r="N452" s="47" t="s">
        <v>1177</v>
      </c>
      <c r="O452" s="47" t="s">
        <v>2268</v>
      </c>
      <c r="P452" s="47" t="s">
        <v>2269</v>
      </c>
      <c r="Q452" s="47" t="s">
        <v>2270</v>
      </c>
      <c r="R452" s="47" t="s">
        <v>2271</v>
      </c>
      <c r="S452" s="47" t="s">
        <v>2272</v>
      </c>
      <c r="T452" s="47" t="s">
        <v>2273</v>
      </c>
    </row>
    <row r="453" spans="1:21" x14ac:dyDescent="0.2">
      <c r="A453" s="47" t="s">
        <v>29</v>
      </c>
      <c r="D453" s="47" t="s">
        <v>3349</v>
      </c>
      <c r="G453" s="47" t="s">
        <v>8755</v>
      </c>
      <c r="H453" s="47" t="s">
        <v>3350</v>
      </c>
      <c r="I453" s="47" t="s">
        <v>3351</v>
      </c>
      <c r="J453" s="47" t="s">
        <v>3352</v>
      </c>
      <c r="K453" s="47" t="s">
        <v>3353</v>
      </c>
      <c r="L453" s="47" t="s">
        <v>3354</v>
      </c>
      <c r="M453" s="47" t="s">
        <v>3355</v>
      </c>
      <c r="N453" s="47" t="s">
        <v>3356</v>
      </c>
      <c r="O453" s="47" t="s">
        <v>3357</v>
      </c>
      <c r="P453" s="47" t="s">
        <v>3358</v>
      </c>
      <c r="Q453" s="47" t="s">
        <v>3359</v>
      </c>
      <c r="R453" s="47" t="s">
        <v>3360</v>
      </c>
      <c r="S453" s="47" t="s">
        <v>3361</v>
      </c>
      <c r="T453" s="47" t="s">
        <v>3362</v>
      </c>
    </row>
    <row r="454" spans="1:21" x14ac:dyDescent="0.2">
      <c r="A454" s="47" t="s">
        <v>29</v>
      </c>
      <c r="D454" s="47" t="s">
        <v>3363</v>
      </c>
      <c r="G454" s="47" t="s">
        <v>8756</v>
      </c>
      <c r="H454" s="47" t="s">
        <v>3364</v>
      </c>
      <c r="I454" s="47" t="s">
        <v>3365</v>
      </c>
      <c r="J454" s="47" t="s">
        <v>3366</v>
      </c>
      <c r="K454" s="47" t="s">
        <v>3367</v>
      </c>
      <c r="L454" s="47" t="s">
        <v>3368</v>
      </c>
      <c r="M454" s="47" t="s">
        <v>3369</v>
      </c>
      <c r="N454" s="47" t="s">
        <v>3370</v>
      </c>
      <c r="O454" s="47" t="s">
        <v>3371</v>
      </c>
      <c r="P454" s="47" t="s">
        <v>3372</v>
      </c>
      <c r="Q454" s="47" t="s">
        <v>3373</v>
      </c>
      <c r="R454" s="47" t="s">
        <v>3374</v>
      </c>
      <c r="S454" s="47" t="s">
        <v>3375</v>
      </c>
      <c r="T454" s="47" t="s">
        <v>3376</v>
      </c>
    </row>
    <row r="455" spans="1:21" x14ac:dyDescent="0.2">
      <c r="A455" s="47" t="s">
        <v>29</v>
      </c>
    </row>
    <row r="456" spans="1:21" x14ac:dyDescent="0.2">
      <c r="A456" s="47" t="s">
        <v>29</v>
      </c>
      <c r="E456" s="47" t="s">
        <v>30</v>
      </c>
      <c r="F456" s="47" t="s">
        <v>30</v>
      </c>
      <c r="G456" s="47" t="s">
        <v>30</v>
      </c>
      <c r="J456" s="47" t="s">
        <v>30</v>
      </c>
      <c r="K456" s="47" t="s">
        <v>30</v>
      </c>
      <c r="L456" s="47" t="s">
        <v>30</v>
      </c>
      <c r="M456" s="47" t="s">
        <v>30</v>
      </c>
    </row>
    <row r="457" spans="1:21" x14ac:dyDescent="0.2">
      <c r="A457" s="47" t="s">
        <v>29</v>
      </c>
      <c r="D457" s="47" t="s">
        <v>5434</v>
      </c>
      <c r="E457" s="47" t="s">
        <v>4300</v>
      </c>
      <c r="F457" s="47" t="s">
        <v>5435</v>
      </c>
      <c r="H457" s="47" t="s">
        <v>5436</v>
      </c>
      <c r="O457" s="47" t="s">
        <v>8322</v>
      </c>
      <c r="P457" s="47" t="s">
        <v>8323</v>
      </c>
      <c r="Q457" s="47" t="s">
        <v>8324</v>
      </c>
      <c r="R457" s="47" t="s">
        <v>8325</v>
      </c>
      <c r="S457" s="47" t="s">
        <v>8326</v>
      </c>
      <c r="T457" s="47" t="s">
        <v>8327</v>
      </c>
      <c r="U457" s="47" t="s">
        <v>8328</v>
      </c>
    </row>
    <row r="458" spans="1:21" x14ac:dyDescent="0.2">
      <c r="A458" s="47" t="s">
        <v>29</v>
      </c>
      <c r="D458" s="47" t="s">
        <v>5437</v>
      </c>
      <c r="G458" s="47" t="s">
        <v>10439</v>
      </c>
      <c r="H458" s="47" t="s">
        <v>5705</v>
      </c>
      <c r="I458" s="47" t="s">
        <v>5708</v>
      </c>
      <c r="J458" s="47" t="s">
        <v>5723</v>
      </c>
      <c r="K458" s="47" t="s">
        <v>5726</v>
      </c>
      <c r="L458" s="47" t="s">
        <v>5438</v>
      </c>
      <c r="M458" s="47" t="s">
        <v>5439</v>
      </c>
      <c r="N458" s="47" t="s">
        <v>5440</v>
      </c>
      <c r="O458" s="47" t="s">
        <v>5711</v>
      </c>
      <c r="P458" s="47" t="s">
        <v>5713</v>
      </c>
      <c r="Q458" s="47" t="s">
        <v>5715</v>
      </c>
      <c r="R458" s="47" t="s">
        <v>5717</v>
      </c>
      <c r="S458" s="47" t="s">
        <v>5719</v>
      </c>
      <c r="T458" s="47" t="s">
        <v>5721</v>
      </c>
    </row>
    <row r="459" spans="1:21" x14ac:dyDescent="0.2">
      <c r="A459" s="47" t="s">
        <v>29</v>
      </c>
    </row>
    <row r="460" spans="1:21" x14ac:dyDescent="0.2">
      <c r="A460" s="47" t="s">
        <v>29</v>
      </c>
      <c r="E460" s="47" t="s">
        <v>30</v>
      </c>
      <c r="F460" s="47" t="s">
        <v>30</v>
      </c>
      <c r="G460" s="47" t="s">
        <v>30</v>
      </c>
      <c r="J460" s="47" t="s">
        <v>30</v>
      </c>
      <c r="K460" s="47" t="s">
        <v>30</v>
      </c>
      <c r="L460" s="47" t="s">
        <v>30</v>
      </c>
      <c r="M460" s="47" t="s">
        <v>30</v>
      </c>
    </row>
    <row r="461" spans="1:21" x14ac:dyDescent="0.2">
      <c r="A461" s="47" t="s">
        <v>29</v>
      </c>
      <c r="D461" s="47" t="s">
        <v>8329</v>
      </c>
      <c r="E461" s="47" t="s">
        <v>4301</v>
      </c>
      <c r="F461" s="47" t="s">
        <v>8330</v>
      </c>
      <c r="H461" s="47" t="s">
        <v>8331</v>
      </c>
      <c r="O461" s="47" t="s">
        <v>8332</v>
      </c>
      <c r="P461" s="47" t="s">
        <v>8333</v>
      </c>
      <c r="Q461" s="47" t="s">
        <v>8334</v>
      </c>
      <c r="R461" s="47" t="s">
        <v>8335</v>
      </c>
      <c r="S461" s="47" t="s">
        <v>8336</v>
      </c>
      <c r="T461" s="47" t="s">
        <v>8337</v>
      </c>
      <c r="U461" s="47" t="s">
        <v>8338</v>
      </c>
    </row>
    <row r="462" spans="1:21" x14ac:dyDescent="0.2">
      <c r="A462" s="47" t="s">
        <v>29</v>
      </c>
      <c r="D462" s="47" t="s">
        <v>5441</v>
      </c>
      <c r="G462" s="47" t="s">
        <v>10440</v>
      </c>
      <c r="H462" s="47" t="s">
        <v>5706</v>
      </c>
      <c r="I462" s="47" t="s">
        <v>5709</v>
      </c>
      <c r="J462" s="47" t="s">
        <v>5724</v>
      </c>
      <c r="K462" s="47" t="s">
        <v>5727</v>
      </c>
      <c r="L462" s="47" t="s">
        <v>5442</v>
      </c>
      <c r="M462" s="47" t="s">
        <v>5443</v>
      </c>
      <c r="N462" s="47" t="s">
        <v>5444</v>
      </c>
      <c r="O462" s="47" t="s">
        <v>5712</v>
      </c>
      <c r="P462" s="47" t="s">
        <v>5714</v>
      </c>
      <c r="Q462" s="47" t="s">
        <v>5716</v>
      </c>
      <c r="R462" s="47" t="s">
        <v>5718</v>
      </c>
      <c r="S462" s="47" t="s">
        <v>5720</v>
      </c>
      <c r="T462" s="47" t="s">
        <v>5722</v>
      </c>
    </row>
    <row r="463" spans="1:21" x14ac:dyDescent="0.2">
      <c r="A463" s="47" t="s">
        <v>29</v>
      </c>
    </row>
    <row r="464" spans="1:21" x14ac:dyDescent="0.2">
      <c r="A464" s="47" t="s">
        <v>29</v>
      </c>
      <c r="E464" s="47" t="s">
        <v>30</v>
      </c>
      <c r="F464" s="47" t="s">
        <v>30</v>
      </c>
      <c r="G464" s="47" t="s">
        <v>30</v>
      </c>
      <c r="J464" s="47" t="s">
        <v>30</v>
      </c>
      <c r="K464" s="47" t="s">
        <v>30</v>
      </c>
      <c r="L464" s="47" t="s">
        <v>30</v>
      </c>
      <c r="M464" s="47" t="s">
        <v>30</v>
      </c>
    </row>
    <row r="465" spans="1:21" x14ac:dyDescent="0.2">
      <c r="A465" s="47" t="s">
        <v>29</v>
      </c>
      <c r="D465" s="47" t="s">
        <v>8339</v>
      </c>
      <c r="E465" s="47" t="s">
        <v>4302</v>
      </c>
      <c r="F465" s="47" t="s">
        <v>8340</v>
      </c>
      <c r="H465" s="47" t="s">
        <v>8341</v>
      </c>
      <c r="O465" s="47" t="s">
        <v>10441</v>
      </c>
      <c r="P465" s="47" t="s">
        <v>10442</v>
      </c>
      <c r="Q465" s="47" t="s">
        <v>10443</v>
      </c>
      <c r="R465" s="47" t="s">
        <v>10444</v>
      </c>
      <c r="S465" s="47" t="s">
        <v>10445</v>
      </c>
      <c r="T465" s="47" t="s">
        <v>10446</v>
      </c>
      <c r="U465" s="47" t="s">
        <v>10447</v>
      </c>
    </row>
    <row r="466" spans="1:21" x14ac:dyDescent="0.2">
      <c r="A466" s="47" t="s">
        <v>29</v>
      </c>
      <c r="D466" s="47" t="s">
        <v>5445</v>
      </c>
      <c r="G466" s="47" t="s">
        <v>10448</v>
      </c>
      <c r="H466" s="47" t="s">
        <v>5707</v>
      </c>
      <c r="I466" s="47" t="s">
        <v>5710</v>
      </c>
      <c r="J466" s="47" t="s">
        <v>5725</v>
      </c>
      <c r="K466" s="47" t="s">
        <v>5728</v>
      </c>
      <c r="L466" s="47" t="s">
        <v>5446</v>
      </c>
      <c r="M466" s="47" t="s">
        <v>5447</v>
      </c>
      <c r="N466" s="47" t="s">
        <v>5448</v>
      </c>
      <c r="O466" s="47" t="s">
        <v>10449</v>
      </c>
      <c r="P466" s="47" t="s">
        <v>10450</v>
      </c>
      <c r="Q466" s="47" t="s">
        <v>10451</v>
      </c>
      <c r="R466" s="47" t="s">
        <v>10452</v>
      </c>
      <c r="S466" s="47" t="s">
        <v>10453</v>
      </c>
      <c r="T466" s="47" t="s">
        <v>10454</v>
      </c>
    </row>
    <row r="467" spans="1:21" x14ac:dyDescent="0.2">
      <c r="A467" s="47" t="s">
        <v>29</v>
      </c>
      <c r="D467" s="47" t="s">
        <v>3380</v>
      </c>
      <c r="G467" s="47" t="s">
        <v>8757</v>
      </c>
      <c r="H467" s="47" t="s">
        <v>3381</v>
      </c>
      <c r="I467" s="47" t="s">
        <v>3382</v>
      </c>
      <c r="J467" s="47" t="s">
        <v>3383</v>
      </c>
      <c r="K467" s="47" t="s">
        <v>3384</v>
      </c>
      <c r="L467" s="47" t="s">
        <v>3385</v>
      </c>
      <c r="M467" s="47" t="s">
        <v>3386</v>
      </c>
      <c r="N467" s="47" t="s">
        <v>3387</v>
      </c>
      <c r="O467" s="47" t="s">
        <v>8906</v>
      </c>
      <c r="P467" s="47" t="s">
        <v>8907</v>
      </c>
      <c r="Q467" s="47" t="s">
        <v>8908</v>
      </c>
      <c r="R467" s="47" t="s">
        <v>8909</v>
      </c>
      <c r="S467" s="47" t="s">
        <v>8910</v>
      </c>
      <c r="T467" s="47" t="s">
        <v>8911</v>
      </c>
    </row>
    <row r="468" spans="1:21" x14ac:dyDescent="0.2">
      <c r="A468" s="47" t="s">
        <v>29</v>
      </c>
    </row>
    <row r="469" spans="1:21" x14ac:dyDescent="0.2">
      <c r="A469" s="47" t="s">
        <v>29</v>
      </c>
      <c r="E469" s="47" t="s">
        <v>30</v>
      </c>
      <c r="F469" s="47" t="s">
        <v>30</v>
      </c>
      <c r="G469" s="47" t="s">
        <v>30</v>
      </c>
      <c r="J469" s="47" t="s">
        <v>30</v>
      </c>
      <c r="K469" s="47" t="s">
        <v>30</v>
      </c>
      <c r="L469" s="47" t="s">
        <v>30</v>
      </c>
      <c r="M469" s="47" t="s">
        <v>30</v>
      </c>
    </row>
    <row r="470" spans="1:21" x14ac:dyDescent="0.2">
      <c r="A470" s="47" t="s">
        <v>29</v>
      </c>
      <c r="D470" s="47" t="s">
        <v>7616</v>
      </c>
      <c r="E470" s="47" t="s">
        <v>4303</v>
      </c>
      <c r="F470" s="47" t="s">
        <v>7617</v>
      </c>
      <c r="H470" s="47" t="s">
        <v>7618</v>
      </c>
      <c r="O470" s="47" t="s">
        <v>7619</v>
      </c>
      <c r="P470" s="47" t="s">
        <v>7620</v>
      </c>
      <c r="Q470" s="47" t="s">
        <v>7621</v>
      </c>
      <c r="R470" s="47" t="s">
        <v>7622</v>
      </c>
      <c r="S470" s="47" t="s">
        <v>7623</v>
      </c>
      <c r="T470" s="47" t="s">
        <v>7624</v>
      </c>
      <c r="U470" s="47" t="s">
        <v>7625</v>
      </c>
    </row>
    <row r="471" spans="1:21" x14ac:dyDescent="0.2">
      <c r="A471" s="47" t="s">
        <v>29</v>
      </c>
      <c r="D471" s="47" t="s">
        <v>6412</v>
      </c>
      <c r="G471" s="47" t="s">
        <v>10455</v>
      </c>
      <c r="H471" s="47" t="s">
        <v>6756</v>
      </c>
      <c r="I471" s="47" t="s">
        <v>6762</v>
      </c>
      <c r="J471" s="47" t="s">
        <v>6786</v>
      </c>
      <c r="K471" s="47" t="s">
        <v>6792</v>
      </c>
      <c r="L471" s="47" t="s">
        <v>6413</v>
      </c>
      <c r="M471" s="47" t="s">
        <v>6414</v>
      </c>
      <c r="N471" s="47" t="s">
        <v>6415</v>
      </c>
      <c r="O471" s="47" t="s">
        <v>6767</v>
      </c>
      <c r="P471" s="47" t="s">
        <v>6770</v>
      </c>
      <c r="Q471" s="47" t="s">
        <v>6773</v>
      </c>
      <c r="R471" s="47" t="s">
        <v>6776</v>
      </c>
      <c r="S471" s="47" t="s">
        <v>6779</v>
      </c>
      <c r="T471" s="47" t="s">
        <v>6782</v>
      </c>
    </row>
    <row r="472" spans="1:21" x14ac:dyDescent="0.2">
      <c r="A472" s="47" t="s">
        <v>29</v>
      </c>
    </row>
    <row r="473" spans="1:21" x14ac:dyDescent="0.2">
      <c r="A473" s="47" t="s">
        <v>29</v>
      </c>
      <c r="E473" s="47" t="s">
        <v>30</v>
      </c>
      <c r="F473" s="47" t="s">
        <v>30</v>
      </c>
      <c r="G473" s="47" t="s">
        <v>30</v>
      </c>
      <c r="J473" s="47" t="s">
        <v>30</v>
      </c>
      <c r="K473" s="47" t="s">
        <v>30</v>
      </c>
      <c r="L473" s="47" t="s">
        <v>30</v>
      </c>
      <c r="M473" s="47" t="s">
        <v>30</v>
      </c>
    </row>
    <row r="474" spans="1:21" x14ac:dyDescent="0.2">
      <c r="A474" s="47" t="s">
        <v>29</v>
      </c>
      <c r="D474" s="47" t="s">
        <v>7626</v>
      </c>
      <c r="E474" s="47" t="s">
        <v>4304</v>
      </c>
      <c r="F474" s="47" t="s">
        <v>7627</v>
      </c>
      <c r="H474" s="47" t="s">
        <v>7628</v>
      </c>
      <c r="O474" s="47" t="s">
        <v>7629</v>
      </c>
      <c r="P474" s="47" t="s">
        <v>7630</v>
      </c>
      <c r="Q474" s="47" t="s">
        <v>7631</v>
      </c>
      <c r="R474" s="47" t="s">
        <v>7632</v>
      </c>
      <c r="S474" s="47" t="s">
        <v>7633</v>
      </c>
      <c r="T474" s="47" t="s">
        <v>7634</v>
      </c>
      <c r="U474" s="47" t="s">
        <v>7635</v>
      </c>
    </row>
    <row r="475" spans="1:21" x14ac:dyDescent="0.2">
      <c r="A475" s="47" t="s">
        <v>29</v>
      </c>
      <c r="D475" s="47" t="s">
        <v>4901</v>
      </c>
      <c r="G475" s="47" t="s">
        <v>10456</v>
      </c>
      <c r="H475" s="47" t="s">
        <v>4902</v>
      </c>
      <c r="I475" s="47" t="s">
        <v>4903</v>
      </c>
      <c r="J475" s="47" t="s">
        <v>4904</v>
      </c>
      <c r="K475" s="47" t="s">
        <v>4905</v>
      </c>
      <c r="L475" s="47" t="s">
        <v>4906</v>
      </c>
      <c r="M475" s="47" t="s">
        <v>4907</v>
      </c>
      <c r="N475" s="47" t="s">
        <v>4908</v>
      </c>
      <c r="O475" s="47" t="s">
        <v>5699</v>
      </c>
      <c r="P475" s="47" t="s">
        <v>5700</v>
      </c>
      <c r="Q475" s="47" t="s">
        <v>5701</v>
      </c>
      <c r="R475" s="47" t="s">
        <v>5702</v>
      </c>
      <c r="S475" s="47" t="s">
        <v>5703</v>
      </c>
      <c r="T475" s="47" t="s">
        <v>5704</v>
      </c>
    </row>
    <row r="476" spans="1:21" x14ac:dyDescent="0.2">
      <c r="A476" s="47" t="s">
        <v>29</v>
      </c>
      <c r="D476" s="47" t="s">
        <v>3397</v>
      </c>
      <c r="G476" s="47" t="s">
        <v>8758</v>
      </c>
      <c r="H476" s="47" t="s">
        <v>3398</v>
      </c>
      <c r="I476" s="47" t="s">
        <v>3399</v>
      </c>
      <c r="J476" s="47" t="s">
        <v>3400</v>
      </c>
      <c r="K476" s="47" t="s">
        <v>3401</v>
      </c>
      <c r="L476" s="47" t="s">
        <v>3402</v>
      </c>
      <c r="M476" s="47" t="s">
        <v>3403</v>
      </c>
      <c r="N476" s="47" t="s">
        <v>3404</v>
      </c>
      <c r="O476" s="47" t="s">
        <v>3405</v>
      </c>
      <c r="P476" s="47" t="s">
        <v>3406</v>
      </c>
      <c r="Q476" s="47" t="s">
        <v>3407</v>
      </c>
      <c r="R476" s="47" t="s">
        <v>3408</v>
      </c>
      <c r="S476" s="47" t="s">
        <v>3409</v>
      </c>
      <c r="T476" s="47" t="s">
        <v>3410</v>
      </c>
    </row>
    <row r="477" spans="1:21" x14ac:dyDescent="0.2">
      <c r="A477" s="47" t="s">
        <v>29</v>
      </c>
      <c r="D477" s="47" t="s">
        <v>3411</v>
      </c>
      <c r="G477" s="47" t="s">
        <v>8759</v>
      </c>
      <c r="H477" s="47" t="s">
        <v>3412</v>
      </c>
      <c r="I477" s="47" t="s">
        <v>3413</v>
      </c>
      <c r="J477" s="47" t="s">
        <v>3414</v>
      </c>
      <c r="K477" s="47" t="s">
        <v>3415</v>
      </c>
      <c r="L477" s="47" t="s">
        <v>3416</v>
      </c>
      <c r="M477" s="47" t="s">
        <v>3417</v>
      </c>
      <c r="N477" s="47" t="s">
        <v>3418</v>
      </c>
      <c r="O477" s="47" t="s">
        <v>3419</v>
      </c>
      <c r="P477" s="47" t="s">
        <v>3420</v>
      </c>
      <c r="Q477" s="47" t="s">
        <v>3421</v>
      </c>
      <c r="R477" s="47" t="s">
        <v>3422</v>
      </c>
      <c r="S477" s="47" t="s">
        <v>3423</v>
      </c>
      <c r="T477" s="47" t="s">
        <v>3424</v>
      </c>
    </row>
    <row r="478" spans="1:21" x14ac:dyDescent="0.2">
      <c r="A478" s="47" t="s">
        <v>29</v>
      </c>
    </row>
    <row r="479" spans="1:21" x14ac:dyDescent="0.2">
      <c r="A479" s="47" t="s">
        <v>29</v>
      </c>
      <c r="E479" s="47" t="s">
        <v>30</v>
      </c>
      <c r="F479" s="47" t="s">
        <v>30</v>
      </c>
      <c r="G479" s="47" t="s">
        <v>30</v>
      </c>
      <c r="J479" s="47" t="s">
        <v>30</v>
      </c>
      <c r="K479" s="47" t="s">
        <v>30</v>
      </c>
      <c r="L479" s="47" t="s">
        <v>30</v>
      </c>
      <c r="M479" s="47" t="s">
        <v>30</v>
      </c>
    </row>
    <row r="480" spans="1:21" x14ac:dyDescent="0.2">
      <c r="A480" s="47" t="s">
        <v>29</v>
      </c>
      <c r="D480" s="47" t="s">
        <v>3425</v>
      </c>
      <c r="E480" s="47" t="s">
        <v>4305</v>
      </c>
      <c r="F480" s="47" t="s">
        <v>3427</v>
      </c>
      <c r="H480" s="47" t="s">
        <v>3428</v>
      </c>
      <c r="O480" s="47" t="s">
        <v>10457</v>
      </c>
      <c r="P480" s="47" t="s">
        <v>10458</v>
      </c>
      <c r="Q480" s="47" t="s">
        <v>10459</v>
      </c>
      <c r="R480" s="47" t="s">
        <v>10460</v>
      </c>
      <c r="S480" s="47" t="s">
        <v>10461</v>
      </c>
      <c r="T480" s="47" t="s">
        <v>10462</v>
      </c>
      <c r="U480" s="47" t="s">
        <v>10463</v>
      </c>
    </row>
    <row r="481" spans="1:21" x14ac:dyDescent="0.2">
      <c r="A481" s="47" t="s">
        <v>29</v>
      </c>
      <c r="D481" s="47" t="s">
        <v>3429</v>
      </c>
      <c r="G481" s="47" t="s">
        <v>10464</v>
      </c>
      <c r="H481" s="47" t="s">
        <v>3430</v>
      </c>
      <c r="I481" s="47" t="s">
        <v>3431</v>
      </c>
      <c r="J481" s="47" t="s">
        <v>3432</v>
      </c>
      <c r="K481" s="47" t="s">
        <v>3433</v>
      </c>
      <c r="L481" s="47" t="s">
        <v>3434</v>
      </c>
      <c r="M481" s="47" t="s">
        <v>3435</v>
      </c>
      <c r="N481" s="47" t="s">
        <v>3436</v>
      </c>
      <c r="O481" s="47" t="s">
        <v>3437</v>
      </c>
      <c r="P481" s="47" t="s">
        <v>3438</v>
      </c>
      <c r="Q481" s="47" t="s">
        <v>3439</v>
      </c>
      <c r="R481" s="47" t="s">
        <v>3440</v>
      </c>
      <c r="S481" s="47" t="s">
        <v>3441</v>
      </c>
      <c r="T481" s="47" t="s">
        <v>3442</v>
      </c>
    </row>
    <row r="482" spans="1:21" x14ac:dyDescent="0.2">
      <c r="A482" s="47" t="s">
        <v>29</v>
      </c>
      <c r="D482" s="47" t="s">
        <v>3443</v>
      </c>
      <c r="G482" s="47" t="s">
        <v>8760</v>
      </c>
      <c r="H482" s="47" t="s">
        <v>3444</v>
      </c>
      <c r="I482" s="47" t="s">
        <v>3445</v>
      </c>
      <c r="J482" s="47" t="s">
        <v>3446</v>
      </c>
      <c r="K482" s="47" t="s">
        <v>3447</v>
      </c>
      <c r="L482" s="47" t="s">
        <v>3448</v>
      </c>
      <c r="M482" s="47" t="s">
        <v>3449</v>
      </c>
      <c r="N482" s="47" t="s">
        <v>3450</v>
      </c>
      <c r="O482" s="47" t="s">
        <v>3451</v>
      </c>
      <c r="P482" s="47" t="s">
        <v>3452</v>
      </c>
      <c r="Q482" s="47" t="s">
        <v>3453</v>
      </c>
      <c r="R482" s="47" t="s">
        <v>3454</v>
      </c>
      <c r="S482" s="47" t="s">
        <v>3455</v>
      </c>
      <c r="T482" s="47" t="s">
        <v>3456</v>
      </c>
    </row>
    <row r="483" spans="1:21" x14ac:dyDescent="0.2">
      <c r="A483" s="47" t="s">
        <v>29</v>
      </c>
      <c r="D483" s="47" t="s">
        <v>3457</v>
      </c>
      <c r="G483" s="47" t="s">
        <v>8761</v>
      </c>
      <c r="H483" s="47" t="s">
        <v>3458</v>
      </c>
      <c r="I483" s="47" t="s">
        <v>3459</v>
      </c>
      <c r="J483" s="47" t="s">
        <v>3460</v>
      </c>
      <c r="K483" s="47" t="s">
        <v>3461</v>
      </c>
      <c r="L483" s="47" t="s">
        <v>3462</v>
      </c>
      <c r="M483" s="47" t="s">
        <v>3463</v>
      </c>
      <c r="N483" s="47" t="s">
        <v>3464</v>
      </c>
      <c r="O483" s="47" t="s">
        <v>3465</v>
      </c>
      <c r="P483" s="47" t="s">
        <v>3466</v>
      </c>
      <c r="Q483" s="47" t="s">
        <v>3467</v>
      </c>
      <c r="R483" s="47" t="s">
        <v>3468</v>
      </c>
      <c r="S483" s="47" t="s">
        <v>3469</v>
      </c>
      <c r="T483" s="47" t="s">
        <v>3470</v>
      </c>
    </row>
    <row r="484" spans="1:21" x14ac:dyDescent="0.2">
      <c r="A484" s="47" t="s">
        <v>29</v>
      </c>
      <c r="D484" s="47" t="s">
        <v>4909</v>
      </c>
      <c r="G484" s="47" t="s">
        <v>8762</v>
      </c>
      <c r="H484" s="47" t="s">
        <v>4910</v>
      </c>
      <c r="I484" s="47" t="s">
        <v>4911</v>
      </c>
      <c r="J484" s="47" t="s">
        <v>4912</v>
      </c>
      <c r="K484" s="47" t="s">
        <v>4913</v>
      </c>
      <c r="L484" s="47" t="s">
        <v>4914</v>
      </c>
      <c r="M484" s="47" t="s">
        <v>4915</v>
      </c>
      <c r="N484" s="47" t="s">
        <v>4916</v>
      </c>
      <c r="O484" s="47" t="s">
        <v>5693</v>
      </c>
      <c r="P484" s="47" t="s">
        <v>5694</v>
      </c>
      <c r="Q484" s="47" t="s">
        <v>5695</v>
      </c>
      <c r="R484" s="47" t="s">
        <v>5696</v>
      </c>
      <c r="S484" s="47" t="s">
        <v>5697</v>
      </c>
      <c r="T484" s="47" t="s">
        <v>5698</v>
      </c>
    </row>
    <row r="485" spans="1:21" x14ac:dyDescent="0.2">
      <c r="A485" s="47" t="s">
        <v>29</v>
      </c>
    </row>
    <row r="486" spans="1:21" x14ac:dyDescent="0.2">
      <c r="A486" s="47" t="s">
        <v>29</v>
      </c>
      <c r="E486" s="47" t="s">
        <v>30</v>
      </c>
      <c r="F486" s="47" t="s">
        <v>30</v>
      </c>
      <c r="G486" s="47" t="s">
        <v>30</v>
      </c>
      <c r="J486" s="47" t="s">
        <v>30</v>
      </c>
      <c r="K486" s="47" t="s">
        <v>30</v>
      </c>
      <c r="L486" s="47" t="s">
        <v>30</v>
      </c>
      <c r="M486" s="47" t="s">
        <v>30</v>
      </c>
    </row>
    <row r="487" spans="1:21" x14ac:dyDescent="0.2">
      <c r="A487" s="47" t="s">
        <v>29</v>
      </c>
      <c r="D487" s="47" t="s">
        <v>10465</v>
      </c>
      <c r="E487" s="47" t="s">
        <v>6533</v>
      </c>
      <c r="F487" s="47" t="s">
        <v>10466</v>
      </c>
      <c r="H487" s="47" t="s">
        <v>10467</v>
      </c>
      <c r="O487" s="47" t="s">
        <v>10468</v>
      </c>
      <c r="P487" s="47" t="s">
        <v>10469</v>
      </c>
      <c r="Q487" s="47" t="s">
        <v>10470</v>
      </c>
      <c r="R487" s="47" t="s">
        <v>10471</v>
      </c>
      <c r="S487" s="47" t="s">
        <v>10472</v>
      </c>
      <c r="T487" s="47" t="s">
        <v>10473</v>
      </c>
      <c r="U487" s="47" t="s">
        <v>10474</v>
      </c>
    </row>
    <row r="488" spans="1:21" x14ac:dyDescent="0.2">
      <c r="A488" s="47" t="s">
        <v>29</v>
      </c>
      <c r="D488" s="47" t="s">
        <v>6424</v>
      </c>
      <c r="G488" s="47" t="s">
        <v>10475</v>
      </c>
      <c r="H488" s="47" t="s">
        <v>6759</v>
      </c>
      <c r="I488" s="47" t="s">
        <v>6765</v>
      </c>
      <c r="J488" s="47" t="s">
        <v>6789</v>
      </c>
      <c r="K488" s="47" t="s">
        <v>6795</v>
      </c>
      <c r="L488" s="47" t="s">
        <v>6425</v>
      </c>
      <c r="M488" s="47" t="s">
        <v>6426</v>
      </c>
      <c r="N488" s="47" t="s">
        <v>6427</v>
      </c>
      <c r="O488" s="47" t="s">
        <v>6768</v>
      </c>
      <c r="P488" s="47" t="s">
        <v>6771</v>
      </c>
      <c r="Q488" s="47" t="s">
        <v>6774</v>
      </c>
      <c r="R488" s="47" t="s">
        <v>6777</v>
      </c>
      <c r="S488" s="47" t="s">
        <v>6780</v>
      </c>
      <c r="T488" s="47" t="s">
        <v>6783</v>
      </c>
    </row>
    <row r="489" spans="1:21" x14ac:dyDescent="0.2">
      <c r="A489" s="47" t="s">
        <v>29</v>
      </c>
      <c r="D489" s="47" t="s">
        <v>6428</v>
      </c>
      <c r="G489" s="47" t="s">
        <v>8763</v>
      </c>
      <c r="H489" s="47" t="s">
        <v>6760</v>
      </c>
      <c r="I489" s="47" t="s">
        <v>6766</v>
      </c>
      <c r="J489" s="47" t="s">
        <v>6790</v>
      </c>
      <c r="K489" s="47" t="s">
        <v>6796</v>
      </c>
      <c r="L489" s="47" t="s">
        <v>6429</v>
      </c>
      <c r="M489" s="47" t="s">
        <v>6430</v>
      </c>
      <c r="N489" s="47" t="s">
        <v>6431</v>
      </c>
      <c r="O489" s="47" t="s">
        <v>6769</v>
      </c>
      <c r="P489" s="47" t="s">
        <v>6772</v>
      </c>
      <c r="Q489" s="47" t="s">
        <v>6775</v>
      </c>
      <c r="R489" s="47" t="s">
        <v>6778</v>
      </c>
      <c r="S489" s="47" t="s">
        <v>6781</v>
      </c>
      <c r="T489" s="47" t="s">
        <v>6784</v>
      </c>
    </row>
    <row r="490" spans="1:21" x14ac:dyDescent="0.2">
      <c r="A490" s="47" t="s">
        <v>29</v>
      </c>
      <c r="D490" s="47" t="s">
        <v>3472</v>
      </c>
      <c r="G490" s="47" t="s">
        <v>8764</v>
      </c>
      <c r="H490" s="47" t="s">
        <v>3473</v>
      </c>
      <c r="I490" s="47" t="s">
        <v>3474</v>
      </c>
      <c r="J490" s="47" t="s">
        <v>3475</v>
      </c>
      <c r="K490" s="47" t="s">
        <v>3476</v>
      </c>
      <c r="L490" s="47" t="s">
        <v>3477</v>
      </c>
      <c r="M490" s="47" t="s">
        <v>3478</v>
      </c>
      <c r="N490" s="47" t="s">
        <v>3479</v>
      </c>
      <c r="O490" s="47" t="s">
        <v>3480</v>
      </c>
      <c r="P490" s="47" t="s">
        <v>3481</v>
      </c>
      <c r="Q490" s="47" t="s">
        <v>3482</v>
      </c>
      <c r="R490" s="47" t="s">
        <v>3483</v>
      </c>
      <c r="S490" s="47" t="s">
        <v>3484</v>
      </c>
      <c r="T490" s="47" t="s">
        <v>3485</v>
      </c>
    </row>
    <row r="491" spans="1:21" x14ac:dyDescent="0.2">
      <c r="A491" s="47" t="s">
        <v>29</v>
      </c>
    </row>
    <row r="492" spans="1:21" x14ac:dyDescent="0.2">
      <c r="A492" s="47" t="s">
        <v>29</v>
      </c>
      <c r="E492" s="47" t="s">
        <v>30</v>
      </c>
      <c r="F492" s="47" t="s">
        <v>30</v>
      </c>
      <c r="G492" s="47" t="s">
        <v>30</v>
      </c>
      <c r="J492" s="47" t="s">
        <v>30</v>
      </c>
      <c r="K492" s="47" t="s">
        <v>30</v>
      </c>
      <c r="L492" s="47" t="s">
        <v>30</v>
      </c>
      <c r="M492" s="47" t="s">
        <v>30</v>
      </c>
    </row>
    <row r="493" spans="1:21" x14ac:dyDescent="0.2">
      <c r="A493" s="47" t="s">
        <v>29</v>
      </c>
      <c r="D493" s="47" t="s">
        <v>10476</v>
      </c>
      <c r="E493" s="47" t="s">
        <v>4306</v>
      </c>
      <c r="F493" s="47" t="s">
        <v>10477</v>
      </c>
      <c r="H493" s="47" t="s">
        <v>10478</v>
      </c>
      <c r="O493" s="47" t="s">
        <v>10479</v>
      </c>
      <c r="P493" s="47" t="s">
        <v>10480</v>
      </c>
      <c r="Q493" s="47" t="s">
        <v>10481</v>
      </c>
      <c r="R493" s="47" t="s">
        <v>10482</v>
      </c>
      <c r="S493" s="47" t="s">
        <v>10483</v>
      </c>
      <c r="T493" s="47" t="s">
        <v>10484</v>
      </c>
      <c r="U493" s="47" t="s">
        <v>10485</v>
      </c>
    </row>
    <row r="494" spans="1:21" x14ac:dyDescent="0.2">
      <c r="A494" s="47" t="s">
        <v>29</v>
      </c>
      <c r="D494" s="47" t="s">
        <v>8675</v>
      </c>
      <c r="G494" s="47" t="s">
        <v>10486</v>
      </c>
      <c r="H494" s="47" t="s">
        <v>8896</v>
      </c>
      <c r="I494" s="47" t="s">
        <v>8897</v>
      </c>
      <c r="J494" s="47" t="s">
        <v>8904</v>
      </c>
      <c r="K494" s="47" t="s">
        <v>8905</v>
      </c>
      <c r="L494" s="47" t="s">
        <v>8676</v>
      </c>
      <c r="M494" s="47" t="s">
        <v>8677</v>
      </c>
      <c r="N494" s="47" t="s">
        <v>8678</v>
      </c>
      <c r="O494" s="47" t="s">
        <v>8898</v>
      </c>
      <c r="P494" s="47" t="s">
        <v>8899</v>
      </c>
      <c r="Q494" s="47" t="s">
        <v>8900</v>
      </c>
      <c r="R494" s="47" t="s">
        <v>8901</v>
      </c>
      <c r="S494" s="47" t="s">
        <v>8902</v>
      </c>
      <c r="T494" s="47" t="s">
        <v>8903</v>
      </c>
    </row>
    <row r="495" spans="1:21" x14ac:dyDescent="0.2">
      <c r="A495" s="47" t="s">
        <v>29</v>
      </c>
    </row>
    <row r="496" spans="1:21" x14ac:dyDescent="0.2">
      <c r="A496" s="47" t="s">
        <v>29</v>
      </c>
      <c r="E496" s="47" t="s">
        <v>30</v>
      </c>
      <c r="F496" s="47" t="s">
        <v>30</v>
      </c>
      <c r="G496" s="47" t="s">
        <v>30</v>
      </c>
      <c r="J496" s="47" t="s">
        <v>30</v>
      </c>
      <c r="K496" s="47" t="s">
        <v>30</v>
      </c>
      <c r="L496" s="47" t="s">
        <v>30</v>
      </c>
      <c r="M496" s="47" t="s">
        <v>30</v>
      </c>
    </row>
    <row r="497" spans="1:21" x14ac:dyDescent="0.2">
      <c r="A497" s="47" t="s">
        <v>29</v>
      </c>
      <c r="D497" s="47" t="s">
        <v>10487</v>
      </c>
      <c r="E497" s="47" t="s">
        <v>4307</v>
      </c>
      <c r="F497" s="47" t="s">
        <v>10488</v>
      </c>
      <c r="H497" s="47" t="s">
        <v>10489</v>
      </c>
      <c r="O497" s="47" t="s">
        <v>10490</v>
      </c>
      <c r="P497" s="47" t="s">
        <v>10491</v>
      </c>
      <c r="Q497" s="47" t="s">
        <v>10492</v>
      </c>
      <c r="R497" s="47" t="s">
        <v>10493</v>
      </c>
      <c r="S497" s="47" t="s">
        <v>10494</v>
      </c>
      <c r="T497" s="47" t="s">
        <v>10495</v>
      </c>
      <c r="U497" s="47" t="s">
        <v>10496</v>
      </c>
    </row>
    <row r="498" spans="1:21" x14ac:dyDescent="0.2">
      <c r="A498" s="47" t="s">
        <v>29</v>
      </c>
      <c r="D498" s="47" t="s">
        <v>5457</v>
      </c>
      <c r="G498" s="47" t="s">
        <v>10497</v>
      </c>
      <c r="H498" s="47" t="s">
        <v>5458</v>
      </c>
      <c r="I498" s="47" t="s">
        <v>5459</v>
      </c>
      <c r="J498" s="47" t="s">
        <v>5460</v>
      </c>
      <c r="K498" s="47" t="s">
        <v>5461</v>
      </c>
      <c r="L498" s="47" t="s">
        <v>5462</v>
      </c>
      <c r="M498" s="47" t="s">
        <v>5463</v>
      </c>
      <c r="N498" s="47" t="s">
        <v>5464</v>
      </c>
      <c r="O498" s="47" t="s">
        <v>5465</v>
      </c>
      <c r="P498" s="47" t="s">
        <v>5466</v>
      </c>
      <c r="Q498" s="47" t="s">
        <v>5467</v>
      </c>
      <c r="R498" s="47" t="s">
        <v>5468</v>
      </c>
      <c r="S498" s="47" t="s">
        <v>5469</v>
      </c>
      <c r="T498" s="47" t="s">
        <v>5470</v>
      </c>
    </row>
    <row r="499" spans="1:21" x14ac:dyDescent="0.2">
      <c r="A499" s="47" t="s">
        <v>29</v>
      </c>
    </row>
    <row r="500" spans="1:21" x14ac:dyDescent="0.2">
      <c r="A500" s="47" t="s">
        <v>29</v>
      </c>
      <c r="E500" s="47" t="s">
        <v>30</v>
      </c>
      <c r="F500" s="47" t="s">
        <v>30</v>
      </c>
      <c r="G500" s="47" t="s">
        <v>30</v>
      </c>
      <c r="J500" s="47" t="s">
        <v>30</v>
      </c>
      <c r="K500" s="47" t="s">
        <v>30</v>
      </c>
      <c r="L500" s="47" t="s">
        <v>30</v>
      </c>
      <c r="M500" s="47" t="s">
        <v>30</v>
      </c>
    </row>
    <row r="501" spans="1:21" x14ac:dyDescent="0.2">
      <c r="A501" s="47" t="s">
        <v>29</v>
      </c>
      <c r="D501" s="47" t="s">
        <v>10498</v>
      </c>
      <c r="E501" s="47" t="s">
        <v>4308</v>
      </c>
      <c r="F501" s="47" t="s">
        <v>10499</v>
      </c>
      <c r="H501" s="47" t="s">
        <v>10500</v>
      </c>
      <c r="O501" s="47" t="s">
        <v>10501</v>
      </c>
      <c r="P501" s="47" t="s">
        <v>10502</v>
      </c>
      <c r="Q501" s="47" t="s">
        <v>10503</v>
      </c>
      <c r="R501" s="47" t="s">
        <v>10504</v>
      </c>
      <c r="S501" s="47" t="s">
        <v>10505</v>
      </c>
      <c r="T501" s="47" t="s">
        <v>10506</v>
      </c>
      <c r="U501" s="47" t="s">
        <v>10507</v>
      </c>
    </row>
    <row r="502" spans="1:21" x14ac:dyDescent="0.2">
      <c r="A502" s="47" t="s">
        <v>29</v>
      </c>
      <c r="D502" s="47" t="s">
        <v>6440</v>
      </c>
      <c r="G502" s="47" t="s">
        <v>10508</v>
      </c>
      <c r="H502" s="47" t="s">
        <v>6729</v>
      </c>
      <c r="I502" s="47" t="s">
        <v>6733</v>
      </c>
      <c r="J502" s="47" t="s">
        <v>6749</v>
      </c>
      <c r="K502" s="47" t="s">
        <v>6753</v>
      </c>
      <c r="L502" s="47" t="s">
        <v>6441</v>
      </c>
      <c r="M502" s="47" t="s">
        <v>6442</v>
      </c>
      <c r="N502" s="47" t="s">
        <v>6443</v>
      </c>
      <c r="O502" s="47" t="s">
        <v>6735</v>
      </c>
      <c r="P502" s="47" t="s">
        <v>6737</v>
      </c>
      <c r="Q502" s="47" t="s">
        <v>6739</v>
      </c>
      <c r="R502" s="47" t="s">
        <v>6741</v>
      </c>
      <c r="S502" s="47" t="s">
        <v>6743</v>
      </c>
      <c r="T502" s="47" t="s">
        <v>6745</v>
      </c>
    </row>
    <row r="503" spans="1:21" x14ac:dyDescent="0.2">
      <c r="A503" s="47" t="s">
        <v>29</v>
      </c>
    </row>
    <row r="504" spans="1:21" x14ac:dyDescent="0.2">
      <c r="A504" s="47" t="s">
        <v>29</v>
      </c>
      <c r="E504" s="47" t="s">
        <v>30</v>
      </c>
      <c r="F504" s="47" t="s">
        <v>30</v>
      </c>
      <c r="G504" s="47" t="s">
        <v>30</v>
      </c>
      <c r="J504" s="47" t="s">
        <v>30</v>
      </c>
      <c r="K504" s="47" t="s">
        <v>30</v>
      </c>
      <c r="L504" s="47" t="s">
        <v>30</v>
      </c>
      <c r="M504" s="47" t="s">
        <v>30</v>
      </c>
    </row>
    <row r="505" spans="1:21" x14ac:dyDescent="0.2">
      <c r="A505" s="47" t="s">
        <v>29</v>
      </c>
      <c r="D505" s="47" t="s">
        <v>10509</v>
      </c>
      <c r="E505" s="47" t="s">
        <v>4309</v>
      </c>
      <c r="F505" s="47" t="s">
        <v>10510</v>
      </c>
      <c r="H505" s="47" t="s">
        <v>10511</v>
      </c>
      <c r="O505" s="47" t="s">
        <v>10512</v>
      </c>
      <c r="P505" s="47" t="s">
        <v>10513</v>
      </c>
      <c r="Q505" s="47" t="s">
        <v>10514</v>
      </c>
      <c r="R505" s="47" t="s">
        <v>10515</v>
      </c>
      <c r="S505" s="47" t="s">
        <v>10516</v>
      </c>
      <c r="T505" s="47" t="s">
        <v>10517</v>
      </c>
      <c r="U505" s="47" t="s">
        <v>10518</v>
      </c>
    </row>
    <row r="506" spans="1:21" x14ac:dyDescent="0.2">
      <c r="A506" s="47" t="s">
        <v>29</v>
      </c>
      <c r="D506" s="47" t="s">
        <v>3504</v>
      </c>
      <c r="G506" s="47" t="s">
        <v>10519</v>
      </c>
      <c r="H506" s="47" t="s">
        <v>3505</v>
      </c>
      <c r="I506" s="47" t="s">
        <v>3506</v>
      </c>
      <c r="J506" s="47" t="s">
        <v>3507</v>
      </c>
      <c r="K506" s="47" t="s">
        <v>3508</v>
      </c>
      <c r="L506" s="47" t="s">
        <v>3509</v>
      </c>
      <c r="M506" s="47" t="s">
        <v>3510</v>
      </c>
      <c r="N506" s="47" t="s">
        <v>3511</v>
      </c>
      <c r="O506" s="47" t="s">
        <v>3512</v>
      </c>
      <c r="P506" s="47" t="s">
        <v>3513</v>
      </c>
      <c r="Q506" s="47" t="s">
        <v>3514</v>
      </c>
      <c r="R506" s="47" t="s">
        <v>3515</v>
      </c>
      <c r="S506" s="47" t="s">
        <v>3516</v>
      </c>
      <c r="T506" s="47" t="s">
        <v>3517</v>
      </c>
    </row>
    <row r="507" spans="1:21" x14ac:dyDescent="0.2">
      <c r="A507" s="47" t="s">
        <v>29</v>
      </c>
      <c r="D507" s="47" t="s">
        <v>6444</v>
      </c>
      <c r="G507" s="47" t="s">
        <v>8765</v>
      </c>
      <c r="H507" s="47" t="s">
        <v>6730</v>
      </c>
      <c r="I507" s="47" t="s">
        <v>6734</v>
      </c>
      <c r="J507" s="47" t="s">
        <v>6750</v>
      </c>
      <c r="K507" s="47" t="s">
        <v>6754</v>
      </c>
      <c r="L507" s="47" t="s">
        <v>6445</v>
      </c>
      <c r="M507" s="47" t="s">
        <v>6446</v>
      </c>
      <c r="N507" s="47" t="s">
        <v>6447</v>
      </c>
      <c r="O507" s="47" t="s">
        <v>6736</v>
      </c>
      <c r="P507" s="47" t="s">
        <v>6738</v>
      </c>
      <c r="Q507" s="47" t="s">
        <v>6740</v>
      </c>
      <c r="R507" s="47" t="s">
        <v>6742</v>
      </c>
      <c r="S507" s="47" t="s">
        <v>6744</v>
      </c>
      <c r="T507" s="47" t="s">
        <v>6746</v>
      </c>
    </row>
    <row r="508" spans="1:21" x14ac:dyDescent="0.2">
      <c r="A508" s="47" t="s">
        <v>29</v>
      </c>
    </row>
    <row r="509" spans="1:21" x14ac:dyDescent="0.2">
      <c r="A509" s="47" t="s">
        <v>29</v>
      </c>
      <c r="E509" s="47" t="s">
        <v>30</v>
      </c>
      <c r="F509" s="47" t="s">
        <v>30</v>
      </c>
      <c r="G509" s="47" t="s">
        <v>30</v>
      </c>
      <c r="J509" s="47" t="s">
        <v>30</v>
      </c>
      <c r="K509" s="47" t="s">
        <v>30</v>
      </c>
      <c r="L509" s="47" t="s">
        <v>30</v>
      </c>
      <c r="M509" s="47" t="s">
        <v>30</v>
      </c>
    </row>
    <row r="510" spans="1:21" x14ac:dyDescent="0.2">
      <c r="A510" s="47" t="s">
        <v>29</v>
      </c>
      <c r="D510" s="47" t="s">
        <v>10520</v>
      </c>
      <c r="E510" s="47" t="s">
        <v>4310</v>
      </c>
      <c r="F510" s="47" t="s">
        <v>10521</v>
      </c>
      <c r="H510" s="47" t="s">
        <v>10522</v>
      </c>
      <c r="O510" s="47" t="s">
        <v>10523</v>
      </c>
      <c r="P510" s="47" t="s">
        <v>10524</v>
      </c>
      <c r="Q510" s="47" t="s">
        <v>10525</v>
      </c>
      <c r="R510" s="47" t="s">
        <v>10526</v>
      </c>
      <c r="S510" s="47" t="s">
        <v>10527</v>
      </c>
      <c r="T510" s="47" t="s">
        <v>10528</v>
      </c>
      <c r="U510" s="47" t="s">
        <v>10529</v>
      </c>
    </row>
    <row r="511" spans="1:21" x14ac:dyDescent="0.2">
      <c r="A511" s="47" t="s">
        <v>29</v>
      </c>
      <c r="D511" s="47" t="s">
        <v>3526</v>
      </c>
      <c r="G511" s="47" t="s">
        <v>10530</v>
      </c>
      <c r="H511" s="47" t="s">
        <v>3527</v>
      </c>
      <c r="I511" s="47" t="s">
        <v>3528</v>
      </c>
      <c r="J511" s="47" t="s">
        <v>3529</v>
      </c>
      <c r="K511" s="47" t="s">
        <v>3530</v>
      </c>
      <c r="L511" s="47" t="s">
        <v>3531</v>
      </c>
      <c r="M511" s="47" t="s">
        <v>3532</v>
      </c>
      <c r="N511" s="47" t="s">
        <v>3533</v>
      </c>
      <c r="O511" s="47" t="s">
        <v>3534</v>
      </c>
      <c r="P511" s="47" t="s">
        <v>3535</v>
      </c>
      <c r="Q511" s="47" t="s">
        <v>3536</v>
      </c>
      <c r="R511" s="47" t="s">
        <v>3537</v>
      </c>
      <c r="S511" s="47" t="s">
        <v>3538</v>
      </c>
      <c r="T511" s="47" t="s">
        <v>3539</v>
      </c>
    </row>
    <row r="512" spans="1:21" x14ac:dyDescent="0.2">
      <c r="A512" s="47" t="s">
        <v>29</v>
      </c>
      <c r="D512" s="47" t="s">
        <v>3540</v>
      </c>
      <c r="G512" s="47" t="s">
        <v>8766</v>
      </c>
      <c r="H512" s="47" t="s">
        <v>3541</v>
      </c>
      <c r="I512" s="47" t="s">
        <v>3542</v>
      </c>
      <c r="J512" s="47" t="s">
        <v>3543</v>
      </c>
      <c r="K512" s="47" t="s">
        <v>3544</v>
      </c>
      <c r="L512" s="47" t="s">
        <v>3545</v>
      </c>
      <c r="M512" s="47" t="s">
        <v>3546</v>
      </c>
      <c r="N512" s="47" t="s">
        <v>3547</v>
      </c>
      <c r="O512" s="47" t="s">
        <v>3548</v>
      </c>
      <c r="P512" s="47" t="s">
        <v>3549</v>
      </c>
      <c r="Q512" s="47" t="s">
        <v>3550</v>
      </c>
      <c r="R512" s="47" t="s">
        <v>3551</v>
      </c>
      <c r="S512" s="47" t="s">
        <v>3552</v>
      </c>
      <c r="T512" s="47" t="s">
        <v>3553</v>
      </c>
    </row>
    <row r="513" spans="1:21" x14ac:dyDescent="0.2">
      <c r="A513" s="47" t="s">
        <v>29</v>
      </c>
    </row>
    <row r="514" spans="1:21" x14ac:dyDescent="0.2">
      <c r="A514" s="47" t="s">
        <v>29</v>
      </c>
      <c r="E514" s="47" t="s">
        <v>30</v>
      </c>
      <c r="F514" s="47" t="s">
        <v>30</v>
      </c>
      <c r="G514" s="47" t="s">
        <v>30</v>
      </c>
      <c r="J514" s="47" t="s">
        <v>30</v>
      </c>
      <c r="K514" s="47" t="s">
        <v>30</v>
      </c>
      <c r="L514" s="47" t="s">
        <v>30</v>
      </c>
      <c r="M514" s="47" t="s">
        <v>30</v>
      </c>
    </row>
    <row r="515" spans="1:21" x14ac:dyDescent="0.2">
      <c r="A515" s="47" t="s">
        <v>29</v>
      </c>
      <c r="D515" s="47" t="s">
        <v>7663</v>
      </c>
      <c r="E515" s="47" t="s">
        <v>4311</v>
      </c>
      <c r="F515" s="47" t="s">
        <v>7664</v>
      </c>
      <c r="H515" s="47" t="s">
        <v>7665</v>
      </c>
      <c r="O515" s="47" t="s">
        <v>7666</v>
      </c>
      <c r="P515" s="47" t="s">
        <v>7667</v>
      </c>
      <c r="Q515" s="47" t="s">
        <v>7668</v>
      </c>
      <c r="R515" s="47" t="s">
        <v>7669</v>
      </c>
      <c r="S515" s="47" t="s">
        <v>7670</v>
      </c>
      <c r="T515" s="47" t="s">
        <v>7671</v>
      </c>
      <c r="U515" s="47" t="s">
        <v>7672</v>
      </c>
    </row>
    <row r="516" spans="1:21" x14ac:dyDescent="0.2">
      <c r="A516" s="47" t="s">
        <v>29</v>
      </c>
      <c r="D516" s="47" t="s">
        <v>7673</v>
      </c>
      <c r="G516" s="47" t="s">
        <v>10531</v>
      </c>
      <c r="H516" s="47" t="s">
        <v>7674</v>
      </c>
      <c r="I516" s="47" t="s">
        <v>7675</v>
      </c>
      <c r="J516" s="47" t="s">
        <v>7676</v>
      </c>
      <c r="K516" s="47" t="s">
        <v>7677</v>
      </c>
      <c r="L516" s="47" t="s">
        <v>7678</v>
      </c>
      <c r="M516" s="47" t="s">
        <v>7679</v>
      </c>
      <c r="N516" s="47" t="s">
        <v>7680</v>
      </c>
      <c r="O516" s="47" t="s">
        <v>8890</v>
      </c>
      <c r="P516" s="47" t="s">
        <v>8891</v>
      </c>
      <c r="Q516" s="47" t="s">
        <v>8892</v>
      </c>
      <c r="R516" s="47" t="s">
        <v>8893</v>
      </c>
      <c r="S516" s="47" t="s">
        <v>8894</v>
      </c>
      <c r="T516" s="47" t="s">
        <v>8895</v>
      </c>
    </row>
    <row r="517" spans="1:21" x14ac:dyDescent="0.2">
      <c r="A517" s="47" t="s">
        <v>29</v>
      </c>
      <c r="D517" s="47" t="s">
        <v>6448</v>
      </c>
      <c r="G517" s="47" t="s">
        <v>8767</v>
      </c>
      <c r="H517" s="47" t="s">
        <v>6717</v>
      </c>
      <c r="I517" s="47" t="s">
        <v>6718</v>
      </c>
      <c r="J517" s="47" t="s">
        <v>6725</v>
      </c>
      <c r="K517" s="47" t="s">
        <v>6726</v>
      </c>
      <c r="L517" s="47" t="s">
        <v>6449</v>
      </c>
      <c r="M517" s="47" t="s">
        <v>6450</v>
      </c>
      <c r="N517" s="47" t="s">
        <v>6451</v>
      </c>
      <c r="O517" s="47" t="s">
        <v>6719</v>
      </c>
      <c r="P517" s="47" t="s">
        <v>6720</v>
      </c>
      <c r="Q517" s="47" t="s">
        <v>6721</v>
      </c>
      <c r="R517" s="47" t="s">
        <v>6722</v>
      </c>
      <c r="S517" s="47" t="s">
        <v>6723</v>
      </c>
      <c r="T517" s="47" t="s">
        <v>6724</v>
      </c>
    </row>
    <row r="518" spans="1:21" x14ac:dyDescent="0.2">
      <c r="A518" s="47" t="s">
        <v>29</v>
      </c>
    </row>
    <row r="519" spans="1:21" x14ac:dyDescent="0.2">
      <c r="A519" s="47" t="s">
        <v>29</v>
      </c>
      <c r="E519" s="47" t="s">
        <v>30</v>
      </c>
      <c r="F519" s="47" t="s">
        <v>30</v>
      </c>
      <c r="G519" s="47" t="s">
        <v>30</v>
      </c>
      <c r="J519" s="47" t="s">
        <v>30</v>
      </c>
      <c r="K519" s="47" t="s">
        <v>30</v>
      </c>
      <c r="L519" s="47" t="s">
        <v>30</v>
      </c>
      <c r="M519" s="47" t="s">
        <v>30</v>
      </c>
    </row>
    <row r="520" spans="1:21" x14ac:dyDescent="0.2">
      <c r="A520" s="47" t="s">
        <v>29</v>
      </c>
      <c r="D520" s="47" t="s">
        <v>7693</v>
      </c>
      <c r="E520" s="47" t="s">
        <v>6534</v>
      </c>
      <c r="F520" s="47" t="s">
        <v>7694</v>
      </c>
      <c r="H520" s="47" t="s">
        <v>7695</v>
      </c>
      <c r="O520" s="47" t="s">
        <v>10532</v>
      </c>
      <c r="P520" s="47" t="s">
        <v>10533</v>
      </c>
      <c r="Q520" s="47" t="s">
        <v>10534</v>
      </c>
      <c r="R520" s="47" t="s">
        <v>10535</v>
      </c>
      <c r="S520" s="47" t="s">
        <v>10536</v>
      </c>
      <c r="T520" s="47" t="s">
        <v>10537</v>
      </c>
      <c r="U520" s="47" t="s">
        <v>10538</v>
      </c>
    </row>
    <row r="521" spans="1:21" x14ac:dyDescent="0.2">
      <c r="A521" s="47" t="s">
        <v>29</v>
      </c>
      <c r="D521" s="47" t="s">
        <v>5474</v>
      </c>
      <c r="G521" s="47" t="s">
        <v>8682</v>
      </c>
      <c r="H521" s="47" t="s">
        <v>5673</v>
      </c>
      <c r="I521" s="47" t="s">
        <v>5675</v>
      </c>
      <c r="J521" s="47" t="s">
        <v>5689</v>
      </c>
      <c r="K521" s="47" t="s">
        <v>5691</v>
      </c>
      <c r="L521" s="47" t="s">
        <v>5475</v>
      </c>
      <c r="M521" s="47" t="s">
        <v>5476</v>
      </c>
      <c r="N521" s="47" t="s">
        <v>5477</v>
      </c>
      <c r="O521" s="47" t="s">
        <v>5677</v>
      </c>
      <c r="P521" s="47" t="s">
        <v>5679</v>
      </c>
      <c r="Q521" s="47" t="s">
        <v>5681</v>
      </c>
      <c r="R521" s="47" t="s">
        <v>5683</v>
      </c>
      <c r="S521" s="47" t="s">
        <v>5685</v>
      </c>
      <c r="T521" s="47" t="s">
        <v>5687</v>
      </c>
    </row>
    <row r="522" spans="1:21" x14ac:dyDescent="0.2">
      <c r="A522" s="47" t="s">
        <v>29</v>
      </c>
      <c r="D522" s="47" t="s">
        <v>5478</v>
      </c>
      <c r="G522" s="47" t="s">
        <v>8768</v>
      </c>
      <c r="H522" s="47" t="s">
        <v>5674</v>
      </c>
      <c r="I522" s="47" t="s">
        <v>5676</v>
      </c>
      <c r="J522" s="47" t="s">
        <v>5690</v>
      </c>
      <c r="K522" s="47" t="s">
        <v>5692</v>
      </c>
      <c r="L522" s="47" t="s">
        <v>5479</v>
      </c>
      <c r="M522" s="47" t="s">
        <v>5480</v>
      </c>
      <c r="N522" s="47" t="s">
        <v>5481</v>
      </c>
      <c r="O522" s="47" t="s">
        <v>5678</v>
      </c>
      <c r="P522" s="47" t="s">
        <v>5680</v>
      </c>
      <c r="Q522" s="47" t="s">
        <v>5682</v>
      </c>
      <c r="R522" s="47" t="s">
        <v>5684</v>
      </c>
      <c r="S522" s="47" t="s">
        <v>5686</v>
      </c>
      <c r="T522" s="47" t="s">
        <v>5688</v>
      </c>
    </row>
    <row r="523" spans="1:21" x14ac:dyDescent="0.2">
      <c r="A523" s="47" t="s">
        <v>29</v>
      </c>
    </row>
    <row r="524" spans="1:21" x14ac:dyDescent="0.2">
      <c r="A524" s="47" t="s">
        <v>29</v>
      </c>
      <c r="E524" s="47" t="s">
        <v>30</v>
      </c>
      <c r="F524" s="47" t="s">
        <v>30</v>
      </c>
      <c r="G524" s="47" t="s">
        <v>30</v>
      </c>
      <c r="J524" s="47" t="s">
        <v>30</v>
      </c>
      <c r="K524" s="47" t="s">
        <v>30</v>
      </c>
      <c r="L524" s="47" t="s">
        <v>30</v>
      </c>
      <c r="M524" s="47" t="s">
        <v>30</v>
      </c>
    </row>
    <row r="525" spans="1:21" x14ac:dyDescent="0.2">
      <c r="A525" s="47" t="s">
        <v>29</v>
      </c>
      <c r="D525" s="47" t="s">
        <v>10539</v>
      </c>
      <c r="E525" s="47" t="s">
        <v>4312</v>
      </c>
      <c r="F525" s="47" t="s">
        <v>10540</v>
      </c>
      <c r="H525" s="47" t="s">
        <v>10541</v>
      </c>
      <c r="O525" s="47" t="s">
        <v>10542</v>
      </c>
      <c r="P525" s="47" t="s">
        <v>10543</v>
      </c>
      <c r="Q525" s="47" t="s">
        <v>10544</v>
      </c>
      <c r="R525" s="47" t="s">
        <v>10545</v>
      </c>
      <c r="S525" s="47" t="s">
        <v>10546</v>
      </c>
      <c r="T525" s="47" t="s">
        <v>10547</v>
      </c>
      <c r="U525" s="47" t="s">
        <v>10548</v>
      </c>
    </row>
    <row r="526" spans="1:21" x14ac:dyDescent="0.2">
      <c r="A526" s="47" t="s">
        <v>29</v>
      </c>
      <c r="D526" s="47" t="s">
        <v>3564</v>
      </c>
      <c r="G526" s="47" t="s">
        <v>10549</v>
      </c>
      <c r="H526" s="47" t="s">
        <v>3565</v>
      </c>
      <c r="I526" s="47" t="s">
        <v>3566</v>
      </c>
      <c r="J526" s="47" t="s">
        <v>3567</v>
      </c>
      <c r="K526" s="47" t="s">
        <v>3568</v>
      </c>
      <c r="L526" s="47" t="s">
        <v>3569</v>
      </c>
      <c r="M526" s="47" t="s">
        <v>3570</v>
      </c>
      <c r="N526" s="47" t="s">
        <v>3571</v>
      </c>
      <c r="O526" s="47" t="s">
        <v>8878</v>
      </c>
      <c r="P526" s="47" t="s">
        <v>8880</v>
      </c>
      <c r="Q526" s="47" t="s">
        <v>8882</v>
      </c>
      <c r="R526" s="47" t="s">
        <v>8884</v>
      </c>
      <c r="S526" s="47" t="s">
        <v>8886</v>
      </c>
      <c r="T526" s="47" t="s">
        <v>8888</v>
      </c>
    </row>
    <row r="527" spans="1:21" x14ac:dyDescent="0.2">
      <c r="A527" s="47" t="s">
        <v>29</v>
      </c>
      <c r="D527" s="47" t="s">
        <v>3572</v>
      </c>
      <c r="G527" s="47" t="s">
        <v>8769</v>
      </c>
      <c r="H527" s="47" t="s">
        <v>3573</v>
      </c>
      <c r="I527" s="47" t="s">
        <v>3574</v>
      </c>
      <c r="J527" s="47" t="s">
        <v>3575</v>
      </c>
      <c r="K527" s="47" t="s">
        <v>3576</v>
      </c>
      <c r="L527" s="47" t="s">
        <v>3577</v>
      </c>
      <c r="M527" s="47" t="s">
        <v>3578</v>
      </c>
      <c r="N527" s="47" t="s">
        <v>3579</v>
      </c>
      <c r="O527" s="47" t="s">
        <v>8879</v>
      </c>
      <c r="P527" s="47" t="s">
        <v>8881</v>
      </c>
      <c r="Q527" s="47" t="s">
        <v>8883</v>
      </c>
      <c r="R527" s="47" t="s">
        <v>8885</v>
      </c>
      <c r="S527" s="47" t="s">
        <v>8887</v>
      </c>
      <c r="T527" s="47" t="s">
        <v>8889</v>
      </c>
    </row>
    <row r="528" spans="1:21" x14ac:dyDescent="0.2">
      <c r="A528" s="47" t="s">
        <v>29</v>
      </c>
    </row>
    <row r="529" spans="1:21" x14ac:dyDescent="0.2">
      <c r="A529" s="47" t="s">
        <v>29</v>
      </c>
      <c r="E529" s="47" t="s">
        <v>30</v>
      </c>
      <c r="F529" s="47" t="s">
        <v>30</v>
      </c>
      <c r="G529" s="47" t="s">
        <v>30</v>
      </c>
      <c r="J529" s="47" t="s">
        <v>30</v>
      </c>
      <c r="K529" s="47" t="s">
        <v>30</v>
      </c>
      <c r="L529" s="47" t="s">
        <v>30</v>
      </c>
      <c r="M529" s="47" t="s">
        <v>30</v>
      </c>
    </row>
    <row r="530" spans="1:21" x14ac:dyDescent="0.2">
      <c r="A530" s="47" t="s">
        <v>29</v>
      </c>
      <c r="D530" s="47" t="s">
        <v>5482</v>
      </c>
      <c r="E530" s="47" t="s">
        <v>4313</v>
      </c>
      <c r="F530" s="47" t="s">
        <v>5483</v>
      </c>
      <c r="H530" s="47" t="s">
        <v>5484</v>
      </c>
      <c r="O530" s="47" t="s">
        <v>8346</v>
      </c>
      <c r="P530" s="47" t="s">
        <v>8347</v>
      </c>
      <c r="Q530" s="47" t="s">
        <v>8348</v>
      </c>
      <c r="R530" s="47" t="s">
        <v>8349</v>
      </c>
      <c r="S530" s="47" t="s">
        <v>8350</v>
      </c>
      <c r="T530" s="47" t="s">
        <v>8351</v>
      </c>
      <c r="U530" s="47" t="s">
        <v>8352</v>
      </c>
    </row>
    <row r="531" spans="1:21" x14ac:dyDescent="0.2">
      <c r="A531" s="47" t="s">
        <v>29</v>
      </c>
      <c r="D531" s="47" t="s">
        <v>5485</v>
      </c>
      <c r="G531" s="47" t="s">
        <v>10550</v>
      </c>
      <c r="H531" s="47" t="s">
        <v>5645</v>
      </c>
      <c r="I531" s="47" t="s">
        <v>5649</v>
      </c>
      <c r="J531" s="47" t="s">
        <v>5665</v>
      </c>
      <c r="K531" s="47" t="s">
        <v>5669</v>
      </c>
      <c r="L531" s="47" t="s">
        <v>5486</v>
      </c>
      <c r="M531" s="47" t="s">
        <v>5487</v>
      </c>
      <c r="N531" s="47" t="s">
        <v>5488</v>
      </c>
      <c r="O531" s="47" t="s">
        <v>5653</v>
      </c>
      <c r="P531" s="47" t="s">
        <v>5655</v>
      </c>
      <c r="Q531" s="47" t="s">
        <v>5657</v>
      </c>
      <c r="R531" s="47" t="s">
        <v>5659</v>
      </c>
      <c r="S531" s="47" t="s">
        <v>5661</v>
      </c>
      <c r="T531" s="47" t="s">
        <v>5663</v>
      </c>
    </row>
    <row r="532" spans="1:21" x14ac:dyDescent="0.2">
      <c r="A532" s="47" t="s">
        <v>29</v>
      </c>
      <c r="D532" s="47" t="s">
        <v>5489</v>
      </c>
      <c r="G532" s="47" t="s">
        <v>8770</v>
      </c>
      <c r="H532" s="47" t="s">
        <v>5646</v>
      </c>
      <c r="I532" s="47" t="s">
        <v>5650</v>
      </c>
      <c r="J532" s="47" t="s">
        <v>5666</v>
      </c>
      <c r="K532" s="47" t="s">
        <v>5670</v>
      </c>
      <c r="L532" s="47" t="s">
        <v>5490</v>
      </c>
      <c r="M532" s="47" t="s">
        <v>5491</v>
      </c>
      <c r="N532" s="47" t="s">
        <v>5492</v>
      </c>
      <c r="O532" s="47" t="s">
        <v>5654</v>
      </c>
      <c r="P532" s="47" t="s">
        <v>5656</v>
      </c>
      <c r="Q532" s="47" t="s">
        <v>5658</v>
      </c>
      <c r="R532" s="47" t="s">
        <v>5660</v>
      </c>
      <c r="S532" s="47" t="s">
        <v>5662</v>
      </c>
      <c r="T532" s="47" t="s">
        <v>5664</v>
      </c>
    </row>
    <row r="533" spans="1:21" x14ac:dyDescent="0.2">
      <c r="A533" s="47" t="s">
        <v>29</v>
      </c>
    </row>
    <row r="534" spans="1:21" x14ac:dyDescent="0.2">
      <c r="A534" s="47" t="s">
        <v>29</v>
      </c>
      <c r="E534" s="47" t="s">
        <v>30</v>
      </c>
      <c r="F534" s="47" t="s">
        <v>30</v>
      </c>
      <c r="G534" s="47" t="s">
        <v>30</v>
      </c>
      <c r="J534" s="47" t="s">
        <v>30</v>
      </c>
      <c r="K534" s="47" t="s">
        <v>30</v>
      </c>
      <c r="L534" s="47" t="s">
        <v>30</v>
      </c>
      <c r="M534" s="47" t="s">
        <v>30</v>
      </c>
    </row>
    <row r="535" spans="1:21" x14ac:dyDescent="0.2">
      <c r="A535" s="47" t="s">
        <v>29</v>
      </c>
      <c r="D535" s="47" t="s">
        <v>8366</v>
      </c>
      <c r="E535" s="47" t="s">
        <v>4314</v>
      </c>
      <c r="F535" s="47" t="s">
        <v>8367</v>
      </c>
      <c r="H535" s="47" t="s">
        <v>8368</v>
      </c>
      <c r="O535" s="47" t="s">
        <v>8369</v>
      </c>
      <c r="P535" s="47" t="s">
        <v>8370</v>
      </c>
      <c r="Q535" s="47" t="s">
        <v>8371</v>
      </c>
      <c r="R535" s="47" t="s">
        <v>8372</v>
      </c>
      <c r="S535" s="47" t="s">
        <v>8373</v>
      </c>
      <c r="T535" s="47" t="s">
        <v>8374</v>
      </c>
      <c r="U535" s="47" t="s">
        <v>8375</v>
      </c>
    </row>
    <row r="536" spans="1:21" x14ac:dyDescent="0.2">
      <c r="A536" s="47" t="s">
        <v>29</v>
      </c>
      <c r="D536" s="47" t="s">
        <v>3589</v>
      </c>
      <c r="G536" s="47" t="s">
        <v>10551</v>
      </c>
      <c r="H536" s="47" t="s">
        <v>3590</v>
      </c>
      <c r="I536" s="47" t="s">
        <v>3591</v>
      </c>
      <c r="J536" s="47" t="s">
        <v>3592</v>
      </c>
      <c r="K536" s="47" t="s">
        <v>3593</v>
      </c>
      <c r="L536" s="47" t="s">
        <v>3594</v>
      </c>
      <c r="M536" s="47" t="s">
        <v>3595</v>
      </c>
      <c r="N536" s="47" t="s">
        <v>3596</v>
      </c>
      <c r="O536" s="47" t="s">
        <v>3597</v>
      </c>
      <c r="P536" s="47" t="s">
        <v>3598</v>
      </c>
      <c r="Q536" s="47" t="s">
        <v>3599</v>
      </c>
      <c r="R536" s="47" t="s">
        <v>3600</v>
      </c>
      <c r="S536" s="47" t="s">
        <v>3601</v>
      </c>
      <c r="T536" s="47" t="s">
        <v>3602</v>
      </c>
    </row>
    <row r="537" spans="1:21" x14ac:dyDescent="0.2">
      <c r="A537" s="47" t="s">
        <v>29</v>
      </c>
    </row>
    <row r="538" spans="1:21" x14ac:dyDescent="0.2">
      <c r="A538" s="47" t="s">
        <v>29</v>
      </c>
      <c r="E538" s="47" t="s">
        <v>30</v>
      </c>
      <c r="F538" s="47" t="s">
        <v>30</v>
      </c>
      <c r="G538" s="47" t="s">
        <v>30</v>
      </c>
      <c r="J538" s="47" t="s">
        <v>30</v>
      </c>
      <c r="K538" s="47" t="s">
        <v>30</v>
      </c>
      <c r="L538" s="47" t="s">
        <v>30</v>
      </c>
      <c r="M538" s="47" t="s">
        <v>30</v>
      </c>
    </row>
    <row r="539" spans="1:21" x14ac:dyDescent="0.2">
      <c r="A539" s="47" t="s">
        <v>29</v>
      </c>
      <c r="D539" s="47" t="s">
        <v>7697</v>
      </c>
      <c r="E539" s="47" t="s">
        <v>4315</v>
      </c>
      <c r="F539" s="47" t="s">
        <v>7698</v>
      </c>
      <c r="H539" s="47" t="s">
        <v>7699</v>
      </c>
      <c r="O539" s="47" t="s">
        <v>8376</v>
      </c>
      <c r="P539" s="47" t="s">
        <v>8377</v>
      </c>
      <c r="Q539" s="47" t="s">
        <v>8378</v>
      </c>
      <c r="R539" s="47" t="s">
        <v>8379</v>
      </c>
      <c r="S539" s="47" t="s">
        <v>8380</v>
      </c>
      <c r="T539" s="47" t="s">
        <v>8381</v>
      </c>
      <c r="U539" s="47" t="s">
        <v>8382</v>
      </c>
    </row>
    <row r="540" spans="1:21" x14ac:dyDescent="0.2">
      <c r="A540" s="47" t="s">
        <v>29</v>
      </c>
      <c r="D540" s="47" t="s">
        <v>6452</v>
      </c>
      <c r="G540" s="47" t="s">
        <v>10552</v>
      </c>
      <c r="H540" s="47" t="s">
        <v>6693</v>
      </c>
      <c r="I540" s="47" t="s">
        <v>6696</v>
      </c>
      <c r="J540" s="47" t="s">
        <v>6711</v>
      </c>
      <c r="K540" s="47" t="s">
        <v>6714</v>
      </c>
      <c r="L540" s="47" t="s">
        <v>6453</v>
      </c>
      <c r="M540" s="47" t="s">
        <v>6454</v>
      </c>
      <c r="N540" s="47" t="s">
        <v>6455</v>
      </c>
      <c r="O540" s="47" t="s">
        <v>6699</v>
      </c>
      <c r="P540" s="47" t="s">
        <v>6701</v>
      </c>
      <c r="Q540" s="47" t="s">
        <v>6703</v>
      </c>
      <c r="R540" s="47" t="s">
        <v>6705</v>
      </c>
      <c r="S540" s="47" t="s">
        <v>6707</v>
      </c>
      <c r="T540" s="47" t="s">
        <v>6709</v>
      </c>
    </row>
    <row r="541" spans="1:21" x14ac:dyDescent="0.2">
      <c r="A541" s="47" t="s">
        <v>29</v>
      </c>
      <c r="D541" s="47" t="s">
        <v>6456</v>
      </c>
      <c r="G541" s="47" t="s">
        <v>8771</v>
      </c>
      <c r="H541" s="47" t="s">
        <v>6694</v>
      </c>
      <c r="I541" s="47" t="s">
        <v>6697</v>
      </c>
      <c r="J541" s="47" t="s">
        <v>6712</v>
      </c>
      <c r="K541" s="47" t="s">
        <v>6715</v>
      </c>
      <c r="L541" s="47" t="s">
        <v>6457</v>
      </c>
      <c r="M541" s="47" t="s">
        <v>6458</v>
      </c>
      <c r="N541" s="47" t="s">
        <v>6459</v>
      </c>
      <c r="O541" s="47" t="s">
        <v>6700</v>
      </c>
      <c r="P541" s="47" t="s">
        <v>6702</v>
      </c>
      <c r="Q541" s="47" t="s">
        <v>6704</v>
      </c>
      <c r="R541" s="47" t="s">
        <v>6706</v>
      </c>
      <c r="S541" s="47" t="s">
        <v>6708</v>
      </c>
      <c r="T541" s="47" t="s">
        <v>6710</v>
      </c>
    </row>
    <row r="542" spans="1:21" x14ac:dyDescent="0.2">
      <c r="A542" s="47" t="s">
        <v>29</v>
      </c>
    </row>
    <row r="543" spans="1:21" x14ac:dyDescent="0.2">
      <c r="A543" s="47" t="s">
        <v>29</v>
      </c>
      <c r="E543" s="47" t="s">
        <v>30</v>
      </c>
      <c r="F543" s="47" t="s">
        <v>30</v>
      </c>
      <c r="G543" s="47" t="s">
        <v>30</v>
      </c>
      <c r="J543" s="47" t="s">
        <v>30</v>
      </c>
      <c r="K543" s="47" t="s">
        <v>30</v>
      </c>
      <c r="L543" s="47" t="s">
        <v>30</v>
      </c>
      <c r="M543" s="47" t="s">
        <v>30</v>
      </c>
    </row>
    <row r="544" spans="1:21" x14ac:dyDescent="0.2">
      <c r="A544" s="47" t="s">
        <v>29</v>
      </c>
      <c r="D544" s="47" t="s">
        <v>8383</v>
      </c>
      <c r="E544" s="47" t="s">
        <v>4316</v>
      </c>
      <c r="F544" s="47" t="s">
        <v>8384</v>
      </c>
      <c r="H544" s="47" t="s">
        <v>8385</v>
      </c>
      <c r="O544" s="47" t="s">
        <v>10553</v>
      </c>
      <c r="P544" s="47" t="s">
        <v>10554</v>
      </c>
      <c r="Q544" s="47" t="s">
        <v>10555</v>
      </c>
      <c r="R544" s="47" t="s">
        <v>10556</v>
      </c>
      <c r="S544" s="47" t="s">
        <v>10557</v>
      </c>
      <c r="T544" s="47" t="s">
        <v>10558</v>
      </c>
      <c r="U544" s="47" t="s">
        <v>10559</v>
      </c>
    </row>
    <row r="545" spans="1:21" x14ac:dyDescent="0.2">
      <c r="A545" s="47" t="s">
        <v>29</v>
      </c>
      <c r="D545" s="47" t="s">
        <v>5501</v>
      </c>
      <c r="G545" s="47" t="s">
        <v>8685</v>
      </c>
      <c r="H545" s="47" t="s">
        <v>5615</v>
      </c>
      <c r="I545" s="47" t="s">
        <v>5618</v>
      </c>
      <c r="J545" s="47" t="s">
        <v>5639</v>
      </c>
      <c r="K545" s="47" t="s">
        <v>5642</v>
      </c>
      <c r="L545" s="47" t="s">
        <v>5502</v>
      </c>
      <c r="M545" s="47" t="s">
        <v>5503</v>
      </c>
      <c r="N545" s="47" t="s">
        <v>5504</v>
      </c>
      <c r="O545" s="47" t="s">
        <v>5621</v>
      </c>
      <c r="P545" s="47" t="s">
        <v>5624</v>
      </c>
      <c r="Q545" s="47" t="s">
        <v>5627</v>
      </c>
      <c r="R545" s="47" t="s">
        <v>5630</v>
      </c>
      <c r="S545" s="47" t="s">
        <v>5633</v>
      </c>
      <c r="T545" s="47" t="s">
        <v>5636</v>
      </c>
    </row>
    <row r="546" spans="1:21" x14ac:dyDescent="0.2">
      <c r="A546" s="47" t="s">
        <v>29</v>
      </c>
      <c r="D546" s="47" t="s">
        <v>5505</v>
      </c>
      <c r="G546" s="47" t="s">
        <v>8772</v>
      </c>
      <c r="H546" s="47" t="s">
        <v>5616</v>
      </c>
      <c r="I546" s="47" t="s">
        <v>5619</v>
      </c>
      <c r="J546" s="47" t="s">
        <v>5640</v>
      </c>
      <c r="K546" s="47" t="s">
        <v>5643</v>
      </c>
      <c r="L546" s="47" t="s">
        <v>5506</v>
      </c>
      <c r="M546" s="47" t="s">
        <v>5507</v>
      </c>
      <c r="N546" s="47" t="s">
        <v>5508</v>
      </c>
      <c r="O546" s="47" t="s">
        <v>5622</v>
      </c>
      <c r="P546" s="47" t="s">
        <v>5625</v>
      </c>
      <c r="Q546" s="47" t="s">
        <v>5628</v>
      </c>
      <c r="R546" s="47" t="s">
        <v>5631</v>
      </c>
      <c r="S546" s="47" t="s">
        <v>5634</v>
      </c>
      <c r="T546" s="47" t="s">
        <v>5637</v>
      </c>
    </row>
    <row r="547" spans="1:21" x14ac:dyDescent="0.2">
      <c r="A547" s="47" t="s">
        <v>29</v>
      </c>
      <c r="D547" s="47" t="s">
        <v>5509</v>
      </c>
      <c r="G547" s="47" t="s">
        <v>8773</v>
      </c>
      <c r="H547" s="47" t="s">
        <v>5617</v>
      </c>
      <c r="I547" s="47" t="s">
        <v>5620</v>
      </c>
      <c r="J547" s="47" t="s">
        <v>5641</v>
      </c>
      <c r="K547" s="47" t="s">
        <v>5644</v>
      </c>
      <c r="L547" s="47" t="s">
        <v>5510</v>
      </c>
      <c r="M547" s="47" t="s">
        <v>5511</v>
      </c>
      <c r="N547" s="47" t="s">
        <v>5512</v>
      </c>
      <c r="O547" s="47" t="s">
        <v>5623</v>
      </c>
      <c r="P547" s="47" t="s">
        <v>5626</v>
      </c>
      <c r="Q547" s="47" t="s">
        <v>5629</v>
      </c>
      <c r="R547" s="47" t="s">
        <v>5632</v>
      </c>
      <c r="S547" s="47" t="s">
        <v>5635</v>
      </c>
      <c r="T547" s="47" t="s">
        <v>5638</v>
      </c>
    </row>
    <row r="548" spans="1:21" x14ac:dyDescent="0.2">
      <c r="A548" s="47" t="s">
        <v>29</v>
      </c>
      <c r="D548" s="47" t="s">
        <v>3605</v>
      </c>
      <c r="G548" s="47" t="s">
        <v>8774</v>
      </c>
      <c r="H548" s="47" t="s">
        <v>3606</v>
      </c>
      <c r="I548" s="47" t="s">
        <v>3607</v>
      </c>
      <c r="J548" s="47" t="s">
        <v>3608</v>
      </c>
      <c r="K548" s="47" t="s">
        <v>3609</v>
      </c>
      <c r="L548" s="47" t="s">
        <v>3610</v>
      </c>
      <c r="M548" s="47" t="s">
        <v>3611</v>
      </c>
      <c r="N548" s="47" t="s">
        <v>3612</v>
      </c>
      <c r="O548" s="47" t="s">
        <v>3613</v>
      </c>
      <c r="P548" s="47" t="s">
        <v>3614</v>
      </c>
      <c r="Q548" s="47" t="s">
        <v>3615</v>
      </c>
      <c r="R548" s="47" t="s">
        <v>3616</v>
      </c>
      <c r="S548" s="47" t="s">
        <v>3617</v>
      </c>
      <c r="T548" s="47" t="s">
        <v>3618</v>
      </c>
    </row>
    <row r="549" spans="1:21" x14ac:dyDescent="0.2">
      <c r="A549" s="47" t="s">
        <v>29</v>
      </c>
    </row>
    <row r="550" spans="1:21" x14ac:dyDescent="0.2">
      <c r="A550" s="47" t="s">
        <v>29</v>
      </c>
      <c r="E550" s="47" t="s">
        <v>30</v>
      </c>
      <c r="F550" s="47" t="s">
        <v>30</v>
      </c>
      <c r="G550" s="47" t="s">
        <v>30</v>
      </c>
      <c r="J550" s="47" t="s">
        <v>30</v>
      </c>
      <c r="K550" s="47" t="s">
        <v>30</v>
      </c>
      <c r="L550" s="47" t="s">
        <v>30</v>
      </c>
      <c r="M550" s="47" t="s">
        <v>30</v>
      </c>
    </row>
    <row r="551" spans="1:21" x14ac:dyDescent="0.2">
      <c r="A551" s="47" t="s">
        <v>29</v>
      </c>
      <c r="D551" s="47" t="s">
        <v>7700</v>
      </c>
      <c r="E551" s="47" t="s">
        <v>4317</v>
      </c>
      <c r="F551" s="47" t="s">
        <v>7701</v>
      </c>
      <c r="H551" s="47" t="s">
        <v>7702</v>
      </c>
      <c r="O551" s="47" t="s">
        <v>10560</v>
      </c>
      <c r="P551" s="47" t="s">
        <v>10561</v>
      </c>
      <c r="Q551" s="47" t="s">
        <v>10562</v>
      </c>
      <c r="R551" s="47" t="s">
        <v>10563</v>
      </c>
      <c r="S551" s="47" t="s">
        <v>10564</v>
      </c>
      <c r="T551" s="47" t="s">
        <v>10565</v>
      </c>
      <c r="U551" s="47" t="s">
        <v>10566</v>
      </c>
    </row>
    <row r="552" spans="1:21" x14ac:dyDescent="0.2">
      <c r="A552" s="47" t="s">
        <v>29</v>
      </c>
      <c r="D552" s="47" t="s">
        <v>7703</v>
      </c>
      <c r="G552" s="47" t="s">
        <v>10567</v>
      </c>
      <c r="H552" s="47" t="s">
        <v>7704</v>
      </c>
      <c r="I552" s="47" t="s">
        <v>7705</v>
      </c>
      <c r="J552" s="47" t="s">
        <v>7706</v>
      </c>
      <c r="K552" s="47" t="s">
        <v>7707</v>
      </c>
      <c r="L552" s="47" t="s">
        <v>7708</v>
      </c>
      <c r="M552" s="47" t="s">
        <v>7709</v>
      </c>
      <c r="N552" s="47" t="s">
        <v>7710</v>
      </c>
      <c r="O552" s="47" t="s">
        <v>8872</v>
      </c>
      <c r="P552" s="47" t="s">
        <v>8873</v>
      </c>
      <c r="Q552" s="47" t="s">
        <v>8874</v>
      </c>
      <c r="R552" s="47" t="s">
        <v>8875</v>
      </c>
      <c r="S552" s="47" t="s">
        <v>8876</v>
      </c>
      <c r="T552" s="47" t="s">
        <v>8877</v>
      </c>
    </row>
    <row r="553" spans="1:21" x14ac:dyDescent="0.2">
      <c r="A553" s="47" t="s">
        <v>29</v>
      </c>
      <c r="D553" s="47" t="s">
        <v>7963</v>
      </c>
      <c r="G553" s="47" t="s">
        <v>8775</v>
      </c>
      <c r="H553" s="47" t="s">
        <v>8011</v>
      </c>
      <c r="I553" s="47" t="s">
        <v>8012</v>
      </c>
      <c r="J553" s="47" t="s">
        <v>8019</v>
      </c>
      <c r="K553" s="47" t="s">
        <v>8020</v>
      </c>
      <c r="L553" s="47" t="s">
        <v>7964</v>
      </c>
      <c r="M553" s="47" t="s">
        <v>7965</v>
      </c>
      <c r="N553" s="47" t="s">
        <v>7966</v>
      </c>
      <c r="O553" s="47" t="s">
        <v>10568</v>
      </c>
      <c r="P553" s="47" t="s">
        <v>10569</v>
      </c>
      <c r="Q553" s="47" t="s">
        <v>10570</v>
      </c>
      <c r="R553" s="47" t="s">
        <v>10571</v>
      </c>
      <c r="S553" s="47" t="s">
        <v>10572</v>
      </c>
      <c r="T553" s="47" t="s">
        <v>10573</v>
      </c>
    </row>
    <row r="554" spans="1:21" x14ac:dyDescent="0.2">
      <c r="A554" s="47" t="s">
        <v>29</v>
      </c>
    </row>
    <row r="555" spans="1:21" x14ac:dyDescent="0.2">
      <c r="A555" s="47" t="s">
        <v>29</v>
      </c>
      <c r="E555" s="47" t="s">
        <v>30</v>
      </c>
      <c r="F555" s="47" t="s">
        <v>30</v>
      </c>
      <c r="G555" s="47" t="s">
        <v>30</v>
      </c>
      <c r="J555" s="47" t="s">
        <v>30</v>
      </c>
      <c r="K555" s="47" t="s">
        <v>30</v>
      </c>
      <c r="L555" s="47" t="s">
        <v>30</v>
      </c>
      <c r="M555" s="47" t="s">
        <v>30</v>
      </c>
    </row>
    <row r="556" spans="1:21" x14ac:dyDescent="0.2">
      <c r="A556" s="47" t="s">
        <v>29</v>
      </c>
      <c r="D556" s="47" t="s">
        <v>10574</v>
      </c>
      <c r="E556" s="47" t="s">
        <v>4318</v>
      </c>
      <c r="F556" s="47" t="s">
        <v>10575</v>
      </c>
      <c r="H556" s="47" t="s">
        <v>10576</v>
      </c>
      <c r="O556" s="47" t="s">
        <v>10577</v>
      </c>
      <c r="P556" s="47" t="s">
        <v>10578</v>
      </c>
      <c r="Q556" s="47" t="s">
        <v>10579</v>
      </c>
      <c r="R556" s="47" t="s">
        <v>10580</v>
      </c>
      <c r="S556" s="47" t="s">
        <v>10581</v>
      </c>
      <c r="T556" s="47" t="s">
        <v>10582</v>
      </c>
      <c r="U556" s="47" t="s">
        <v>10583</v>
      </c>
    </row>
    <row r="557" spans="1:21" x14ac:dyDescent="0.2">
      <c r="A557" s="47" t="s">
        <v>29</v>
      </c>
      <c r="D557" s="47" t="s">
        <v>3628</v>
      </c>
      <c r="G557" s="47" t="s">
        <v>10584</v>
      </c>
      <c r="H557" s="47" t="s">
        <v>3629</v>
      </c>
      <c r="I557" s="47" t="s">
        <v>3630</v>
      </c>
      <c r="J557" s="47" t="s">
        <v>3631</v>
      </c>
      <c r="K557" s="47" t="s">
        <v>3632</v>
      </c>
      <c r="L557" s="47" t="s">
        <v>3633</v>
      </c>
      <c r="M557" s="47" t="s">
        <v>3634</v>
      </c>
      <c r="N557" s="47" t="s">
        <v>3635</v>
      </c>
      <c r="O557" s="47" t="s">
        <v>3636</v>
      </c>
      <c r="P557" s="47" t="s">
        <v>3637</v>
      </c>
      <c r="Q557" s="47" t="s">
        <v>3638</v>
      </c>
      <c r="R557" s="47" t="s">
        <v>3639</v>
      </c>
      <c r="S557" s="47" t="s">
        <v>3640</v>
      </c>
      <c r="T557" s="47" t="s">
        <v>3641</v>
      </c>
    </row>
    <row r="558" spans="1:21" x14ac:dyDescent="0.2">
      <c r="A558" s="47" t="s">
        <v>29</v>
      </c>
      <c r="D558" s="47" t="s">
        <v>3642</v>
      </c>
      <c r="G558" s="47" t="s">
        <v>8776</v>
      </c>
      <c r="H558" s="47" t="s">
        <v>3643</v>
      </c>
      <c r="I558" s="47" t="s">
        <v>3644</v>
      </c>
      <c r="J558" s="47" t="s">
        <v>3645</v>
      </c>
      <c r="K558" s="47" t="s">
        <v>3646</v>
      </c>
      <c r="L558" s="47" t="s">
        <v>3647</v>
      </c>
      <c r="M558" s="47" t="s">
        <v>3648</v>
      </c>
      <c r="N558" s="47" t="s">
        <v>3649</v>
      </c>
      <c r="O558" s="47" t="s">
        <v>3650</v>
      </c>
      <c r="P558" s="47" t="s">
        <v>3651</v>
      </c>
      <c r="Q558" s="47" t="s">
        <v>3652</v>
      </c>
      <c r="R558" s="47" t="s">
        <v>3653</v>
      </c>
      <c r="S558" s="47" t="s">
        <v>3654</v>
      </c>
      <c r="T558" s="47" t="s">
        <v>3655</v>
      </c>
    </row>
    <row r="559" spans="1:21" x14ac:dyDescent="0.2">
      <c r="A559" s="47" t="s">
        <v>29</v>
      </c>
      <c r="D559" s="47" t="s">
        <v>3656</v>
      </c>
      <c r="G559" s="47" t="s">
        <v>8777</v>
      </c>
      <c r="H559" s="47" t="s">
        <v>3657</v>
      </c>
      <c r="I559" s="47" t="s">
        <v>3658</v>
      </c>
      <c r="J559" s="47" t="s">
        <v>3659</v>
      </c>
      <c r="K559" s="47" t="s">
        <v>3660</v>
      </c>
      <c r="L559" s="47" t="s">
        <v>3661</v>
      </c>
      <c r="M559" s="47" t="s">
        <v>3662</v>
      </c>
      <c r="N559" s="47" t="s">
        <v>3663</v>
      </c>
      <c r="O559" s="47" t="s">
        <v>3664</v>
      </c>
      <c r="P559" s="47" t="s">
        <v>3665</v>
      </c>
      <c r="Q559" s="47" t="s">
        <v>3666</v>
      </c>
      <c r="R559" s="47" t="s">
        <v>3667</v>
      </c>
      <c r="S559" s="47" t="s">
        <v>3668</v>
      </c>
      <c r="T559" s="47" t="s">
        <v>3669</v>
      </c>
    </row>
    <row r="560" spans="1:21" x14ac:dyDescent="0.2">
      <c r="A560" s="47" t="s">
        <v>29</v>
      </c>
      <c r="D560" s="47" t="s">
        <v>5520</v>
      </c>
      <c r="G560" s="47" t="s">
        <v>8778</v>
      </c>
      <c r="H560" s="47" t="s">
        <v>5598</v>
      </c>
      <c r="I560" s="47" t="s">
        <v>5601</v>
      </c>
      <c r="J560" s="47" t="s">
        <v>5610</v>
      </c>
      <c r="K560" s="47" t="s">
        <v>5613</v>
      </c>
      <c r="L560" s="47" t="s">
        <v>5521</v>
      </c>
      <c r="M560" s="47" t="s">
        <v>5522</v>
      </c>
      <c r="N560" s="47" t="s">
        <v>5523</v>
      </c>
      <c r="O560" s="47" t="s">
        <v>5603</v>
      </c>
      <c r="P560" s="47" t="s">
        <v>5604</v>
      </c>
      <c r="Q560" s="47" t="s">
        <v>5605</v>
      </c>
      <c r="R560" s="47" t="s">
        <v>5606</v>
      </c>
      <c r="S560" s="47" t="s">
        <v>5607</v>
      </c>
      <c r="T560" s="47" t="s">
        <v>5608</v>
      </c>
    </row>
    <row r="561" spans="1:21" x14ac:dyDescent="0.2">
      <c r="A561" s="47" t="s">
        <v>29</v>
      </c>
    </row>
    <row r="562" spans="1:21" x14ac:dyDescent="0.2">
      <c r="A562" s="47" t="s">
        <v>29</v>
      </c>
      <c r="E562" s="47" t="s">
        <v>30</v>
      </c>
      <c r="F562" s="47" t="s">
        <v>30</v>
      </c>
      <c r="G562" s="47" t="s">
        <v>30</v>
      </c>
      <c r="J562" s="47" t="s">
        <v>30</v>
      </c>
      <c r="K562" s="47" t="s">
        <v>30</v>
      </c>
      <c r="L562" s="47" t="s">
        <v>30</v>
      </c>
      <c r="M562" s="47" t="s">
        <v>30</v>
      </c>
    </row>
    <row r="563" spans="1:21" x14ac:dyDescent="0.2">
      <c r="A563" s="47" t="s">
        <v>29</v>
      </c>
      <c r="D563" s="47" t="s">
        <v>8171</v>
      </c>
      <c r="E563" s="47" t="s">
        <v>4319</v>
      </c>
      <c r="F563" s="47" t="s">
        <v>8172</v>
      </c>
      <c r="H563" s="47" t="s">
        <v>8173</v>
      </c>
      <c r="O563" s="47" t="s">
        <v>10585</v>
      </c>
      <c r="P563" s="47" t="s">
        <v>10586</v>
      </c>
      <c r="Q563" s="47" t="s">
        <v>10587</v>
      </c>
      <c r="R563" s="47" t="s">
        <v>10588</v>
      </c>
      <c r="S563" s="47" t="s">
        <v>10589</v>
      </c>
      <c r="T563" s="47" t="s">
        <v>10590</v>
      </c>
      <c r="U563" s="47" t="s">
        <v>10591</v>
      </c>
    </row>
    <row r="564" spans="1:21" x14ac:dyDescent="0.2">
      <c r="A564" s="47" t="s">
        <v>29</v>
      </c>
      <c r="D564" s="47" t="s">
        <v>7967</v>
      </c>
      <c r="G564" s="47" t="s">
        <v>10592</v>
      </c>
      <c r="H564" s="47" t="s">
        <v>8001</v>
      </c>
      <c r="I564" s="47" t="s">
        <v>8002</v>
      </c>
      <c r="J564" s="47" t="s">
        <v>8009</v>
      </c>
      <c r="K564" s="47" t="s">
        <v>8010</v>
      </c>
      <c r="L564" s="47" t="s">
        <v>7968</v>
      </c>
      <c r="M564" s="47" t="s">
        <v>7969</v>
      </c>
      <c r="N564" s="47" t="s">
        <v>7970</v>
      </c>
      <c r="O564" s="47" t="s">
        <v>8866</v>
      </c>
      <c r="P564" s="47" t="s">
        <v>8867</v>
      </c>
      <c r="Q564" s="47" t="s">
        <v>8868</v>
      </c>
      <c r="R564" s="47" t="s">
        <v>8869</v>
      </c>
      <c r="S564" s="47" t="s">
        <v>8870</v>
      </c>
      <c r="T564" s="47" t="s">
        <v>8871</v>
      </c>
    </row>
    <row r="565" spans="1:21" x14ac:dyDescent="0.2">
      <c r="A565" s="47" t="s">
        <v>29</v>
      </c>
      <c r="D565" s="47" t="s">
        <v>6464</v>
      </c>
      <c r="G565" s="47" t="s">
        <v>8779</v>
      </c>
      <c r="H565" s="47" t="s">
        <v>6673</v>
      </c>
      <c r="I565" s="47" t="s">
        <v>6675</v>
      </c>
      <c r="J565" s="47" t="s">
        <v>6689</v>
      </c>
      <c r="K565" s="47" t="s">
        <v>6691</v>
      </c>
      <c r="L565" s="47" t="s">
        <v>6465</v>
      </c>
      <c r="M565" s="47" t="s">
        <v>6466</v>
      </c>
      <c r="N565" s="47" t="s">
        <v>6467</v>
      </c>
      <c r="O565" s="47" t="s">
        <v>6677</v>
      </c>
      <c r="P565" s="47" t="s">
        <v>6679</v>
      </c>
      <c r="Q565" s="47" t="s">
        <v>6681</v>
      </c>
      <c r="R565" s="47" t="s">
        <v>6683</v>
      </c>
      <c r="S565" s="47" t="s">
        <v>6685</v>
      </c>
      <c r="T565" s="47" t="s">
        <v>6687</v>
      </c>
    </row>
    <row r="566" spans="1:21" x14ac:dyDescent="0.2">
      <c r="A566" s="47" t="s">
        <v>29</v>
      </c>
      <c r="D566" s="47" t="s">
        <v>6468</v>
      </c>
      <c r="G566" s="47" t="s">
        <v>8780</v>
      </c>
      <c r="H566" s="47" t="s">
        <v>6674</v>
      </c>
      <c r="I566" s="47" t="s">
        <v>6676</v>
      </c>
      <c r="J566" s="47" t="s">
        <v>6690</v>
      </c>
      <c r="K566" s="47" t="s">
        <v>6692</v>
      </c>
      <c r="L566" s="47" t="s">
        <v>6469</v>
      </c>
      <c r="M566" s="47" t="s">
        <v>6470</v>
      </c>
      <c r="N566" s="47" t="s">
        <v>6471</v>
      </c>
      <c r="O566" s="47" t="s">
        <v>6678</v>
      </c>
      <c r="P566" s="47" t="s">
        <v>6680</v>
      </c>
      <c r="Q566" s="47" t="s">
        <v>6682</v>
      </c>
      <c r="R566" s="47" t="s">
        <v>6684</v>
      </c>
      <c r="S566" s="47" t="s">
        <v>6686</v>
      </c>
      <c r="T566" s="47" t="s">
        <v>6688</v>
      </c>
    </row>
    <row r="567" spans="1:21" x14ac:dyDescent="0.2">
      <c r="A567" s="47" t="s">
        <v>29</v>
      </c>
      <c r="D567" s="47" t="s">
        <v>3671</v>
      </c>
      <c r="G567" s="47" t="s">
        <v>8781</v>
      </c>
      <c r="H567" s="47" t="s">
        <v>3672</v>
      </c>
      <c r="I567" s="47" t="s">
        <v>3673</v>
      </c>
      <c r="J567" s="47" t="s">
        <v>3674</v>
      </c>
      <c r="K567" s="47" t="s">
        <v>3675</v>
      </c>
      <c r="L567" s="47" t="s">
        <v>3676</v>
      </c>
      <c r="M567" s="47" t="s">
        <v>3677</v>
      </c>
      <c r="N567" s="47" t="s">
        <v>3678</v>
      </c>
      <c r="O567" s="47" t="s">
        <v>3679</v>
      </c>
      <c r="P567" s="47" t="s">
        <v>3680</v>
      </c>
      <c r="Q567" s="47" t="s">
        <v>3681</v>
      </c>
      <c r="R567" s="47" t="s">
        <v>3682</v>
      </c>
      <c r="S567" s="47" t="s">
        <v>3683</v>
      </c>
      <c r="T567" s="47" t="s">
        <v>3684</v>
      </c>
    </row>
    <row r="568" spans="1:21" x14ac:dyDescent="0.2">
      <c r="A568" s="47" t="s">
        <v>29</v>
      </c>
    </row>
    <row r="569" spans="1:21" x14ac:dyDescent="0.2">
      <c r="A569" s="47" t="s">
        <v>29</v>
      </c>
      <c r="E569" s="47" t="s">
        <v>30</v>
      </c>
      <c r="F569" s="47" t="s">
        <v>30</v>
      </c>
      <c r="G569" s="47" t="s">
        <v>30</v>
      </c>
      <c r="J569" s="47" t="s">
        <v>30</v>
      </c>
      <c r="K569" s="47" t="s">
        <v>30</v>
      </c>
      <c r="L569" s="47" t="s">
        <v>30</v>
      </c>
      <c r="M569" s="47" t="s">
        <v>30</v>
      </c>
    </row>
    <row r="570" spans="1:21" x14ac:dyDescent="0.2">
      <c r="A570" s="47" t="s">
        <v>29</v>
      </c>
      <c r="D570" s="47" t="s">
        <v>10593</v>
      </c>
      <c r="E570" s="47" t="s">
        <v>4320</v>
      </c>
      <c r="F570" s="47" t="s">
        <v>10594</v>
      </c>
      <c r="H570" s="47" t="s">
        <v>10595</v>
      </c>
      <c r="O570" s="47" t="s">
        <v>10596</v>
      </c>
      <c r="P570" s="47" t="s">
        <v>10597</v>
      </c>
      <c r="Q570" s="47" t="s">
        <v>10598</v>
      </c>
      <c r="R570" s="47" t="s">
        <v>10599</v>
      </c>
      <c r="S570" s="47" t="s">
        <v>10600</v>
      </c>
      <c r="T570" s="47" t="s">
        <v>10601</v>
      </c>
      <c r="U570" s="47" t="s">
        <v>10602</v>
      </c>
    </row>
    <row r="571" spans="1:21" x14ac:dyDescent="0.2">
      <c r="A571" s="47" t="s">
        <v>29</v>
      </c>
      <c r="D571" s="47" t="s">
        <v>3693</v>
      </c>
      <c r="G571" s="47" t="s">
        <v>10603</v>
      </c>
      <c r="H571" s="47" t="s">
        <v>3694</v>
      </c>
      <c r="I571" s="47" t="s">
        <v>3695</v>
      </c>
      <c r="J571" s="47" t="s">
        <v>3696</v>
      </c>
      <c r="K571" s="47" t="s">
        <v>3697</v>
      </c>
      <c r="L571" s="47" t="s">
        <v>3698</v>
      </c>
      <c r="M571" s="47" t="s">
        <v>3699</v>
      </c>
      <c r="N571" s="47" t="s">
        <v>3700</v>
      </c>
      <c r="O571" s="47" t="s">
        <v>3701</v>
      </c>
      <c r="P571" s="47" t="s">
        <v>3702</v>
      </c>
      <c r="Q571" s="47" t="s">
        <v>3703</v>
      </c>
      <c r="R571" s="47" t="s">
        <v>3704</v>
      </c>
      <c r="S571" s="47" t="s">
        <v>3705</v>
      </c>
      <c r="T571" s="47" t="s">
        <v>3706</v>
      </c>
    </row>
    <row r="572" spans="1:21" x14ac:dyDescent="0.2">
      <c r="A572" s="47" t="s">
        <v>29</v>
      </c>
      <c r="D572" s="47" t="s">
        <v>3707</v>
      </c>
      <c r="G572" s="47" t="s">
        <v>8782</v>
      </c>
      <c r="H572" s="47" t="s">
        <v>3708</v>
      </c>
      <c r="I572" s="47" t="s">
        <v>3709</v>
      </c>
      <c r="J572" s="47" t="s">
        <v>3710</v>
      </c>
      <c r="K572" s="47" t="s">
        <v>3711</v>
      </c>
      <c r="L572" s="47" t="s">
        <v>3712</v>
      </c>
      <c r="M572" s="47" t="s">
        <v>3713</v>
      </c>
      <c r="N572" s="47" t="s">
        <v>3714</v>
      </c>
      <c r="O572" s="47" t="s">
        <v>3715</v>
      </c>
      <c r="P572" s="47" t="s">
        <v>3716</v>
      </c>
      <c r="Q572" s="47" t="s">
        <v>3717</v>
      </c>
      <c r="R572" s="47" t="s">
        <v>3718</v>
      </c>
      <c r="S572" s="47" t="s">
        <v>3719</v>
      </c>
      <c r="T572" s="47" t="s">
        <v>3720</v>
      </c>
    </row>
    <row r="573" spans="1:21" x14ac:dyDescent="0.2">
      <c r="A573" s="47" t="s">
        <v>29</v>
      </c>
      <c r="D573" s="47" t="s">
        <v>3721</v>
      </c>
      <c r="G573" s="47" t="s">
        <v>8783</v>
      </c>
      <c r="H573" s="47" t="s">
        <v>3722</v>
      </c>
      <c r="I573" s="47" t="s">
        <v>3723</v>
      </c>
      <c r="J573" s="47" t="s">
        <v>3724</v>
      </c>
      <c r="K573" s="47" t="s">
        <v>3725</v>
      </c>
      <c r="L573" s="47" t="s">
        <v>3726</v>
      </c>
      <c r="M573" s="47" t="s">
        <v>3727</v>
      </c>
      <c r="N573" s="47" t="s">
        <v>3728</v>
      </c>
      <c r="O573" s="47" t="s">
        <v>3729</v>
      </c>
      <c r="P573" s="47" t="s">
        <v>3730</v>
      </c>
      <c r="Q573" s="47" t="s">
        <v>3731</v>
      </c>
      <c r="R573" s="47" t="s">
        <v>3732</v>
      </c>
      <c r="S573" s="47" t="s">
        <v>3733</v>
      </c>
      <c r="T573" s="47" t="s">
        <v>3734</v>
      </c>
    </row>
    <row r="574" spans="1:21" x14ac:dyDescent="0.2">
      <c r="A574" s="47" t="s">
        <v>29</v>
      </c>
    </row>
    <row r="575" spans="1:21" x14ac:dyDescent="0.2">
      <c r="A575" s="47" t="s">
        <v>29</v>
      </c>
      <c r="E575" s="47" t="s">
        <v>30</v>
      </c>
      <c r="F575" s="47" t="s">
        <v>30</v>
      </c>
      <c r="G575" s="47" t="s">
        <v>30</v>
      </c>
      <c r="J575" s="47" t="s">
        <v>30</v>
      </c>
      <c r="K575" s="47" t="s">
        <v>30</v>
      </c>
      <c r="L575" s="47" t="s">
        <v>30</v>
      </c>
      <c r="M575" s="47" t="s">
        <v>30</v>
      </c>
    </row>
    <row r="576" spans="1:21" x14ac:dyDescent="0.2">
      <c r="A576" s="47" t="s">
        <v>29</v>
      </c>
      <c r="D576" s="47" t="s">
        <v>8174</v>
      </c>
      <c r="E576" s="47" t="s">
        <v>4321</v>
      </c>
      <c r="F576" s="47" t="s">
        <v>8175</v>
      </c>
      <c r="H576" s="47" t="s">
        <v>8176</v>
      </c>
      <c r="O576" s="47" t="s">
        <v>8400</v>
      </c>
      <c r="P576" s="47" t="s">
        <v>8401</v>
      </c>
      <c r="Q576" s="47" t="s">
        <v>8402</v>
      </c>
      <c r="R576" s="47" t="s">
        <v>8403</v>
      </c>
      <c r="S576" s="47" t="s">
        <v>8404</v>
      </c>
      <c r="T576" s="47" t="s">
        <v>8405</v>
      </c>
      <c r="U576" s="47" t="s">
        <v>8406</v>
      </c>
    </row>
    <row r="577" spans="1:21" x14ac:dyDescent="0.2">
      <c r="A577" s="47" t="s">
        <v>29</v>
      </c>
      <c r="D577" s="47" t="s">
        <v>7711</v>
      </c>
      <c r="G577" s="47" t="s">
        <v>10604</v>
      </c>
      <c r="H577" s="47" t="s">
        <v>7712</v>
      </c>
      <c r="I577" s="47" t="s">
        <v>7713</v>
      </c>
      <c r="J577" s="47" t="s">
        <v>7714</v>
      </c>
      <c r="K577" s="47" t="s">
        <v>7715</v>
      </c>
      <c r="L577" s="47" t="s">
        <v>7716</v>
      </c>
      <c r="M577" s="47" t="s">
        <v>7717</v>
      </c>
      <c r="N577" s="47" t="s">
        <v>7718</v>
      </c>
      <c r="O577" s="47" t="s">
        <v>8860</v>
      </c>
      <c r="P577" s="47" t="s">
        <v>8861</v>
      </c>
      <c r="Q577" s="47" t="s">
        <v>8862</v>
      </c>
      <c r="R577" s="47" t="s">
        <v>8863</v>
      </c>
      <c r="S577" s="47" t="s">
        <v>8864</v>
      </c>
      <c r="T577" s="47" t="s">
        <v>8865</v>
      </c>
    </row>
    <row r="578" spans="1:21" x14ac:dyDescent="0.2">
      <c r="A578" s="47" t="s">
        <v>29</v>
      </c>
    </row>
    <row r="579" spans="1:21" x14ac:dyDescent="0.2">
      <c r="A579" s="47" t="s">
        <v>29</v>
      </c>
      <c r="E579" s="47" t="s">
        <v>30</v>
      </c>
      <c r="F579" s="47" t="s">
        <v>30</v>
      </c>
      <c r="G579" s="47" t="s">
        <v>30</v>
      </c>
      <c r="J579" s="47" t="s">
        <v>30</v>
      </c>
      <c r="K579" s="47" t="s">
        <v>30</v>
      </c>
      <c r="L579" s="47" t="s">
        <v>30</v>
      </c>
      <c r="M579" s="47" t="s">
        <v>30</v>
      </c>
    </row>
    <row r="580" spans="1:21" x14ac:dyDescent="0.2">
      <c r="A580" s="47" t="s">
        <v>29</v>
      </c>
      <c r="D580" s="47" t="s">
        <v>7719</v>
      </c>
      <c r="E580" s="47" t="s">
        <v>4322</v>
      </c>
      <c r="F580" s="47" t="s">
        <v>7720</v>
      </c>
      <c r="H580" s="47" t="s">
        <v>7721</v>
      </c>
      <c r="O580" s="47" t="s">
        <v>10605</v>
      </c>
      <c r="P580" s="47" t="s">
        <v>10606</v>
      </c>
      <c r="Q580" s="47" t="s">
        <v>10607</v>
      </c>
      <c r="R580" s="47" t="s">
        <v>10608</v>
      </c>
      <c r="S580" s="47" t="s">
        <v>10609</v>
      </c>
      <c r="T580" s="47" t="s">
        <v>10610</v>
      </c>
      <c r="U580" s="47" t="s">
        <v>10611</v>
      </c>
    </row>
    <row r="581" spans="1:21" x14ac:dyDescent="0.2">
      <c r="A581" s="47" t="s">
        <v>29</v>
      </c>
      <c r="D581" s="47" t="s">
        <v>3736</v>
      </c>
      <c r="G581" s="47" t="s">
        <v>8687</v>
      </c>
      <c r="H581" s="47" t="s">
        <v>3737</v>
      </c>
      <c r="I581" s="47" t="s">
        <v>3738</v>
      </c>
      <c r="J581" s="47" t="s">
        <v>3739</v>
      </c>
      <c r="K581" s="47" t="s">
        <v>3740</v>
      </c>
      <c r="L581" s="47" t="s">
        <v>3741</v>
      </c>
      <c r="M581" s="47" t="s">
        <v>3742</v>
      </c>
      <c r="N581" s="47" t="s">
        <v>3743</v>
      </c>
      <c r="O581" s="47" t="s">
        <v>3744</v>
      </c>
      <c r="P581" s="47" t="s">
        <v>3745</v>
      </c>
      <c r="Q581" s="47" t="s">
        <v>3746</v>
      </c>
      <c r="R581" s="47" t="s">
        <v>3747</v>
      </c>
      <c r="S581" s="47" t="s">
        <v>3748</v>
      </c>
      <c r="T581" s="47" t="s">
        <v>3749</v>
      </c>
    </row>
    <row r="582" spans="1:21" x14ac:dyDescent="0.2">
      <c r="A582" s="47" t="s">
        <v>29</v>
      </c>
      <c r="D582" s="47" t="s">
        <v>3750</v>
      </c>
      <c r="G582" s="47" t="s">
        <v>8784</v>
      </c>
      <c r="H582" s="47" t="s">
        <v>3751</v>
      </c>
      <c r="I582" s="47" t="s">
        <v>3752</v>
      </c>
      <c r="J582" s="47" t="s">
        <v>3753</v>
      </c>
      <c r="K582" s="47" t="s">
        <v>3754</v>
      </c>
      <c r="L582" s="47" t="s">
        <v>3755</v>
      </c>
      <c r="M582" s="47" t="s">
        <v>3756</v>
      </c>
      <c r="N582" s="47" t="s">
        <v>3757</v>
      </c>
      <c r="O582" s="47" t="s">
        <v>3758</v>
      </c>
      <c r="P582" s="47" t="s">
        <v>3759</v>
      </c>
      <c r="Q582" s="47" t="s">
        <v>3760</v>
      </c>
      <c r="R582" s="47" t="s">
        <v>3761</v>
      </c>
      <c r="S582" s="47" t="s">
        <v>3762</v>
      </c>
      <c r="T582" s="47" t="s">
        <v>3763</v>
      </c>
    </row>
    <row r="583" spans="1:21" x14ac:dyDescent="0.2">
      <c r="A583" s="47" t="s">
        <v>29</v>
      </c>
      <c r="D583" s="47" t="s">
        <v>3764</v>
      </c>
      <c r="G583" s="47" t="s">
        <v>8785</v>
      </c>
      <c r="H583" s="47" t="s">
        <v>3765</v>
      </c>
      <c r="I583" s="47" t="s">
        <v>3766</v>
      </c>
      <c r="J583" s="47" t="s">
        <v>3767</v>
      </c>
      <c r="K583" s="47" t="s">
        <v>3768</v>
      </c>
      <c r="L583" s="47" t="s">
        <v>3769</v>
      </c>
      <c r="M583" s="47" t="s">
        <v>3770</v>
      </c>
      <c r="N583" s="47" t="s">
        <v>3771</v>
      </c>
      <c r="O583" s="47" t="s">
        <v>3772</v>
      </c>
      <c r="P583" s="47" t="s">
        <v>3773</v>
      </c>
      <c r="Q583" s="47" t="s">
        <v>3774</v>
      </c>
      <c r="R583" s="47" t="s">
        <v>3775</v>
      </c>
      <c r="S583" s="47" t="s">
        <v>3776</v>
      </c>
      <c r="T583" s="47" t="s">
        <v>3777</v>
      </c>
    </row>
    <row r="584" spans="1:21" x14ac:dyDescent="0.2">
      <c r="A584" s="47" t="s">
        <v>29</v>
      </c>
    </row>
    <row r="585" spans="1:21" x14ac:dyDescent="0.2">
      <c r="A585" s="47" t="s">
        <v>29</v>
      </c>
      <c r="E585" s="47" t="s">
        <v>30</v>
      </c>
      <c r="F585" s="47" t="s">
        <v>30</v>
      </c>
      <c r="G585" s="47" t="s">
        <v>30</v>
      </c>
      <c r="J585" s="47" t="s">
        <v>30</v>
      </c>
      <c r="K585" s="47" t="s">
        <v>30</v>
      </c>
      <c r="L585" s="47" t="s">
        <v>30</v>
      </c>
      <c r="M585" s="47" t="s">
        <v>30</v>
      </c>
    </row>
    <row r="586" spans="1:21" x14ac:dyDescent="0.2">
      <c r="A586" s="47" t="s">
        <v>29</v>
      </c>
      <c r="D586" s="47" t="s">
        <v>10612</v>
      </c>
      <c r="E586" s="47" t="s">
        <v>4323</v>
      </c>
      <c r="F586" s="47" t="s">
        <v>10613</v>
      </c>
      <c r="H586" s="47" t="s">
        <v>10614</v>
      </c>
      <c r="O586" s="47" t="s">
        <v>10615</v>
      </c>
      <c r="P586" s="47" t="s">
        <v>10616</v>
      </c>
      <c r="Q586" s="47" t="s">
        <v>10617</v>
      </c>
      <c r="R586" s="47" t="s">
        <v>10618</v>
      </c>
      <c r="S586" s="47" t="s">
        <v>10619</v>
      </c>
      <c r="T586" s="47" t="s">
        <v>10620</v>
      </c>
      <c r="U586" s="47" t="s">
        <v>10621</v>
      </c>
    </row>
    <row r="587" spans="1:21" x14ac:dyDescent="0.2">
      <c r="A587" s="47" t="s">
        <v>29</v>
      </c>
      <c r="D587" s="47" t="s">
        <v>6472</v>
      </c>
      <c r="G587" s="47" t="s">
        <v>10622</v>
      </c>
      <c r="H587" s="47" t="s">
        <v>6643</v>
      </c>
      <c r="I587" s="47" t="s">
        <v>6646</v>
      </c>
      <c r="J587" s="47" t="s">
        <v>6667</v>
      </c>
      <c r="K587" s="47" t="s">
        <v>6670</v>
      </c>
      <c r="L587" s="47" t="s">
        <v>6473</v>
      </c>
      <c r="M587" s="47" t="s">
        <v>6474</v>
      </c>
      <c r="N587" s="47" t="s">
        <v>6475</v>
      </c>
      <c r="O587" s="47" t="s">
        <v>6649</v>
      </c>
      <c r="P587" s="47" t="s">
        <v>6652</v>
      </c>
      <c r="Q587" s="47" t="s">
        <v>6655</v>
      </c>
      <c r="R587" s="47" t="s">
        <v>6658</v>
      </c>
      <c r="S587" s="47" t="s">
        <v>6661</v>
      </c>
      <c r="T587" s="47" t="s">
        <v>6664</v>
      </c>
    </row>
    <row r="588" spans="1:21" x14ac:dyDescent="0.2">
      <c r="A588" s="47" t="s">
        <v>29</v>
      </c>
      <c r="D588" s="47" t="s">
        <v>6476</v>
      </c>
      <c r="G588" s="47" t="s">
        <v>8786</v>
      </c>
      <c r="H588" s="47" t="s">
        <v>6644</v>
      </c>
      <c r="I588" s="47" t="s">
        <v>6647</v>
      </c>
      <c r="J588" s="47" t="s">
        <v>6668</v>
      </c>
      <c r="K588" s="47" t="s">
        <v>6671</v>
      </c>
      <c r="L588" s="47" t="s">
        <v>6477</v>
      </c>
      <c r="M588" s="47" t="s">
        <v>6478</v>
      </c>
      <c r="N588" s="47" t="s">
        <v>6479</v>
      </c>
      <c r="O588" s="47" t="s">
        <v>6650</v>
      </c>
      <c r="P588" s="47" t="s">
        <v>6653</v>
      </c>
      <c r="Q588" s="47" t="s">
        <v>6656</v>
      </c>
      <c r="R588" s="47" t="s">
        <v>6659</v>
      </c>
      <c r="S588" s="47" t="s">
        <v>6662</v>
      </c>
      <c r="T588" s="47" t="s">
        <v>6665</v>
      </c>
    </row>
    <row r="589" spans="1:21" x14ac:dyDescent="0.2">
      <c r="A589" s="47" t="s">
        <v>29</v>
      </c>
      <c r="D589" s="47" t="s">
        <v>6480</v>
      </c>
      <c r="G589" s="47" t="s">
        <v>8787</v>
      </c>
      <c r="H589" s="47" t="s">
        <v>6645</v>
      </c>
      <c r="I589" s="47" t="s">
        <v>6648</v>
      </c>
      <c r="J589" s="47" t="s">
        <v>6669</v>
      </c>
      <c r="K589" s="47" t="s">
        <v>6672</v>
      </c>
      <c r="L589" s="47" t="s">
        <v>6481</v>
      </c>
      <c r="M589" s="47" t="s">
        <v>6482</v>
      </c>
      <c r="N589" s="47" t="s">
        <v>6483</v>
      </c>
      <c r="O589" s="47" t="s">
        <v>6651</v>
      </c>
      <c r="P589" s="47" t="s">
        <v>6654</v>
      </c>
      <c r="Q589" s="47" t="s">
        <v>6657</v>
      </c>
      <c r="R589" s="47" t="s">
        <v>6660</v>
      </c>
      <c r="S589" s="47" t="s">
        <v>6663</v>
      </c>
      <c r="T589" s="47" t="s">
        <v>6666</v>
      </c>
    </row>
    <row r="590" spans="1:21" x14ac:dyDescent="0.2">
      <c r="A590" s="47" t="s">
        <v>29</v>
      </c>
    </row>
    <row r="591" spans="1:21" x14ac:dyDescent="0.2">
      <c r="A591" s="47" t="s">
        <v>29</v>
      </c>
      <c r="E591" s="47" t="s">
        <v>30</v>
      </c>
      <c r="F591" s="47" t="s">
        <v>30</v>
      </c>
      <c r="G591" s="47" t="s">
        <v>30</v>
      </c>
      <c r="J591" s="47" t="s">
        <v>30</v>
      </c>
      <c r="K591" s="47" t="s">
        <v>30</v>
      </c>
      <c r="L591" s="47" t="s">
        <v>30</v>
      </c>
      <c r="M591" s="47" t="s">
        <v>30</v>
      </c>
    </row>
    <row r="592" spans="1:21" x14ac:dyDescent="0.2">
      <c r="A592" s="47" t="s">
        <v>29</v>
      </c>
      <c r="D592" s="47" t="s">
        <v>6484</v>
      </c>
      <c r="E592" s="47" t="s">
        <v>4324</v>
      </c>
      <c r="F592" s="47" t="s">
        <v>6485</v>
      </c>
      <c r="H592" s="47" t="s">
        <v>6486</v>
      </c>
      <c r="O592" s="47" t="s">
        <v>10623</v>
      </c>
      <c r="P592" s="47" t="s">
        <v>10624</v>
      </c>
      <c r="Q592" s="47" t="s">
        <v>10625</v>
      </c>
      <c r="R592" s="47" t="s">
        <v>10626</v>
      </c>
      <c r="S592" s="47" t="s">
        <v>10627</v>
      </c>
      <c r="T592" s="47" t="s">
        <v>10628</v>
      </c>
      <c r="U592" s="47" t="s">
        <v>10629</v>
      </c>
    </row>
    <row r="593" spans="1:21" x14ac:dyDescent="0.2">
      <c r="A593" s="47" t="s">
        <v>29</v>
      </c>
      <c r="D593" s="47" t="s">
        <v>3779</v>
      </c>
      <c r="G593" s="47" t="s">
        <v>6487</v>
      </c>
      <c r="H593" s="47" t="s">
        <v>3780</v>
      </c>
      <c r="I593" s="47" t="s">
        <v>3781</v>
      </c>
      <c r="J593" s="47" t="s">
        <v>3782</v>
      </c>
      <c r="K593" s="47" t="s">
        <v>3783</v>
      </c>
      <c r="L593" s="47" t="s">
        <v>3784</v>
      </c>
      <c r="M593" s="47" t="s">
        <v>3785</v>
      </c>
      <c r="N593" s="47" t="s">
        <v>3786</v>
      </c>
      <c r="O593" s="47" t="s">
        <v>3787</v>
      </c>
      <c r="P593" s="47" t="s">
        <v>3788</v>
      </c>
      <c r="Q593" s="47" t="s">
        <v>3789</v>
      </c>
      <c r="R593" s="47" t="s">
        <v>3790</v>
      </c>
      <c r="S593" s="47" t="s">
        <v>3791</v>
      </c>
      <c r="T593" s="47" t="s">
        <v>3792</v>
      </c>
    </row>
    <row r="594" spans="1:21" x14ac:dyDescent="0.2">
      <c r="A594" s="47" t="s">
        <v>29</v>
      </c>
      <c r="D594" s="47" t="s">
        <v>3793</v>
      </c>
      <c r="G594" s="47" t="s">
        <v>8788</v>
      </c>
      <c r="H594" s="47" t="s">
        <v>3794</v>
      </c>
      <c r="I594" s="47" t="s">
        <v>3795</v>
      </c>
      <c r="J594" s="47" t="s">
        <v>3796</v>
      </c>
      <c r="K594" s="47" t="s">
        <v>3797</v>
      </c>
      <c r="L594" s="47" t="s">
        <v>3798</v>
      </c>
      <c r="M594" s="47" t="s">
        <v>3799</v>
      </c>
      <c r="N594" s="47" t="s">
        <v>3800</v>
      </c>
      <c r="O594" s="47" t="s">
        <v>3801</v>
      </c>
      <c r="P594" s="47" t="s">
        <v>3802</v>
      </c>
      <c r="Q594" s="47" t="s">
        <v>3803</v>
      </c>
      <c r="R594" s="47" t="s">
        <v>3804</v>
      </c>
      <c r="S594" s="47" t="s">
        <v>3805</v>
      </c>
      <c r="T594" s="47" t="s">
        <v>3806</v>
      </c>
    </row>
    <row r="595" spans="1:21" x14ac:dyDescent="0.2">
      <c r="A595" s="47" t="s">
        <v>29</v>
      </c>
    </row>
    <row r="596" spans="1:21" x14ac:dyDescent="0.2">
      <c r="A596" s="47" t="s">
        <v>29</v>
      </c>
      <c r="E596" s="47" t="s">
        <v>30</v>
      </c>
      <c r="F596" s="47" t="s">
        <v>30</v>
      </c>
      <c r="G596" s="47" t="s">
        <v>30</v>
      </c>
      <c r="J596" s="47" t="s">
        <v>30</v>
      </c>
      <c r="K596" s="47" t="s">
        <v>30</v>
      </c>
      <c r="L596" s="47" t="s">
        <v>30</v>
      </c>
      <c r="M596" s="47" t="s">
        <v>30</v>
      </c>
    </row>
    <row r="597" spans="1:21" x14ac:dyDescent="0.2">
      <c r="A597" s="47" t="s">
        <v>29</v>
      </c>
      <c r="D597" s="47" t="s">
        <v>9261</v>
      </c>
      <c r="E597" s="47" t="s">
        <v>4325</v>
      </c>
      <c r="F597" s="47" t="s">
        <v>9262</v>
      </c>
      <c r="H597" s="47" t="s">
        <v>9263</v>
      </c>
      <c r="O597" s="47" t="s">
        <v>9264</v>
      </c>
      <c r="P597" s="47" t="s">
        <v>9265</v>
      </c>
      <c r="Q597" s="47" t="s">
        <v>9266</v>
      </c>
      <c r="R597" s="47" t="s">
        <v>9267</v>
      </c>
      <c r="S597" s="47" t="s">
        <v>9268</v>
      </c>
      <c r="T597" s="47" t="s">
        <v>9269</v>
      </c>
      <c r="U597" s="47" t="s">
        <v>9270</v>
      </c>
    </row>
    <row r="598" spans="1:21" x14ac:dyDescent="0.2">
      <c r="A598" s="47" t="s">
        <v>29</v>
      </c>
      <c r="D598" s="47" t="s">
        <v>5532</v>
      </c>
      <c r="G598" s="47" t="s">
        <v>10630</v>
      </c>
      <c r="H598" s="47" t="s">
        <v>5573</v>
      </c>
      <c r="I598" s="47" t="s">
        <v>5575</v>
      </c>
      <c r="J598" s="47" t="s">
        <v>5589</v>
      </c>
      <c r="K598" s="47" t="s">
        <v>5591</v>
      </c>
      <c r="L598" s="47" t="s">
        <v>5533</v>
      </c>
      <c r="M598" s="47" t="s">
        <v>5534</v>
      </c>
      <c r="N598" s="47" t="s">
        <v>5535</v>
      </c>
      <c r="O598" s="47" t="s">
        <v>5577</v>
      </c>
      <c r="P598" s="47" t="s">
        <v>5579</v>
      </c>
      <c r="Q598" s="47" t="s">
        <v>5581</v>
      </c>
      <c r="R598" s="47" t="s">
        <v>5583</v>
      </c>
      <c r="S598" s="47" t="s">
        <v>5585</v>
      </c>
      <c r="T598" s="47" t="s">
        <v>5587</v>
      </c>
    </row>
    <row r="599" spans="1:21" x14ac:dyDescent="0.2">
      <c r="A599" s="47" t="s">
        <v>29</v>
      </c>
      <c r="D599" s="47" t="s">
        <v>5536</v>
      </c>
      <c r="G599" s="47" t="s">
        <v>8789</v>
      </c>
      <c r="H599" s="47" t="s">
        <v>5574</v>
      </c>
      <c r="I599" s="47" t="s">
        <v>5576</v>
      </c>
      <c r="J599" s="47" t="s">
        <v>5590</v>
      </c>
      <c r="K599" s="47" t="s">
        <v>5592</v>
      </c>
      <c r="L599" s="47" t="s">
        <v>5537</v>
      </c>
      <c r="M599" s="47" t="s">
        <v>5538</v>
      </c>
      <c r="N599" s="47" t="s">
        <v>5539</v>
      </c>
      <c r="O599" s="47" t="s">
        <v>5578</v>
      </c>
      <c r="P599" s="47" t="s">
        <v>5580</v>
      </c>
      <c r="Q599" s="47" t="s">
        <v>5582</v>
      </c>
      <c r="R599" s="47" t="s">
        <v>5584</v>
      </c>
      <c r="S599" s="47" t="s">
        <v>5586</v>
      </c>
      <c r="T599" s="47" t="s">
        <v>5588</v>
      </c>
    </row>
    <row r="600" spans="1:21" x14ac:dyDescent="0.2">
      <c r="A600" s="47" t="s">
        <v>29</v>
      </c>
    </row>
    <row r="601" spans="1:21" x14ac:dyDescent="0.2">
      <c r="A601" s="47" t="s">
        <v>29</v>
      </c>
      <c r="E601" s="47" t="s">
        <v>30</v>
      </c>
      <c r="F601" s="47" t="s">
        <v>30</v>
      </c>
      <c r="G601" s="47" t="s">
        <v>30</v>
      </c>
      <c r="J601" s="47" t="s">
        <v>30</v>
      </c>
      <c r="K601" s="47" t="s">
        <v>30</v>
      </c>
      <c r="L601" s="47" t="s">
        <v>30</v>
      </c>
      <c r="M601" s="47" t="s">
        <v>30</v>
      </c>
    </row>
    <row r="602" spans="1:21" x14ac:dyDescent="0.2">
      <c r="A602" s="47" t="s">
        <v>29</v>
      </c>
      <c r="D602" s="47" t="s">
        <v>5540</v>
      </c>
      <c r="E602" s="47" t="s">
        <v>4326</v>
      </c>
      <c r="F602" s="47" t="s">
        <v>5541</v>
      </c>
      <c r="H602" s="47" t="s">
        <v>5542</v>
      </c>
      <c r="O602" s="47" t="s">
        <v>9271</v>
      </c>
      <c r="P602" s="47" t="s">
        <v>9272</v>
      </c>
      <c r="Q602" s="47" t="s">
        <v>9273</v>
      </c>
      <c r="R602" s="47" t="s">
        <v>9274</v>
      </c>
      <c r="S602" s="47" t="s">
        <v>9275</v>
      </c>
      <c r="T602" s="47" t="s">
        <v>9276</v>
      </c>
      <c r="U602" s="47" t="s">
        <v>9277</v>
      </c>
    </row>
    <row r="603" spans="1:21" x14ac:dyDescent="0.2">
      <c r="A603" s="47" t="s">
        <v>29</v>
      </c>
      <c r="D603" s="47" t="s">
        <v>3808</v>
      </c>
      <c r="G603" s="47" t="s">
        <v>10631</v>
      </c>
      <c r="H603" s="47" t="s">
        <v>3809</v>
      </c>
      <c r="I603" s="47" t="s">
        <v>3810</v>
      </c>
      <c r="J603" s="47" t="s">
        <v>3811</v>
      </c>
      <c r="K603" s="47" t="s">
        <v>3812</v>
      </c>
      <c r="L603" s="47" t="s">
        <v>3813</v>
      </c>
      <c r="M603" s="47" t="s">
        <v>3814</v>
      </c>
      <c r="N603" s="47" t="s">
        <v>3815</v>
      </c>
      <c r="O603" s="47" t="s">
        <v>8848</v>
      </c>
      <c r="P603" s="47" t="s">
        <v>8850</v>
      </c>
      <c r="Q603" s="47" t="s">
        <v>8852</v>
      </c>
      <c r="R603" s="47" t="s">
        <v>8854</v>
      </c>
      <c r="S603" s="47" t="s">
        <v>8856</v>
      </c>
      <c r="T603" s="47" t="s">
        <v>8858</v>
      </c>
    </row>
    <row r="604" spans="1:21" x14ac:dyDescent="0.2">
      <c r="A604" s="47" t="s">
        <v>29</v>
      </c>
      <c r="D604" s="47" t="s">
        <v>3816</v>
      </c>
      <c r="G604" s="47" t="s">
        <v>8790</v>
      </c>
      <c r="H604" s="47" t="s">
        <v>3817</v>
      </c>
      <c r="I604" s="47" t="s">
        <v>3818</v>
      </c>
      <c r="J604" s="47" t="s">
        <v>3819</v>
      </c>
      <c r="K604" s="47" t="s">
        <v>3820</v>
      </c>
      <c r="L604" s="47" t="s">
        <v>3821</v>
      </c>
      <c r="M604" s="47" t="s">
        <v>3822</v>
      </c>
      <c r="N604" s="47" t="s">
        <v>3823</v>
      </c>
      <c r="O604" s="47" t="s">
        <v>8849</v>
      </c>
      <c r="P604" s="47" t="s">
        <v>8851</v>
      </c>
      <c r="Q604" s="47" t="s">
        <v>8853</v>
      </c>
      <c r="R604" s="47" t="s">
        <v>8855</v>
      </c>
      <c r="S604" s="47" t="s">
        <v>8857</v>
      </c>
      <c r="T604" s="47" t="s">
        <v>8859</v>
      </c>
    </row>
    <row r="605" spans="1:21" x14ac:dyDescent="0.2">
      <c r="A605" s="47" t="s">
        <v>29</v>
      </c>
      <c r="D605" s="47" t="s">
        <v>3824</v>
      </c>
      <c r="G605" s="47" t="s">
        <v>8791</v>
      </c>
      <c r="H605" s="47" t="s">
        <v>3825</v>
      </c>
      <c r="I605" s="47" t="s">
        <v>3826</v>
      </c>
      <c r="J605" s="47" t="s">
        <v>3827</v>
      </c>
      <c r="K605" s="47" t="s">
        <v>3828</v>
      </c>
      <c r="L605" s="47" t="s">
        <v>3829</v>
      </c>
      <c r="M605" s="47" t="s">
        <v>3830</v>
      </c>
      <c r="N605" s="47" t="s">
        <v>3831</v>
      </c>
      <c r="O605" s="47" t="s">
        <v>3832</v>
      </c>
      <c r="P605" s="47" t="s">
        <v>3833</v>
      </c>
      <c r="Q605" s="47" t="s">
        <v>3834</v>
      </c>
      <c r="R605" s="47" t="s">
        <v>3835</v>
      </c>
      <c r="S605" s="47" t="s">
        <v>3836</v>
      </c>
      <c r="T605" s="47" t="s">
        <v>3837</v>
      </c>
    </row>
    <row r="606" spans="1:21" x14ac:dyDescent="0.2">
      <c r="A606" s="47" t="s">
        <v>29</v>
      </c>
    </row>
    <row r="607" spans="1:21" x14ac:dyDescent="0.2">
      <c r="A607" s="47" t="s">
        <v>29</v>
      </c>
      <c r="E607" s="47" t="s">
        <v>30</v>
      </c>
      <c r="F607" s="47" t="s">
        <v>30</v>
      </c>
      <c r="G607" s="47" t="s">
        <v>30</v>
      </c>
      <c r="J607" s="47" t="s">
        <v>30</v>
      </c>
      <c r="K607" s="47" t="s">
        <v>30</v>
      </c>
      <c r="L607" s="47" t="s">
        <v>30</v>
      </c>
      <c r="M607" s="47" t="s">
        <v>30</v>
      </c>
    </row>
    <row r="608" spans="1:21" x14ac:dyDescent="0.2">
      <c r="A608" s="47" t="s">
        <v>29</v>
      </c>
      <c r="D608" s="47" t="s">
        <v>8407</v>
      </c>
      <c r="E608" s="47" t="s">
        <v>4327</v>
      </c>
      <c r="F608" s="47" t="s">
        <v>8408</v>
      </c>
      <c r="H608" s="47" t="s">
        <v>8409</v>
      </c>
      <c r="O608" s="47" t="s">
        <v>10632</v>
      </c>
      <c r="P608" s="47" t="s">
        <v>10633</v>
      </c>
      <c r="Q608" s="47" t="s">
        <v>10634</v>
      </c>
      <c r="R608" s="47" t="s">
        <v>10635</v>
      </c>
      <c r="S608" s="47" t="s">
        <v>10636</v>
      </c>
      <c r="T608" s="47" t="s">
        <v>10637</v>
      </c>
      <c r="U608" s="47" t="s">
        <v>10638</v>
      </c>
    </row>
    <row r="609" spans="1:21" x14ac:dyDescent="0.2">
      <c r="A609" s="47" t="s">
        <v>29</v>
      </c>
      <c r="D609" s="47" t="s">
        <v>3838</v>
      </c>
      <c r="G609" s="47" t="s">
        <v>10639</v>
      </c>
      <c r="H609" s="47" t="s">
        <v>3839</v>
      </c>
      <c r="I609" s="47" t="s">
        <v>3840</v>
      </c>
      <c r="J609" s="47" t="s">
        <v>3841</v>
      </c>
      <c r="K609" s="47" t="s">
        <v>3842</v>
      </c>
      <c r="L609" s="47" t="s">
        <v>3843</v>
      </c>
      <c r="M609" s="47" t="s">
        <v>3844</v>
      </c>
      <c r="N609" s="47" t="s">
        <v>3845</v>
      </c>
      <c r="O609" s="47" t="s">
        <v>3846</v>
      </c>
      <c r="P609" s="47" t="s">
        <v>3847</v>
      </c>
      <c r="Q609" s="47" t="s">
        <v>3848</v>
      </c>
      <c r="R609" s="47" t="s">
        <v>3849</v>
      </c>
      <c r="S609" s="47" t="s">
        <v>3850</v>
      </c>
      <c r="T609" s="47" t="s">
        <v>3851</v>
      </c>
    </row>
    <row r="610" spans="1:21" x14ac:dyDescent="0.2">
      <c r="A610" s="47" t="s">
        <v>29</v>
      </c>
      <c r="D610" s="47" t="s">
        <v>3852</v>
      </c>
      <c r="G610" s="47" t="s">
        <v>8792</v>
      </c>
      <c r="H610" s="47" t="s">
        <v>3853</v>
      </c>
      <c r="I610" s="47" t="s">
        <v>3854</v>
      </c>
      <c r="J610" s="47" t="s">
        <v>3855</v>
      </c>
      <c r="K610" s="47" t="s">
        <v>3856</v>
      </c>
      <c r="L610" s="47" t="s">
        <v>3857</v>
      </c>
      <c r="M610" s="47" t="s">
        <v>3858</v>
      </c>
      <c r="N610" s="47" t="s">
        <v>3859</v>
      </c>
      <c r="O610" s="47" t="s">
        <v>3860</v>
      </c>
      <c r="P610" s="47" t="s">
        <v>3861</v>
      </c>
      <c r="Q610" s="47" t="s">
        <v>3862</v>
      </c>
      <c r="R610" s="47" t="s">
        <v>3863</v>
      </c>
      <c r="S610" s="47" t="s">
        <v>3864</v>
      </c>
      <c r="T610" s="47" t="s">
        <v>3865</v>
      </c>
    </row>
    <row r="611" spans="1:21" x14ac:dyDescent="0.2">
      <c r="A611" s="47" t="s">
        <v>29</v>
      </c>
    </row>
    <row r="612" spans="1:21" x14ac:dyDescent="0.2">
      <c r="A612" s="47" t="s">
        <v>29</v>
      </c>
      <c r="E612" s="47" t="s">
        <v>30</v>
      </c>
      <c r="F612" s="47" t="s">
        <v>30</v>
      </c>
      <c r="G612" s="47" t="s">
        <v>30</v>
      </c>
      <c r="J612" s="47" t="s">
        <v>30</v>
      </c>
      <c r="K612" s="47" t="s">
        <v>30</v>
      </c>
      <c r="L612" s="47" t="s">
        <v>30</v>
      </c>
      <c r="M612" s="47" t="s">
        <v>30</v>
      </c>
    </row>
    <row r="613" spans="1:21" x14ac:dyDescent="0.2">
      <c r="A613" s="47" t="s">
        <v>29</v>
      </c>
      <c r="D613" s="47" t="s">
        <v>8177</v>
      </c>
      <c r="E613" s="47" t="s">
        <v>4328</v>
      </c>
      <c r="F613" s="47" t="s">
        <v>8178</v>
      </c>
      <c r="H613" s="47" t="s">
        <v>8179</v>
      </c>
      <c r="O613" s="47" t="s">
        <v>10640</v>
      </c>
      <c r="P613" s="47" t="s">
        <v>10641</v>
      </c>
      <c r="Q613" s="47" t="s">
        <v>10642</v>
      </c>
      <c r="R613" s="47" t="s">
        <v>10643</v>
      </c>
      <c r="S613" s="47" t="s">
        <v>10644</v>
      </c>
      <c r="T613" s="47" t="s">
        <v>10645</v>
      </c>
      <c r="U613" s="47" t="s">
        <v>10646</v>
      </c>
    </row>
    <row r="614" spans="1:21" x14ac:dyDescent="0.2">
      <c r="A614" s="47" t="s">
        <v>29</v>
      </c>
      <c r="D614" s="47" t="s">
        <v>5543</v>
      </c>
      <c r="G614" s="47" t="s">
        <v>10647</v>
      </c>
      <c r="H614" s="47" t="s">
        <v>5569</v>
      </c>
      <c r="I614" s="47" t="s">
        <v>5570</v>
      </c>
      <c r="J614" s="47" t="s">
        <v>5571</v>
      </c>
      <c r="K614" s="47" t="s">
        <v>5572</v>
      </c>
      <c r="L614" s="47" t="s">
        <v>5544</v>
      </c>
      <c r="M614" s="47" t="s">
        <v>5545</v>
      </c>
      <c r="N614" s="47" t="s">
        <v>5546</v>
      </c>
      <c r="O614" s="47" t="s">
        <v>8836</v>
      </c>
      <c r="P614" s="47" t="s">
        <v>8838</v>
      </c>
      <c r="Q614" s="47" t="s">
        <v>8840</v>
      </c>
      <c r="R614" s="47" t="s">
        <v>8842</v>
      </c>
      <c r="S614" s="47" t="s">
        <v>8844</v>
      </c>
      <c r="T614" s="47" t="s">
        <v>8846</v>
      </c>
    </row>
    <row r="615" spans="1:21" x14ac:dyDescent="0.2">
      <c r="A615" s="47" t="s">
        <v>29</v>
      </c>
      <c r="D615" s="47" t="s">
        <v>7722</v>
      </c>
      <c r="G615" s="47" t="s">
        <v>8793</v>
      </c>
      <c r="H615" s="47" t="s">
        <v>7729</v>
      </c>
      <c r="I615" s="47" t="s">
        <v>7730</v>
      </c>
      <c r="J615" s="47" t="s">
        <v>7731</v>
      </c>
      <c r="K615" s="47" t="s">
        <v>7732</v>
      </c>
      <c r="L615" s="47" t="s">
        <v>7723</v>
      </c>
      <c r="M615" s="47" t="s">
        <v>7724</v>
      </c>
      <c r="N615" s="47" t="s">
        <v>7725</v>
      </c>
      <c r="O615" s="47" t="s">
        <v>8837</v>
      </c>
      <c r="P615" s="47" t="s">
        <v>8839</v>
      </c>
      <c r="Q615" s="47" t="s">
        <v>8841</v>
      </c>
      <c r="R615" s="47" t="s">
        <v>8843</v>
      </c>
      <c r="S615" s="47" t="s">
        <v>8845</v>
      </c>
      <c r="T615" s="47" t="s">
        <v>8847</v>
      </c>
    </row>
    <row r="616" spans="1:21" x14ac:dyDescent="0.2">
      <c r="A616" s="47" t="s">
        <v>29</v>
      </c>
    </row>
    <row r="617" spans="1:21" x14ac:dyDescent="0.2">
      <c r="A617" s="47" t="s">
        <v>29</v>
      </c>
      <c r="E617" s="47" t="s">
        <v>30</v>
      </c>
      <c r="F617" s="47" t="s">
        <v>30</v>
      </c>
      <c r="G617" s="47" t="s">
        <v>30</v>
      </c>
      <c r="J617" s="47" t="s">
        <v>30</v>
      </c>
      <c r="K617" s="47" t="s">
        <v>30</v>
      </c>
      <c r="L617" s="47" t="s">
        <v>30</v>
      </c>
      <c r="M617" s="47" t="s">
        <v>30</v>
      </c>
    </row>
    <row r="618" spans="1:21" x14ac:dyDescent="0.2">
      <c r="A618" s="47" t="s">
        <v>29</v>
      </c>
      <c r="D618" s="47" t="s">
        <v>10648</v>
      </c>
      <c r="E618" s="47" t="s">
        <v>4329</v>
      </c>
      <c r="F618" s="47" t="s">
        <v>10649</v>
      </c>
      <c r="H618" s="47" t="s">
        <v>10650</v>
      </c>
      <c r="O618" s="47" t="s">
        <v>10651</v>
      </c>
      <c r="P618" s="47" t="s">
        <v>10652</v>
      </c>
      <c r="Q618" s="47" t="s">
        <v>10653</v>
      </c>
      <c r="R618" s="47" t="s">
        <v>10654</v>
      </c>
      <c r="S618" s="47" t="s">
        <v>10655</v>
      </c>
      <c r="T618" s="47" t="s">
        <v>10656</v>
      </c>
      <c r="U618" s="47" t="s">
        <v>10657</v>
      </c>
    </row>
    <row r="619" spans="1:21" x14ac:dyDescent="0.2">
      <c r="A619" s="47" t="s">
        <v>29</v>
      </c>
      <c r="D619" s="47" t="s">
        <v>3867</v>
      </c>
      <c r="G619" s="47" t="s">
        <v>10658</v>
      </c>
      <c r="H619" s="47" t="s">
        <v>3868</v>
      </c>
      <c r="I619" s="47" t="s">
        <v>3869</v>
      </c>
      <c r="J619" s="47" t="s">
        <v>3870</v>
      </c>
      <c r="K619" s="47" t="s">
        <v>3871</v>
      </c>
      <c r="L619" s="47" t="s">
        <v>3872</v>
      </c>
      <c r="M619" s="47" t="s">
        <v>3873</v>
      </c>
      <c r="N619" s="47" t="s">
        <v>3874</v>
      </c>
      <c r="O619" s="47" t="s">
        <v>3875</v>
      </c>
      <c r="P619" s="47" t="s">
        <v>3876</v>
      </c>
      <c r="Q619" s="47" t="s">
        <v>3877</v>
      </c>
      <c r="R619" s="47" t="s">
        <v>3878</v>
      </c>
      <c r="S619" s="47" t="s">
        <v>3879</v>
      </c>
      <c r="T619" s="47" t="s">
        <v>3880</v>
      </c>
    </row>
    <row r="620" spans="1:21" x14ac:dyDescent="0.2">
      <c r="A620" s="47" t="s">
        <v>29</v>
      </c>
      <c r="D620" s="47" t="s">
        <v>3881</v>
      </c>
      <c r="G620" s="47" t="s">
        <v>8794</v>
      </c>
      <c r="H620" s="47" t="s">
        <v>3882</v>
      </c>
      <c r="I620" s="47" t="s">
        <v>3883</v>
      </c>
      <c r="J620" s="47" t="s">
        <v>3884</v>
      </c>
      <c r="K620" s="47" t="s">
        <v>3885</v>
      </c>
      <c r="L620" s="47" t="s">
        <v>3886</v>
      </c>
      <c r="M620" s="47" t="s">
        <v>3887</v>
      </c>
      <c r="N620" s="47" t="s">
        <v>3888</v>
      </c>
      <c r="O620" s="47" t="s">
        <v>3889</v>
      </c>
      <c r="P620" s="47" t="s">
        <v>3890</v>
      </c>
      <c r="Q620" s="47" t="s">
        <v>3891</v>
      </c>
      <c r="R620" s="47" t="s">
        <v>3892</v>
      </c>
      <c r="S620" s="47" t="s">
        <v>3893</v>
      </c>
      <c r="T620" s="47" t="s">
        <v>3894</v>
      </c>
    </row>
    <row r="621" spans="1:21" x14ac:dyDescent="0.2">
      <c r="A621" s="47" t="s">
        <v>29</v>
      </c>
      <c r="D621" s="47" t="s">
        <v>3895</v>
      </c>
      <c r="G621" s="47" t="s">
        <v>8795</v>
      </c>
      <c r="H621" s="47" t="s">
        <v>3896</v>
      </c>
      <c r="I621" s="47" t="s">
        <v>3897</v>
      </c>
      <c r="J621" s="47" t="s">
        <v>3898</v>
      </c>
      <c r="K621" s="47" t="s">
        <v>3899</v>
      </c>
      <c r="L621" s="47" t="s">
        <v>3900</v>
      </c>
      <c r="M621" s="47" t="s">
        <v>3901</v>
      </c>
      <c r="N621" s="47" t="s">
        <v>3902</v>
      </c>
      <c r="O621" s="47" t="s">
        <v>3903</v>
      </c>
      <c r="P621" s="47" t="s">
        <v>3904</v>
      </c>
      <c r="Q621" s="47" t="s">
        <v>3905</v>
      </c>
      <c r="R621" s="47" t="s">
        <v>3906</v>
      </c>
      <c r="S621" s="47" t="s">
        <v>3907</v>
      </c>
      <c r="T621" s="47" t="s">
        <v>3908</v>
      </c>
    </row>
    <row r="622" spans="1:21" x14ac:dyDescent="0.2">
      <c r="A622" s="47" t="s">
        <v>29</v>
      </c>
      <c r="D622" s="47" t="s">
        <v>3909</v>
      </c>
      <c r="G622" s="47" t="s">
        <v>8796</v>
      </c>
      <c r="H622" s="47" t="s">
        <v>3910</v>
      </c>
      <c r="I622" s="47" t="s">
        <v>3911</v>
      </c>
      <c r="J622" s="47" t="s">
        <v>3912</v>
      </c>
      <c r="K622" s="47" t="s">
        <v>3913</v>
      </c>
      <c r="L622" s="47" t="s">
        <v>3914</v>
      </c>
      <c r="M622" s="47" t="s">
        <v>3915</v>
      </c>
      <c r="N622" s="47" t="s">
        <v>3916</v>
      </c>
      <c r="O622" s="47" t="s">
        <v>3917</v>
      </c>
      <c r="P622" s="47" t="s">
        <v>3918</v>
      </c>
      <c r="Q622" s="47" t="s">
        <v>3919</v>
      </c>
      <c r="R622" s="47" t="s">
        <v>3920</v>
      </c>
      <c r="S622" s="47" t="s">
        <v>3921</v>
      </c>
      <c r="T622" s="47" t="s">
        <v>3922</v>
      </c>
    </row>
    <row r="623" spans="1:21" x14ac:dyDescent="0.2">
      <c r="A623" s="47" t="s">
        <v>29</v>
      </c>
      <c r="D623" s="47" t="s">
        <v>3923</v>
      </c>
      <c r="G623" s="47" t="s">
        <v>8797</v>
      </c>
      <c r="H623" s="47" t="s">
        <v>3924</v>
      </c>
      <c r="I623" s="47" t="s">
        <v>3925</v>
      </c>
      <c r="J623" s="47" t="s">
        <v>3926</v>
      </c>
      <c r="K623" s="47" t="s">
        <v>3927</v>
      </c>
      <c r="L623" s="47" t="s">
        <v>3928</v>
      </c>
      <c r="M623" s="47" t="s">
        <v>3929</v>
      </c>
      <c r="N623" s="47" t="s">
        <v>3930</v>
      </c>
      <c r="O623" s="47" t="s">
        <v>3931</v>
      </c>
      <c r="P623" s="47" t="s">
        <v>3932</v>
      </c>
      <c r="Q623" s="47" t="s">
        <v>3933</v>
      </c>
      <c r="R623" s="47" t="s">
        <v>3934</v>
      </c>
      <c r="S623" s="47" t="s">
        <v>3935</v>
      </c>
      <c r="T623" s="47" t="s">
        <v>3936</v>
      </c>
    </row>
    <row r="624" spans="1:21" x14ac:dyDescent="0.2">
      <c r="A624" s="47" t="s">
        <v>29</v>
      </c>
    </row>
    <row r="625" spans="1:21" x14ac:dyDescent="0.2">
      <c r="A625" s="47" t="s">
        <v>29</v>
      </c>
      <c r="E625" s="47" t="s">
        <v>30</v>
      </c>
      <c r="F625" s="47" t="s">
        <v>30</v>
      </c>
      <c r="G625" s="47" t="s">
        <v>30</v>
      </c>
      <c r="J625" s="47" t="s">
        <v>30</v>
      </c>
      <c r="K625" s="47" t="s">
        <v>30</v>
      </c>
      <c r="L625" s="47" t="s">
        <v>30</v>
      </c>
      <c r="M625" s="47" t="s">
        <v>30</v>
      </c>
    </row>
    <row r="626" spans="1:21" x14ac:dyDescent="0.2">
      <c r="A626" s="47" t="s">
        <v>29</v>
      </c>
      <c r="D626" s="47" t="s">
        <v>10659</v>
      </c>
      <c r="E626" s="47" t="s">
        <v>4330</v>
      </c>
      <c r="F626" s="47" t="s">
        <v>10660</v>
      </c>
      <c r="H626" s="47" t="s">
        <v>10661</v>
      </c>
      <c r="O626" s="47" t="s">
        <v>10662</v>
      </c>
      <c r="P626" s="47" t="s">
        <v>10663</v>
      </c>
      <c r="Q626" s="47" t="s">
        <v>10664</v>
      </c>
      <c r="R626" s="47" t="s">
        <v>10665</v>
      </c>
      <c r="S626" s="47" t="s">
        <v>10666</v>
      </c>
      <c r="T626" s="47" t="s">
        <v>10667</v>
      </c>
      <c r="U626" s="47" t="s">
        <v>10668</v>
      </c>
    </row>
    <row r="627" spans="1:21" x14ac:dyDescent="0.2">
      <c r="A627" s="47" t="s">
        <v>29</v>
      </c>
      <c r="D627" s="47" t="s">
        <v>6488</v>
      </c>
      <c r="G627" s="47" t="s">
        <v>10669</v>
      </c>
      <c r="H627" s="47" t="s">
        <v>6633</v>
      </c>
      <c r="I627" s="47" t="s">
        <v>6634</v>
      </c>
      <c r="J627" s="47" t="s">
        <v>6641</v>
      </c>
      <c r="K627" s="47" t="s">
        <v>6642</v>
      </c>
      <c r="L627" s="47" t="s">
        <v>6489</v>
      </c>
      <c r="M627" s="47" t="s">
        <v>6490</v>
      </c>
      <c r="N627" s="47" t="s">
        <v>6491</v>
      </c>
      <c r="O627" s="47" t="s">
        <v>6635</v>
      </c>
      <c r="P627" s="47" t="s">
        <v>6636</v>
      </c>
      <c r="Q627" s="47" t="s">
        <v>6637</v>
      </c>
      <c r="R627" s="47" t="s">
        <v>6638</v>
      </c>
      <c r="S627" s="47" t="s">
        <v>6639</v>
      </c>
      <c r="T627" s="47" t="s">
        <v>6640</v>
      </c>
    </row>
    <row r="628" spans="1:21" x14ac:dyDescent="0.2">
      <c r="A628" s="47" t="s">
        <v>29</v>
      </c>
      <c r="D628" s="47" t="s">
        <v>8180</v>
      </c>
      <c r="G628" s="47" t="s">
        <v>8798</v>
      </c>
      <c r="H628" s="47" t="s">
        <v>8201</v>
      </c>
      <c r="I628" s="47" t="s">
        <v>8202</v>
      </c>
      <c r="J628" s="47" t="s">
        <v>8203</v>
      </c>
      <c r="K628" s="47" t="s">
        <v>8204</v>
      </c>
      <c r="L628" s="47" t="s">
        <v>8181</v>
      </c>
      <c r="M628" s="47" t="s">
        <v>8182</v>
      </c>
      <c r="N628" s="47" t="s">
        <v>8183</v>
      </c>
      <c r="O628" s="47" t="s">
        <v>10670</v>
      </c>
      <c r="P628" s="47" t="s">
        <v>10671</v>
      </c>
      <c r="Q628" s="47" t="s">
        <v>10672</v>
      </c>
      <c r="R628" s="47" t="s">
        <v>10673</v>
      </c>
      <c r="S628" s="47" t="s">
        <v>10674</v>
      </c>
      <c r="T628" s="47" t="s">
        <v>10675</v>
      </c>
    </row>
    <row r="629" spans="1:21" x14ac:dyDescent="0.2">
      <c r="A629" s="47" t="s">
        <v>29</v>
      </c>
    </row>
    <row r="630" spans="1:21" x14ac:dyDescent="0.2">
      <c r="A630" s="47" t="s">
        <v>29</v>
      </c>
      <c r="E630" s="47" t="s">
        <v>30</v>
      </c>
      <c r="F630" s="47" t="s">
        <v>30</v>
      </c>
      <c r="G630" s="47" t="s">
        <v>30</v>
      </c>
      <c r="J630" s="47" t="s">
        <v>30</v>
      </c>
      <c r="K630" s="47" t="s">
        <v>30</v>
      </c>
      <c r="L630" s="47" t="s">
        <v>30</v>
      </c>
      <c r="M630" s="47" t="s">
        <v>30</v>
      </c>
    </row>
    <row r="631" spans="1:21" x14ac:dyDescent="0.2">
      <c r="A631" s="47" t="s">
        <v>29</v>
      </c>
      <c r="D631" s="47" t="s">
        <v>10676</v>
      </c>
      <c r="E631" s="47" t="s">
        <v>4331</v>
      </c>
      <c r="F631" s="47" t="s">
        <v>10677</v>
      </c>
      <c r="H631" s="47" t="s">
        <v>10678</v>
      </c>
      <c r="O631" s="47" t="s">
        <v>10679</v>
      </c>
      <c r="P631" s="47" t="s">
        <v>10680</v>
      </c>
      <c r="Q631" s="47" t="s">
        <v>10681</v>
      </c>
      <c r="R631" s="47" t="s">
        <v>10682</v>
      </c>
      <c r="S631" s="47" t="s">
        <v>10683</v>
      </c>
      <c r="T631" s="47" t="s">
        <v>10684</v>
      </c>
      <c r="U631" s="47" t="s">
        <v>10685</v>
      </c>
    </row>
    <row r="632" spans="1:21" x14ac:dyDescent="0.2">
      <c r="A632" s="47" t="s">
        <v>29</v>
      </c>
      <c r="D632" s="47" t="s">
        <v>3938</v>
      </c>
      <c r="G632" s="47" t="s">
        <v>10686</v>
      </c>
      <c r="H632" s="47" t="s">
        <v>3939</v>
      </c>
      <c r="I632" s="47" t="s">
        <v>3940</v>
      </c>
      <c r="J632" s="47" t="s">
        <v>3941</v>
      </c>
      <c r="K632" s="47" t="s">
        <v>3942</v>
      </c>
      <c r="L632" s="47" t="s">
        <v>3943</v>
      </c>
      <c r="M632" s="47" t="s">
        <v>3944</v>
      </c>
      <c r="N632" s="47" t="s">
        <v>3945</v>
      </c>
      <c r="O632" s="47" t="s">
        <v>3946</v>
      </c>
      <c r="P632" s="47" t="s">
        <v>3947</v>
      </c>
      <c r="Q632" s="47" t="s">
        <v>3948</v>
      </c>
      <c r="R632" s="47" t="s">
        <v>3949</v>
      </c>
      <c r="S632" s="47" t="s">
        <v>3950</v>
      </c>
      <c r="T632" s="47" t="s">
        <v>3951</v>
      </c>
    </row>
    <row r="633" spans="1:21" x14ac:dyDescent="0.2">
      <c r="A633" s="47" t="s">
        <v>29</v>
      </c>
      <c r="D633" s="47" t="s">
        <v>3952</v>
      </c>
      <c r="G633" s="47" t="s">
        <v>8799</v>
      </c>
      <c r="H633" s="47" t="s">
        <v>3953</v>
      </c>
      <c r="I633" s="47" t="s">
        <v>3954</v>
      </c>
      <c r="J633" s="47" t="s">
        <v>3955</v>
      </c>
      <c r="K633" s="47" t="s">
        <v>3956</v>
      </c>
      <c r="L633" s="47" t="s">
        <v>3957</v>
      </c>
      <c r="M633" s="47" t="s">
        <v>3958</v>
      </c>
      <c r="N633" s="47" t="s">
        <v>3959</v>
      </c>
      <c r="O633" s="47" t="s">
        <v>3960</v>
      </c>
      <c r="P633" s="47" t="s">
        <v>3961</v>
      </c>
      <c r="Q633" s="47" t="s">
        <v>3962</v>
      </c>
      <c r="R633" s="47" t="s">
        <v>3963</v>
      </c>
      <c r="S633" s="47" t="s">
        <v>3964</v>
      </c>
      <c r="T633" s="47" t="s">
        <v>3965</v>
      </c>
    </row>
    <row r="634" spans="1:21" x14ac:dyDescent="0.2">
      <c r="A634" s="47" t="s">
        <v>29</v>
      </c>
      <c r="D634" s="47" t="s">
        <v>3966</v>
      </c>
      <c r="G634" s="47" t="s">
        <v>8800</v>
      </c>
      <c r="H634" s="47" t="s">
        <v>3967</v>
      </c>
      <c r="I634" s="47" t="s">
        <v>3968</v>
      </c>
      <c r="J634" s="47" t="s">
        <v>3969</v>
      </c>
      <c r="K634" s="47" t="s">
        <v>3970</v>
      </c>
      <c r="L634" s="47" t="s">
        <v>3971</v>
      </c>
      <c r="M634" s="47" t="s">
        <v>3972</v>
      </c>
      <c r="N634" s="47" t="s">
        <v>3973</v>
      </c>
      <c r="O634" s="47" t="s">
        <v>3974</v>
      </c>
      <c r="P634" s="47" t="s">
        <v>3975</v>
      </c>
      <c r="Q634" s="47" t="s">
        <v>3976</v>
      </c>
      <c r="R634" s="47" t="s">
        <v>3977</v>
      </c>
      <c r="S634" s="47" t="s">
        <v>3978</v>
      </c>
      <c r="T634" s="47" t="s">
        <v>3979</v>
      </c>
    </row>
    <row r="635" spans="1:21" x14ac:dyDescent="0.2">
      <c r="A635" s="47" t="s">
        <v>29</v>
      </c>
      <c r="D635" s="47" t="s">
        <v>3980</v>
      </c>
      <c r="G635" s="47" t="s">
        <v>8801</v>
      </c>
      <c r="H635" s="47" t="s">
        <v>3981</v>
      </c>
      <c r="I635" s="47" t="s">
        <v>3982</v>
      </c>
      <c r="J635" s="47" t="s">
        <v>3983</v>
      </c>
      <c r="K635" s="47" t="s">
        <v>3984</v>
      </c>
      <c r="L635" s="47" t="s">
        <v>3985</v>
      </c>
      <c r="M635" s="47" t="s">
        <v>3986</v>
      </c>
      <c r="N635" s="47" t="s">
        <v>3987</v>
      </c>
      <c r="O635" s="47" t="s">
        <v>3988</v>
      </c>
      <c r="P635" s="47" t="s">
        <v>3989</v>
      </c>
      <c r="Q635" s="47" t="s">
        <v>3990</v>
      </c>
      <c r="R635" s="47" t="s">
        <v>3991</v>
      </c>
      <c r="S635" s="47" t="s">
        <v>3992</v>
      </c>
      <c r="T635" s="47" t="s">
        <v>3993</v>
      </c>
    </row>
    <row r="636" spans="1:21" x14ac:dyDescent="0.2">
      <c r="A636" s="47" t="s">
        <v>29</v>
      </c>
      <c r="D636" s="47" t="s">
        <v>3994</v>
      </c>
      <c r="G636" s="47" t="s">
        <v>8802</v>
      </c>
      <c r="H636" s="47" t="s">
        <v>3995</v>
      </c>
      <c r="I636" s="47" t="s">
        <v>3996</v>
      </c>
      <c r="J636" s="47" t="s">
        <v>3997</v>
      </c>
      <c r="K636" s="47" t="s">
        <v>3998</v>
      </c>
      <c r="L636" s="47" t="s">
        <v>3999</v>
      </c>
      <c r="M636" s="47" t="s">
        <v>4000</v>
      </c>
      <c r="N636" s="47" t="s">
        <v>4001</v>
      </c>
      <c r="O636" s="47" t="s">
        <v>4002</v>
      </c>
      <c r="P636" s="47" t="s">
        <v>4003</v>
      </c>
      <c r="Q636" s="47" t="s">
        <v>4004</v>
      </c>
      <c r="R636" s="47" t="s">
        <v>4005</v>
      </c>
      <c r="S636" s="47" t="s">
        <v>4006</v>
      </c>
      <c r="T636" s="47" t="s">
        <v>4007</v>
      </c>
    </row>
    <row r="637" spans="1:21" x14ac:dyDescent="0.2">
      <c r="A637" s="47" t="s">
        <v>29</v>
      </c>
      <c r="D637" s="47" t="s">
        <v>4008</v>
      </c>
      <c r="G637" s="47" t="s">
        <v>8803</v>
      </c>
      <c r="H637" s="47" t="s">
        <v>4009</v>
      </c>
      <c r="I637" s="47" t="s">
        <v>4010</v>
      </c>
      <c r="J637" s="47" t="s">
        <v>4011</v>
      </c>
      <c r="K637" s="47" t="s">
        <v>4012</v>
      </c>
      <c r="L637" s="47" t="s">
        <v>4013</v>
      </c>
      <c r="M637" s="47" t="s">
        <v>4014</v>
      </c>
      <c r="N637" s="47" t="s">
        <v>4015</v>
      </c>
      <c r="O637" s="47" t="s">
        <v>4016</v>
      </c>
      <c r="P637" s="47" t="s">
        <v>4017</v>
      </c>
      <c r="Q637" s="47" t="s">
        <v>4018</v>
      </c>
      <c r="R637" s="47" t="s">
        <v>4019</v>
      </c>
      <c r="S637" s="47" t="s">
        <v>4020</v>
      </c>
      <c r="T637" s="47" t="s">
        <v>4021</v>
      </c>
    </row>
    <row r="638" spans="1:21" x14ac:dyDescent="0.2">
      <c r="A638" s="47" t="s">
        <v>29</v>
      </c>
    </row>
    <row r="639" spans="1:21" x14ac:dyDescent="0.2">
      <c r="A639" s="47" t="s">
        <v>29</v>
      </c>
      <c r="E639" s="47" t="s">
        <v>30</v>
      </c>
      <c r="F639" s="47" t="s">
        <v>30</v>
      </c>
      <c r="G639" s="47" t="s">
        <v>30</v>
      </c>
      <c r="J639" s="47" t="s">
        <v>30</v>
      </c>
      <c r="K639" s="47" t="s">
        <v>30</v>
      </c>
      <c r="L639" s="47" t="s">
        <v>30</v>
      </c>
      <c r="M639" s="47" t="s">
        <v>30</v>
      </c>
    </row>
    <row r="640" spans="1:21" x14ac:dyDescent="0.2">
      <c r="A640" s="47" t="s">
        <v>29</v>
      </c>
      <c r="D640" s="47" t="s">
        <v>7726</v>
      </c>
      <c r="E640" s="47" t="s">
        <v>4332</v>
      </c>
      <c r="F640" s="47" t="s">
        <v>7727</v>
      </c>
      <c r="H640" s="47" t="s">
        <v>7728</v>
      </c>
      <c r="O640" s="47" t="s">
        <v>10687</v>
      </c>
      <c r="P640" s="47" t="s">
        <v>10688</v>
      </c>
      <c r="Q640" s="47" t="s">
        <v>10689</v>
      </c>
      <c r="R640" s="47" t="s">
        <v>10690</v>
      </c>
      <c r="S640" s="47" t="s">
        <v>10691</v>
      </c>
      <c r="T640" s="47" t="s">
        <v>10692</v>
      </c>
      <c r="U640" s="47" t="s">
        <v>10693</v>
      </c>
    </row>
    <row r="641" spans="1:21" x14ac:dyDescent="0.2">
      <c r="A641" s="47" t="s">
        <v>29</v>
      </c>
      <c r="D641" s="47" t="s">
        <v>4023</v>
      </c>
      <c r="G641" s="47" t="s">
        <v>8690</v>
      </c>
      <c r="H641" s="47" t="s">
        <v>4024</v>
      </c>
      <c r="I641" s="47" t="s">
        <v>4025</v>
      </c>
      <c r="J641" s="47" t="s">
        <v>4026</v>
      </c>
      <c r="K641" s="47" t="s">
        <v>4027</v>
      </c>
      <c r="L641" s="47" t="s">
        <v>4028</v>
      </c>
      <c r="M641" s="47" t="s">
        <v>4029</v>
      </c>
      <c r="N641" s="47" t="s">
        <v>4030</v>
      </c>
      <c r="O641" s="47" t="s">
        <v>8824</v>
      </c>
      <c r="P641" s="47" t="s">
        <v>8826</v>
      </c>
      <c r="Q641" s="47" t="s">
        <v>8828</v>
      </c>
      <c r="R641" s="47" t="s">
        <v>8830</v>
      </c>
      <c r="S641" s="47" t="s">
        <v>8832</v>
      </c>
      <c r="T641" s="47" t="s">
        <v>8834</v>
      </c>
    </row>
    <row r="642" spans="1:21" x14ac:dyDescent="0.2">
      <c r="A642" s="47" t="s">
        <v>29</v>
      </c>
      <c r="D642" s="47" t="s">
        <v>4031</v>
      </c>
      <c r="G642" s="47" t="s">
        <v>8804</v>
      </c>
      <c r="H642" s="47" t="s">
        <v>4032</v>
      </c>
      <c r="I642" s="47" t="s">
        <v>4033</v>
      </c>
      <c r="J642" s="47" t="s">
        <v>4034</v>
      </c>
      <c r="K642" s="47" t="s">
        <v>4035</v>
      </c>
      <c r="L642" s="47" t="s">
        <v>4036</v>
      </c>
      <c r="M642" s="47" t="s">
        <v>4037</v>
      </c>
      <c r="N642" s="47" t="s">
        <v>4038</v>
      </c>
      <c r="O642" s="47" t="s">
        <v>8825</v>
      </c>
      <c r="P642" s="47" t="s">
        <v>8827</v>
      </c>
      <c r="Q642" s="47" t="s">
        <v>8829</v>
      </c>
      <c r="R642" s="47" t="s">
        <v>8831</v>
      </c>
      <c r="S642" s="47" t="s">
        <v>8833</v>
      </c>
      <c r="T642" s="47" t="s">
        <v>8835</v>
      </c>
    </row>
    <row r="643" spans="1:21" x14ac:dyDescent="0.2">
      <c r="A643" s="47" t="s">
        <v>29</v>
      </c>
      <c r="D643" s="47" t="s">
        <v>6492</v>
      </c>
      <c r="G643" s="47" t="s">
        <v>8805</v>
      </c>
      <c r="H643" s="47" t="s">
        <v>6603</v>
      </c>
      <c r="I643" s="47" t="s">
        <v>6606</v>
      </c>
      <c r="J643" s="47" t="s">
        <v>6627</v>
      </c>
      <c r="K643" s="47" t="s">
        <v>6630</v>
      </c>
      <c r="L643" s="47" t="s">
        <v>6493</v>
      </c>
      <c r="M643" s="47" t="s">
        <v>6494</v>
      </c>
      <c r="N643" s="47" t="s">
        <v>6495</v>
      </c>
      <c r="O643" s="47" t="s">
        <v>6609</v>
      </c>
      <c r="P643" s="47" t="s">
        <v>6612</v>
      </c>
      <c r="Q643" s="47" t="s">
        <v>6615</v>
      </c>
      <c r="R643" s="47" t="s">
        <v>6618</v>
      </c>
      <c r="S643" s="47" t="s">
        <v>6621</v>
      </c>
      <c r="T643" s="47" t="s">
        <v>6624</v>
      </c>
    </row>
    <row r="644" spans="1:21" x14ac:dyDescent="0.2">
      <c r="A644" s="47" t="s">
        <v>29</v>
      </c>
      <c r="D644" s="47" t="s">
        <v>6496</v>
      </c>
      <c r="G644" s="47" t="s">
        <v>8806</v>
      </c>
      <c r="H644" s="47" t="s">
        <v>6604</v>
      </c>
      <c r="I644" s="47" t="s">
        <v>6607</v>
      </c>
      <c r="J644" s="47" t="s">
        <v>6628</v>
      </c>
      <c r="K644" s="47" t="s">
        <v>6631</v>
      </c>
      <c r="L644" s="47" t="s">
        <v>6497</v>
      </c>
      <c r="M644" s="47" t="s">
        <v>6498</v>
      </c>
      <c r="N644" s="47" t="s">
        <v>6499</v>
      </c>
      <c r="O644" s="47" t="s">
        <v>6610</v>
      </c>
      <c r="P644" s="47" t="s">
        <v>6613</v>
      </c>
      <c r="Q644" s="47" t="s">
        <v>6616</v>
      </c>
      <c r="R644" s="47" t="s">
        <v>6619</v>
      </c>
      <c r="S644" s="47" t="s">
        <v>6622</v>
      </c>
      <c r="T644" s="47" t="s">
        <v>6625</v>
      </c>
    </row>
    <row r="645" spans="1:21" x14ac:dyDescent="0.2">
      <c r="A645" s="47" t="s">
        <v>29</v>
      </c>
      <c r="D645" s="47" t="s">
        <v>6500</v>
      </c>
      <c r="G645" s="47" t="s">
        <v>8807</v>
      </c>
      <c r="H645" s="47" t="s">
        <v>6605</v>
      </c>
      <c r="I645" s="47" t="s">
        <v>6608</v>
      </c>
      <c r="J645" s="47" t="s">
        <v>6629</v>
      </c>
      <c r="K645" s="47" t="s">
        <v>6632</v>
      </c>
      <c r="L645" s="47" t="s">
        <v>6501</v>
      </c>
      <c r="M645" s="47" t="s">
        <v>6502</v>
      </c>
      <c r="N645" s="47" t="s">
        <v>6503</v>
      </c>
      <c r="O645" s="47" t="s">
        <v>6611</v>
      </c>
      <c r="P645" s="47" t="s">
        <v>6614</v>
      </c>
      <c r="Q645" s="47" t="s">
        <v>6617</v>
      </c>
      <c r="R645" s="47" t="s">
        <v>6620</v>
      </c>
      <c r="S645" s="47" t="s">
        <v>6623</v>
      </c>
      <c r="T645" s="47" t="s">
        <v>6626</v>
      </c>
    </row>
    <row r="646" spans="1:21" x14ac:dyDescent="0.2">
      <c r="A646" s="47" t="s">
        <v>29</v>
      </c>
    </row>
    <row r="647" spans="1:21" x14ac:dyDescent="0.2">
      <c r="A647" s="47" t="s">
        <v>29</v>
      </c>
      <c r="E647" s="47" t="s">
        <v>30</v>
      </c>
      <c r="F647" s="47" t="s">
        <v>30</v>
      </c>
      <c r="G647" s="47" t="s">
        <v>30</v>
      </c>
      <c r="J647" s="47" t="s">
        <v>30</v>
      </c>
      <c r="K647" s="47" t="s">
        <v>30</v>
      </c>
      <c r="L647" s="47" t="s">
        <v>30</v>
      </c>
      <c r="M647" s="47" t="s">
        <v>30</v>
      </c>
    </row>
    <row r="648" spans="1:21" x14ac:dyDescent="0.2">
      <c r="A648" s="47" t="s">
        <v>29</v>
      </c>
      <c r="D648" s="47" t="s">
        <v>10694</v>
      </c>
      <c r="E648" s="47" t="s">
        <v>4333</v>
      </c>
      <c r="F648" s="47" t="s">
        <v>10695</v>
      </c>
      <c r="H648" s="47" t="s">
        <v>10696</v>
      </c>
      <c r="O648" s="47" t="s">
        <v>10697</v>
      </c>
      <c r="P648" s="47" t="s">
        <v>10698</v>
      </c>
      <c r="Q648" s="47" t="s">
        <v>10699</v>
      </c>
      <c r="R648" s="47" t="s">
        <v>10700</v>
      </c>
      <c r="S648" s="47" t="s">
        <v>10701</v>
      </c>
      <c r="T648" s="47" t="s">
        <v>10702</v>
      </c>
      <c r="U648" s="47" t="s">
        <v>10703</v>
      </c>
    </row>
    <row r="649" spans="1:21" x14ac:dyDescent="0.2">
      <c r="A649" s="47" t="s">
        <v>29</v>
      </c>
      <c r="D649" s="47" t="s">
        <v>4039</v>
      </c>
      <c r="G649" s="47" t="s">
        <v>10704</v>
      </c>
      <c r="H649" s="47" t="s">
        <v>4040</v>
      </c>
      <c r="I649" s="47" t="s">
        <v>4041</v>
      </c>
      <c r="J649" s="47" t="s">
        <v>4042</v>
      </c>
      <c r="K649" s="47" t="s">
        <v>4043</v>
      </c>
      <c r="L649" s="47" t="s">
        <v>4044</v>
      </c>
      <c r="M649" s="47" t="s">
        <v>4045</v>
      </c>
      <c r="N649" s="47" t="s">
        <v>4046</v>
      </c>
      <c r="O649" s="47" t="s">
        <v>4047</v>
      </c>
      <c r="P649" s="47" t="s">
        <v>4048</v>
      </c>
      <c r="Q649" s="47" t="s">
        <v>4049</v>
      </c>
      <c r="R649" s="47" t="s">
        <v>4050</v>
      </c>
      <c r="S649" s="47" t="s">
        <v>4051</v>
      </c>
      <c r="T649" s="47" t="s">
        <v>4052</v>
      </c>
    </row>
    <row r="650" spans="1:21" x14ac:dyDescent="0.2">
      <c r="A650" s="47" t="s">
        <v>29</v>
      </c>
      <c r="D650" s="47" t="s">
        <v>4053</v>
      </c>
      <c r="G650" s="47" t="s">
        <v>8808</v>
      </c>
      <c r="H650" s="47" t="s">
        <v>4054</v>
      </c>
      <c r="I650" s="47" t="s">
        <v>4055</v>
      </c>
      <c r="J650" s="47" t="s">
        <v>4056</v>
      </c>
      <c r="K650" s="47" t="s">
        <v>4057</v>
      </c>
      <c r="L650" s="47" t="s">
        <v>4058</v>
      </c>
      <c r="M650" s="47" t="s">
        <v>4059</v>
      </c>
      <c r="N650" s="47" t="s">
        <v>4060</v>
      </c>
      <c r="O650" s="47" t="s">
        <v>4061</v>
      </c>
      <c r="P650" s="47" t="s">
        <v>4062</v>
      </c>
      <c r="Q650" s="47" t="s">
        <v>4063</v>
      </c>
      <c r="R650" s="47" t="s">
        <v>4064</v>
      </c>
      <c r="S650" s="47" t="s">
        <v>4065</v>
      </c>
      <c r="T650" s="47" t="s">
        <v>4066</v>
      </c>
    </row>
    <row r="651" spans="1:21" x14ac:dyDescent="0.2">
      <c r="A651" s="47" t="s">
        <v>29</v>
      </c>
      <c r="D651" s="47" t="s">
        <v>4067</v>
      </c>
      <c r="G651" s="47" t="s">
        <v>8809</v>
      </c>
      <c r="H651" s="47" t="s">
        <v>4068</v>
      </c>
      <c r="I651" s="47" t="s">
        <v>4069</v>
      </c>
      <c r="J651" s="47" t="s">
        <v>4070</v>
      </c>
      <c r="K651" s="47" t="s">
        <v>4071</v>
      </c>
      <c r="L651" s="47" t="s">
        <v>4072</v>
      </c>
      <c r="M651" s="47" t="s">
        <v>4073</v>
      </c>
      <c r="N651" s="47" t="s">
        <v>4074</v>
      </c>
      <c r="O651" s="47" t="s">
        <v>10879</v>
      </c>
      <c r="P651" s="47" t="s">
        <v>10881</v>
      </c>
      <c r="Q651" s="47" t="s">
        <v>10883</v>
      </c>
      <c r="R651" s="47" t="s">
        <v>10885</v>
      </c>
      <c r="S651" s="47" t="s">
        <v>10887</v>
      </c>
      <c r="T651" s="47" t="s">
        <v>10889</v>
      </c>
    </row>
    <row r="652" spans="1:21" x14ac:dyDescent="0.2">
      <c r="A652" s="47" t="s">
        <v>29</v>
      </c>
      <c r="D652" s="47" t="s">
        <v>5547</v>
      </c>
      <c r="G652" s="47" t="s">
        <v>8810</v>
      </c>
      <c r="H652" s="47" t="s">
        <v>5565</v>
      </c>
      <c r="I652" s="47" t="s">
        <v>5566</v>
      </c>
      <c r="J652" s="47" t="s">
        <v>5567</v>
      </c>
      <c r="K652" s="47" t="s">
        <v>5568</v>
      </c>
      <c r="L652" s="47" t="s">
        <v>5548</v>
      </c>
      <c r="M652" s="47" t="s">
        <v>5549</v>
      </c>
      <c r="N652" s="47" t="s">
        <v>5550</v>
      </c>
      <c r="O652" s="47" t="s">
        <v>10880</v>
      </c>
      <c r="P652" s="47" t="s">
        <v>10882</v>
      </c>
      <c r="Q652" s="47" t="s">
        <v>10884</v>
      </c>
      <c r="R652" s="47" t="s">
        <v>10886</v>
      </c>
      <c r="S652" s="47" t="s">
        <v>10888</v>
      </c>
      <c r="T652" s="47" t="s">
        <v>10890</v>
      </c>
    </row>
    <row r="653" spans="1:21" x14ac:dyDescent="0.2">
      <c r="A653" s="47" t="s">
        <v>29</v>
      </c>
    </row>
    <row r="654" spans="1:21" x14ac:dyDescent="0.2">
      <c r="A654" s="47" t="s">
        <v>29</v>
      </c>
      <c r="E654" s="47" t="s">
        <v>30</v>
      </c>
      <c r="F654" s="47" t="s">
        <v>30</v>
      </c>
      <c r="G654" s="47" t="s">
        <v>30</v>
      </c>
      <c r="J654" s="47" t="s">
        <v>30</v>
      </c>
      <c r="K654" s="47" t="s">
        <v>30</v>
      </c>
      <c r="L654" s="47" t="s">
        <v>30</v>
      </c>
      <c r="M654" s="47" t="s">
        <v>30</v>
      </c>
    </row>
    <row r="655" spans="1:21" x14ac:dyDescent="0.2">
      <c r="A655" s="47" t="s">
        <v>29</v>
      </c>
      <c r="D655" s="47" t="s">
        <v>10705</v>
      </c>
      <c r="E655" s="47" t="s">
        <v>4334</v>
      </c>
      <c r="F655" s="47" t="s">
        <v>10706</v>
      </c>
      <c r="H655" s="47" t="s">
        <v>10707</v>
      </c>
      <c r="O655" s="47" t="s">
        <v>10708</v>
      </c>
      <c r="P655" s="47" t="s">
        <v>10709</v>
      </c>
      <c r="Q655" s="47" t="s">
        <v>10710</v>
      </c>
      <c r="R655" s="47" t="s">
        <v>10711</v>
      </c>
      <c r="S655" s="47" t="s">
        <v>10712</v>
      </c>
      <c r="T655" s="47" t="s">
        <v>10713</v>
      </c>
      <c r="U655" s="47" t="s">
        <v>10714</v>
      </c>
    </row>
    <row r="656" spans="1:21" x14ac:dyDescent="0.2">
      <c r="A656" s="47" t="s">
        <v>29</v>
      </c>
      <c r="D656" s="47" t="s">
        <v>4076</v>
      </c>
      <c r="G656" s="47" t="s">
        <v>10715</v>
      </c>
      <c r="H656" s="47" t="s">
        <v>4077</v>
      </c>
      <c r="I656" s="47" t="s">
        <v>4078</v>
      </c>
      <c r="J656" s="47" t="s">
        <v>4079</v>
      </c>
      <c r="K656" s="47" t="s">
        <v>4080</v>
      </c>
      <c r="L656" s="47" t="s">
        <v>4081</v>
      </c>
      <c r="M656" s="47" t="s">
        <v>4082</v>
      </c>
      <c r="N656" s="47" t="s">
        <v>4083</v>
      </c>
      <c r="O656" s="47" t="s">
        <v>4084</v>
      </c>
      <c r="P656" s="47" t="s">
        <v>4085</v>
      </c>
      <c r="Q656" s="47" t="s">
        <v>4086</v>
      </c>
      <c r="R656" s="47" t="s">
        <v>4087</v>
      </c>
      <c r="S656" s="47" t="s">
        <v>4088</v>
      </c>
      <c r="T656" s="47" t="s">
        <v>4089</v>
      </c>
    </row>
    <row r="657" spans="1:21" x14ac:dyDescent="0.2">
      <c r="A657" s="47" t="s">
        <v>29</v>
      </c>
    </row>
    <row r="658" spans="1:21" x14ac:dyDescent="0.2">
      <c r="A658" s="47" t="s">
        <v>29</v>
      </c>
      <c r="E658" s="47" t="s">
        <v>30</v>
      </c>
      <c r="F658" s="47" t="s">
        <v>30</v>
      </c>
      <c r="G658" s="47" t="s">
        <v>30</v>
      </c>
      <c r="J658" s="47" t="s">
        <v>30</v>
      </c>
      <c r="K658" s="47" t="s">
        <v>30</v>
      </c>
      <c r="L658" s="47" t="s">
        <v>30</v>
      </c>
      <c r="M658" s="47" t="s">
        <v>30</v>
      </c>
    </row>
    <row r="659" spans="1:21" x14ac:dyDescent="0.2">
      <c r="A659" s="47" t="s">
        <v>29</v>
      </c>
      <c r="D659" s="47" t="s">
        <v>8184</v>
      </c>
      <c r="E659" s="47" t="s">
        <v>4335</v>
      </c>
      <c r="F659" s="47" t="s">
        <v>8185</v>
      </c>
      <c r="H659" s="47" t="s">
        <v>8186</v>
      </c>
      <c r="O659" s="47" t="s">
        <v>10716</v>
      </c>
      <c r="P659" s="47" t="s">
        <v>10717</v>
      </c>
      <c r="Q659" s="47" t="s">
        <v>10718</v>
      </c>
      <c r="R659" s="47" t="s">
        <v>10719</v>
      </c>
      <c r="S659" s="47" t="s">
        <v>10720</v>
      </c>
      <c r="T659" s="47" t="s">
        <v>10721</v>
      </c>
      <c r="U659" s="47" t="s">
        <v>10722</v>
      </c>
    </row>
    <row r="660" spans="1:21" x14ac:dyDescent="0.2">
      <c r="A660" s="47" t="s">
        <v>29</v>
      </c>
      <c r="D660" s="47" t="s">
        <v>4090</v>
      </c>
      <c r="G660" s="47" t="s">
        <v>10723</v>
      </c>
      <c r="H660" s="47" t="s">
        <v>4091</v>
      </c>
      <c r="I660" s="47" t="s">
        <v>4092</v>
      </c>
      <c r="J660" s="47" t="s">
        <v>4093</v>
      </c>
      <c r="K660" s="47" t="s">
        <v>4094</v>
      </c>
      <c r="L660" s="47" t="s">
        <v>4095</v>
      </c>
      <c r="M660" s="47" t="s">
        <v>4096</v>
      </c>
      <c r="N660" s="47" t="s">
        <v>4097</v>
      </c>
      <c r="O660" s="47" t="s">
        <v>4098</v>
      </c>
      <c r="P660" s="47" t="s">
        <v>4099</v>
      </c>
      <c r="Q660" s="47" t="s">
        <v>4100</v>
      </c>
      <c r="R660" s="47" t="s">
        <v>4101</v>
      </c>
      <c r="S660" s="47" t="s">
        <v>4102</v>
      </c>
      <c r="T660" s="47" t="s">
        <v>4103</v>
      </c>
    </row>
    <row r="661" spans="1:21" x14ac:dyDescent="0.2">
      <c r="A661" s="47" t="s">
        <v>29</v>
      </c>
      <c r="D661" s="47" t="s">
        <v>6504</v>
      </c>
      <c r="G661" s="47" t="s">
        <v>8811</v>
      </c>
      <c r="H661" s="47" t="s">
        <v>6583</v>
      </c>
      <c r="I661" s="47" t="s">
        <v>6585</v>
      </c>
      <c r="J661" s="47" t="s">
        <v>6599</v>
      </c>
      <c r="K661" s="47" t="s">
        <v>6601</v>
      </c>
      <c r="L661" s="47" t="s">
        <v>6505</v>
      </c>
      <c r="M661" s="47" t="s">
        <v>6506</v>
      </c>
      <c r="N661" s="47" t="s">
        <v>6507</v>
      </c>
      <c r="O661" s="47" t="s">
        <v>6587</v>
      </c>
      <c r="P661" s="47" t="s">
        <v>6589</v>
      </c>
      <c r="Q661" s="47" t="s">
        <v>6591</v>
      </c>
      <c r="R661" s="47" t="s">
        <v>6593</v>
      </c>
      <c r="S661" s="47" t="s">
        <v>6595</v>
      </c>
      <c r="T661" s="47" t="s">
        <v>6597</v>
      </c>
    </row>
    <row r="662" spans="1:21" x14ac:dyDescent="0.2">
      <c r="A662" s="47" t="s">
        <v>29</v>
      </c>
      <c r="D662" s="47" t="s">
        <v>6508</v>
      </c>
      <c r="G662" s="47" t="s">
        <v>8812</v>
      </c>
      <c r="H662" s="47" t="s">
        <v>6584</v>
      </c>
      <c r="I662" s="47" t="s">
        <v>6586</v>
      </c>
      <c r="J662" s="47" t="s">
        <v>6600</v>
      </c>
      <c r="K662" s="47" t="s">
        <v>6602</v>
      </c>
      <c r="L662" s="47" t="s">
        <v>6509</v>
      </c>
      <c r="M662" s="47" t="s">
        <v>6510</v>
      </c>
      <c r="N662" s="47" t="s">
        <v>6511</v>
      </c>
      <c r="O662" s="47" t="s">
        <v>6588</v>
      </c>
      <c r="P662" s="47" t="s">
        <v>6590</v>
      </c>
      <c r="Q662" s="47" t="s">
        <v>6592</v>
      </c>
      <c r="R662" s="47" t="s">
        <v>6594</v>
      </c>
      <c r="S662" s="47" t="s">
        <v>6596</v>
      </c>
      <c r="T662" s="47" t="s">
        <v>6598</v>
      </c>
    </row>
    <row r="663" spans="1:21" x14ac:dyDescent="0.2">
      <c r="A663" s="47" t="s">
        <v>29</v>
      </c>
    </row>
    <row r="664" spans="1:21" x14ac:dyDescent="0.2">
      <c r="A664" s="47" t="s">
        <v>29</v>
      </c>
      <c r="E664" s="47" t="s">
        <v>30</v>
      </c>
      <c r="F664" s="47" t="s">
        <v>30</v>
      </c>
      <c r="G664" s="47" t="s">
        <v>30</v>
      </c>
      <c r="J664" s="47" t="s">
        <v>30</v>
      </c>
      <c r="K664" s="47" t="s">
        <v>30</v>
      </c>
      <c r="L664" s="47" t="s">
        <v>30</v>
      </c>
      <c r="M664" s="47" t="s">
        <v>30</v>
      </c>
    </row>
    <row r="665" spans="1:21" x14ac:dyDescent="0.2">
      <c r="A665" s="47" t="s">
        <v>29</v>
      </c>
      <c r="D665" s="47" t="s">
        <v>10724</v>
      </c>
      <c r="E665" s="47" t="s">
        <v>4336</v>
      </c>
      <c r="F665" s="47" t="s">
        <v>10725</v>
      </c>
      <c r="H665" s="47" t="s">
        <v>10726</v>
      </c>
      <c r="O665" s="47" t="s">
        <v>10727</v>
      </c>
      <c r="P665" s="47" t="s">
        <v>10728</v>
      </c>
      <c r="Q665" s="47" t="s">
        <v>10729</v>
      </c>
      <c r="R665" s="47" t="s">
        <v>10730</v>
      </c>
      <c r="S665" s="47" t="s">
        <v>10731</v>
      </c>
      <c r="T665" s="47" t="s">
        <v>10732</v>
      </c>
      <c r="U665" s="47" t="s">
        <v>10733</v>
      </c>
    </row>
    <row r="666" spans="1:21" x14ac:dyDescent="0.2">
      <c r="A666" s="47" t="s">
        <v>29</v>
      </c>
      <c r="D666" s="47" t="s">
        <v>4104</v>
      </c>
      <c r="G666" s="47" t="s">
        <v>10734</v>
      </c>
      <c r="H666" s="47" t="s">
        <v>4105</v>
      </c>
      <c r="I666" s="47" t="s">
        <v>4106</v>
      </c>
      <c r="J666" s="47" t="s">
        <v>4107</v>
      </c>
      <c r="K666" s="47" t="s">
        <v>4108</v>
      </c>
      <c r="L666" s="47" t="s">
        <v>4109</v>
      </c>
      <c r="M666" s="47" t="s">
        <v>4110</v>
      </c>
      <c r="N666" s="47" t="s">
        <v>4111</v>
      </c>
      <c r="O666" s="47" t="s">
        <v>4112</v>
      </c>
      <c r="P666" s="47" t="s">
        <v>4113</v>
      </c>
      <c r="Q666" s="47" t="s">
        <v>4114</v>
      </c>
      <c r="R666" s="47" t="s">
        <v>4115</v>
      </c>
      <c r="S666" s="47" t="s">
        <v>4116</v>
      </c>
      <c r="T666" s="47" t="s">
        <v>4117</v>
      </c>
    </row>
    <row r="667" spans="1:21" x14ac:dyDescent="0.2">
      <c r="A667" s="47" t="s">
        <v>29</v>
      </c>
      <c r="D667" s="47" t="s">
        <v>4118</v>
      </c>
      <c r="G667" s="47" t="s">
        <v>8813</v>
      </c>
      <c r="H667" s="47" t="s">
        <v>4119</v>
      </c>
      <c r="I667" s="47" t="s">
        <v>4120</v>
      </c>
      <c r="J667" s="47" t="s">
        <v>4121</v>
      </c>
      <c r="K667" s="47" t="s">
        <v>4122</v>
      </c>
      <c r="L667" s="47" t="s">
        <v>4123</v>
      </c>
      <c r="M667" s="47" t="s">
        <v>4124</v>
      </c>
      <c r="N667" s="47" t="s">
        <v>4125</v>
      </c>
      <c r="O667" s="47" t="s">
        <v>4126</v>
      </c>
      <c r="P667" s="47" t="s">
        <v>4127</v>
      </c>
      <c r="Q667" s="47" t="s">
        <v>4128</v>
      </c>
      <c r="R667" s="47" t="s">
        <v>4129</v>
      </c>
      <c r="S667" s="47" t="s">
        <v>4130</v>
      </c>
      <c r="T667" s="47" t="s">
        <v>4131</v>
      </c>
    </row>
    <row r="668" spans="1:21" x14ac:dyDescent="0.2">
      <c r="A668" s="47" t="s">
        <v>29</v>
      </c>
      <c r="D668" s="47" t="s">
        <v>4132</v>
      </c>
      <c r="G668" s="47" t="s">
        <v>8814</v>
      </c>
      <c r="H668" s="47" t="s">
        <v>4133</v>
      </c>
      <c r="I668" s="47" t="s">
        <v>4134</v>
      </c>
      <c r="J668" s="47" t="s">
        <v>4135</v>
      </c>
      <c r="K668" s="47" t="s">
        <v>4136</v>
      </c>
      <c r="L668" s="47" t="s">
        <v>4137</v>
      </c>
      <c r="M668" s="47" t="s">
        <v>4138</v>
      </c>
      <c r="N668" s="47" t="s">
        <v>4139</v>
      </c>
      <c r="O668" s="47" t="s">
        <v>4140</v>
      </c>
      <c r="P668" s="47" t="s">
        <v>4141</v>
      </c>
      <c r="Q668" s="47" t="s">
        <v>4142</v>
      </c>
      <c r="R668" s="47" t="s">
        <v>4143</v>
      </c>
      <c r="S668" s="47" t="s">
        <v>4144</v>
      </c>
      <c r="T668" s="47" t="s">
        <v>4145</v>
      </c>
    </row>
    <row r="669" spans="1:21" x14ac:dyDescent="0.2">
      <c r="A669" s="47" t="s">
        <v>29</v>
      </c>
    </row>
    <row r="670" spans="1:21" x14ac:dyDescent="0.2">
      <c r="A670" s="47" t="s">
        <v>29</v>
      </c>
      <c r="E670" s="47" t="s">
        <v>30</v>
      </c>
      <c r="F670" s="47" t="s">
        <v>30</v>
      </c>
      <c r="G670" s="47" t="s">
        <v>30</v>
      </c>
      <c r="J670" s="47" t="s">
        <v>30</v>
      </c>
      <c r="K670" s="47" t="s">
        <v>30</v>
      </c>
      <c r="L670" s="47" t="s">
        <v>30</v>
      </c>
      <c r="M670" s="47" t="s">
        <v>30</v>
      </c>
    </row>
    <row r="671" spans="1:21" x14ac:dyDescent="0.2">
      <c r="A671" s="47" t="s">
        <v>29</v>
      </c>
      <c r="D671" s="47" t="s">
        <v>10735</v>
      </c>
      <c r="E671" s="47" t="s">
        <v>4337</v>
      </c>
      <c r="F671" s="47" t="s">
        <v>10736</v>
      </c>
      <c r="H671" s="47" t="s">
        <v>10737</v>
      </c>
      <c r="O671" s="47" t="s">
        <v>10738</v>
      </c>
      <c r="P671" s="47" t="s">
        <v>10739</v>
      </c>
      <c r="Q671" s="47" t="s">
        <v>10740</v>
      </c>
      <c r="R671" s="47" t="s">
        <v>10741</v>
      </c>
      <c r="S671" s="47" t="s">
        <v>10742</v>
      </c>
      <c r="T671" s="47" t="s">
        <v>10743</v>
      </c>
      <c r="U671" s="47" t="s">
        <v>10744</v>
      </c>
    </row>
    <row r="672" spans="1:21" x14ac:dyDescent="0.2">
      <c r="A672" s="47" t="s">
        <v>29</v>
      </c>
      <c r="D672" s="47" t="s">
        <v>4147</v>
      </c>
      <c r="G672" s="47" t="s">
        <v>10745</v>
      </c>
      <c r="H672" s="47" t="s">
        <v>4148</v>
      </c>
      <c r="I672" s="47" t="s">
        <v>4149</v>
      </c>
      <c r="J672" s="47" t="s">
        <v>4150</v>
      </c>
      <c r="K672" s="47" t="s">
        <v>4151</v>
      </c>
      <c r="L672" s="47" t="s">
        <v>4152</v>
      </c>
      <c r="M672" s="47" t="s">
        <v>4153</v>
      </c>
      <c r="N672" s="47" t="s">
        <v>4154</v>
      </c>
      <c r="O672" s="47" t="s">
        <v>8818</v>
      </c>
      <c r="P672" s="47" t="s">
        <v>8819</v>
      </c>
      <c r="Q672" s="47" t="s">
        <v>8820</v>
      </c>
      <c r="R672" s="47" t="s">
        <v>8821</v>
      </c>
      <c r="S672" s="47" t="s">
        <v>8822</v>
      </c>
      <c r="T672" s="47" t="s">
        <v>8823</v>
      </c>
    </row>
    <row r="673" spans="1:21" x14ac:dyDescent="0.2">
      <c r="A673" s="47" t="s">
        <v>29</v>
      </c>
      <c r="D673" s="47" t="s">
        <v>4155</v>
      </c>
      <c r="G673" s="47" t="s">
        <v>8815</v>
      </c>
      <c r="H673" s="47" t="s">
        <v>4156</v>
      </c>
      <c r="I673" s="47" t="s">
        <v>4157</v>
      </c>
      <c r="J673" s="47" t="s">
        <v>4158</v>
      </c>
      <c r="K673" s="47" t="s">
        <v>4159</v>
      </c>
      <c r="L673" s="47" t="s">
        <v>4160</v>
      </c>
      <c r="M673" s="47" t="s">
        <v>4161</v>
      </c>
      <c r="N673" s="47" t="s">
        <v>4162</v>
      </c>
      <c r="O673" s="47" t="s">
        <v>4163</v>
      </c>
      <c r="P673" s="47" t="s">
        <v>4164</v>
      </c>
      <c r="Q673" s="47" t="s">
        <v>4165</v>
      </c>
      <c r="R673" s="47" t="s">
        <v>4166</v>
      </c>
      <c r="S673" s="47" t="s">
        <v>4167</v>
      </c>
      <c r="T673" s="47" t="s">
        <v>4168</v>
      </c>
    </row>
    <row r="674" spans="1:21" x14ac:dyDescent="0.2">
      <c r="A674" s="47" t="s">
        <v>29</v>
      </c>
      <c r="D674" s="47" t="s">
        <v>6512</v>
      </c>
      <c r="G674" s="47" t="s">
        <v>8816</v>
      </c>
      <c r="H674" s="47" t="s">
        <v>6573</v>
      </c>
      <c r="I674" s="47" t="s">
        <v>6574</v>
      </c>
      <c r="J674" s="47" t="s">
        <v>6581</v>
      </c>
      <c r="K674" s="47" t="s">
        <v>6582</v>
      </c>
      <c r="L674" s="47" t="s">
        <v>6513</v>
      </c>
      <c r="M674" s="47" t="s">
        <v>6514</v>
      </c>
      <c r="N674" s="47" t="s">
        <v>6515</v>
      </c>
      <c r="O674" s="47" t="s">
        <v>6575</v>
      </c>
      <c r="P674" s="47" t="s">
        <v>6576</v>
      </c>
      <c r="Q674" s="47" t="s">
        <v>6577</v>
      </c>
      <c r="R674" s="47" t="s">
        <v>6578</v>
      </c>
      <c r="S674" s="47" t="s">
        <v>6579</v>
      </c>
      <c r="T674" s="47" t="s">
        <v>6580</v>
      </c>
    </row>
    <row r="675" spans="1:21" x14ac:dyDescent="0.2">
      <c r="A675" s="47" t="s">
        <v>29</v>
      </c>
    </row>
    <row r="676" spans="1:21" x14ac:dyDescent="0.2">
      <c r="A676" s="47" t="s">
        <v>29</v>
      </c>
      <c r="E676" s="47" t="s">
        <v>30</v>
      </c>
      <c r="F676" s="47" t="s">
        <v>30</v>
      </c>
      <c r="G676" s="47" t="s">
        <v>30</v>
      </c>
      <c r="J676" s="47" t="s">
        <v>30</v>
      </c>
      <c r="K676" s="47" t="s">
        <v>30</v>
      </c>
      <c r="L676" s="47" t="s">
        <v>30</v>
      </c>
      <c r="M676" s="47" t="s">
        <v>30</v>
      </c>
    </row>
    <row r="677" spans="1:21" x14ac:dyDescent="0.2">
      <c r="A677" s="47" t="s">
        <v>29</v>
      </c>
      <c r="D677" s="47" t="s">
        <v>10746</v>
      </c>
      <c r="E677" s="47" t="s">
        <v>6535</v>
      </c>
      <c r="F677" s="47" t="s">
        <v>10747</v>
      </c>
      <c r="H677" s="47" t="s">
        <v>10748</v>
      </c>
      <c r="O677" s="47" t="s">
        <v>10749</v>
      </c>
      <c r="P677" s="47" t="s">
        <v>10750</v>
      </c>
      <c r="Q677" s="47" t="s">
        <v>10751</v>
      </c>
      <c r="R677" s="47" t="s">
        <v>10752</v>
      </c>
      <c r="S677" s="47" t="s">
        <v>10753</v>
      </c>
      <c r="T677" s="47" t="s">
        <v>10754</v>
      </c>
      <c r="U677" s="47" t="s">
        <v>10755</v>
      </c>
    </row>
    <row r="678" spans="1:21" x14ac:dyDescent="0.2">
      <c r="A678" s="47" t="s">
        <v>29</v>
      </c>
      <c r="D678" s="47" t="s">
        <v>4169</v>
      </c>
      <c r="G678" s="47" t="s">
        <v>10756</v>
      </c>
      <c r="H678" s="47" t="s">
        <v>4170</v>
      </c>
      <c r="I678" s="47" t="s">
        <v>4171</v>
      </c>
      <c r="J678" s="47" t="s">
        <v>4172</v>
      </c>
      <c r="K678" s="47" t="s">
        <v>4173</v>
      </c>
      <c r="L678" s="47" t="s">
        <v>4174</v>
      </c>
      <c r="M678" s="47" t="s">
        <v>4175</v>
      </c>
      <c r="N678" s="47" t="s">
        <v>4176</v>
      </c>
      <c r="O678" s="47" t="s">
        <v>4177</v>
      </c>
      <c r="P678" s="47" t="s">
        <v>4178</v>
      </c>
      <c r="Q678" s="47" t="s">
        <v>4179</v>
      </c>
      <c r="R678" s="47" t="s">
        <v>4180</v>
      </c>
      <c r="S678" s="47" t="s">
        <v>4181</v>
      </c>
      <c r="T678" s="47" t="s">
        <v>4182</v>
      </c>
    </row>
    <row r="679" spans="1:21" x14ac:dyDescent="0.2">
      <c r="A679" s="47" t="s">
        <v>29</v>
      </c>
    </row>
    <row r="680" spans="1:21" x14ac:dyDescent="0.2">
      <c r="A680" s="47" t="s">
        <v>29</v>
      </c>
      <c r="E680" s="47" t="s">
        <v>30</v>
      </c>
      <c r="F680" s="47" t="s">
        <v>30</v>
      </c>
      <c r="G680" s="47" t="s">
        <v>30</v>
      </c>
      <c r="J680" s="47" t="s">
        <v>30</v>
      </c>
      <c r="K680" s="47" t="s">
        <v>30</v>
      </c>
      <c r="L680" s="47" t="s">
        <v>30</v>
      </c>
      <c r="M680" s="47" t="s">
        <v>30</v>
      </c>
    </row>
    <row r="681" spans="1:21" x14ac:dyDescent="0.2">
      <c r="A681" s="47" t="s">
        <v>29</v>
      </c>
      <c r="D681" s="47" t="s">
        <v>9358</v>
      </c>
      <c r="E681" s="47" t="s">
        <v>6536</v>
      </c>
      <c r="F681" s="47" t="s">
        <v>9359</v>
      </c>
      <c r="H681" s="47" t="s">
        <v>9360</v>
      </c>
      <c r="O681" s="47" t="s">
        <v>10757</v>
      </c>
      <c r="P681" s="47" t="s">
        <v>10758</v>
      </c>
      <c r="Q681" s="47" t="s">
        <v>10759</v>
      </c>
      <c r="R681" s="47" t="s">
        <v>10760</v>
      </c>
      <c r="S681" s="47" t="s">
        <v>10761</v>
      </c>
      <c r="T681" s="47" t="s">
        <v>10762</v>
      </c>
      <c r="U681" s="47" t="s">
        <v>10763</v>
      </c>
    </row>
    <row r="682" spans="1:21" x14ac:dyDescent="0.2">
      <c r="A682" s="47" t="s">
        <v>29</v>
      </c>
      <c r="D682" s="47" t="s">
        <v>8187</v>
      </c>
      <c r="G682" s="47" t="s">
        <v>10764</v>
      </c>
      <c r="H682" s="47" t="s">
        <v>8197</v>
      </c>
      <c r="I682" s="47" t="s">
        <v>8198</v>
      </c>
      <c r="J682" s="47" t="s">
        <v>8199</v>
      </c>
      <c r="K682" s="47" t="s">
        <v>8200</v>
      </c>
      <c r="L682" s="47" t="s">
        <v>8188</v>
      </c>
      <c r="M682" s="47" t="s">
        <v>8189</v>
      </c>
      <c r="N682" s="47" t="s">
        <v>8190</v>
      </c>
      <c r="O682" s="47" t="s">
        <v>10765</v>
      </c>
      <c r="P682" s="47" t="s">
        <v>10766</v>
      </c>
      <c r="Q682" s="47" t="s">
        <v>10767</v>
      </c>
      <c r="R682" s="47" t="s">
        <v>10768</v>
      </c>
      <c r="S682" s="47" t="s">
        <v>10769</v>
      </c>
      <c r="T682" s="47" t="s">
        <v>10770</v>
      </c>
    </row>
    <row r="683" spans="1:21" x14ac:dyDescent="0.2">
      <c r="A683" s="47" t="s">
        <v>29</v>
      </c>
    </row>
    <row r="684" spans="1:21" x14ac:dyDescent="0.2">
      <c r="A684" s="47" t="s">
        <v>29</v>
      </c>
      <c r="E684" s="47" t="s">
        <v>30</v>
      </c>
      <c r="F684" s="47" t="s">
        <v>30</v>
      </c>
      <c r="G684" s="47" t="s">
        <v>30</v>
      </c>
      <c r="J684" s="47" t="s">
        <v>30</v>
      </c>
      <c r="K684" s="47" t="s">
        <v>30</v>
      </c>
      <c r="L684" s="47" t="s">
        <v>30</v>
      </c>
      <c r="M684" s="47" t="s">
        <v>30</v>
      </c>
    </row>
    <row r="685" spans="1:21" x14ac:dyDescent="0.2">
      <c r="A685" s="47" t="s">
        <v>29</v>
      </c>
      <c r="D685" s="47" t="s">
        <v>10771</v>
      </c>
      <c r="E685" s="47" t="s">
        <v>6537</v>
      </c>
      <c r="F685" s="47" t="s">
        <v>10772</v>
      </c>
      <c r="H685" s="47" t="s">
        <v>10773</v>
      </c>
      <c r="O685" s="47" t="s">
        <v>10774</v>
      </c>
      <c r="P685" s="47" t="s">
        <v>10775</v>
      </c>
      <c r="Q685" s="47" t="s">
        <v>10776</v>
      </c>
      <c r="R685" s="47" t="s">
        <v>10777</v>
      </c>
      <c r="S685" s="47" t="s">
        <v>10778</v>
      </c>
      <c r="T685" s="47" t="s">
        <v>10779</v>
      </c>
      <c r="U685" s="47" t="s">
        <v>10780</v>
      </c>
    </row>
    <row r="686" spans="1:21" x14ac:dyDescent="0.2">
      <c r="A686" s="47" t="s">
        <v>29</v>
      </c>
      <c r="D686" s="47" t="s">
        <v>4184</v>
      </c>
      <c r="G686" s="47" t="s">
        <v>10781</v>
      </c>
      <c r="H686" s="47" t="s">
        <v>4185</v>
      </c>
      <c r="I686" s="47" t="s">
        <v>4186</v>
      </c>
      <c r="J686" s="47" t="s">
        <v>4187</v>
      </c>
      <c r="K686" s="47" t="s">
        <v>4188</v>
      </c>
      <c r="L686" s="47" t="s">
        <v>4189</v>
      </c>
      <c r="M686" s="47" t="s">
        <v>4190</v>
      </c>
      <c r="N686" s="47" t="s">
        <v>4191</v>
      </c>
      <c r="O686" s="47" t="s">
        <v>4192</v>
      </c>
      <c r="P686" s="47" t="s">
        <v>4193</v>
      </c>
      <c r="Q686" s="47" t="s">
        <v>4194</v>
      </c>
      <c r="R686" s="47" t="s">
        <v>4195</v>
      </c>
      <c r="S686" s="47" t="s">
        <v>4196</v>
      </c>
      <c r="T686" s="47" t="s">
        <v>4197</v>
      </c>
    </row>
    <row r="687" spans="1:21" x14ac:dyDescent="0.2">
      <c r="A687" s="47" t="s">
        <v>29</v>
      </c>
    </row>
    <row r="688" spans="1:21" x14ac:dyDescent="0.2">
      <c r="A688" s="47" t="s">
        <v>29</v>
      </c>
      <c r="E688" s="47" t="s">
        <v>30</v>
      </c>
      <c r="F688" s="47" t="s">
        <v>30</v>
      </c>
      <c r="G688" s="47" t="s">
        <v>30</v>
      </c>
      <c r="J688" s="47" t="s">
        <v>30</v>
      </c>
      <c r="K688" s="47" t="s">
        <v>30</v>
      </c>
      <c r="L688" s="47" t="s">
        <v>30</v>
      </c>
      <c r="M688" s="47" t="s">
        <v>30</v>
      </c>
    </row>
    <row r="689" spans="1:21" x14ac:dyDescent="0.2">
      <c r="A689" s="47" t="s">
        <v>29</v>
      </c>
      <c r="D689" s="47" t="s">
        <v>8191</v>
      </c>
      <c r="E689" s="47" t="s">
        <v>6538</v>
      </c>
      <c r="F689" s="47" t="s">
        <v>8192</v>
      </c>
      <c r="H689" s="47" t="s">
        <v>8193</v>
      </c>
      <c r="O689" s="47" t="s">
        <v>10782</v>
      </c>
      <c r="P689" s="47" t="s">
        <v>10783</v>
      </c>
      <c r="Q689" s="47" t="s">
        <v>10784</v>
      </c>
      <c r="R689" s="47" t="s">
        <v>10785</v>
      </c>
      <c r="S689" s="47" t="s">
        <v>10786</v>
      </c>
      <c r="T689" s="47" t="s">
        <v>10787</v>
      </c>
      <c r="U689" s="47" t="s">
        <v>10788</v>
      </c>
    </row>
    <row r="690" spans="1:21" x14ac:dyDescent="0.2">
      <c r="A690" s="47" t="s">
        <v>29</v>
      </c>
      <c r="D690" s="47" t="s">
        <v>4198</v>
      </c>
      <c r="G690" s="47" t="s">
        <v>10789</v>
      </c>
      <c r="H690" s="47" t="s">
        <v>4199</v>
      </c>
      <c r="I690" s="47" t="s">
        <v>4200</v>
      </c>
      <c r="J690" s="47" t="s">
        <v>4201</v>
      </c>
      <c r="K690" s="47" t="s">
        <v>4202</v>
      </c>
      <c r="L690" s="47" t="s">
        <v>4203</v>
      </c>
      <c r="M690" s="47" t="s">
        <v>4204</v>
      </c>
      <c r="N690" s="47" t="s">
        <v>4205</v>
      </c>
      <c r="O690" s="47" t="s">
        <v>4206</v>
      </c>
      <c r="P690" s="47" t="s">
        <v>4207</v>
      </c>
      <c r="Q690" s="47" t="s">
        <v>4208</v>
      </c>
      <c r="R690" s="47" t="s">
        <v>4209</v>
      </c>
      <c r="S690" s="47" t="s">
        <v>4210</v>
      </c>
      <c r="T690" s="47" t="s">
        <v>4211</v>
      </c>
    </row>
    <row r="691" spans="1:21" x14ac:dyDescent="0.2">
      <c r="A691" s="47" t="s">
        <v>29</v>
      </c>
    </row>
    <row r="692" spans="1:21" x14ac:dyDescent="0.2">
      <c r="A692" s="47" t="s">
        <v>29</v>
      </c>
      <c r="E692" s="47" t="s">
        <v>30</v>
      </c>
      <c r="F692" s="47" t="s">
        <v>30</v>
      </c>
      <c r="G692" s="47" t="s">
        <v>30</v>
      </c>
      <c r="J692" s="47" t="s">
        <v>30</v>
      </c>
      <c r="K692" s="47" t="s">
        <v>30</v>
      </c>
      <c r="L692" s="47" t="s">
        <v>30</v>
      </c>
      <c r="M692" s="47" t="s">
        <v>30</v>
      </c>
    </row>
    <row r="693" spans="1:21" x14ac:dyDescent="0.2">
      <c r="A693" s="47" t="s">
        <v>29</v>
      </c>
      <c r="D693" s="47" t="s">
        <v>10790</v>
      </c>
      <c r="E693" s="47" t="s">
        <v>6539</v>
      </c>
      <c r="F693" s="47" t="s">
        <v>10791</v>
      </c>
      <c r="H693" s="47" t="s">
        <v>10792</v>
      </c>
      <c r="O693" s="47" t="s">
        <v>10793</v>
      </c>
      <c r="P693" s="47" t="s">
        <v>10794</v>
      </c>
      <c r="Q693" s="47" t="s">
        <v>10795</v>
      </c>
      <c r="R693" s="47" t="s">
        <v>10796</v>
      </c>
      <c r="S693" s="47" t="s">
        <v>10797</v>
      </c>
      <c r="T693" s="47" t="s">
        <v>10798</v>
      </c>
      <c r="U693" s="47" t="s">
        <v>10799</v>
      </c>
    </row>
    <row r="694" spans="1:21" x14ac:dyDescent="0.2">
      <c r="A694" s="47" t="s">
        <v>29</v>
      </c>
      <c r="D694" s="47" t="s">
        <v>4212</v>
      </c>
      <c r="G694" s="47" t="s">
        <v>10800</v>
      </c>
      <c r="H694" s="47" t="s">
        <v>4213</v>
      </c>
      <c r="I694" s="47" t="s">
        <v>4214</v>
      </c>
      <c r="J694" s="47" t="s">
        <v>4215</v>
      </c>
      <c r="K694" s="47" t="s">
        <v>4216</v>
      </c>
      <c r="L694" s="47" t="s">
        <v>4217</v>
      </c>
      <c r="M694" s="47" t="s">
        <v>4218</v>
      </c>
      <c r="N694" s="47" t="s">
        <v>4219</v>
      </c>
      <c r="O694" s="47" t="s">
        <v>10801</v>
      </c>
      <c r="P694" s="47" t="s">
        <v>10802</v>
      </c>
      <c r="Q694" s="47" t="s">
        <v>10803</v>
      </c>
      <c r="R694" s="47" t="s">
        <v>10804</v>
      </c>
      <c r="S694" s="47" t="s">
        <v>10805</v>
      </c>
      <c r="T694" s="47" t="s">
        <v>10806</v>
      </c>
    </row>
    <row r="695" spans="1:21" x14ac:dyDescent="0.2">
      <c r="A695" s="47" t="s">
        <v>29</v>
      </c>
    </row>
    <row r="696" spans="1:21" x14ac:dyDescent="0.2">
      <c r="A696" s="47" t="s">
        <v>29</v>
      </c>
      <c r="E696" s="47" t="s">
        <v>30</v>
      </c>
      <c r="F696" s="47" t="s">
        <v>30</v>
      </c>
      <c r="G696" s="47" t="s">
        <v>30</v>
      </c>
      <c r="J696" s="47" t="s">
        <v>30</v>
      </c>
      <c r="K696" s="47" t="s">
        <v>30</v>
      </c>
      <c r="L696" s="47" t="s">
        <v>30</v>
      </c>
      <c r="M696" s="47" t="s">
        <v>30</v>
      </c>
    </row>
    <row r="697" spans="1:21" x14ac:dyDescent="0.2">
      <c r="A697" s="47" t="s">
        <v>29</v>
      </c>
      <c r="D697" s="47" t="s">
        <v>10807</v>
      </c>
      <c r="E697" s="47" t="s">
        <v>6540</v>
      </c>
      <c r="F697" s="47" t="s">
        <v>10808</v>
      </c>
      <c r="H697" s="47" t="s">
        <v>10809</v>
      </c>
      <c r="O697" s="47" t="s">
        <v>10810</v>
      </c>
      <c r="P697" s="47" t="s">
        <v>10811</v>
      </c>
      <c r="Q697" s="47" t="s">
        <v>10812</v>
      </c>
      <c r="R697" s="47" t="s">
        <v>10813</v>
      </c>
      <c r="S697" s="47" t="s">
        <v>10814</v>
      </c>
      <c r="T697" s="47" t="s">
        <v>10815</v>
      </c>
      <c r="U697" s="47" t="s">
        <v>10816</v>
      </c>
    </row>
    <row r="698" spans="1:21" x14ac:dyDescent="0.2">
      <c r="A698" s="47" t="s">
        <v>29</v>
      </c>
      <c r="D698" s="47" t="s">
        <v>5551</v>
      </c>
      <c r="G698" s="47" t="s">
        <v>10817</v>
      </c>
      <c r="H698" s="47" t="s">
        <v>5555</v>
      </c>
      <c r="I698" s="47" t="s">
        <v>5556</v>
      </c>
      <c r="J698" s="47" t="s">
        <v>5563</v>
      </c>
      <c r="K698" s="47" t="s">
        <v>5564</v>
      </c>
      <c r="L698" s="47" t="s">
        <v>5552</v>
      </c>
      <c r="M698" s="47" t="s">
        <v>5553</v>
      </c>
      <c r="N698" s="47" t="s">
        <v>5554</v>
      </c>
      <c r="O698" s="47" t="s">
        <v>5557</v>
      </c>
      <c r="P698" s="47" t="s">
        <v>5558</v>
      </c>
      <c r="Q698" s="47" t="s">
        <v>5559</v>
      </c>
      <c r="R698" s="47" t="s">
        <v>5560</v>
      </c>
      <c r="S698" s="47" t="s">
        <v>5561</v>
      </c>
      <c r="T698" s="47" t="s">
        <v>5562</v>
      </c>
    </row>
    <row r="699" spans="1:21" x14ac:dyDescent="0.2">
      <c r="A699" s="47" t="s">
        <v>29</v>
      </c>
    </row>
    <row r="700" spans="1:21" x14ac:dyDescent="0.2">
      <c r="A700" s="47" t="s">
        <v>29</v>
      </c>
      <c r="E700" s="47" t="s">
        <v>30</v>
      </c>
      <c r="F700" s="47" t="s">
        <v>30</v>
      </c>
      <c r="G700" s="47" t="s">
        <v>30</v>
      </c>
      <c r="J700" s="47" t="s">
        <v>30</v>
      </c>
      <c r="K700" s="47" t="s">
        <v>30</v>
      </c>
      <c r="L700" s="47" t="s">
        <v>30</v>
      </c>
      <c r="M700" s="47" t="s">
        <v>30</v>
      </c>
    </row>
    <row r="701" spans="1:21" x14ac:dyDescent="0.2">
      <c r="A701" s="47" t="s">
        <v>29</v>
      </c>
      <c r="D701" s="47" t="s">
        <v>10818</v>
      </c>
      <c r="E701" s="47" t="s">
        <v>6541</v>
      </c>
      <c r="F701" s="47" t="s">
        <v>10819</v>
      </c>
      <c r="H701" s="47" t="s">
        <v>10820</v>
      </c>
      <c r="O701" s="47" t="s">
        <v>10821</v>
      </c>
      <c r="P701" s="47" t="s">
        <v>10822</v>
      </c>
      <c r="Q701" s="47" t="s">
        <v>10823</v>
      </c>
      <c r="R701" s="47" t="s">
        <v>10824</v>
      </c>
      <c r="S701" s="47" t="s">
        <v>10825</v>
      </c>
      <c r="T701" s="47" t="s">
        <v>10826</v>
      </c>
      <c r="U701" s="47" t="s">
        <v>10827</v>
      </c>
    </row>
    <row r="702" spans="1:21" x14ac:dyDescent="0.2">
      <c r="A702" s="47" t="s">
        <v>29</v>
      </c>
      <c r="D702" s="47" t="s">
        <v>4221</v>
      </c>
      <c r="G702" s="47" t="s">
        <v>10828</v>
      </c>
      <c r="H702" s="47" t="s">
        <v>4222</v>
      </c>
      <c r="I702" s="47" t="s">
        <v>4223</v>
      </c>
      <c r="J702" s="47" t="s">
        <v>4224</v>
      </c>
      <c r="K702" s="47" t="s">
        <v>4225</v>
      </c>
      <c r="L702" s="47" t="s">
        <v>4226</v>
      </c>
      <c r="M702" s="47" t="s">
        <v>4227</v>
      </c>
      <c r="N702" s="47" t="s">
        <v>4228</v>
      </c>
      <c r="O702" s="47" t="s">
        <v>4229</v>
      </c>
      <c r="P702" s="47" t="s">
        <v>4230</v>
      </c>
      <c r="Q702" s="47" t="s">
        <v>4231</v>
      </c>
      <c r="R702" s="47" t="s">
        <v>4232</v>
      </c>
      <c r="S702" s="47" t="s">
        <v>4233</v>
      </c>
      <c r="T702" s="47" t="s">
        <v>4234</v>
      </c>
    </row>
    <row r="703" spans="1:21" x14ac:dyDescent="0.2">
      <c r="A703" s="47" t="s">
        <v>29</v>
      </c>
    </row>
    <row r="704" spans="1:21" x14ac:dyDescent="0.2">
      <c r="A704" s="47" t="s">
        <v>29</v>
      </c>
      <c r="E704" s="47" t="s">
        <v>30</v>
      </c>
      <c r="F704" s="47" t="s">
        <v>30</v>
      </c>
      <c r="G704" s="47" t="s">
        <v>30</v>
      </c>
      <c r="J704" s="47" t="s">
        <v>30</v>
      </c>
      <c r="K704" s="47" t="s">
        <v>30</v>
      </c>
      <c r="L704" s="47" t="s">
        <v>30</v>
      </c>
      <c r="M704" s="47" t="s">
        <v>30</v>
      </c>
    </row>
    <row r="705" spans="1:21" x14ac:dyDescent="0.2">
      <c r="A705" s="47" t="s">
        <v>29</v>
      </c>
      <c r="D705" s="47" t="s">
        <v>6516</v>
      </c>
      <c r="E705" s="47" t="s">
        <v>6542</v>
      </c>
      <c r="F705" s="47" t="s">
        <v>6517</v>
      </c>
      <c r="H705" s="47" t="s">
        <v>6518</v>
      </c>
      <c r="O705" s="47" t="s">
        <v>10829</v>
      </c>
      <c r="P705" s="47" t="s">
        <v>10830</v>
      </c>
      <c r="Q705" s="47" t="s">
        <v>10831</v>
      </c>
      <c r="R705" s="47" t="s">
        <v>10832</v>
      </c>
      <c r="S705" s="47" t="s">
        <v>10833</v>
      </c>
      <c r="T705" s="47" t="s">
        <v>10834</v>
      </c>
      <c r="U705" s="47" t="s">
        <v>10835</v>
      </c>
    </row>
    <row r="706" spans="1:21" x14ac:dyDescent="0.2">
      <c r="A706" s="47" t="s">
        <v>29</v>
      </c>
      <c r="D706" s="47" t="s">
        <v>4235</v>
      </c>
      <c r="G706" s="47" t="s">
        <v>6519</v>
      </c>
      <c r="H706" s="47" t="s">
        <v>4236</v>
      </c>
      <c r="I706" s="47" t="s">
        <v>4237</v>
      </c>
      <c r="J706" s="47" t="s">
        <v>4238</v>
      </c>
      <c r="K706" s="47" t="s">
        <v>4239</v>
      </c>
      <c r="L706" s="47" t="s">
        <v>4240</v>
      </c>
      <c r="M706" s="47" t="s">
        <v>4241</v>
      </c>
      <c r="N706" s="47" t="s">
        <v>4242</v>
      </c>
      <c r="O706" s="47" t="s">
        <v>4243</v>
      </c>
      <c r="P706" s="47" t="s">
        <v>4244</v>
      </c>
      <c r="Q706" s="47" t="s">
        <v>4245</v>
      </c>
      <c r="R706" s="47" t="s">
        <v>4246</v>
      </c>
      <c r="S706" s="47" t="s">
        <v>4247</v>
      </c>
      <c r="T706" s="47" t="s">
        <v>4248</v>
      </c>
    </row>
    <row r="707" spans="1:21" x14ac:dyDescent="0.2">
      <c r="A707" s="47" t="s">
        <v>29</v>
      </c>
      <c r="D707" s="47" t="s">
        <v>6520</v>
      </c>
      <c r="G707" s="47" t="s">
        <v>8817</v>
      </c>
      <c r="H707" s="47" t="s">
        <v>6563</v>
      </c>
      <c r="I707" s="47" t="s">
        <v>6564</v>
      </c>
      <c r="J707" s="47" t="s">
        <v>6571</v>
      </c>
      <c r="K707" s="47" t="s">
        <v>6572</v>
      </c>
      <c r="L707" s="47" t="s">
        <v>6521</v>
      </c>
      <c r="M707" s="47" t="s">
        <v>6522</v>
      </c>
      <c r="N707" s="47" t="s">
        <v>6523</v>
      </c>
      <c r="O707" s="47" t="s">
        <v>6565</v>
      </c>
      <c r="P707" s="47" t="s">
        <v>6566</v>
      </c>
      <c r="Q707" s="47" t="s">
        <v>6567</v>
      </c>
      <c r="R707" s="47" t="s">
        <v>6568</v>
      </c>
      <c r="S707" s="47" t="s">
        <v>6569</v>
      </c>
      <c r="T707" s="47" t="s">
        <v>6570</v>
      </c>
    </row>
    <row r="708" spans="1:21" x14ac:dyDescent="0.2">
      <c r="A708" s="47" t="s">
        <v>29</v>
      </c>
    </row>
    <row r="709" spans="1:21" x14ac:dyDescent="0.2">
      <c r="A709" s="47" t="s">
        <v>29</v>
      </c>
      <c r="E709" s="47" t="s">
        <v>30</v>
      </c>
      <c r="F709" s="47" t="s">
        <v>30</v>
      </c>
      <c r="G709" s="47" t="s">
        <v>30</v>
      </c>
      <c r="J709" s="47" t="s">
        <v>30</v>
      </c>
      <c r="K709" s="47" t="s">
        <v>30</v>
      </c>
      <c r="L709" s="47" t="s">
        <v>30</v>
      </c>
      <c r="M709" s="47" t="s">
        <v>30</v>
      </c>
    </row>
    <row r="710" spans="1:21" x14ac:dyDescent="0.2">
      <c r="A710" s="47" t="s">
        <v>29</v>
      </c>
      <c r="D710" s="47" t="s">
        <v>8194</v>
      </c>
      <c r="E710" s="47" t="s">
        <v>6543</v>
      </c>
      <c r="F710" s="47" t="s">
        <v>8195</v>
      </c>
      <c r="H710" s="47" t="s">
        <v>8196</v>
      </c>
      <c r="O710" s="47" t="s">
        <v>10836</v>
      </c>
      <c r="P710" s="47" t="s">
        <v>10837</v>
      </c>
      <c r="Q710" s="47" t="s">
        <v>10838</v>
      </c>
      <c r="R710" s="47" t="s">
        <v>10839</v>
      </c>
      <c r="S710" s="47" t="s">
        <v>10840</v>
      </c>
      <c r="T710" s="47" t="s">
        <v>10841</v>
      </c>
      <c r="U710" s="47" t="s">
        <v>10842</v>
      </c>
    </row>
    <row r="711" spans="1:21" x14ac:dyDescent="0.2">
      <c r="A711" s="47" t="s">
        <v>29</v>
      </c>
      <c r="D711" s="47" t="s">
        <v>4249</v>
      </c>
      <c r="G711" s="47" t="s">
        <v>8696</v>
      </c>
      <c r="H711" s="47" t="s">
        <v>4250</v>
      </c>
      <c r="I711" s="47" t="s">
        <v>4251</v>
      </c>
      <c r="J711" s="47" t="s">
        <v>4252</v>
      </c>
      <c r="K711" s="47" t="s">
        <v>4253</v>
      </c>
      <c r="L711" s="47" t="s">
        <v>4254</v>
      </c>
      <c r="M711" s="47" t="s">
        <v>4255</v>
      </c>
      <c r="N711" s="47" t="s">
        <v>4256</v>
      </c>
      <c r="O711" s="47" t="s">
        <v>4257</v>
      </c>
      <c r="P711" s="47" t="s">
        <v>4258</v>
      </c>
      <c r="Q711" s="47" t="s">
        <v>4259</v>
      </c>
      <c r="R711" s="47" t="s">
        <v>4260</v>
      </c>
      <c r="S711" s="47" t="s">
        <v>4261</v>
      </c>
      <c r="T711" s="47" t="s">
        <v>4262</v>
      </c>
    </row>
    <row r="712" spans="1:21" x14ac:dyDescent="0.2">
      <c r="A712" s="47" t="s">
        <v>29</v>
      </c>
    </row>
    <row r="713" spans="1:21" x14ac:dyDescent="0.2">
      <c r="A713" s="47" t="s">
        <v>29</v>
      </c>
      <c r="E713" s="47" t="s">
        <v>30</v>
      </c>
      <c r="F713" s="47" t="s">
        <v>30</v>
      </c>
      <c r="G713" s="47" t="s">
        <v>30</v>
      </c>
      <c r="J713" s="47" t="s">
        <v>30</v>
      </c>
      <c r="K713" s="47" t="s">
        <v>30</v>
      </c>
      <c r="L713" s="47" t="s">
        <v>30</v>
      </c>
      <c r="M713" s="47" t="s">
        <v>30</v>
      </c>
    </row>
    <row r="714" spans="1:21" x14ac:dyDescent="0.2">
      <c r="A714" s="47" t="s">
        <v>29</v>
      </c>
      <c r="D714" s="47" t="s">
        <v>10843</v>
      </c>
      <c r="E714" s="47" t="s">
        <v>6544</v>
      </c>
      <c r="F714" s="47" t="s">
        <v>10844</v>
      </c>
      <c r="H714" s="47" t="s">
        <v>10845</v>
      </c>
      <c r="O714" s="47" t="s">
        <v>10846</v>
      </c>
      <c r="P714" s="47" t="s">
        <v>10847</v>
      </c>
      <c r="Q714" s="47" t="s">
        <v>10848</v>
      </c>
      <c r="R714" s="47" t="s">
        <v>10849</v>
      </c>
      <c r="S714" s="47" t="s">
        <v>10850</v>
      </c>
      <c r="T714" s="47" t="s">
        <v>10851</v>
      </c>
      <c r="U714" s="47" t="s">
        <v>10852</v>
      </c>
    </row>
    <row r="715" spans="1:21" x14ac:dyDescent="0.2">
      <c r="A715" s="47" t="s">
        <v>29</v>
      </c>
      <c r="D715" s="47" t="s">
        <v>4263</v>
      </c>
      <c r="G715" s="47" t="s">
        <v>10853</v>
      </c>
      <c r="H715" s="47" t="s">
        <v>4264</v>
      </c>
      <c r="I715" s="47" t="s">
        <v>4265</v>
      </c>
      <c r="J715" s="47" t="s">
        <v>4266</v>
      </c>
      <c r="K715" s="47" t="s">
        <v>4267</v>
      </c>
      <c r="L715" s="47" t="s">
        <v>4268</v>
      </c>
      <c r="M715" s="47" t="s">
        <v>4269</v>
      </c>
      <c r="N715" s="47" t="s">
        <v>4270</v>
      </c>
      <c r="O715" s="47" t="s">
        <v>4271</v>
      </c>
      <c r="P715" s="47" t="s">
        <v>4272</v>
      </c>
      <c r="Q715" s="47" t="s">
        <v>4273</v>
      </c>
      <c r="R715" s="47" t="s">
        <v>4274</v>
      </c>
      <c r="S715" s="47" t="s">
        <v>4275</v>
      </c>
      <c r="T715" s="47" t="s">
        <v>4276</v>
      </c>
    </row>
    <row r="716" spans="1:21" x14ac:dyDescent="0.2">
      <c r="A716" s="47" t="s">
        <v>29</v>
      </c>
    </row>
    <row r="717" spans="1:21" x14ac:dyDescent="0.2">
      <c r="A717" s="47" t="s">
        <v>29</v>
      </c>
      <c r="E717" s="47" t="s">
        <v>30</v>
      </c>
      <c r="F717" s="47" t="s">
        <v>30</v>
      </c>
      <c r="G717" s="47" t="s">
        <v>30</v>
      </c>
      <c r="J717" s="47" t="s">
        <v>30</v>
      </c>
      <c r="K717" s="47" t="s">
        <v>30</v>
      </c>
      <c r="L717" s="47" t="s">
        <v>30</v>
      </c>
      <c r="M717" s="47" t="s">
        <v>30</v>
      </c>
    </row>
    <row r="718" spans="1:21" x14ac:dyDescent="0.2">
      <c r="A718" s="47" t="s">
        <v>29</v>
      </c>
      <c r="D718" s="47" t="s">
        <v>6524</v>
      </c>
      <c r="E718" s="47" t="s">
        <v>6545</v>
      </c>
      <c r="F718" s="47" t="s">
        <v>6525</v>
      </c>
      <c r="H718" s="47" t="s">
        <v>6526</v>
      </c>
      <c r="O718" s="47" t="s">
        <v>10854</v>
      </c>
      <c r="P718" s="47" t="s">
        <v>10855</v>
      </c>
      <c r="Q718" s="47" t="s">
        <v>10856</v>
      </c>
      <c r="R718" s="47" t="s">
        <v>10857</v>
      </c>
      <c r="S718" s="47" t="s">
        <v>10858</v>
      </c>
      <c r="T718" s="47" t="s">
        <v>10859</v>
      </c>
      <c r="U718" s="47" t="s">
        <v>10860</v>
      </c>
    </row>
    <row r="719" spans="1:21" x14ac:dyDescent="0.2">
      <c r="A719" s="47" t="s">
        <v>29</v>
      </c>
      <c r="D719" s="47" t="s">
        <v>6527</v>
      </c>
      <c r="G719" s="47" t="s">
        <v>6528</v>
      </c>
      <c r="H719" s="47" t="s">
        <v>6553</v>
      </c>
      <c r="I719" s="47" t="s">
        <v>6554</v>
      </c>
      <c r="J719" s="47" t="s">
        <v>6561</v>
      </c>
      <c r="K719" s="47" t="s">
        <v>6562</v>
      </c>
      <c r="L719" s="47" t="s">
        <v>6529</v>
      </c>
      <c r="M719" s="47" t="s">
        <v>6530</v>
      </c>
      <c r="N719" s="47" t="s">
        <v>6531</v>
      </c>
      <c r="O719" s="47" t="s">
        <v>6555</v>
      </c>
      <c r="P719" s="47" t="s">
        <v>6556</v>
      </c>
      <c r="Q719" s="47" t="s">
        <v>6557</v>
      </c>
      <c r="R719" s="47" t="s">
        <v>6558</v>
      </c>
      <c r="S719" s="47" t="s">
        <v>6559</v>
      </c>
      <c r="T719" s="47" t="s">
        <v>6560</v>
      </c>
    </row>
    <row r="720" spans="1:21" x14ac:dyDescent="0.2">
      <c r="A720" s="47" t="s">
        <v>29</v>
      </c>
    </row>
    <row r="721" spans="1:21" x14ac:dyDescent="0.2">
      <c r="A721" s="47" t="s">
        <v>29</v>
      </c>
      <c r="E721" s="47" t="s">
        <v>30</v>
      </c>
      <c r="F721" s="47" t="s">
        <v>30</v>
      </c>
      <c r="G721" s="47" t="s">
        <v>30</v>
      </c>
      <c r="J721" s="47" t="s">
        <v>30</v>
      </c>
      <c r="K721" s="47" t="s">
        <v>30</v>
      </c>
      <c r="L721" s="47" t="s">
        <v>30</v>
      </c>
      <c r="M721" s="47" t="s">
        <v>30</v>
      </c>
    </row>
    <row r="722" spans="1:21" x14ac:dyDescent="0.2">
      <c r="A722" s="47" t="s">
        <v>29</v>
      </c>
      <c r="D722" s="47" t="s">
        <v>10861</v>
      </c>
      <c r="E722" s="47" t="s">
        <v>6546</v>
      </c>
      <c r="F722" s="47" t="s">
        <v>10862</v>
      </c>
      <c r="H722" s="47" t="s">
        <v>10863</v>
      </c>
      <c r="O722" s="47" t="s">
        <v>10864</v>
      </c>
      <c r="P722" s="47" t="s">
        <v>10865</v>
      </c>
      <c r="Q722" s="47" t="s">
        <v>10866</v>
      </c>
      <c r="R722" s="47" t="s">
        <v>10867</v>
      </c>
      <c r="S722" s="47" t="s">
        <v>10868</v>
      </c>
      <c r="T722" s="47" t="s">
        <v>10869</v>
      </c>
      <c r="U722" s="47" t="s">
        <v>10870</v>
      </c>
    </row>
    <row r="723" spans="1:21" x14ac:dyDescent="0.2">
      <c r="A723" s="47" t="s">
        <v>29</v>
      </c>
      <c r="D723" s="47" t="s">
        <v>4278</v>
      </c>
      <c r="G723" s="47" t="s">
        <v>10871</v>
      </c>
      <c r="H723" s="47" t="s">
        <v>4279</v>
      </c>
      <c r="I723" s="47" t="s">
        <v>4280</v>
      </c>
      <c r="J723" s="47" t="s">
        <v>4281</v>
      </c>
      <c r="K723" s="47" t="s">
        <v>4282</v>
      </c>
      <c r="L723" s="47" t="s">
        <v>4283</v>
      </c>
      <c r="M723" s="47" t="s">
        <v>4284</v>
      </c>
      <c r="N723" s="47" t="s">
        <v>4285</v>
      </c>
      <c r="O723" s="47" t="s">
        <v>4286</v>
      </c>
      <c r="P723" s="47" t="s">
        <v>4287</v>
      </c>
      <c r="Q723" s="47" t="s">
        <v>4288</v>
      </c>
      <c r="R723" s="47" t="s">
        <v>4289</v>
      </c>
      <c r="S723" s="47" t="s">
        <v>4290</v>
      </c>
      <c r="T723" s="47" t="s">
        <v>4291</v>
      </c>
    </row>
    <row r="724" spans="1:21" x14ac:dyDescent="0.2">
      <c r="A724" s="47" t="s">
        <v>29</v>
      </c>
    </row>
    <row r="725" spans="1:21" x14ac:dyDescent="0.2">
      <c r="A725" s="47" t="s">
        <v>29</v>
      </c>
      <c r="E725" s="47" t="s">
        <v>30</v>
      </c>
      <c r="F725" s="47" t="s">
        <v>30</v>
      </c>
      <c r="G725" s="47" t="s">
        <v>30</v>
      </c>
      <c r="J725" s="47" t="s">
        <v>30</v>
      </c>
      <c r="K725" s="47" t="s">
        <v>30</v>
      </c>
      <c r="L725" s="47" t="s">
        <v>30</v>
      </c>
      <c r="M725" s="47" t="s">
        <v>30</v>
      </c>
    </row>
    <row r="727" spans="1:21" x14ac:dyDescent="0.2">
      <c r="N727" s="47" t="s">
        <v>31</v>
      </c>
      <c r="O727" s="47" t="s">
        <v>10872</v>
      </c>
      <c r="P727" s="47" t="s">
        <v>10873</v>
      </c>
      <c r="Q727" s="47" t="s">
        <v>10874</v>
      </c>
      <c r="R727" s="47" t="s">
        <v>10875</v>
      </c>
      <c r="S727" s="47" t="s">
        <v>10876</v>
      </c>
      <c r="T727" s="47" t="s">
        <v>10877</v>
      </c>
      <c r="U727" s="47" t="s">
        <v>10878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D39D2-2068-4FFA-B286-5E5DBF51282C}">
  <dimension ref="A1:U582"/>
  <sheetViews>
    <sheetView workbookViewId="0"/>
  </sheetViews>
  <sheetFormatPr defaultRowHeight="12.75" x14ac:dyDescent="0.2"/>
  <sheetData>
    <row r="1" spans="1:21" x14ac:dyDescent="0.2">
      <c r="A1" s="47" t="s">
        <v>10893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7</v>
      </c>
      <c r="K5" s="47" t="s">
        <v>5</v>
      </c>
      <c r="L5" s="47" t="s">
        <v>35</v>
      </c>
    </row>
    <row r="6" spans="1:21" x14ac:dyDescent="0.2">
      <c r="E6" s="47" t="s">
        <v>2077</v>
      </c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2078</v>
      </c>
      <c r="F12" s="47" t="s">
        <v>2046</v>
      </c>
      <c r="H12" s="47" t="s">
        <v>2047</v>
      </c>
      <c r="O12" s="47" t="s">
        <v>2410</v>
      </c>
      <c r="P12" s="47" t="s">
        <v>2411</v>
      </c>
      <c r="Q12" s="47" t="s">
        <v>2412</v>
      </c>
      <c r="R12" s="47" t="s">
        <v>2413</v>
      </c>
      <c r="S12" s="47" t="s">
        <v>2414</v>
      </c>
      <c r="T12" s="47" t="s">
        <v>2415</v>
      </c>
      <c r="U12" s="47" t="s">
        <v>2416</v>
      </c>
    </row>
    <row r="13" spans="1:21" x14ac:dyDescent="0.2">
      <c r="D13" s="47" t="s">
        <v>2055</v>
      </c>
      <c r="G13" s="47" t="s">
        <v>2079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2080</v>
      </c>
      <c r="P13" s="47" t="s">
        <v>2081</v>
      </c>
      <c r="Q13" s="47" t="s">
        <v>2082</v>
      </c>
      <c r="R13" s="47" t="s">
        <v>2083</v>
      </c>
      <c r="S13" s="47" t="s">
        <v>2084</v>
      </c>
      <c r="T13" s="47" t="s">
        <v>2085</v>
      </c>
    </row>
    <row r="14" spans="1:21" x14ac:dyDescent="0.2">
      <c r="A14" s="47" t="s">
        <v>29</v>
      </c>
      <c r="D14" s="47" t="s">
        <v>38</v>
      </c>
      <c r="G14" s="47" t="s">
        <v>8610</v>
      </c>
      <c r="H14" s="47" t="s">
        <v>39</v>
      </c>
      <c r="I14" s="47" t="s">
        <v>40</v>
      </c>
      <c r="J14" s="47" t="s">
        <v>41</v>
      </c>
      <c r="K14" s="47" t="s">
        <v>42</v>
      </c>
      <c r="L14" s="47" t="s">
        <v>43</v>
      </c>
      <c r="M14" s="47" t="s">
        <v>44</v>
      </c>
      <c r="N14" s="47" t="s">
        <v>45</v>
      </c>
      <c r="O14" s="47" t="s">
        <v>2417</v>
      </c>
      <c r="P14" s="47" t="s">
        <v>2418</v>
      </c>
      <c r="Q14" s="47" t="s">
        <v>2419</v>
      </c>
      <c r="R14" s="47" t="s">
        <v>2420</v>
      </c>
      <c r="S14" s="47" t="s">
        <v>2421</v>
      </c>
      <c r="T14" s="47" t="s">
        <v>2422</v>
      </c>
    </row>
    <row r="16" spans="1:21" x14ac:dyDescent="0.2">
      <c r="E16" s="47" t="s">
        <v>30</v>
      </c>
      <c r="F16" s="47" t="s">
        <v>30</v>
      </c>
      <c r="G16" s="47" t="s">
        <v>30</v>
      </c>
      <c r="J16" s="47" t="s">
        <v>30</v>
      </c>
      <c r="K16" s="47" t="s">
        <v>30</v>
      </c>
      <c r="L16" s="47" t="s">
        <v>30</v>
      </c>
      <c r="M16" s="47" t="s">
        <v>30</v>
      </c>
    </row>
    <row r="17" spans="1:21" x14ac:dyDescent="0.2">
      <c r="A17" s="47" t="s">
        <v>29</v>
      </c>
      <c r="D17" s="47" t="s">
        <v>2423</v>
      </c>
      <c r="E17" s="47" t="s">
        <v>2999</v>
      </c>
      <c r="F17" s="47" t="s">
        <v>2424</v>
      </c>
      <c r="H17" s="47" t="s">
        <v>2425</v>
      </c>
      <c r="O17" s="47" t="s">
        <v>8259</v>
      </c>
      <c r="P17" s="47" t="s">
        <v>8260</v>
      </c>
      <c r="Q17" s="47" t="s">
        <v>8261</v>
      </c>
      <c r="R17" s="47" t="s">
        <v>8262</v>
      </c>
      <c r="S17" s="47" t="s">
        <v>8263</v>
      </c>
      <c r="T17" s="47" t="s">
        <v>8264</v>
      </c>
      <c r="U17" s="47" t="s">
        <v>8265</v>
      </c>
    </row>
    <row r="18" spans="1:21" x14ac:dyDescent="0.2">
      <c r="A18" s="47" t="s">
        <v>29</v>
      </c>
      <c r="D18" s="47" t="s">
        <v>2426</v>
      </c>
      <c r="G18" s="47" t="s">
        <v>2427</v>
      </c>
      <c r="H18" s="47" t="s">
        <v>2428</v>
      </c>
      <c r="I18" s="47" t="s">
        <v>2429</v>
      </c>
      <c r="J18" s="47" t="s">
        <v>2430</v>
      </c>
      <c r="K18" s="47" t="s">
        <v>2431</v>
      </c>
      <c r="L18" s="47" t="s">
        <v>2432</v>
      </c>
      <c r="M18" s="47" t="s">
        <v>2433</v>
      </c>
      <c r="N18" s="47" t="s">
        <v>2434</v>
      </c>
      <c r="O18" s="47" t="s">
        <v>2435</v>
      </c>
      <c r="P18" s="47" t="s">
        <v>2436</v>
      </c>
      <c r="Q18" s="47" t="s">
        <v>2437</v>
      </c>
      <c r="R18" s="47" t="s">
        <v>2438</v>
      </c>
      <c r="S18" s="47" t="s">
        <v>2439</v>
      </c>
      <c r="T18" s="47" t="s">
        <v>2440</v>
      </c>
    </row>
    <row r="19" spans="1:21" x14ac:dyDescent="0.2">
      <c r="A19" s="47" t="s">
        <v>29</v>
      </c>
    </row>
    <row r="20" spans="1:21" x14ac:dyDescent="0.2">
      <c r="A20" s="47" t="s">
        <v>29</v>
      </c>
      <c r="E20" s="47" t="s">
        <v>30</v>
      </c>
      <c r="F20" s="47" t="s">
        <v>30</v>
      </c>
      <c r="G20" s="47" t="s">
        <v>30</v>
      </c>
      <c r="J20" s="47" t="s">
        <v>30</v>
      </c>
      <c r="K20" s="47" t="s">
        <v>30</v>
      </c>
      <c r="L20" s="47" t="s">
        <v>30</v>
      </c>
      <c r="M20" s="47" t="s">
        <v>30</v>
      </c>
    </row>
    <row r="21" spans="1:21" x14ac:dyDescent="0.2">
      <c r="A21" s="47" t="s">
        <v>29</v>
      </c>
      <c r="D21" s="47" t="s">
        <v>4345</v>
      </c>
      <c r="E21" s="47" t="s">
        <v>3000</v>
      </c>
      <c r="F21" s="47" t="s">
        <v>4346</v>
      </c>
      <c r="H21" s="47" t="s">
        <v>4347</v>
      </c>
      <c r="O21" s="47" t="s">
        <v>4348</v>
      </c>
      <c r="P21" s="47" t="s">
        <v>4349</v>
      </c>
      <c r="Q21" s="47" t="s">
        <v>4350</v>
      </c>
      <c r="R21" s="47" t="s">
        <v>4351</v>
      </c>
      <c r="S21" s="47" t="s">
        <v>4352</v>
      </c>
      <c r="T21" s="47" t="s">
        <v>4353</v>
      </c>
      <c r="U21" s="47" t="s">
        <v>4354</v>
      </c>
    </row>
    <row r="22" spans="1:21" x14ac:dyDescent="0.2">
      <c r="A22" s="47" t="s">
        <v>29</v>
      </c>
      <c r="D22" s="47" t="s">
        <v>1868</v>
      </c>
      <c r="G22" s="47" t="s">
        <v>4355</v>
      </c>
      <c r="H22" s="47" t="s">
        <v>1869</v>
      </c>
      <c r="I22" s="47" t="s">
        <v>1870</v>
      </c>
      <c r="J22" s="47" t="s">
        <v>1871</v>
      </c>
      <c r="K22" s="47" t="s">
        <v>1872</v>
      </c>
      <c r="L22" s="47" t="s">
        <v>1873</v>
      </c>
      <c r="M22" s="47" t="s">
        <v>1874</v>
      </c>
      <c r="N22" s="47" t="s">
        <v>1875</v>
      </c>
      <c r="O22" s="47" t="s">
        <v>2441</v>
      </c>
      <c r="P22" s="47" t="s">
        <v>2442</v>
      </c>
      <c r="Q22" s="47" t="s">
        <v>2443</v>
      </c>
      <c r="R22" s="47" t="s">
        <v>2444</v>
      </c>
      <c r="S22" s="47" t="s">
        <v>2445</v>
      </c>
      <c r="T22" s="47" t="s">
        <v>2446</v>
      </c>
    </row>
    <row r="23" spans="1:21" x14ac:dyDescent="0.2">
      <c r="A23" s="47" t="s">
        <v>29</v>
      </c>
      <c r="D23" s="47" t="s">
        <v>1181</v>
      </c>
      <c r="G23" s="47" t="s">
        <v>8612</v>
      </c>
      <c r="H23" s="47" t="s">
        <v>1182</v>
      </c>
      <c r="I23" s="47" t="s">
        <v>1183</v>
      </c>
      <c r="J23" s="47" t="s">
        <v>1184</v>
      </c>
      <c r="K23" s="47" t="s">
        <v>1185</v>
      </c>
      <c r="L23" s="47" t="s">
        <v>1186</v>
      </c>
      <c r="M23" s="47" t="s">
        <v>1187</v>
      </c>
      <c r="N23" s="47" t="s">
        <v>1188</v>
      </c>
      <c r="O23" s="47" t="s">
        <v>2447</v>
      </c>
      <c r="P23" s="47" t="s">
        <v>2448</v>
      </c>
      <c r="Q23" s="47" t="s">
        <v>2449</v>
      </c>
      <c r="R23" s="47" t="s">
        <v>2450</v>
      </c>
      <c r="S23" s="47" t="s">
        <v>2451</v>
      </c>
      <c r="T23" s="47" t="s">
        <v>2452</v>
      </c>
    </row>
    <row r="24" spans="1:21" x14ac:dyDescent="0.2">
      <c r="A24" s="47" t="s">
        <v>29</v>
      </c>
    </row>
    <row r="25" spans="1:21" x14ac:dyDescent="0.2">
      <c r="A25" s="47" t="s">
        <v>29</v>
      </c>
      <c r="E25" s="47" t="s">
        <v>30</v>
      </c>
      <c r="F25" s="47" t="s">
        <v>30</v>
      </c>
      <c r="G25" s="47" t="s">
        <v>30</v>
      </c>
      <c r="J25" s="47" t="s">
        <v>30</v>
      </c>
      <c r="K25" s="47" t="s">
        <v>30</v>
      </c>
      <c r="L25" s="47" t="s">
        <v>30</v>
      </c>
      <c r="M25" s="47" t="s">
        <v>30</v>
      </c>
    </row>
    <row r="26" spans="1:21" x14ac:dyDescent="0.2">
      <c r="A26" s="47" t="s">
        <v>29</v>
      </c>
      <c r="D26" s="47" t="s">
        <v>1189</v>
      </c>
      <c r="E26" s="47" t="s">
        <v>3001</v>
      </c>
      <c r="F26" s="47" t="s">
        <v>1190</v>
      </c>
      <c r="H26" s="47" t="s">
        <v>1191</v>
      </c>
      <c r="O26" s="47" t="s">
        <v>4917</v>
      </c>
      <c r="P26" s="47" t="s">
        <v>4918</v>
      </c>
      <c r="Q26" s="47" t="s">
        <v>4919</v>
      </c>
      <c r="R26" s="47" t="s">
        <v>4920</v>
      </c>
      <c r="S26" s="47" t="s">
        <v>4921</v>
      </c>
      <c r="T26" s="47" t="s">
        <v>4922</v>
      </c>
      <c r="U26" s="47" t="s">
        <v>4923</v>
      </c>
    </row>
    <row r="27" spans="1:21" x14ac:dyDescent="0.2">
      <c r="A27" s="47" t="s">
        <v>29</v>
      </c>
      <c r="D27" s="47" t="s">
        <v>54</v>
      </c>
      <c r="G27" s="47" t="s">
        <v>2998</v>
      </c>
      <c r="H27" s="47" t="s">
        <v>55</v>
      </c>
      <c r="I27" s="47" t="s">
        <v>56</v>
      </c>
      <c r="J27" s="47" t="s">
        <v>57</v>
      </c>
      <c r="K27" s="47" t="s">
        <v>58</v>
      </c>
      <c r="L27" s="47" t="s">
        <v>59</v>
      </c>
      <c r="M27" s="47" t="s">
        <v>60</v>
      </c>
      <c r="N27" s="47" t="s">
        <v>61</v>
      </c>
      <c r="O27" s="47" t="s">
        <v>2633</v>
      </c>
      <c r="P27" s="47" t="s">
        <v>2634</v>
      </c>
      <c r="Q27" s="47" t="s">
        <v>2635</v>
      </c>
      <c r="R27" s="47" t="s">
        <v>2636</v>
      </c>
      <c r="S27" s="47" t="s">
        <v>2637</v>
      </c>
      <c r="T27" s="47" t="s">
        <v>2638</v>
      </c>
    </row>
    <row r="28" spans="1:21" x14ac:dyDescent="0.2">
      <c r="A28" s="47" t="s">
        <v>29</v>
      </c>
    </row>
    <row r="29" spans="1:21" x14ac:dyDescent="0.2">
      <c r="A29" s="47" t="s">
        <v>29</v>
      </c>
      <c r="E29" s="47" t="s">
        <v>30</v>
      </c>
      <c r="F29" s="47" t="s">
        <v>30</v>
      </c>
      <c r="G29" s="47" t="s">
        <v>30</v>
      </c>
      <c r="J29" s="47" t="s">
        <v>30</v>
      </c>
      <c r="K29" s="47" t="s">
        <v>30</v>
      </c>
      <c r="L29" s="47" t="s">
        <v>30</v>
      </c>
      <c r="M29" s="47" t="s">
        <v>30</v>
      </c>
    </row>
    <row r="30" spans="1:21" x14ac:dyDescent="0.2">
      <c r="A30" s="47" t="s">
        <v>29</v>
      </c>
      <c r="D30" s="47" t="s">
        <v>4924</v>
      </c>
      <c r="E30" s="47" t="s">
        <v>3002</v>
      </c>
      <c r="F30" s="47" t="s">
        <v>4925</v>
      </c>
      <c r="H30" s="47" t="s">
        <v>4926</v>
      </c>
      <c r="O30" s="47" t="s">
        <v>4927</v>
      </c>
      <c r="P30" s="47" t="s">
        <v>4928</v>
      </c>
      <c r="Q30" s="47" t="s">
        <v>4929</v>
      </c>
      <c r="R30" s="47" t="s">
        <v>4930</v>
      </c>
      <c r="S30" s="47" t="s">
        <v>4931</v>
      </c>
      <c r="T30" s="47" t="s">
        <v>4932</v>
      </c>
      <c r="U30" s="47" t="s">
        <v>4933</v>
      </c>
    </row>
    <row r="31" spans="1:21" x14ac:dyDescent="0.2">
      <c r="A31" s="47" t="s">
        <v>29</v>
      </c>
      <c r="D31" s="47" t="s">
        <v>1192</v>
      </c>
      <c r="G31" s="47" t="s">
        <v>4934</v>
      </c>
      <c r="H31" s="47" t="s">
        <v>1193</v>
      </c>
      <c r="I31" s="47" t="s">
        <v>1194</v>
      </c>
      <c r="J31" s="47" t="s">
        <v>1195</v>
      </c>
      <c r="K31" s="47" t="s">
        <v>1196</v>
      </c>
      <c r="L31" s="47" t="s">
        <v>1197</v>
      </c>
      <c r="M31" s="47" t="s">
        <v>1198</v>
      </c>
      <c r="N31" s="47" t="s">
        <v>1199</v>
      </c>
      <c r="O31" s="47" t="s">
        <v>2284</v>
      </c>
      <c r="P31" s="47" t="s">
        <v>2285</v>
      </c>
      <c r="Q31" s="47" t="s">
        <v>2286</v>
      </c>
      <c r="R31" s="47" t="s">
        <v>2287</v>
      </c>
      <c r="S31" s="47" t="s">
        <v>2288</v>
      </c>
      <c r="T31" s="47" t="s">
        <v>2289</v>
      </c>
    </row>
    <row r="32" spans="1:21" x14ac:dyDescent="0.2">
      <c r="A32" s="47" t="s">
        <v>29</v>
      </c>
      <c r="D32" s="47" t="s">
        <v>1278</v>
      </c>
      <c r="G32" s="47" t="s">
        <v>8616</v>
      </c>
      <c r="H32" s="47" t="s">
        <v>1279</v>
      </c>
      <c r="I32" s="47" t="s">
        <v>1280</v>
      </c>
      <c r="J32" s="47" t="s">
        <v>1281</v>
      </c>
      <c r="K32" s="47" t="s">
        <v>1282</v>
      </c>
      <c r="L32" s="47" t="s">
        <v>1283</v>
      </c>
      <c r="M32" s="47" t="s">
        <v>1284</v>
      </c>
      <c r="N32" s="47" t="s">
        <v>1285</v>
      </c>
      <c r="O32" s="47" t="s">
        <v>2639</v>
      </c>
      <c r="P32" s="47" t="s">
        <v>2640</v>
      </c>
      <c r="Q32" s="47" t="s">
        <v>2641</v>
      </c>
      <c r="R32" s="47" t="s">
        <v>2642</v>
      </c>
      <c r="S32" s="47" t="s">
        <v>2643</v>
      </c>
      <c r="T32" s="47" t="s">
        <v>2644</v>
      </c>
    </row>
    <row r="33" spans="1:21" x14ac:dyDescent="0.2">
      <c r="A33" s="47" t="s">
        <v>29</v>
      </c>
    </row>
    <row r="34" spans="1:21" x14ac:dyDescent="0.2">
      <c r="A34" s="47" t="s">
        <v>29</v>
      </c>
      <c r="E34" s="47" t="s">
        <v>30</v>
      </c>
      <c r="F34" s="47" t="s">
        <v>30</v>
      </c>
      <c r="G34" s="47" t="s">
        <v>30</v>
      </c>
      <c r="J34" s="47" t="s">
        <v>30</v>
      </c>
      <c r="K34" s="47" t="s">
        <v>30</v>
      </c>
      <c r="L34" s="47" t="s">
        <v>30</v>
      </c>
      <c r="M34" s="47" t="s">
        <v>30</v>
      </c>
    </row>
    <row r="35" spans="1:21" x14ac:dyDescent="0.2">
      <c r="A35" s="47" t="s">
        <v>29</v>
      </c>
      <c r="D35" s="47" t="s">
        <v>1286</v>
      </c>
      <c r="E35" s="47" t="s">
        <v>3009</v>
      </c>
      <c r="F35" s="47" t="s">
        <v>1287</v>
      </c>
      <c r="H35" s="47" t="s">
        <v>1288</v>
      </c>
      <c r="O35" s="47" t="s">
        <v>8416</v>
      </c>
      <c r="P35" s="47" t="s">
        <v>8417</v>
      </c>
      <c r="Q35" s="47" t="s">
        <v>8418</v>
      </c>
      <c r="R35" s="47" t="s">
        <v>8419</v>
      </c>
      <c r="S35" s="47" t="s">
        <v>8420</v>
      </c>
      <c r="T35" s="47" t="s">
        <v>8421</v>
      </c>
      <c r="U35" s="47" t="s">
        <v>8422</v>
      </c>
    </row>
    <row r="36" spans="1:21" x14ac:dyDescent="0.2">
      <c r="A36" s="47" t="s">
        <v>29</v>
      </c>
      <c r="D36" s="47" t="s">
        <v>105</v>
      </c>
      <c r="G36" s="47" t="s">
        <v>2645</v>
      </c>
      <c r="H36" s="47" t="s">
        <v>106</v>
      </c>
      <c r="I36" s="47" t="s">
        <v>107</v>
      </c>
      <c r="J36" s="47" t="s">
        <v>108</v>
      </c>
      <c r="K36" s="47" t="s">
        <v>109</v>
      </c>
      <c r="L36" s="47" t="s">
        <v>110</v>
      </c>
      <c r="M36" s="47" t="s">
        <v>111</v>
      </c>
      <c r="N36" s="47" t="s">
        <v>112</v>
      </c>
      <c r="O36" s="47" t="s">
        <v>2290</v>
      </c>
      <c r="P36" s="47" t="s">
        <v>2291</v>
      </c>
      <c r="Q36" s="47" t="s">
        <v>2292</v>
      </c>
      <c r="R36" s="47" t="s">
        <v>2293</v>
      </c>
      <c r="S36" s="47" t="s">
        <v>2294</v>
      </c>
      <c r="T36" s="47" t="s">
        <v>2295</v>
      </c>
    </row>
    <row r="37" spans="1:21" x14ac:dyDescent="0.2">
      <c r="A37" s="47" t="s">
        <v>29</v>
      </c>
      <c r="D37" s="47" t="s">
        <v>113</v>
      </c>
      <c r="G37" s="47" t="s">
        <v>8619</v>
      </c>
      <c r="H37" s="47" t="s">
        <v>114</v>
      </c>
      <c r="I37" s="47" t="s">
        <v>115</v>
      </c>
      <c r="J37" s="47" t="s">
        <v>116</v>
      </c>
      <c r="K37" s="47" t="s">
        <v>117</v>
      </c>
      <c r="L37" s="47" t="s">
        <v>118</v>
      </c>
      <c r="M37" s="47" t="s">
        <v>119</v>
      </c>
      <c r="N37" s="47" t="s">
        <v>120</v>
      </c>
      <c r="O37" s="47" t="s">
        <v>2296</v>
      </c>
      <c r="P37" s="47" t="s">
        <v>2297</v>
      </c>
      <c r="Q37" s="47" t="s">
        <v>2298</v>
      </c>
      <c r="R37" s="47" t="s">
        <v>2299</v>
      </c>
      <c r="S37" s="47" t="s">
        <v>2300</v>
      </c>
      <c r="T37" s="47" t="s">
        <v>2301</v>
      </c>
    </row>
    <row r="38" spans="1:21" x14ac:dyDescent="0.2">
      <c r="A38" s="47" t="s">
        <v>29</v>
      </c>
      <c r="D38" s="47" t="s">
        <v>121</v>
      </c>
      <c r="G38" s="47" t="s">
        <v>8620</v>
      </c>
      <c r="H38" s="47" t="s">
        <v>122</v>
      </c>
      <c r="I38" s="47" t="s">
        <v>123</v>
      </c>
      <c r="J38" s="47" t="s">
        <v>124</v>
      </c>
      <c r="K38" s="47" t="s">
        <v>125</v>
      </c>
      <c r="L38" s="47" t="s">
        <v>126</v>
      </c>
      <c r="M38" s="47" t="s">
        <v>127</v>
      </c>
      <c r="N38" s="47" t="s">
        <v>128</v>
      </c>
      <c r="O38" s="47" t="s">
        <v>2613</v>
      </c>
      <c r="P38" s="47" t="s">
        <v>2614</v>
      </c>
      <c r="Q38" s="47" t="s">
        <v>2615</v>
      </c>
      <c r="R38" s="47" t="s">
        <v>2616</v>
      </c>
      <c r="S38" s="47" t="s">
        <v>2617</v>
      </c>
      <c r="T38" s="47" t="s">
        <v>2618</v>
      </c>
    </row>
    <row r="39" spans="1:21" x14ac:dyDescent="0.2">
      <c r="A39" s="47" t="s">
        <v>29</v>
      </c>
    </row>
    <row r="40" spans="1:21" x14ac:dyDescent="0.2">
      <c r="A40" s="47" t="s">
        <v>29</v>
      </c>
      <c r="E40" s="47" t="s">
        <v>30</v>
      </c>
      <c r="F40" s="47" t="s">
        <v>30</v>
      </c>
      <c r="G40" s="47" t="s">
        <v>30</v>
      </c>
      <c r="J40" s="47" t="s">
        <v>30</v>
      </c>
      <c r="K40" s="47" t="s">
        <v>30</v>
      </c>
      <c r="L40" s="47" t="s">
        <v>30</v>
      </c>
      <c r="M40" s="47" t="s">
        <v>30</v>
      </c>
    </row>
    <row r="41" spans="1:21" x14ac:dyDescent="0.2">
      <c r="A41" s="47" t="s">
        <v>29</v>
      </c>
      <c r="D41" s="47" t="s">
        <v>129</v>
      </c>
      <c r="E41" s="47" t="s">
        <v>3010</v>
      </c>
      <c r="F41" s="47" t="s">
        <v>130</v>
      </c>
      <c r="H41" s="47" t="s">
        <v>131</v>
      </c>
      <c r="O41" s="47" t="s">
        <v>9361</v>
      </c>
      <c r="P41" s="47" t="s">
        <v>9362</v>
      </c>
      <c r="Q41" s="47" t="s">
        <v>9363</v>
      </c>
      <c r="R41" s="47" t="s">
        <v>9364</v>
      </c>
      <c r="S41" s="47" t="s">
        <v>9365</v>
      </c>
      <c r="T41" s="47" t="s">
        <v>9366</v>
      </c>
      <c r="U41" s="47" t="s">
        <v>9367</v>
      </c>
    </row>
    <row r="42" spans="1:21" x14ac:dyDescent="0.2">
      <c r="A42" s="47" t="s">
        <v>29</v>
      </c>
      <c r="D42" s="47" t="s">
        <v>132</v>
      </c>
      <c r="G42" s="47" t="s">
        <v>2619</v>
      </c>
      <c r="H42" s="47" t="s">
        <v>133</v>
      </c>
      <c r="I42" s="47" t="s">
        <v>134</v>
      </c>
      <c r="J42" s="47" t="s">
        <v>135</v>
      </c>
      <c r="K42" s="47" t="s">
        <v>136</v>
      </c>
      <c r="L42" s="47" t="s">
        <v>137</v>
      </c>
      <c r="M42" s="47" t="s">
        <v>138</v>
      </c>
      <c r="N42" s="47" t="s">
        <v>139</v>
      </c>
      <c r="O42" s="47" t="s">
        <v>2453</v>
      </c>
      <c r="P42" s="47" t="s">
        <v>2454</v>
      </c>
      <c r="Q42" s="47" t="s">
        <v>2455</v>
      </c>
      <c r="R42" s="47" t="s">
        <v>2456</v>
      </c>
      <c r="S42" s="47" t="s">
        <v>2457</v>
      </c>
      <c r="T42" s="47" t="s">
        <v>2458</v>
      </c>
    </row>
    <row r="43" spans="1:21" x14ac:dyDescent="0.2">
      <c r="A43" s="47" t="s">
        <v>29</v>
      </c>
      <c r="D43" s="47" t="s">
        <v>140</v>
      </c>
      <c r="G43" s="47" t="s">
        <v>8621</v>
      </c>
      <c r="H43" s="47" t="s">
        <v>141</v>
      </c>
      <c r="I43" s="47" t="s">
        <v>142</v>
      </c>
      <c r="J43" s="47" t="s">
        <v>143</v>
      </c>
      <c r="K43" s="47" t="s">
        <v>144</v>
      </c>
      <c r="L43" s="47" t="s">
        <v>145</v>
      </c>
      <c r="M43" s="47" t="s">
        <v>146</v>
      </c>
      <c r="N43" s="47" t="s">
        <v>147</v>
      </c>
      <c r="O43" s="47" t="s">
        <v>2459</v>
      </c>
      <c r="P43" s="47" t="s">
        <v>2460</v>
      </c>
      <c r="Q43" s="47" t="s">
        <v>2461</v>
      </c>
      <c r="R43" s="47" t="s">
        <v>2462</v>
      </c>
      <c r="S43" s="47" t="s">
        <v>2463</v>
      </c>
      <c r="T43" s="47" t="s">
        <v>2464</v>
      </c>
    </row>
    <row r="44" spans="1:21" x14ac:dyDescent="0.2">
      <c r="A44" s="47" t="s">
        <v>29</v>
      </c>
      <c r="D44" s="47" t="s">
        <v>1289</v>
      </c>
      <c r="G44" s="47" t="s">
        <v>8622</v>
      </c>
      <c r="H44" s="47" t="s">
        <v>1290</v>
      </c>
      <c r="I44" s="47" t="s">
        <v>1291</v>
      </c>
      <c r="J44" s="47" t="s">
        <v>1292</v>
      </c>
      <c r="K44" s="47" t="s">
        <v>1293</v>
      </c>
      <c r="L44" s="47" t="s">
        <v>1294</v>
      </c>
      <c r="M44" s="47" t="s">
        <v>1295</v>
      </c>
      <c r="N44" s="47" t="s">
        <v>1296</v>
      </c>
      <c r="O44" s="47" t="s">
        <v>2465</v>
      </c>
      <c r="P44" s="47" t="s">
        <v>2466</v>
      </c>
      <c r="Q44" s="47" t="s">
        <v>2467</v>
      </c>
      <c r="R44" s="47" t="s">
        <v>2468</v>
      </c>
      <c r="S44" s="47" t="s">
        <v>2469</v>
      </c>
      <c r="T44" s="47" t="s">
        <v>2470</v>
      </c>
    </row>
    <row r="45" spans="1:21" x14ac:dyDescent="0.2">
      <c r="A45" s="47" t="s">
        <v>29</v>
      </c>
      <c r="D45" s="47" t="s">
        <v>1297</v>
      </c>
      <c r="G45" s="47" t="s">
        <v>8623</v>
      </c>
      <c r="H45" s="47" t="s">
        <v>1298</v>
      </c>
      <c r="I45" s="47" t="s">
        <v>1299</v>
      </c>
      <c r="J45" s="47" t="s">
        <v>1300</v>
      </c>
      <c r="K45" s="47" t="s">
        <v>1301</v>
      </c>
      <c r="L45" s="47" t="s">
        <v>1302</v>
      </c>
      <c r="M45" s="47" t="s">
        <v>1303</v>
      </c>
      <c r="N45" s="47" t="s">
        <v>1304</v>
      </c>
      <c r="O45" s="47" t="s">
        <v>2302</v>
      </c>
      <c r="P45" s="47" t="s">
        <v>2303</v>
      </c>
      <c r="Q45" s="47" t="s">
        <v>2304</v>
      </c>
      <c r="R45" s="47" t="s">
        <v>2305</v>
      </c>
      <c r="S45" s="47" t="s">
        <v>2306</v>
      </c>
      <c r="T45" s="47" t="s">
        <v>2307</v>
      </c>
    </row>
    <row r="46" spans="1:21" x14ac:dyDescent="0.2">
      <c r="A46" s="47" t="s">
        <v>29</v>
      </c>
    </row>
    <row r="47" spans="1:21" x14ac:dyDescent="0.2">
      <c r="A47" s="47" t="s">
        <v>29</v>
      </c>
      <c r="E47" s="47" t="s">
        <v>30</v>
      </c>
      <c r="F47" s="47" t="s">
        <v>30</v>
      </c>
      <c r="G47" s="47" t="s">
        <v>30</v>
      </c>
      <c r="J47" s="47" t="s">
        <v>30</v>
      </c>
      <c r="K47" s="47" t="s">
        <v>30</v>
      </c>
      <c r="L47" s="47" t="s">
        <v>30</v>
      </c>
      <c r="M47" s="47" t="s">
        <v>30</v>
      </c>
    </row>
    <row r="48" spans="1:21" x14ac:dyDescent="0.2">
      <c r="A48" s="47" t="s">
        <v>29</v>
      </c>
      <c r="D48" s="47" t="s">
        <v>1305</v>
      </c>
      <c r="E48" s="47" t="s">
        <v>3011</v>
      </c>
      <c r="F48" s="47" t="s">
        <v>1306</v>
      </c>
      <c r="H48" s="47" t="s">
        <v>1307</v>
      </c>
      <c r="O48" s="47" t="s">
        <v>9368</v>
      </c>
      <c r="P48" s="47" t="s">
        <v>9369</v>
      </c>
      <c r="Q48" s="47" t="s">
        <v>9370</v>
      </c>
      <c r="R48" s="47" t="s">
        <v>9371</v>
      </c>
      <c r="S48" s="47" t="s">
        <v>9372</v>
      </c>
      <c r="T48" s="47" t="s">
        <v>9373</v>
      </c>
      <c r="U48" s="47" t="s">
        <v>9374</v>
      </c>
    </row>
    <row r="49" spans="1:21" x14ac:dyDescent="0.2">
      <c r="A49" s="47" t="s">
        <v>29</v>
      </c>
      <c r="D49" s="47" t="s">
        <v>164</v>
      </c>
      <c r="G49" s="47" t="s">
        <v>2308</v>
      </c>
      <c r="H49" s="47" t="s">
        <v>165</v>
      </c>
      <c r="I49" s="47" t="s">
        <v>166</v>
      </c>
      <c r="J49" s="47" t="s">
        <v>167</v>
      </c>
      <c r="K49" s="47" t="s">
        <v>168</v>
      </c>
      <c r="L49" s="47" t="s">
        <v>169</v>
      </c>
      <c r="M49" s="47" t="s">
        <v>170</v>
      </c>
      <c r="N49" s="47" t="s">
        <v>171</v>
      </c>
      <c r="O49" s="47" t="s">
        <v>2309</v>
      </c>
      <c r="P49" s="47" t="s">
        <v>2310</v>
      </c>
      <c r="Q49" s="47" t="s">
        <v>2311</v>
      </c>
      <c r="R49" s="47" t="s">
        <v>2312</v>
      </c>
      <c r="S49" s="47" t="s">
        <v>2313</v>
      </c>
      <c r="T49" s="47" t="s">
        <v>2314</v>
      </c>
    </row>
    <row r="50" spans="1:21" x14ac:dyDescent="0.2">
      <c r="A50" s="47" t="s">
        <v>29</v>
      </c>
    </row>
    <row r="51" spans="1:21" x14ac:dyDescent="0.2">
      <c r="A51" s="47" t="s">
        <v>29</v>
      </c>
      <c r="E51" s="47" t="s">
        <v>30</v>
      </c>
      <c r="F51" s="47" t="s">
        <v>30</v>
      </c>
      <c r="G51" s="47" t="s">
        <v>30</v>
      </c>
      <c r="J51" s="47" t="s">
        <v>30</v>
      </c>
      <c r="K51" s="47" t="s">
        <v>30</v>
      </c>
      <c r="L51" s="47" t="s">
        <v>30</v>
      </c>
      <c r="M51" s="47" t="s">
        <v>30</v>
      </c>
    </row>
    <row r="52" spans="1:21" x14ac:dyDescent="0.2">
      <c r="A52" s="47" t="s">
        <v>29</v>
      </c>
      <c r="D52" s="47" t="s">
        <v>9192</v>
      </c>
      <c r="E52" s="47" t="s">
        <v>3012</v>
      </c>
      <c r="F52" s="47" t="s">
        <v>9193</v>
      </c>
      <c r="H52" s="47" t="s">
        <v>9194</v>
      </c>
      <c r="O52" s="47" t="s">
        <v>9375</v>
      </c>
      <c r="P52" s="47" t="s">
        <v>9376</v>
      </c>
      <c r="Q52" s="47" t="s">
        <v>9377</v>
      </c>
      <c r="R52" s="47" t="s">
        <v>9378</v>
      </c>
      <c r="S52" s="47" t="s">
        <v>9379</v>
      </c>
      <c r="T52" s="47" t="s">
        <v>9380</v>
      </c>
      <c r="U52" s="47" t="s">
        <v>9381</v>
      </c>
    </row>
    <row r="53" spans="1:21" x14ac:dyDescent="0.2">
      <c r="A53" s="47" t="s">
        <v>29</v>
      </c>
      <c r="D53" s="47" t="s">
        <v>1605</v>
      </c>
      <c r="G53" s="47" t="s">
        <v>9195</v>
      </c>
      <c r="H53" s="47" t="s">
        <v>1606</v>
      </c>
      <c r="I53" s="47" t="s">
        <v>1607</v>
      </c>
      <c r="J53" s="47" t="s">
        <v>1608</v>
      </c>
      <c r="K53" s="47" t="s">
        <v>1609</v>
      </c>
      <c r="L53" s="47" t="s">
        <v>1610</v>
      </c>
      <c r="M53" s="47" t="s">
        <v>1611</v>
      </c>
      <c r="N53" s="47" t="s">
        <v>1612</v>
      </c>
      <c r="O53" s="47" t="s">
        <v>2315</v>
      </c>
      <c r="P53" s="47" t="s">
        <v>2316</v>
      </c>
      <c r="Q53" s="47" t="s">
        <v>2317</v>
      </c>
      <c r="R53" s="47" t="s">
        <v>2318</v>
      </c>
      <c r="S53" s="47" t="s">
        <v>2319</v>
      </c>
      <c r="T53" s="47" t="s">
        <v>2320</v>
      </c>
    </row>
    <row r="54" spans="1:21" x14ac:dyDescent="0.2">
      <c r="A54" s="47" t="s">
        <v>29</v>
      </c>
    </row>
    <row r="55" spans="1:21" x14ac:dyDescent="0.2">
      <c r="A55" s="47" t="s">
        <v>29</v>
      </c>
      <c r="E55" s="47" t="s">
        <v>30</v>
      </c>
      <c r="F55" s="47" t="s">
        <v>30</v>
      </c>
      <c r="G55" s="47" t="s">
        <v>30</v>
      </c>
      <c r="J55" s="47" t="s">
        <v>30</v>
      </c>
      <c r="K55" s="47" t="s">
        <v>30</v>
      </c>
      <c r="L55" s="47" t="s">
        <v>30</v>
      </c>
      <c r="M55" s="47" t="s">
        <v>30</v>
      </c>
    </row>
    <row r="56" spans="1:21" x14ac:dyDescent="0.2">
      <c r="A56" s="47" t="s">
        <v>29</v>
      </c>
      <c r="D56" s="47" t="s">
        <v>1613</v>
      </c>
      <c r="E56" s="47" t="s">
        <v>3013</v>
      </c>
      <c r="F56" s="47" t="s">
        <v>1614</v>
      </c>
      <c r="H56" s="47" t="s">
        <v>1615</v>
      </c>
      <c r="O56" s="47" t="s">
        <v>9382</v>
      </c>
      <c r="P56" s="47" t="s">
        <v>9383</v>
      </c>
      <c r="Q56" s="47" t="s">
        <v>9384</v>
      </c>
      <c r="R56" s="47" t="s">
        <v>9385</v>
      </c>
      <c r="S56" s="47" t="s">
        <v>9386</v>
      </c>
      <c r="T56" s="47" t="s">
        <v>9387</v>
      </c>
      <c r="U56" s="47" t="s">
        <v>9388</v>
      </c>
    </row>
    <row r="57" spans="1:21" x14ac:dyDescent="0.2">
      <c r="A57" s="47" t="s">
        <v>29</v>
      </c>
      <c r="D57" s="47" t="s">
        <v>188</v>
      </c>
      <c r="G57" s="47" t="s">
        <v>2321</v>
      </c>
      <c r="H57" s="47" t="s">
        <v>189</v>
      </c>
      <c r="I57" s="47" t="s">
        <v>190</v>
      </c>
      <c r="J57" s="47" t="s">
        <v>191</v>
      </c>
      <c r="K57" s="47" t="s">
        <v>192</v>
      </c>
      <c r="L57" s="47" t="s">
        <v>193</v>
      </c>
      <c r="M57" s="47" t="s">
        <v>194</v>
      </c>
      <c r="N57" s="47" t="s">
        <v>195</v>
      </c>
      <c r="O57" s="47" t="s">
        <v>2322</v>
      </c>
      <c r="P57" s="47" t="s">
        <v>2323</v>
      </c>
      <c r="Q57" s="47" t="s">
        <v>2324</v>
      </c>
      <c r="R57" s="47" t="s">
        <v>2325</v>
      </c>
      <c r="S57" s="47" t="s">
        <v>2326</v>
      </c>
      <c r="T57" s="47" t="s">
        <v>2327</v>
      </c>
    </row>
    <row r="58" spans="1:21" x14ac:dyDescent="0.2">
      <c r="A58" s="47" t="s">
        <v>29</v>
      </c>
    </row>
    <row r="59" spans="1:21" x14ac:dyDescent="0.2">
      <c r="A59" s="47" t="s">
        <v>29</v>
      </c>
      <c r="E59" s="47" t="s">
        <v>30</v>
      </c>
      <c r="F59" s="47" t="s">
        <v>30</v>
      </c>
      <c r="G59" s="47" t="s">
        <v>30</v>
      </c>
      <c r="J59" s="47" t="s">
        <v>30</v>
      </c>
      <c r="K59" s="47" t="s">
        <v>30</v>
      </c>
      <c r="L59" s="47" t="s">
        <v>30</v>
      </c>
      <c r="M59" s="47" t="s">
        <v>30</v>
      </c>
    </row>
    <row r="60" spans="1:21" x14ac:dyDescent="0.2">
      <c r="A60" s="47" t="s">
        <v>29</v>
      </c>
      <c r="D60" s="47" t="s">
        <v>1616</v>
      </c>
      <c r="E60" s="47" t="s">
        <v>3014</v>
      </c>
      <c r="F60" s="47" t="s">
        <v>1617</v>
      </c>
      <c r="H60" s="47" t="s">
        <v>1618</v>
      </c>
      <c r="O60" s="47" t="s">
        <v>4356</v>
      </c>
      <c r="P60" s="47" t="s">
        <v>4357</v>
      </c>
      <c r="Q60" s="47" t="s">
        <v>4358</v>
      </c>
      <c r="R60" s="47" t="s">
        <v>4359</v>
      </c>
      <c r="S60" s="47" t="s">
        <v>4360</v>
      </c>
      <c r="T60" s="47" t="s">
        <v>4361</v>
      </c>
      <c r="U60" s="47" t="s">
        <v>4362</v>
      </c>
    </row>
    <row r="61" spans="1:21" x14ac:dyDescent="0.2">
      <c r="A61" s="47" t="s">
        <v>29</v>
      </c>
      <c r="D61" s="47" t="s">
        <v>1619</v>
      </c>
      <c r="G61" s="47" t="s">
        <v>2328</v>
      </c>
      <c r="H61" s="47" t="s">
        <v>1620</v>
      </c>
      <c r="I61" s="47" t="s">
        <v>1621</v>
      </c>
      <c r="J61" s="47" t="s">
        <v>1622</v>
      </c>
      <c r="K61" s="47" t="s">
        <v>1623</v>
      </c>
      <c r="L61" s="47" t="s">
        <v>1624</v>
      </c>
      <c r="M61" s="47" t="s">
        <v>1625</v>
      </c>
      <c r="N61" s="47" t="s">
        <v>1626</v>
      </c>
      <c r="O61" s="47" t="s">
        <v>2329</v>
      </c>
      <c r="P61" s="47" t="s">
        <v>2330</v>
      </c>
      <c r="Q61" s="47" t="s">
        <v>2331</v>
      </c>
      <c r="R61" s="47" t="s">
        <v>2332</v>
      </c>
      <c r="S61" s="47" t="s">
        <v>2333</v>
      </c>
      <c r="T61" s="47" t="s">
        <v>2334</v>
      </c>
    </row>
    <row r="62" spans="1:21" x14ac:dyDescent="0.2">
      <c r="A62" s="47" t="s">
        <v>29</v>
      </c>
      <c r="D62" s="47" t="s">
        <v>207</v>
      </c>
      <c r="G62" s="47" t="s">
        <v>8624</v>
      </c>
      <c r="H62" s="47" t="s">
        <v>208</v>
      </c>
      <c r="I62" s="47" t="s">
        <v>209</v>
      </c>
      <c r="J62" s="47" t="s">
        <v>210</v>
      </c>
      <c r="K62" s="47" t="s">
        <v>211</v>
      </c>
      <c r="L62" s="47" t="s">
        <v>212</v>
      </c>
      <c r="M62" s="47" t="s">
        <v>213</v>
      </c>
      <c r="N62" s="47" t="s">
        <v>214</v>
      </c>
      <c r="O62" s="47" t="s">
        <v>2621</v>
      </c>
      <c r="P62" s="47" t="s">
        <v>2622</v>
      </c>
      <c r="Q62" s="47" t="s">
        <v>2623</v>
      </c>
      <c r="R62" s="47" t="s">
        <v>2624</v>
      </c>
      <c r="S62" s="47" t="s">
        <v>2625</v>
      </c>
      <c r="T62" s="47" t="s">
        <v>2626</v>
      </c>
    </row>
    <row r="63" spans="1:21" x14ac:dyDescent="0.2">
      <c r="A63" s="47" t="s">
        <v>29</v>
      </c>
    </row>
    <row r="64" spans="1:21" x14ac:dyDescent="0.2">
      <c r="A64" s="47" t="s">
        <v>29</v>
      </c>
      <c r="E64" s="47" t="s">
        <v>30</v>
      </c>
      <c r="F64" s="47" t="s">
        <v>30</v>
      </c>
      <c r="G64" s="47" t="s">
        <v>30</v>
      </c>
      <c r="J64" s="47" t="s">
        <v>30</v>
      </c>
      <c r="K64" s="47" t="s">
        <v>30</v>
      </c>
      <c r="L64" s="47" t="s">
        <v>30</v>
      </c>
      <c r="M64" s="47" t="s">
        <v>30</v>
      </c>
    </row>
    <row r="65" spans="1:21" x14ac:dyDescent="0.2">
      <c r="A65" s="47" t="s">
        <v>29</v>
      </c>
      <c r="D65" s="47" t="s">
        <v>4363</v>
      </c>
      <c r="E65" s="47" t="s">
        <v>6325</v>
      </c>
      <c r="F65" s="47" t="s">
        <v>4364</v>
      </c>
      <c r="H65" s="47" t="s">
        <v>4365</v>
      </c>
      <c r="O65" s="47" t="s">
        <v>9389</v>
      </c>
      <c r="P65" s="47" t="s">
        <v>9390</v>
      </c>
      <c r="Q65" s="47" t="s">
        <v>9391</v>
      </c>
      <c r="R65" s="47" t="s">
        <v>9392</v>
      </c>
      <c r="S65" s="47" t="s">
        <v>9393</v>
      </c>
      <c r="T65" s="47" t="s">
        <v>9394</v>
      </c>
      <c r="U65" s="47" t="s">
        <v>9395</v>
      </c>
    </row>
    <row r="66" spans="1:21" x14ac:dyDescent="0.2">
      <c r="A66" s="47" t="s">
        <v>29</v>
      </c>
      <c r="D66" s="47" t="s">
        <v>1782</v>
      </c>
      <c r="G66" s="47" t="s">
        <v>4366</v>
      </c>
      <c r="H66" s="47" t="s">
        <v>1783</v>
      </c>
      <c r="I66" s="47" t="s">
        <v>1784</v>
      </c>
      <c r="J66" s="47" t="s">
        <v>1785</v>
      </c>
      <c r="K66" s="47" t="s">
        <v>1786</v>
      </c>
      <c r="L66" s="47" t="s">
        <v>1787</v>
      </c>
      <c r="M66" s="47" t="s">
        <v>1788</v>
      </c>
      <c r="N66" s="47" t="s">
        <v>1789</v>
      </c>
      <c r="O66" s="47" t="s">
        <v>2627</v>
      </c>
      <c r="P66" s="47" t="s">
        <v>2628</v>
      </c>
      <c r="Q66" s="47" t="s">
        <v>2629</v>
      </c>
      <c r="R66" s="47" t="s">
        <v>2630</v>
      </c>
      <c r="S66" s="47" t="s">
        <v>2631</v>
      </c>
      <c r="T66" s="47" t="s">
        <v>2632</v>
      </c>
    </row>
    <row r="67" spans="1:21" x14ac:dyDescent="0.2">
      <c r="A67" s="47" t="s">
        <v>29</v>
      </c>
      <c r="D67" s="47" t="s">
        <v>1200</v>
      </c>
      <c r="G67" s="47" t="s">
        <v>8625</v>
      </c>
      <c r="H67" s="47" t="s">
        <v>1201</v>
      </c>
      <c r="I67" s="47" t="s">
        <v>1202</v>
      </c>
      <c r="J67" s="47" t="s">
        <v>1203</v>
      </c>
      <c r="K67" s="47" t="s">
        <v>1204</v>
      </c>
      <c r="L67" s="47" t="s">
        <v>1205</v>
      </c>
      <c r="M67" s="47" t="s">
        <v>1206</v>
      </c>
      <c r="N67" s="47" t="s">
        <v>1207</v>
      </c>
      <c r="O67" s="47" t="s">
        <v>2646</v>
      </c>
      <c r="P67" s="47" t="s">
        <v>2647</v>
      </c>
      <c r="Q67" s="47" t="s">
        <v>2648</v>
      </c>
      <c r="R67" s="47" t="s">
        <v>2649</v>
      </c>
      <c r="S67" s="47" t="s">
        <v>2650</v>
      </c>
      <c r="T67" s="47" t="s">
        <v>2651</v>
      </c>
    </row>
    <row r="68" spans="1:21" x14ac:dyDescent="0.2">
      <c r="A68" s="47" t="s">
        <v>29</v>
      </c>
    </row>
    <row r="69" spans="1:21" x14ac:dyDescent="0.2">
      <c r="A69" s="47" t="s">
        <v>29</v>
      </c>
      <c r="E69" s="47" t="s">
        <v>30</v>
      </c>
      <c r="F69" s="47" t="s">
        <v>30</v>
      </c>
      <c r="G69" s="47" t="s">
        <v>30</v>
      </c>
      <c r="J69" s="47" t="s">
        <v>30</v>
      </c>
      <c r="K69" s="47" t="s">
        <v>30</v>
      </c>
      <c r="L69" s="47" t="s">
        <v>30</v>
      </c>
      <c r="M69" s="47" t="s">
        <v>30</v>
      </c>
    </row>
    <row r="70" spans="1:21" x14ac:dyDescent="0.2">
      <c r="A70" s="47" t="s">
        <v>29</v>
      </c>
      <c r="D70" s="47" t="s">
        <v>8095</v>
      </c>
      <c r="E70" s="47" t="s">
        <v>3015</v>
      </c>
      <c r="F70" s="47" t="s">
        <v>8096</v>
      </c>
      <c r="H70" s="47" t="s">
        <v>8097</v>
      </c>
      <c r="O70" s="47" t="s">
        <v>9396</v>
      </c>
      <c r="P70" s="47" t="s">
        <v>9397</v>
      </c>
      <c r="Q70" s="47" t="s">
        <v>9398</v>
      </c>
      <c r="R70" s="47" t="s">
        <v>9399</v>
      </c>
      <c r="S70" s="47" t="s">
        <v>9400</v>
      </c>
      <c r="T70" s="47" t="s">
        <v>9401</v>
      </c>
      <c r="U70" s="47" t="s">
        <v>9402</v>
      </c>
    </row>
    <row r="71" spans="1:21" x14ac:dyDescent="0.2">
      <c r="A71" s="47" t="s">
        <v>29</v>
      </c>
      <c r="D71" s="47" t="s">
        <v>1635</v>
      </c>
      <c r="G71" s="47" t="s">
        <v>8098</v>
      </c>
      <c r="H71" s="47" t="s">
        <v>1636</v>
      </c>
      <c r="I71" s="47" t="s">
        <v>1637</v>
      </c>
      <c r="J71" s="47" t="s">
        <v>1638</v>
      </c>
      <c r="K71" s="47" t="s">
        <v>1639</v>
      </c>
      <c r="L71" s="47" t="s">
        <v>1640</v>
      </c>
      <c r="M71" s="47" t="s">
        <v>1641</v>
      </c>
      <c r="N71" s="47" t="s">
        <v>1642</v>
      </c>
      <c r="O71" s="47" t="s">
        <v>2746</v>
      </c>
      <c r="P71" s="47" t="s">
        <v>2747</v>
      </c>
      <c r="Q71" s="47" t="s">
        <v>2748</v>
      </c>
      <c r="R71" s="47" t="s">
        <v>2749</v>
      </c>
      <c r="S71" s="47" t="s">
        <v>2750</v>
      </c>
      <c r="T71" s="47" t="s">
        <v>2751</v>
      </c>
    </row>
    <row r="72" spans="1:21" x14ac:dyDescent="0.2">
      <c r="A72" s="47" t="s">
        <v>29</v>
      </c>
    </row>
    <row r="73" spans="1:21" x14ac:dyDescent="0.2">
      <c r="A73" s="47" t="s">
        <v>29</v>
      </c>
      <c r="E73" s="47" t="s">
        <v>30</v>
      </c>
      <c r="F73" s="47" t="s">
        <v>30</v>
      </c>
      <c r="G73" s="47" t="s">
        <v>30</v>
      </c>
      <c r="J73" s="47" t="s">
        <v>30</v>
      </c>
      <c r="K73" s="47" t="s">
        <v>30</v>
      </c>
      <c r="L73" s="47" t="s">
        <v>30</v>
      </c>
      <c r="M73" s="47" t="s">
        <v>30</v>
      </c>
    </row>
    <row r="74" spans="1:21" x14ac:dyDescent="0.2">
      <c r="A74" s="47" t="s">
        <v>29</v>
      </c>
      <c r="D74" s="47" t="s">
        <v>1779</v>
      </c>
      <c r="E74" s="47" t="s">
        <v>3016</v>
      </c>
      <c r="F74" s="47" t="s">
        <v>1780</v>
      </c>
      <c r="H74" s="47" t="s">
        <v>1781</v>
      </c>
      <c r="O74" s="47" t="s">
        <v>9084</v>
      </c>
      <c r="P74" s="47" t="s">
        <v>9085</v>
      </c>
      <c r="Q74" s="47" t="s">
        <v>9086</v>
      </c>
      <c r="R74" s="47" t="s">
        <v>9087</v>
      </c>
      <c r="S74" s="47" t="s">
        <v>9088</v>
      </c>
      <c r="T74" s="47" t="s">
        <v>9089</v>
      </c>
      <c r="U74" s="47" t="s">
        <v>9090</v>
      </c>
    </row>
    <row r="75" spans="1:21" x14ac:dyDescent="0.2">
      <c r="A75" s="47" t="s">
        <v>29</v>
      </c>
      <c r="D75" s="47" t="s">
        <v>1332</v>
      </c>
      <c r="G75" s="47" t="s">
        <v>2997</v>
      </c>
      <c r="H75" s="47" t="s">
        <v>1333</v>
      </c>
      <c r="I75" s="47" t="s">
        <v>1334</v>
      </c>
      <c r="J75" s="47" t="s">
        <v>1335</v>
      </c>
      <c r="K75" s="47" t="s">
        <v>1336</v>
      </c>
      <c r="L75" s="47" t="s">
        <v>1337</v>
      </c>
      <c r="M75" s="47" t="s">
        <v>1338</v>
      </c>
      <c r="N75" s="47" t="s">
        <v>1339</v>
      </c>
      <c r="O75" s="47" t="s">
        <v>2716</v>
      </c>
      <c r="P75" s="47" t="s">
        <v>2717</v>
      </c>
      <c r="Q75" s="47" t="s">
        <v>2718</v>
      </c>
      <c r="R75" s="47" t="s">
        <v>2719</v>
      </c>
      <c r="S75" s="47" t="s">
        <v>2720</v>
      </c>
      <c r="T75" s="47" t="s">
        <v>2721</v>
      </c>
    </row>
    <row r="76" spans="1:21" x14ac:dyDescent="0.2">
      <c r="A76" s="47" t="s">
        <v>29</v>
      </c>
      <c r="D76" s="47" t="s">
        <v>239</v>
      </c>
      <c r="G76" s="47" t="s">
        <v>8627</v>
      </c>
      <c r="H76" s="47" t="s">
        <v>240</v>
      </c>
      <c r="I76" s="47" t="s">
        <v>241</v>
      </c>
      <c r="J76" s="47" t="s">
        <v>242</v>
      </c>
      <c r="K76" s="47" t="s">
        <v>243</v>
      </c>
      <c r="L76" s="47" t="s">
        <v>244</v>
      </c>
      <c r="M76" s="47" t="s">
        <v>245</v>
      </c>
      <c r="N76" s="47" t="s">
        <v>246</v>
      </c>
      <c r="O76" s="47" t="s">
        <v>2752</v>
      </c>
      <c r="P76" s="47" t="s">
        <v>2753</v>
      </c>
      <c r="Q76" s="47" t="s">
        <v>2754</v>
      </c>
      <c r="R76" s="47" t="s">
        <v>2755</v>
      </c>
      <c r="S76" s="47" t="s">
        <v>2756</v>
      </c>
      <c r="T76" s="47" t="s">
        <v>2757</v>
      </c>
    </row>
    <row r="77" spans="1:21" x14ac:dyDescent="0.2">
      <c r="A77" s="47" t="s">
        <v>29</v>
      </c>
    </row>
    <row r="78" spans="1:21" x14ac:dyDescent="0.2">
      <c r="A78" s="47" t="s">
        <v>29</v>
      </c>
      <c r="E78" s="47" t="s">
        <v>30</v>
      </c>
      <c r="F78" s="47" t="s">
        <v>30</v>
      </c>
      <c r="G78" s="47" t="s">
        <v>30</v>
      </c>
      <c r="J78" s="47" t="s">
        <v>30</v>
      </c>
      <c r="K78" s="47" t="s">
        <v>30</v>
      </c>
      <c r="L78" s="47" t="s">
        <v>30</v>
      </c>
      <c r="M78" s="47" t="s">
        <v>30</v>
      </c>
    </row>
    <row r="79" spans="1:21" x14ac:dyDescent="0.2">
      <c r="A79" s="47" t="s">
        <v>29</v>
      </c>
      <c r="D79" s="47" t="s">
        <v>9091</v>
      </c>
      <c r="E79" s="47" t="s">
        <v>3029</v>
      </c>
      <c r="F79" s="47" t="s">
        <v>9092</v>
      </c>
      <c r="H79" s="47" t="s">
        <v>9093</v>
      </c>
      <c r="O79" s="47" t="s">
        <v>9403</v>
      </c>
      <c r="P79" s="47" t="s">
        <v>9404</v>
      </c>
      <c r="Q79" s="47" t="s">
        <v>9405</v>
      </c>
      <c r="R79" s="47" t="s">
        <v>9406</v>
      </c>
      <c r="S79" s="47" t="s">
        <v>9407</v>
      </c>
      <c r="T79" s="47" t="s">
        <v>9408</v>
      </c>
      <c r="U79" s="47" t="s">
        <v>9409</v>
      </c>
    </row>
    <row r="80" spans="1:21" x14ac:dyDescent="0.2">
      <c r="A80" s="47" t="s">
        <v>29</v>
      </c>
      <c r="D80" s="47" t="s">
        <v>1208</v>
      </c>
      <c r="G80" s="47" t="s">
        <v>9094</v>
      </c>
      <c r="H80" s="47" t="s">
        <v>1209</v>
      </c>
      <c r="I80" s="47" t="s">
        <v>1210</v>
      </c>
      <c r="J80" s="47" t="s">
        <v>1211</v>
      </c>
      <c r="K80" s="47" t="s">
        <v>1212</v>
      </c>
      <c r="L80" s="47" t="s">
        <v>1213</v>
      </c>
      <c r="M80" s="47" t="s">
        <v>1214</v>
      </c>
      <c r="N80" s="47" t="s">
        <v>1215</v>
      </c>
      <c r="O80" s="47" t="s">
        <v>2722</v>
      </c>
      <c r="P80" s="47" t="s">
        <v>2723</v>
      </c>
      <c r="Q80" s="47" t="s">
        <v>2724</v>
      </c>
      <c r="R80" s="47" t="s">
        <v>2725</v>
      </c>
      <c r="S80" s="47" t="s">
        <v>2726</v>
      </c>
      <c r="T80" s="47" t="s">
        <v>2727</v>
      </c>
    </row>
    <row r="81" spans="1:21" x14ac:dyDescent="0.2">
      <c r="A81" s="47" t="s">
        <v>29</v>
      </c>
      <c r="D81" s="47" t="s">
        <v>1340</v>
      </c>
      <c r="G81" s="47" t="s">
        <v>8629</v>
      </c>
      <c r="H81" s="47" t="s">
        <v>1341</v>
      </c>
      <c r="I81" s="47" t="s">
        <v>1342</v>
      </c>
      <c r="J81" s="47" t="s">
        <v>1343</v>
      </c>
      <c r="K81" s="47" t="s">
        <v>1344</v>
      </c>
      <c r="L81" s="47" t="s">
        <v>1345</v>
      </c>
      <c r="M81" s="47" t="s">
        <v>1346</v>
      </c>
      <c r="N81" s="47" t="s">
        <v>1347</v>
      </c>
      <c r="O81" s="47" t="s">
        <v>2341</v>
      </c>
      <c r="P81" s="47" t="s">
        <v>2342</v>
      </c>
      <c r="Q81" s="47" t="s">
        <v>2343</v>
      </c>
      <c r="R81" s="47" t="s">
        <v>2344</v>
      </c>
      <c r="S81" s="47" t="s">
        <v>2345</v>
      </c>
      <c r="T81" s="47" t="s">
        <v>2346</v>
      </c>
    </row>
    <row r="82" spans="1:21" x14ac:dyDescent="0.2">
      <c r="A82" s="47" t="s">
        <v>29</v>
      </c>
    </row>
    <row r="83" spans="1:21" x14ac:dyDescent="0.2">
      <c r="A83" s="47" t="s">
        <v>29</v>
      </c>
      <c r="E83" s="47" t="s">
        <v>30</v>
      </c>
      <c r="F83" s="47" t="s">
        <v>30</v>
      </c>
      <c r="G83" s="47" t="s">
        <v>30</v>
      </c>
      <c r="J83" s="47" t="s">
        <v>30</v>
      </c>
      <c r="K83" s="47" t="s">
        <v>30</v>
      </c>
      <c r="L83" s="47" t="s">
        <v>30</v>
      </c>
      <c r="M83" s="47" t="s">
        <v>30</v>
      </c>
    </row>
    <row r="84" spans="1:21" x14ac:dyDescent="0.2">
      <c r="A84" s="47" t="s">
        <v>29</v>
      </c>
      <c r="D84" s="47" t="s">
        <v>4939</v>
      </c>
      <c r="E84" s="47" t="s">
        <v>3048</v>
      </c>
      <c r="F84" s="47" t="s">
        <v>4940</v>
      </c>
      <c r="H84" s="47" t="s">
        <v>4941</v>
      </c>
      <c r="O84" s="47" t="s">
        <v>8099</v>
      </c>
      <c r="P84" s="47" t="s">
        <v>8100</v>
      </c>
      <c r="Q84" s="47" t="s">
        <v>8101</v>
      </c>
      <c r="R84" s="47" t="s">
        <v>8102</v>
      </c>
      <c r="S84" s="47" t="s">
        <v>8103</v>
      </c>
      <c r="T84" s="47" t="s">
        <v>8104</v>
      </c>
      <c r="U84" s="47" t="s">
        <v>8105</v>
      </c>
    </row>
    <row r="85" spans="1:21" x14ac:dyDescent="0.2">
      <c r="A85" s="47" t="s">
        <v>29</v>
      </c>
      <c r="D85" s="47" t="s">
        <v>1348</v>
      </c>
      <c r="G85" s="47" t="s">
        <v>4942</v>
      </c>
      <c r="H85" s="47" t="s">
        <v>1349</v>
      </c>
      <c r="I85" s="47" t="s">
        <v>1350</v>
      </c>
      <c r="J85" s="47" t="s">
        <v>1351</v>
      </c>
      <c r="K85" s="47" t="s">
        <v>1352</v>
      </c>
      <c r="L85" s="47" t="s">
        <v>1353</v>
      </c>
      <c r="M85" s="47" t="s">
        <v>1354</v>
      </c>
      <c r="N85" s="47" t="s">
        <v>1355</v>
      </c>
      <c r="O85" s="47" t="s">
        <v>2347</v>
      </c>
      <c r="P85" s="47" t="s">
        <v>2348</v>
      </c>
      <c r="Q85" s="47" t="s">
        <v>2349</v>
      </c>
      <c r="R85" s="47" t="s">
        <v>2350</v>
      </c>
      <c r="S85" s="47" t="s">
        <v>2351</v>
      </c>
      <c r="T85" s="47" t="s">
        <v>2352</v>
      </c>
    </row>
    <row r="86" spans="1:21" x14ac:dyDescent="0.2">
      <c r="A86" s="47" t="s">
        <v>29</v>
      </c>
      <c r="D86" s="47" t="s">
        <v>1643</v>
      </c>
      <c r="G86" s="47" t="s">
        <v>8631</v>
      </c>
      <c r="H86" s="47" t="s">
        <v>1644</v>
      </c>
      <c r="I86" s="47" t="s">
        <v>1645</v>
      </c>
      <c r="J86" s="47" t="s">
        <v>1646</v>
      </c>
      <c r="K86" s="47" t="s">
        <v>1647</v>
      </c>
      <c r="L86" s="47" t="s">
        <v>1648</v>
      </c>
      <c r="M86" s="47" t="s">
        <v>1649</v>
      </c>
      <c r="N86" s="47" t="s">
        <v>1650</v>
      </c>
      <c r="O86" s="47" t="s">
        <v>2759</v>
      </c>
      <c r="P86" s="47" t="s">
        <v>2760</v>
      </c>
      <c r="Q86" s="47" t="s">
        <v>2761</v>
      </c>
      <c r="R86" s="47" t="s">
        <v>2762</v>
      </c>
      <c r="S86" s="47" t="s">
        <v>2763</v>
      </c>
      <c r="T86" s="47" t="s">
        <v>2764</v>
      </c>
    </row>
    <row r="87" spans="1:21" x14ac:dyDescent="0.2">
      <c r="A87" s="47" t="s">
        <v>29</v>
      </c>
      <c r="D87" s="47" t="s">
        <v>1793</v>
      </c>
      <c r="G87" s="47" t="s">
        <v>8632</v>
      </c>
      <c r="H87" s="47" t="s">
        <v>1794</v>
      </c>
      <c r="I87" s="47" t="s">
        <v>1795</v>
      </c>
      <c r="J87" s="47" t="s">
        <v>1796</v>
      </c>
      <c r="K87" s="47" t="s">
        <v>1797</v>
      </c>
      <c r="L87" s="47" t="s">
        <v>1798</v>
      </c>
      <c r="M87" s="47" t="s">
        <v>1799</v>
      </c>
      <c r="N87" s="47" t="s">
        <v>1800</v>
      </c>
      <c r="O87" s="47" t="s">
        <v>2495</v>
      </c>
      <c r="P87" s="47" t="s">
        <v>2496</v>
      </c>
      <c r="Q87" s="47" t="s">
        <v>2497</v>
      </c>
      <c r="R87" s="47" t="s">
        <v>2498</v>
      </c>
      <c r="S87" s="47" t="s">
        <v>2499</v>
      </c>
      <c r="T87" s="47" t="s">
        <v>2500</v>
      </c>
    </row>
    <row r="88" spans="1:21" x14ac:dyDescent="0.2">
      <c r="A88" s="47" t="s">
        <v>29</v>
      </c>
    </row>
    <row r="89" spans="1:21" x14ac:dyDescent="0.2">
      <c r="A89" s="47" t="s">
        <v>29</v>
      </c>
      <c r="E89" s="47" t="s">
        <v>30</v>
      </c>
      <c r="F89" s="47" t="s">
        <v>30</v>
      </c>
      <c r="G89" s="47" t="s">
        <v>30</v>
      </c>
      <c r="J89" s="47" t="s">
        <v>30</v>
      </c>
      <c r="K89" s="47" t="s">
        <v>30</v>
      </c>
      <c r="L89" s="47" t="s">
        <v>30</v>
      </c>
      <c r="M89" s="47" t="s">
        <v>30</v>
      </c>
    </row>
    <row r="90" spans="1:21" x14ac:dyDescent="0.2">
      <c r="A90" s="47" t="s">
        <v>29</v>
      </c>
      <c r="D90" s="47" t="s">
        <v>7849</v>
      </c>
      <c r="E90" s="47" t="s">
        <v>3061</v>
      </c>
      <c r="F90" s="47" t="s">
        <v>7850</v>
      </c>
      <c r="H90" s="47" t="s">
        <v>7851</v>
      </c>
      <c r="O90" s="47" t="s">
        <v>7852</v>
      </c>
      <c r="P90" s="47" t="s">
        <v>7853</v>
      </c>
      <c r="Q90" s="47" t="s">
        <v>7854</v>
      </c>
      <c r="R90" s="47" t="s">
        <v>7855</v>
      </c>
      <c r="S90" s="47" t="s">
        <v>7856</v>
      </c>
      <c r="T90" s="47" t="s">
        <v>7857</v>
      </c>
      <c r="U90" s="47" t="s">
        <v>7858</v>
      </c>
    </row>
    <row r="91" spans="1:21" x14ac:dyDescent="0.2">
      <c r="A91" s="47" t="s">
        <v>29</v>
      </c>
      <c r="D91" s="47" t="s">
        <v>263</v>
      </c>
      <c r="G91" s="47" t="s">
        <v>7859</v>
      </c>
      <c r="H91" s="47" t="s">
        <v>264</v>
      </c>
      <c r="I91" s="47" t="s">
        <v>265</v>
      </c>
      <c r="J91" s="47" t="s">
        <v>266</v>
      </c>
      <c r="K91" s="47" t="s">
        <v>267</v>
      </c>
      <c r="L91" s="47" t="s">
        <v>268</v>
      </c>
      <c r="M91" s="47" t="s">
        <v>269</v>
      </c>
      <c r="N91" s="47" t="s">
        <v>270</v>
      </c>
      <c r="O91" s="47" t="s">
        <v>2501</v>
      </c>
      <c r="P91" s="47" t="s">
        <v>2502</v>
      </c>
      <c r="Q91" s="47" t="s">
        <v>2503</v>
      </c>
      <c r="R91" s="47" t="s">
        <v>2504</v>
      </c>
      <c r="S91" s="47" t="s">
        <v>2505</v>
      </c>
      <c r="T91" s="47" t="s">
        <v>2506</v>
      </c>
    </row>
    <row r="92" spans="1:21" x14ac:dyDescent="0.2">
      <c r="A92" s="47" t="s">
        <v>29</v>
      </c>
    </row>
    <row r="93" spans="1:21" x14ac:dyDescent="0.2">
      <c r="A93" s="47" t="s">
        <v>29</v>
      </c>
      <c r="E93" s="47" t="s">
        <v>30</v>
      </c>
      <c r="F93" s="47" t="s">
        <v>30</v>
      </c>
      <c r="G93" s="47" t="s">
        <v>30</v>
      </c>
      <c r="J93" s="47" t="s">
        <v>30</v>
      </c>
      <c r="K93" s="47" t="s">
        <v>30</v>
      </c>
      <c r="L93" s="47" t="s">
        <v>30</v>
      </c>
      <c r="M93" s="47" t="s">
        <v>30</v>
      </c>
    </row>
    <row r="94" spans="1:21" x14ac:dyDescent="0.2">
      <c r="A94" s="47" t="s">
        <v>29</v>
      </c>
      <c r="D94" s="47" t="s">
        <v>4602</v>
      </c>
      <c r="E94" s="47" t="s">
        <v>3062</v>
      </c>
      <c r="F94" s="47" t="s">
        <v>4603</v>
      </c>
      <c r="H94" s="47" t="s">
        <v>4604</v>
      </c>
      <c r="O94" s="47" t="s">
        <v>5234</v>
      </c>
      <c r="P94" s="47" t="s">
        <v>5235</v>
      </c>
      <c r="Q94" s="47" t="s">
        <v>5236</v>
      </c>
      <c r="R94" s="47" t="s">
        <v>5237</v>
      </c>
      <c r="S94" s="47" t="s">
        <v>5238</v>
      </c>
      <c r="T94" s="47" t="s">
        <v>5239</v>
      </c>
      <c r="U94" s="47" t="s">
        <v>5240</v>
      </c>
    </row>
    <row r="95" spans="1:21" x14ac:dyDescent="0.2">
      <c r="A95" s="47" t="s">
        <v>29</v>
      </c>
      <c r="D95" s="47" t="s">
        <v>4605</v>
      </c>
      <c r="G95" s="47" t="s">
        <v>4606</v>
      </c>
      <c r="H95" s="47" t="s">
        <v>4607</v>
      </c>
      <c r="I95" s="47" t="s">
        <v>4608</v>
      </c>
      <c r="J95" s="47" t="s">
        <v>4609</v>
      </c>
      <c r="K95" s="47" t="s">
        <v>4610</v>
      </c>
      <c r="L95" s="47" t="s">
        <v>4611</v>
      </c>
      <c r="M95" s="47" t="s">
        <v>4612</v>
      </c>
      <c r="N95" s="47" t="s">
        <v>4613</v>
      </c>
      <c r="O95" s="47" t="s">
        <v>4614</v>
      </c>
      <c r="P95" s="47" t="s">
        <v>4615</v>
      </c>
      <c r="Q95" s="47" t="s">
        <v>4616</v>
      </c>
      <c r="R95" s="47" t="s">
        <v>4617</v>
      </c>
      <c r="S95" s="47" t="s">
        <v>4618</v>
      </c>
      <c r="T95" s="47" t="s">
        <v>4619</v>
      </c>
    </row>
    <row r="96" spans="1:21" x14ac:dyDescent="0.2">
      <c r="A96" s="47" t="s">
        <v>29</v>
      </c>
    </row>
    <row r="97" spans="1:21" x14ac:dyDescent="0.2">
      <c r="A97" s="47" t="s">
        <v>29</v>
      </c>
      <c r="E97" s="47" t="s">
        <v>30</v>
      </c>
      <c r="F97" s="47" t="s">
        <v>30</v>
      </c>
      <c r="G97" s="47" t="s">
        <v>30</v>
      </c>
      <c r="J97" s="47" t="s">
        <v>30</v>
      </c>
      <c r="K97" s="47" t="s">
        <v>30</v>
      </c>
      <c r="L97" s="47" t="s">
        <v>30</v>
      </c>
      <c r="M97" s="47" t="s">
        <v>30</v>
      </c>
    </row>
    <row r="98" spans="1:21" x14ac:dyDescent="0.2">
      <c r="A98" s="47" t="s">
        <v>29</v>
      </c>
      <c r="D98" s="47" t="s">
        <v>5241</v>
      </c>
      <c r="E98" s="47" t="s">
        <v>3063</v>
      </c>
      <c r="F98" s="47" t="s">
        <v>5242</v>
      </c>
      <c r="H98" s="47" t="s">
        <v>5243</v>
      </c>
      <c r="O98" s="47" t="s">
        <v>5945</v>
      </c>
      <c r="P98" s="47" t="s">
        <v>5946</v>
      </c>
      <c r="Q98" s="47" t="s">
        <v>5947</v>
      </c>
      <c r="R98" s="47" t="s">
        <v>5948</v>
      </c>
      <c r="S98" s="47" t="s">
        <v>5949</v>
      </c>
      <c r="T98" s="47" t="s">
        <v>5950</v>
      </c>
      <c r="U98" s="47" t="s">
        <v>5951</v>
      </c>
    </row>
    <row r="99" spans="1:21" x14ac:dyDescent="0.2">
      <c r="A99" s="47" t="s">
        <v>29</v>
      </c>
      <c r="D99" s="47" t="s">
        <v>1651</v>
      </c>
      <c r="G99" s="47" t="s">
        <v>5244</v>
      </c>
      <c r="H99" s="47" t="s">
        <v>1652</v>
      </c>
      <c r="I99" s="47" t="s">
        <v>1653</v>
      </c>
      <c r="J99" s="47" t="s">
        <v>1654</v>
      </c>
      <c r="K99" s="47" t="s">
        <v>1655</v>
      </c>
      <c r="L99" s="47" t="s">
        <v>1656</v>
      </c>
      <c r="M99" s="47" t="s">
        <v>1657</v>
      </c>
      <c r="N99" s="47" t="s">
        <v>1658</v>
      </c>
      <c r="O99" s="47" t="s">
        <v>2771</v>
      </c>
      <c r="P99" s="47" t="s">
        <v>2772</v>
      </c>
      <c r="Q99" s="47" t="s">
        <v>2773</v>
      </c>
      <c r="R99" s="47" t="s">
        <v>2774</v>
      </c>
      <c r="S99" s="47" t="s">
        <v>2775</v>
      </c>
      <c r="T99" s="47" t="s">
        <v>2776</v>
      </c>
    </row>
    <row r="100" spans="1:21" x14ac:dyDescent="0.2">
      <c r="A100" s="47" t="s">
        <v>29</v>
      </c>
      <c r="D100" s="47" t="s">
        <v>2000</v>
      </c>
      <c r="G100" s="47" t="s">
        <v>8639</v>
      </c>
      <c r="H100" s="47" t="s">
        <v>2001</v>
      </c>
      <c r="I100" s="47" t="s">
        <v>2002</v>
      </c>
      <c r="J100" s="47" t="s">
        <v>2003</v>
      </c>
      <c r="K100" s="47" t="s">
        <v>2004</v>
      </c>
      <c r="L100" s="47" t="s">
        <v>2005</v>
      </c>
      <c r="M100" s="47" t="s">
        <v>2006</v>
      </c>
      <c r="N100" s="47" t="s">
        <v>2007</v>
      </c>
      <c r="O100" s="47" t="s">
        <v>2887</v>
      </c>
      <c r="P100" s="47" t="s">
        <v>2888</v>
      </c>
      <c r="Q100" s="47" t="s">
        <v>2889</v>
      </c>
      <c r="R100" s="47" t="s">
        <v>2890</v>
      </c>
      <c r="S100" s="47" t="s">
        <v>2891</v>
      </c>
      <c r="T100" s="47" t="s">
        <v>2892</v>
      </c>
    </row>
    <row r="101" spans="1:21" x14ac:dyDescent="0.2">
      <c r="A101" s="47" t="s">
        <v>29</v>
      </c>
    </row>
    <row r="102" spans="1:21" x14ac:dyDescent="0.2">
      <c r="A102" s="47" t="s">
        <v>29</v>
      </c>
      <c r="E102" s="47" t="s">
        <v>30</v>
      </c>
      <c r="F102" s="47" t="s">
        <v>30</v>
      </c>
      <c r="G102" s="47" t="s">
        <v>30</v>
      </c>
      <c r="J102" s="47" t="s">
        <v>30</v>
      </c>
      <c r="K102" s="47" t="s">
        <v>30</v>
      </c>
      <c r="L102" s="47" t="s">
        <v>30</v>
      </c>
      <c r="M102" s="47" t="s">
        <v>30</v>
      </c>
    </row>
    <row r="103" spans="1:21" x14ac:dyDescent="0.2">
      <c r="A103" s="47" t="s">
        <v>29</v>
      </c>
      <c r="D103" s="47" t="s">
        <v>5205</v>
      </c>
      <c r="E103" s="47" t="s">
        <v>3072</v>
      </c>
      <c r="F103" s="47" t="s">
        <v>5206</v>
      </c>
      <c r="H103" s="47" t="s">
        <v>5207</v>
      </c>
      <c r="O103" s="47" t="s">
        <v>5208</v>
      </c>
      <c r="P103" s="47" t="s">
        <v>5209</v>
      </c>
      <c r="Q103" s="47" t="s">
        <v>5210</v>
      </c>
      <c r="R103" s="47" t="s">
        <v>5211</v>
      </c>
      <c r="S103" s="47" t="s">
        <v>5212</v>
      </c>
      <c r="T103" s="47" t="s">
        <v>5213</v>
      </c>
      <c r="U103" s="47" t="s">
        <v>5214</v>
      </c>
    </row>
    <row r="104" spans="1:21" x14ac:dyDescent="0.2">
      <c r="A104" s="47" t="s">
        <v>29</v>
      </c>
      <c r="D104" s="47" t="s">
        <v>1659</v>
      </c>
      <c r="G104" s="47" t="s">
        <v>5215</v>
      </c>
      <c r="H104" s="47" t="s">
        <v>1660</v>
      </c>
      <c r="I104" s="47" t="s">
        <v>1661</v>
      </c>
      <c r="J104" s="47" t="s">
        <v>1662</v>
      </c>
      <c r="K104" s="47" t="s">
        <v>1663</v>
      </c>
      <c r="L104" s="47" t="s">
        <v>1664</v>
      </c>
      <c r="M104" s="47" t="s">
        <v>1665</v>
      </c>
      <c r="N104" s="47" t="s">
        <v>1666</v>
      </c>
      <c r="O104" s="47" t="s">
        <v>2893</v>
      </c>
      <c r="P104" s="47" t="s">
        <v>2894</v>
      </c>
      <c r="Q104" s="47" t="s">
        <v>2895</v>
      </c>
      <c r="R104" s="47" t="s">
        <v>2896</v>
      </c>
      <c r="S104" s="47" t="s">
        <v>2897</v>
      </c>
      <c r="T104" s="47" t="s">
        <v>2898</v>
      </c>
    </row>
    <row r="105" spans="1:21" x14ac:dyDescent="0.2">
      <c r="A105" s="47" t="s">
        <v>29</v>
      </c>
    </row>
    <row r="106" spans="1:21" x14ac:dyDescent="0.2">
      <c r="A106" s="47" t="s">
        <v>29</v>
      </c>
      <c r="E106" s="47" t="s">
        <v>30</v>
      </c>
      <c r="F106" s="47" t="s">
        <v>30</v>
      </c>
      <c r="G106" s="47" t="s">
        <v>30</v>
      </c>
      <c r="J106" s="47" t="s">
        <v>30</v>
      </c>
      <c r="K106" s="47" t="s">
        <v>30</v>
      </c>
      <c r="L106" s="47" t="s">
        <v>30</v>
      </c>
      <c r="M106" s="47" t="s">
        <v>30</v>
      </c>
    </row>
    <row r="107" spans="1:21" x14ac:dyDescent="0.2">
      <c r="A107" s="47" t="s">
        <v>29</v>
      </c>
      <c r="D107" s="47" t="s">
        <v>5079</v>
      </c>
      <c r="E107" s="47" t="s">
        <v>3081</v>
      </c>
      <c r="F107" s="47" t="s">
        <v>5080</v>
      </c>
      <c r="H107" s="47" t="s">
        <v>5081</v>
      </c>
      <c r="O107" s="47" t="s">
        <v>9410</v>
      </c>
      <c r="P107" s="47" t="s">
        <v>9411</v>
      </c>
      <c r="Q107" s="47" t="s">
        <v>9412</v>
      </c>
      <c r="R107" s="47" t="s">
        <v>9413</v>
      </c>
      <c r="S107" s="47" t="s">
        <v>9414</v>
      </c>
      <c r="T107" s="47" t="s">
        <v>9415</v>
      </c>
      <c r="U107" s="47" t="s">
        <v>9416</v>
      </c>
    </row>
    <row r="108" spans="1:21" x14ac:dyDescent="0.2">
      <c r="A108" s="47" t="s">
        <v>29</v>
      </c>
      <c r="D108" s="47" t="s">
        <v>303</v>
      </c>
      <c r="G108" s="47" t="s">
        <v>5082</v>
      </c>
      <c r="H108" s="47" t="s">
        <v>304</v>
      </c>
      <c r="I108" s="47" t="s">
        <v>305</v>
      </c>
      <c r="J108" s="47" t="s">
        <v>306</v>
      </c>
      <c r="K108" s="47" t="s">
        <v>307</v>
      </c>
      <c r="L108" s="47" t="s">
        <v>308</v>
      </c>
      <c r="M108" s="47" t="s">
        <v>309</v>
      </c>
      <c r="N108" s="47" t="s">
        <v>310</v>
      </c>
      <c r="O108" s="47" t="s">
        <v>2513</v>
      </c>
      <c r="P108" s="47" t="s">
        <v>2514</v>
      </c>
      <c r="Q108" s="47" t="s">
        <v>2515</v>
      </c>
      <c r="R108" s="47" t="s">
        <v>2516</v>
      </c>
      <c r="S108" s="47" t="s">
        <v>2517</v>
      </c>
      <c r="T108" s="47" t="s">
        <v>2518</v>
      </c>
    </row>
    <row r="109" spans="1:21" x14ac:dyDescent="0.2">
      <c r="A109" s="47" t="s">
        <v>29</v>
      </c>
      <c r="D109" s="47" t="s">
        <v>5301</v>
      </c>
      <c r="G109" s="47" t="s">
        <v>8648</v>
      </c>
      <c r="H109" s="47" t="s">
        <v>5861</v>
      </c>
      <c r="I109" s="47" t="s">
        <v>5862</v>
      </c>
      <c r="J109" s="47" t="s">
        <v>5869</v>
      </c>
      <c r="K109" s="47" t="s">
        <v>5870</v>
      </c>
      <c r="L109" s="47" t="s">
        <v>5302</v>
      </c>
      <c r="M109" s="47" t="s">
        <v>5303</v>
      </c>
      <c r="N109" s="47" t="s">
        <v>5304</v>
      </c>
      <c r="O109" s="47" t="s">
        <v>5952</v>
      </c>
      <c r="P109" s="47" t="s">
        <v>5953</v>
      </c>
      <c r="Q109" s="47" t="s">
        <v>5954</v>
      </c>
      <c r="R109" s="47" t="s">
        <v>5955</v>
      </c>
      <c r="S109" s="47" t="s">
        <v>5956</v>
      </c>
      <c r="T109" s="47" t="s">
        <v>5957</v>
      </c>
    </row>
    <row r="110" spans="1:21" x14ac:dyDescent="0.2">
      <c r="A110" s="47" t="s">
        <v>29</v>
      </c>
    </row>
    <row r="111" spans="1:21" x14ac:dyDescent="0.2">
      <c r="A111" s="47" t="s">
        <v>29</v>
      </c>
      <c r="E111" s="47" t="s">
        <v>30</v>
      </c>
      <c r="F111" s="47" t="s">
        <v>30</v>
      </c>
      <c r="G111" s="47" t="s">
        <v>30</v>
      </c>
      <c r="J111" s="47" t="s">
        <v>30</v>
      </c>
      <c r="K111" s="47" t="s">
        <v>30</v>
      </c>
      <c r="L111" s="47" t="s">
        <v>30</v>
      </c>
      <c r="M111" s="47" t="s">
        <v>30</v>
      </c>
    </row>
    <row r="112" spans="1:21" x14ac:dyDescent="0.2">
      <c r="A112" s="47" t="s">
        <v>29</v>
      </c>
      <c r="D112" s="47" t="s">
        <v>6268</v>
      </c>
      <c r="E112" s="47" t="s">
        <v>3087</v>
      </c>
      <c r="F112" s="47" t="s">
        <v>6269</v>
      </c>
      <c r="H112" s="47" t="s">
        <v>6270</v>
      </c>
      <c r="O112" s="47" t="s">
        <v>8113</v>
      </c>
      <c r="P112" s="47" t="s">
        <v>8114</v>
      </c>
      <c r="Q112" s="47" t="s">
        <v>8115</v>
      </c>
      <c r="R112" s="47" t="s">
        <v>8116</v>
      </c>
      <c r="S112" s="47" t="s">
        <v>8117</v>
      </c>
      <c r="T112" s="47" t="s">
        <v>8118</v>
      </c>
      <c r="U112" s="47" t="s">
        <v>8119</v>
      </c>
    </row>
    <row r="113" spans="1:21" x14ac:dyDescent="0.2">
      <c r="A113" s="47" t="s">
        <v>29</v>
      </c>
      <c r="D113" s="47" t="s">
        <v>6061</v>
      </c>
      <c r="G113" s="47" t="s">
        <v>6271</v>
      </c>
      <c r="H113" s="47" t="s">
        <v>6062</v>
      </c>
      <c r="I113" s="47" t="s">
        <v>6063</v>
      </c>
      <c r="J113" s="47" t="s">
        <v>6064</v>
      </c>
      <c r="K113" s="47" t="s">
        <v>6065</v>
      </c>
      <c r="L113" s="47" t="s">
        <v>6066</v>
      </c>
      <c r="M113" s="47" t="s">
        <v>6067</v>
      </c>
      <c r="N113" s="47" t="s">
        <v>6068</v>
      </c>
      <c r="O113" s="47" t="s">
        <v>6069</v>
      </c>
      <c r="P113" s="47" t="s">
        <v>6070</v>
      </c>
      <c r="Q113" s="47" t="s">
        <v>6071</v>
      </c>
      <c r="R113" s="47" t="s">
        <v>6072</v>
      </c>
      <c r="S113" s="47" t="s">
        <v>6073</v>
      </c>
      <c r="T113" s="47" t="s">
        <v>6074</v>
      </c>
    </row>
    <row r="114" spans="1:21" x14ac:dyDescent="0.2">
      <c r="A114" s="47" t="s">
        <v>29</v>
      </c>
      <c r="D114" s="47" t="s">
        <v>319</v>
      </c>
      <c r="G114" s="47" t="s">
        <v>8650</v>
      </c>
      <c r="H114" s="47" t="s">
        <v>320</v>
      </c>
      <c r="I114" s="47" t="s">
        <v>321</v>
      </c>
      <c r="J114" s="47" t="s">
        <v>322</v>
      </c>
      <c r="K114" s="47" t="s">
        <v>323</v>
      </c>
      <c r="L114" s="47" t="s">
        <v>324</v>
      </c>
      <c r="M114" s="47" t="s">
        <v>325</v>
      </c>
      <c r="N114" s="47" t="s">
        <v>326</v>
      </c>
      <c r="O114" s="47" t="s">
        <v>2373</v>
      </c>
      <c r="P114" s="47" t="s">
        <v>2374</v>
      </c>
      <c r="Q114" s="47" t="s">
        <v>2375</v>
      </c>
      <c r="R114" s="47" t="s">
        <v>2376</v>
      </c>
      <c r="S114" s="47" t="s">
        <v>2377</v>
      </c>
      <c r="T114" s="47" t="s">
        <v>2378</v>
      </c>
    </row>
    <row r="115" spans="1:21" x14ac:dyDescent="0.2">
      <c r="A115" s="47" t="s">
        <v>29</v>
      </c>
      <c r="D115" s="47" t="s">
        <v>327</v>
      </c>
      <c r="G115" s="47" t="s">
        <v>8652</v>
      </c>
      <c r="H115" s="47" t="s">
        <v>328</v>
      </c>
      <c r="I115" s="47" t="s">
        <v>329</v>
      </c>
      <c r="J115" s="47" t="s">
        <v>330</v>
      </c>
      <c r="K115" s="47" t="s">
        <v>331</v>
      </c>
      <c r="L115" s="47" t="s">
        <v>332</v>
      </c>
      <c r="M115" s="47" t="s">
        <v>333</v>
      </c>
      <c r="N115" s="47" t="s">
        <v>334</v>
      </c>
      <c r="O115" s="47" t="s">
        <v>2525</v>
      </c>
      <c r="P115" s="47" t="s">
        <v>2526</v>
      </c>
      <c r="Q115" s="47" t="s">
        <v>2527</v>
      </c>
      <c r="R115" s="47" t="s">
        <v>2528</v>
      </c>
      <c r="S115" s="47" t="s">
        <v>2529</v>
      </c>
      <c r="T115" s="47" t="s">
        <v>2530</v>
      </c>
    </row>
    <row r="116" spans="1:21" x14ac:dyDescent="0.2">
      <c r="A116" s="47" t="s">
        <v>29</v>
      </c>
    </row>
    <row r="117" spans="1:21" x14ac:dyDescent="0.2">
      <c r="A117" s="47" t="s">
        <v>29</v>
      </c>
      <c r="E117" s="47" t="s">
        <v>30</v>
      </c>
      <c r="F117" s="47" t="s">
        <v>30</v>
      </c>
      <c r="G117" s="47" t="s">
        <v>30</v>
      </c>
      <c r="J117" s="47" t="s">
        <v>30</v>
      </c>
      <c r="K117" s="47" t="s">
        <v>30</v>
      </c>
      <c r="L117" s="47" t="s">
        <v>30</v>
      </c>
      <c r="M117" s="47" t="s">
        <v>30</v>
      </c>
    </row>
    <row r="118" spans="1:21" x14ac:dyDescent="0.2">
      <c r="A118" s="47" t="s">
        <v>29</v>
      </c>
      <c r="D118" s="47" t="s">
        <v>8120</v>
      </c>
      <c r="E118" s="47" t="s">
        <v>3090</v>
      </c>
      <c r="F118" s="47" t="s">
        <v>8121</v>
      </c>
      <c r="H118" s="47" t="s">
        <v>8122</v>
      </c>
      <c r="O118" s="47" t="s">
        <v>9417</v>
      </c>
      <c r="P118" s="47" t="s">
        <v>9418</v>
      </c>
      <c r="Q118" s="47" t="s">
        <v>9419</v>
      </c>
      <c r="R118" s="47" t="s">
        <v>9420</v>
      </c>
      <c r="S118" s="47" t="s">
        <v>9421</v>
      </c>
      <c r="T118" s="47" t="s">
        <v>9422</v>
      </c>
      <c r="U118" s="47" t="s">
        <v>9423</v>
      </c>
    </row>
    <row r="119" spans="1:21" x14ac:dyDescent="0.2">
      <c r="A119" s="47" t="s">
        <v>29</v>
      </c>
      <c r="D119" s="47" t="s">
        <v>335</v>
      </c>
      <c r="G119" s="47" t="s">
        <v>8123</v>
      </c>
      <c r="H119" s="47" t="s">
        <v>336</v>
      </c>
      <c r="I119" s="47" t="s">
        <v>337</v>
      </c>
      <c r="J119" s="47" t="s">
        <v>338</v>
      </c>
      <c r="K119" s="47" t="s">
        <v>339</v>
      </c>
      <c r="L119" s="47" t="s">
        <v>340</v>
      </c>
      <c r="M119" s="47" t="s">
        <v>341</v>
      </c>
      <c r="N119" s="47" t="s">
        <v>342</v>
      </c>
      <c r="O119" s="47" t="s">
        <v>2875</v>
      </c>
      <c r="P119" s="47" t="s">
        <v>2876</v>
      </c>
      <c r="Q119" s="47" t="s">
        <v>2877</v>
      </c>
      <c r="R119" s="47" t="s">
        <v>2878</v>
      </c>
      <c r="S119" s="47" t="s">
        <v>2879</v>
      </c>
      <c r="T119" s="47" t="s">
        <v>2880</v>
      </c>
    </row>
    <row r="120" spans="1:21" x14ac:dyDescent="0.2">
      <c r="A120" s="47" t="s">
        <v>29</v>
      </c>
      <c r="D120" s="47" t="s">
        <v>343</v>
      </c>
      <c r="G120" s="47" t="s">
        <v>8657</v>
      </c>
      <c r="H120" s="47" t="s">
        <v>344</v>
      </c>
      <c r="I120" s="47" t="s">
        <v>345</v>
      </c>
      <c r="J120" s="47" t="s">
        <v>346</v>
      </c>
      <c r="K120" s="47" t="s">
        <v>347</v>
      </c>
      <c r="L120" s="47" t="s">
        <v>348</v>
      </c>
      <c r="M120" s="47" t="s">
        <v>349</v>
      </c>
      <c r="N120" s="47" t="s">
        <v>350</v>
      </c>
      <c r="O120" s="47" t="s">
        <v>2537</v>
      </c>
      <c r="P120" s="47" t="s">
        <v>2538</v>
      </c>
      <c r="Q120" s="47" t="s">
        <v>2539</v>
      </c>
      <c r="R120" s="47" t="s">
        <v>2540</v>
      </c>
      <c r="S120" s="47" t="s">
        <v>2541</v>
      </c>
      <c r="T120" s="47" t="s">
        <v>2542</v>
      </c>
    </row>
    <row r="121" spans="1:21" x14ac:dyDescent="0.2">
      <c r="A121" s="47" t="s">
        <v>29</v>
      </c>
      <c r="D121" s="47" t="s">
        <v>351</v>
      </c>
      <c r="G121" s="47" t="s">
        <v>8658</v>
      </c>
      <c r="H121" s="47" t="s">
        <v>352</v>
      </c>
      <c r="I121" s="47" t="s">
        <v>353</v>
      </c>
      <c r="J121" s="47" t="s">
        <v>354</v>
      </c>
      <c r="K121" s="47" t="s">
        <v>355</v>
      </c>
      <c r="L121" s="47" t="s">
        <v>356</v>
      </c>
      <c r="M121" s="47" t="s">
        <v>357</v>
      </c>
      <c r="N121" s="47" t="s">
        <v>358</v>
      </c>
      <c r="O121" s="47" t="s">
        <v>2543</v>
      </c>
      <c r="P121" s="47" t="s">
        <v>2544</v>
      </c>
      <c r="Q121" s="47" t="s">
        <v>2545</v>
      </c>
      <c r="R121" s="47" t="s">
        <v>2546</v>
      </c>
      <c r="S121" s="47" t="s">
        <v>2547</v>
      </c>
      <c r="T121" s="47" t="s">
        <v>2548</v>
      </c>
    </row>
    <row r="122" spans="1:21" x14ac:dyDescent="0.2">
      <c r="A122" s="47" t="s">
        <v>29</v>
      </c>
    </row>
    <row r="123" spans="1:21" x14ac:dyDescent="0.2">
      <c r="A123" s="47" t="s">
        <v>29</v>
      </c>
      <c r="E123" s="47" t="s">
        <v>30</v>
      </c>
      <c r="F123" s="47" t="s">
        <v>30</v>
      </c>
      <c r="G123" s="47" t="s">
        <v>30</v>
      </c>
      <c r="J123" s="47" t="s">
        <v>30</v>
      </c>
      <c r="K123" s="47" t="s">
        <v>30</v>
      </c>
      <c r="L123" s="47" t="s">
        <v>30</v>
      </c>
      <c r="M123" s="47" t="s">
        <v>30</v>
      </c>
    </row>
    <row r="124" spans="1:21" x14ac:dyDescent="0.2">
      <c r="A124" s="47" t="s">
        <v>29</v>
      </c>
      <c r="D124" s="47" t="s">
        <v>7277</v>
      </c>
      <c r="E124" s="47" t="s">
        <v>3107</v>
      </c>
      <c r="F124" s="47" t="s">
        <v>7278</v>
      </c>
      <c r="H124" s="47" t="s">
        <v>7279</v>
      </c>
      <c r="O124" s="47" t="s">
        <v>9424</v>
      </c>
      <c r="P124" s="47" t="s">
        <v>9425</v>
      </c>
      <c r="Q124" s="47" t="s">
        <v>9426</v>
      </c>
      <c r="R124" s="47" t="s">
        <v>9427</v>
      </c>
      <c r="S124" s="47" t="s">
        <v>9428</v>
      </c>
      <c r="T124" s="47" t="s">
        <v>9429</v>
      </c>
      <c r="U124" s="47" t="s">
        <v>9430</v>
      </c>
    </row>
    <row r="125" spans="1:21" x14ac:dyDescent="0.2">
      <c r="A125" s="47" t="s">
        <v>29</v>
      </c>
      <c r="D125" s="47" t="s">
        <v>383</v>
      </c>
      <c r="G125" s="47" t="s">
        <v>7280</v>
      </c>
      <c r="H125" s="47" t="s">
        <v>384</v>
      </c>
      <c r="I125" s="47" t="s">
        <v>385</v>
      </c>
      <c r="J125" s="47" t="s">
        <v>386</v>
      </c>
      <c r="K125" s="47" t="s">
        <v>387</v>
      </c>
      <c r="L125" s="47" t="s">
        <v>388</v>
      </c>
      <c r="M125" s="47" t="s">
        <v>389</v>
      </c>
      <c r="N125" s="47" t="s">
        <v>390</v>
      </c>
      <c r="O125" s="47" t="s">
        <v>2549</v>
      </c>
      <c r="P125" s="47" t="s">
        <v>2550</v>
      </c>
      <c r="Q125" s="47" t="s">
        <v>2551</v>
      </c>
      <c r="R125" s="47" t="s">
        <v>2552</v>
      </c>
      <c r="S125" s="47" t="s">
        <v>2553</v>
      </c>
      <c r="T125" s="47" t="s">
        <v>2554</v>
      </c>
    </row>
    <row r="126" spans="1:21" x14ac:dyDescent="0.2">
      <c r="A126" s="47" t="s">
        <v>29</v>
      </c>
      <c r="D126" s="47" t="s">
        <v>1394</v>
      </c>
      <c r="G126" s="47" t="s">
        <v>8660</v>
      </c>
      <c r="H126" s="47" t="s">
        <v>1395</v>
      </c>
      <c r="I126" s="47" t="s">
        <v>1396</v>
      </c>
      <c r="J126" s="47" t="s">
        <v>1397</v>
      </c>
      <c r="K126" s="47" t="s">
        <v>1398</v>
      </c>
      <c r="L126" s="47" t="s">
        <v>1399</v>
      </c>
      <c r="M126" s="47" t="s">
        <v>1400</v>
      </c>
      <c r="N126" s="47" t="s">
        <v>1401</v>
      </c>
      <c r="O126" s="47" t="s">
        <v>6079</v>
      </c>
      <c r="P126" s="47" t="s">
        <v>6080</v>
      </c>
      <c r="Q126" s="47" t="s">
        <v>6081</v>
      </c>
      <c r="R126" s="47" t="s">
        <v>6082</v>
      </c>
      <c r="S126" s="47" t="s">
        <v>6083</v>
      </c>
      <c r="T126" s="47" t="s">
        <v>6084</v>
      </c>
    </row>
    <row r="127" spans="1:21" x14ac:dyDescent="0.2">
      <c r="A127" s="47" t="s">
        <v>29</v>
      </c>
    </row>
    <row r="128" spans="1:21" x14ac:dyDescent="0.2">
      <c r="A128" s="47" t="s">
        <v>29</v>
      </c>
      <c r="E128" s="47" t="s">
        <v>30</v>
      </c>
      <c r="F128" s="47" t="s">
        <v>30</v>
      </c>
      <c r="G128" s="47" t="s">
        <v>30</v>
      </c>
      <c r="J128" s="47" t="s">
        <v>30</v>
      </c>
      <c r="K128" s="47" t="s">
        <v>30</v>
      </c>
      <c r="L128" s="47" t="s">
        <v>30</v>
      </c>
      <c r="M128" s="47" t="s">
        <v>30</v>
      </c>
    </row>
    <row r="129" spans="1:21" x14ac:dyDescent="0.2">
      <c r="A129" s="47" t="s">
        <v>29</v>
      </c>
      <c r="D129" s="47" t="s">
        <v>1876</v>
      </c>
      <c r="E129" s="47" t="s">
        <v>3109</v>
      </c>
      <c r="F129" s="47" t="s">
        <v>1877</v>
      </c>
      <c r="H129" s="47" t="s">
        <v>1878</v>
      </c>
      <c r="O129" s="47" t="s">
        <v>9431</v>
      </c>
      <c r="P129" s="47" t="s">
        <v>9432</v>
      </c>
      <c r="Q129" s="47" t="s">
        <v>9433</v>
      </c>
      <c r="R129" s="47" t="s">
        <v>9434</v>
      </c>
      <c r="S129" s="47" t="s">
        <v>9435</v>
      </c>
      <c r="T129" s="47" t="s">
        <v>9436</v>
      </c>
      <c r="U129" s="47" t="s">
        <v>9437</v>
      </c>
    </row>
    <row r="130" spans="1:21" x14ac:dyDescent="0.2">
      <c r="A130" s="47" t="s">
        <v>29</v>
      </c>
      <c r="D130" s="47" t="s">
        <v>391</v>
      </c>
      <c r="G130" s="47" t="s">
        <v>6221</v>
      </c>
      <c r="H130" s="47" t="s">
        <v>392</v>
      </c>
      <c r="I130" s="47" t="s">
        <v>393</v>
      </c>
      <c r="J130" s="47" t="s">
        <v>394</v>
      </c>
      <c r="K130" s="47" t="s">
        <v>395</v>
      </c>
      <c r="L130" s="47" t="s">
        <v>396</v>
      </c>
      <c r="M130" s="47" t="s">
        <v>397</v>
      </c>
      <c r="N130" s="47" t="s">
        <v>398</v>
      </c>
      <c r="O130" s="47" t="s">
        <v>2677</v>
      </c>
      <c r="P130" s="47" t="s">
        <v>2678</v>
      </c>
      <c r="Q130" s="47" t="s">
        <v>2679</v>
      </c>
      <c r="R130" s="47" t="s">
        <v>2680</v>
      </c>
      <c r="S130" s="47" t="s">
        <v>2681</v>
      </c>
      <c r="T130" s="47" t="s">
        <v>2682</v>
      </c>
    </row>
    <row r="131" spans="1:21" x14ac:dyDescent="0.2">
      <c r="A131" s="47" t="s">
        <v>29</v>
      </c>
      <c r="D131" s="47" t="s">
        <v>399</v>
      </c>
      <c r="G131" s="47" t="s">
        <v>8661</v>
      </c>
      <c r="H131" s="47" t="s">
        <v>400</v>
      </c>
      <c r="I131" s="47" t="s">
        <v>401</v>
      </c>
      <c r="J131" s="47" t="s">
        <v>402</v>
      </c>
      <c r="K131" s="47" t="s">
        <v>403</v>
      </c>
      <c r="L131" s="47" t="s">
        <v>404</v>
      </c>
      <c r="M131" s="47" t="s">
        <v>405</v>
      </c>
      <c r="N131" s="47" t="s">
        <v>406</v>
      </c>
      <c r="O131" s="47" t="s">
        <v>2392</v>
      </c>
      <c r="P131" s="47" t="s">
        <v>2393</v>
      </c>
      <c r="Q131" s="47" t="s">
        <v>2394</v>
      </c>
      <c r="R131" s="47" t="s">
        <v>2395</v>
      </c>
      <c r="S131" s="47" t="s">
        <v>2396</v>
      </c>
      <c r="T131" s="47" t="s">
        <v>2397</v>
      </c>
    </row>
    <row r="132" spans="1:21" x14ac:dyDescent="0.2">
      <c r="A132" s="47" t="s">
        <v>29</v>
      </c>
    </row>
    <row r="133" spans="1:21" x14ac:dyDescent="0.2">
      <c r="A133" s="47" t="s">
        <v>29</v>
      </c>
      <c r="E133" s="47" t="s">
        <v>30</v>
      </c>
      <c r="F133" s="47" t="s">
        <v>30</v>
      </c>
      <c r="G133" s="47" t="s">
        <v>30</v>
      </c>
      <c r="J133" s="47" t="s">
        <v>30</v>
      </c>
      <c r="K133" s="47" t="s">
        <v>30</v>
      </c>
      <c r="L133" s="47" t="s">
        <v>30</v>
      </c>
      <c r="M133" s="47" t="s">
        <v>30</v>
      </c>
    </row>
    <row r="134" spans="1:21" x14ac:dyDescent="0.2">
      <c r="A134" s="47" t="s">
        <v>29</v>
      </c>
      <c r="D134" s="47" t="s">
        <v>9438</v>
      </c>
      <c r="E134" s="47" t="s">
        <v>3112</v>
      </c>
      <c r="F134" s="47" t="s">
        <v>9439</v>
      </c>
      <c r="H134" s="47" t="s">
        <v>9440</v>
      </c>
      <c r="O134" s="47" t="s">
        <v>9441</v>
      </c>
      <c r="P134" s="47" t="s">
        <v>9442</v>
      </c>
      <c r="Q134" s="47" t="s">
        <v>9443</v>
      </c>
      <c r="R134" s="47" t="s">
        <v>9444</v>
      </c>
      <c r="S134" s="47" t="s">
        <v>9445</v>
      </c>
      <c r="T134" s="47" t="s">
        <v>9446</v>
      </c>
      <c r="U134" s="47" t="s">
        <v>9447</v>
      </c>
    </row>
    <row r="135" spans="1:21" x14ac:dyDescent="0.2">
      <c r="A135" s="47" t="s">
        <v>29</v>
      </c>
      <c r="D135" s="47" t="s">
        <v>1887</v>
      </c>
      <c r="G135" s="47" t="s">
        <v>9448</v>
      </c>
      <c r="H135" s="47" t="s">
        <v>1888</v>
      </c>
      <c r="I135" s="47" t="s">
        <v>1889</v>
      </c>
      <c r="J135" s="47" t="s">
        <v>1890</v>
      </c>
      <c r="K135" s="47" t="s">
        <v>1891</v>
      </c>
      <c r="L135" s="47" t="s">
        <v>1892</v>
      </c>
      <c r="M135" s="47" t="s">
        <v>1893</v>
      </c>
      <c r="N135" s="47" t="s">
        <v>1894</v>
      </c>
      <c r="O135" s="47" t="s">
        <v>2567</v>
      </c>
      <c r="P135" s="47" t="s">
        <v>2568</v>
      </c>
      <c r="Q135" s="47" t="s">
        <v>2569</v>
      </c>
      <c r="R135" s="47" t="s">
        <v>2570</v>
      </c>
      <c r="S135" s="47" t="s">
        <v>2571</v>
      </c>
      <c r="T135" s="47" t="s">
        <v>2572</v>
      </c>
    </row>
    <row r="136" spans="1:21" x14ac:dyDescent="0.2">
      <c r="A136" s="47" t="s">
        <v>29</v>
      </c>
      <c r="D136" s="47" t="s">
        <v>415</v>
      </c>
      <c r="G136" s="47" t="s">
        <v>8666</v>
      </c>
      <c r="H136" s="47" t="s">
        <v>416</v>
      </c>
      <c r="I136" s="47" t="s">
        <v>417</v>
      </c>
      <c r="J136" s="47" t="s">
        <v>418</v>
      </c>
      <c r="K136" s="47" t="s">
        <v>419</v>
      </c>
      <c r="L136" s="47" t="s">
        <v>420</v>
      </c>
      <c r="M136" s="47" t="s">
        <v>421</v>
      </c>
      <c r="N136" s="47" t="s">
        <v>422</v>
      </c>
      <c r="O136" s="47" t="s">
        <v>2404</v>
      </c>
      <c r="P136" s="47" t="s">
        <v>2405</v>
      </c>
      <c r="Q136" s="47" t="s">
        <v>2406</v>
      </c>
      <c r="R136" s="47" t="s">
        <v>2407</v>
      </c>
      <c r="S136" s="47" t="s">
        <v>2408</v>
      </c>
      <c r="T136" s="47" t="s">
        <v>2409</v>
      </c>
    </row>
    <row r="137" spans="1:21" x14ac:dyDescent="0.2">
      <c r="A137" s="47" t="s">
        <v>29</v>
      </c>
      <c r="D137" s="47" t="s">
        <v>423</v>
      </c>
      <c r="G137" s="47" t="s">
        <v>8667</v>
      </c>
      <c r="H137" s="47" t="s">
        <v>424</v>
      </c>
      <c r="I137" s="47" t="s">
        <v>425</v>
      </c>
      <c r="J137" s="47" t="s">
        <v>426</v>
      </c>
      <c r="K137" s="47" t="s">
        <v>427</v>
      </c>
      <c r="L137" s="47" t="s">
        <v>428</v>
      </c>
      <c r="M137" s="47" t="s">
        <v>429</v>
      </c>
      <c r="N137" s="47" t="s">
        <v>430</v>
      </c>
      <c r="O137" s="47" t="s">
        <v>4370</v>
      </c>
      <c r="P137" s="47" t="s">
        <v>4371</v>
      </c>
      <c r="Q137" s="47" t="s">
        <v>4372</v>
      </c>
      <c r="R137" s="47" t="s">
        <v>4373</v>
      </c>
      <c r="S137" s="47" t="s">
        <v>4374</v>
      </c>
      <c r="T137" s="47" t="s">
        <v>4375</v>
      </c>
    </row>
    <row r="138" spans="1:21" x14ac:dyDescent="0.2">
      <c r="A138" s="47" t="s">
        <v>29</v>
      </c>
    </row>
    <row r="139" spans="1:21" x14ac:dyDescent="0.2">
      <c r="A139" s="47" t="s">
        <v>29</v>
      </c>
      <c r="E139" s="47" t="s">
        <v>30</v>
      </c>
      <c r="F139" s="47" t="s">
        <v>30</v>
      </c>
      <c r="G139" s="47" t="s">
        <v>30</v>
      </c>
      <c r="J139" s="47" t="s">
        <v>30</v>
      </c>
      <c r="K139" s="47" t="s">
        <v>30</v>
      </c>
      <c r="L139" s="47" t="s">
        <v>30</v>
      </c>
      <c r="M139" s="47" t="s">
        <v>30</v>
      </c>
    </row>
    <row r="140" spans="1:21" x14ac:dyDescent="0.2">
      <c r="A140" s="47" t="s">
        <v>29</v>
      </c>
      <c r="D140" s="47" t="s">
        <v>4376</v>
      </c>
      <c r="E140" s="47" t="s">
        <v>3127</v>
      </c>
      <c r="F140" s="47" t="s">
        <v>4377</v>
      </c>
      <c r="H140" s="47" t="s">
        <v>4378</v>
      </c>
      <c r="O140" s="47" t="s">
        <v>9449</v>
      </c>
      <c r="P140" s="47" t="s">
        <v>9450</v>
      </c>
      <c r="Q140" s="47" t="s">
        <v>9451</v>
      </c>
      <c r="R140" s="47" t="s">
        <v>9452</v>
      </c>
      <c r="S140" s="47" t="s">
        <v>9453</v>
      </c>
      <c r="T140" s="47" t="s">
        <v>9454</v>
      </c>
      <c r="U140" s="47" t="s">
        <v>9455</v>
      </c>
    </row>
    <row r="141" spans="1:21" x14ac:dyDescent="0.2">
      <c r="A141" s="47" t="s">
        <v>29</v>
      </c>
      <c r="D141" s="47" t="s">
        <v>1418</v>
      </c>
      <c r="G141" s="47" t="s">
        <v>9456</v>
      </c>
      <c r="H141" s="47" t="s">
        <v>1419</v>
      </c>
      <c r="I141" s="47" t="s">
        <v>1420</v>
      </c>
      <c r="J141" s="47" t="s">
        <v>1421</v>
      </c>
      <c r="K141" s="47" t="s">
        <v>1422</v>
      </c>
      <c r="L141" s="47" t="s">
        <v>1423</v>
      </c>
      <c r="M141" s="47" t="s">
        <v>1424</v>
      </c>
      <c r="N141" s="47" t="s">
        <v>1425</v>
      </c>
      <c r="O141" s="47" t="s">
        <v>2935</v>
      </c>
      <c r="P141" s="47" t="s">
        <v>2936</v>
      </c>
      <c r="Q141" s="47" t="s">
        <v>2937</v>
      </c>
      <c r="R141" s="47" t="s">
        <v>2938</v>
      </c>
      <c r="S141" s="47" t="s">
        <v>2939</v>
      </c>
      <c r="T141" s="47" t="s">
        <v>2940</v>
      </c>
    </row>
    <row r="142" spans="1:21" x14ac:dyDescent="0.2">
      <c r="A142" s="47" t="s">
        <v>29</v>
      </c>
    </row>
    <row r="143" spans="1:21" x14ac:dyDescent="0.2">
      <c r="A143" s="47" t="s">
        <v>29</v>
      </c>
      <c r="E143" s="47" t="s">
        <v>30</v>
      </c>
      <c r="F143" s="47" t="s">
        <v>30</v>
      </c>
      <c r="G143" s="47" t="s">
        <v>30</v>
      </c>
      <c r="J143" s="47" t="s">
        <v>30</v>
      </c>
      <c r="K143" s="47" t="s">
        <v>30</v>
      </c>
      <c r="L143" s="47" t="s">
        <v>30</v>
      </c>
      <c r="M143" s="47" t="s">
        <v>30</v>
      </c>
    </row>
    <row r="144" spans="1:21" x14ac:dyDescent="0.2">
      <c r="A144" s="47" t="s">
        <v>29</v>
      </c>
      <c r="D144" s="47" t="s">
        <v>5086</v>
      </c>
      <c r="E144" s="47" t="s">
        <v>3152</v>
      </c>
      <c r="F144" s="47" t="s">
        <v>5087</v>
      </c>
      <c r="H144" s="47" t="s">
        <v>5088</v>
      </c>
      <c r="O144" s="47" t="s">
        <v>7882</v>
      </c>
      <c r="P144" s="47" t="s">
        <v>7883</v>
      </c>
      <c r="Q144" s="47" t="s">
        <v>7884</v>
      </c>
      <c r="R144" s="47" t="s">
        <v>7885</v>
      </c>
      <c r="S144" s="47" t="s">
        <v>7886</v>
      </c>
      <c r="T144" s="47" t="s">
        <v>7887</v>
      </c>
      <c r="U144" s="47" t="s">
        <v>7888</v>
      </c>
    </row>
    <row r="145" spans="1:21" x14ac:dyDescent="0.2">
      <c r="A145" s="47" t="s">
        <v>29</v>
      </c>
      <c r="D145" s="47" t="s">
        <v>439</v>
      </c>
      <c r="G145" s="47" t="s">
        <v>5089</v>
      </c>
      <c r="H145" s="47" t="s">
        <v>440</v>
      </c>
      <c r="I145" s="47" t="s">
        <v>441</v>
      </c>
      <c r="J145" s="47" t="s">
        <v>442</v>
      </c>
      <c r="K145" s="47" t="s">
        <v>443</v>
      </c>
      <c r="L145" s="47" t="s">
        <v>444</v>
      </c>
      <c r="M145" s="47" t="s">
        <v>445</v>
      </c>
      <c r="N145" s="47" t="s">
        <v>446</v>
      </c>
      <c r="O145" s="47" t="s">
        <v>4620</v>
      </c>
      <c r="P145" s="47" t="s">
        <v>4621</v>
      </c>
      <c r="Q145" s="47" t="s">
        <v>4622</v>
      </c>
      <c r="R145" s="47" t="s">
        <v>4623</v>
      </c>
      <c r="S145" s="47" t="s">
        <v>4624</v>
      </c>
      <c r="T145" s="47" t="s">
        <v>4625</v>
      </c>
    </row>
    <row r="146" spans="1:21" x14ac:dyDescent="0.2">
      <c r="A146" s="47" t="s">
        <v>29</v>
      </c>
      <c r="D146" s="47" t="s">
        <v>447</v>
      </c>
      <c r="G146" s="47" t="s">
        <v>8671</v>
      </c>
      <c r="H146" s="47" t="s">
        <v>448</v>
      </c>
      <c r="I146" s="47" t="s">
        <v>449</v>
      </c>
      <c r="J146" s="47" t="s">
        <v>450</v>
      </c>
      <c r="K146" s="47" t="s">
        <v>451</v>
      </c>
      <c r="L146" s="47" t="s">
        <v>452</v>
      </c>
      <c r="M146" s="47" t="s">
        <v>453</v>
      </c>
      <c r="N146" s="47" t="s">
        <v>454</v>
      </c>
      <c r="O146" s="47" t="s">
        <v>4379</v>
      </c>
      <c r="P146" s="47" t="s">
        <v>4380</v>
      </c>
      <c r="Q146" s="47" t="s">
        <v>4381</v>
      </c>
      <c r="R146" s="47" t="s">
        <v>4382</v>
      </c>
      <c r="S146" s="47" t="s">
        <v>4383</v>
      </c>
      <c r="T146" s="47" t="s">
        <v>4384</v>
      </c>
    </row>
    <row r="147" spans="1:21" x14ac:dyDescent="0.2">
      <c r="A147" s="47" t="s">
        <v>29</v>
      </c>
    </row>
    <row r="148" spans="1:21" x14ac:dyDescent="0.2">
      <c r="A148" s="47" t="s">
        <v>29</v>
      </c>
      <c r="E148" s="47" t="s">
        <v>30</v>
      </c>
      <c r="F148" s="47" t="s">
        <v>30</v>
      </c>
      <c r="G148" s="47" t="s">
        <v>30</v>
      </c>
      <c r="J148" s="47" t="s">
        <v>30</v>
      </c>
      <c r="K148" s="47" t="s">
        <v>30</v>
      </c>
      <c r="L148" s="47" t="s">
        <v>30</v>
      </c>
      <c r="M148" s="47" t="s">
        <v>30</v>
      </c>
    </row>
    <row r="149" spans="1:21" x14ac:dyDescent="0.2">
      <c r="A149" s="47" t="s">
        <v>29</v>
      </c>
      <c r="D149" s="47" t="s">
        <v>4947</v>
      </c>
      <c r="E149" s="47" t="s">
        <v>3153</v>
      </c>
      <c r="F149" s="47" t="s">
        <v>4948</v>
      </c>
      <c r="H149" s="47" t="s">
        <v>4949</v>
      </c>
      <c r="O149" s="47" t="s">
        <v>9095</v>
      </c>
      <c r="P149" s="47" t="s">
        <v>9096</v>
      </c>
      <c r="Q149" s="47" t="s">
        <v>9097</v>
      </c>
      <c r="R149" s="47" t="s">
        <v>9098</v>
      </c>
      <c r="S149" s="47" t="s">
        <v>9099</v>
      </c>
      <c r="T149" s="47" t="s">
        <v>9100</v>
      </c>
      <c r="U149" s="47" t="s">
        <v>9101</v>
      </c>
    </row>
    <row r="150" spans="1:21" x14ac:dyDescent="0.2">
      <c r="A150" s="47" t="s">
        <v>29</v>
      </c>
      <c r="D150" s="47" t="s">
        <v>471</v>
      </c>
      <c r="G150" s="47" t="s">
        <v>4950</v>
      </c>
      <c r="H150" s="47" t="s">
        <v>472</v>
      </c>
      <c r="I150" s="47" t="s">
        <v>473</v>
      </c>
      <c r="J150" s="47" t="s">
        <v>474</v>
      </c>
      <c r="K150" s="47" t="s">
        <v>475</v>
      </c>
      <c r="L150" s="47" t="s">
        <v>476</v>
      </c>
      <c r="M150" s="47" t="s">
        <v>477</v>
      </c>
      <c r="N150" s="47" t="s">
        <v>478</v>
      </c>
      <c r="O150" s="47" t="s">
        <v>2573</v>
      </c>
      <c r="P150" s="47" t="s">
        <v>2574</v>
      </c>
      <c r="Q150" s="47" t="s">
        <v>2575</v>
      </c>
      <c r="R150" s="47" t="s">
        <v>2576</v>
      </c>
      <c r="S150" s="47" t="s">
        <v>2577</v>
      </c>
      <c r="T150" s="47" t="s">
        <v>2578</v>
      </c>
    </row>
    <row r="151" spans="1:21" x14ac:dyDescent="0.2">
      <c r="A151" s="47" t="s">
        <v>29</v>
      </c>
      <c r="D151" s="47" t="s">
        <v>479</v>
      </c>
      <c r="G151" s="47" t="s">
        <v>8679</v>
      </c>
      <c r="H151" s="47" t="s">
        <v>480</v>
      </c>
      <c r="I151" s="47" t="s">
        <v>481</v>
      </c>
      <c r="J151" s="47" t="s">
        <v>482</v>
      </c>
      <c r="K151" s="47" t="s">
        <v>483</v>
      </c>
      <c r="L151" s="47" t="s">
        <v>484</v>
      </c>
      <c r="M151" s="47" t="s">
        <v>485</v>
      </c>
      <c r="N151" s="47" t="s">
        <v>486</v>
      </c>
      <c r="O151" s="47" t="s">
        <v>7839</v>
      </c>
      <c r="P151" s="47" t="s">
        <v>7840</v>
      </c>
      <c r="Q151" s="47" t="s">
        <v>7841</v>
      </c>
      <c r="R151" s="47" t="s">
        <v>7842</v>
      </c>
      <c r="S151" s="47" t="s">
        <v>7843</v>
      </c>
      <c r="T151" s="47" t="s">
        <v>7844</v>
      </c>
    </row>
    <row r="152" spans="1:21" x14ac:dyDescent="0.2">
      <c r="A152" s="47" t="s">
        <v>29</v>
      </c>
    </row>
    <row r="153" spans="1:21" x14ac:dyDescent="0.2">
      <c r="A153" s="47" t="s">
        <v>29</v>
      </c>
      <c r="E153" s="47" t="s">
        <v>30</v>
      </c>
      <c r="F153" s="47" t="s">
        <v>30</v>
      </c>
      <c r="G153" s="47" t="s">
        <v>30</v>
      </c>
      <c r="J153" s="47" t="s">
        <v>30</v>
      </c>
      <c r="K153" s="47" t="s">
        <v>30</v>
      </c>
      <c r="L153" s="47" t="s">
        <v>30</v>
      </c>
      <c r="M153" s="47" t="s">
        <v>30</v>
      </c>
    </row>
    <row r="154" spans="1:21" x14ac:dyDescent="0.2">
      <c r="A154" s="47" t="s">
        <v>29</v>
      </c>
      <c r="D154" s="47" t="s">
        <v>9102</v>
      </c>
      <c r="E154" s="47" t="s">
        <v>3154</v>
      </c>
      <c r="F154" s="47" t="s">
        <v>9103</v>
      </c>
      <c r="H154" s="47" t="s">
        <v>9104</v>
      </c>
      <c r="O154" s="47" t="s">
        <v>9105</v>
      </c>
      <c r="P154" s="47" t="s">
        <v>9106</v>
      </c>
      <c r="Q154" s="47" t="s">
        <v>9107</v>
      </c>
      <c r="R154" s="47" t="s">
        <v>9108</v>
      </c>
      <c r="S154" s="47" t="s">
        <v>9109</v>
      </c>
      <c r="T154" s="47" t="s">
        <v>9110</v>
      </c>
      <c r="U154" s="47" t="s">
        <v>9111</v>
      </c>
    </row>
    <row r="155" spans="1:21" x14ac:dyDescent="0.2">
      <c r="A155" s="47" t="s">
        <v>29</v>
      </c>
      <c r="D155" s="47" t="s">
        <v>511</v>
      </c>
      <c r="G155" s="47" t="s">
        <v>9112</v>
      </c>
      <c r="H155" s="47" t="s">
        <v>512</v>
      </c>
      <c r="I155" s="47" t="s">
        <v>513</v>
      </c>
      <c r="J155" s="47" t="s">
        <v>514</v>
      </c>
      <c r="K155" s="47" t="s">
        <v>515</v>
      </c>
      <c r="L155" s="47" t="s">
        <v>516</v>
      </c>
      <c r="M155" s="47" t="s">
        <v>517</v>
      </c>
      <c r="N155" s="47" t="s">
        <v>518</v>
      </c>
      <c r="O155" s="47" t="s">
        <v>2696</v>
      </c>
      <c r="P155" s="47" t="s">
        <v>2697</v>
      </c>
      <c r="Q155" s="47" t="s">
        <v>2698</v>
      </c>
      <c r="R155" s="47" t="s">
        <v>2699</v>
      </c>
      <c r="S155" s="47" t="s">
        <v>2700</v>
      </c>
      <c r="T155" s="47" t="s">
        <v>2701</v>
      </c>
    </row>
    <row r="156" spans="1:21" x14ac:dyDescent="0.2">
      <c r="A156" s="47" t="s">
        <v>29</v>
      </c>
    </row>
    <row r="157" spans="1:21" x14ac:dyDescent="0.2">
      <c r="A157" s="47" t="s">
        <v>29</v>
      </c>
      <c r="E157" s="47" t="s">
        <v>30</v>
      </c>
      <c r="F157" s="47" t="s">
        <v>30</v>
      </c>
      <c r="G157" s="47" t="s">
        <v>30</v>
      </c>
      <c r="J157" s="47" t="s">
        <v>30</v>
      </c>
      <c r="K157" s="47" t="s">
        <v>30</v>
      </c>
      <c r="L157" s="47" t="s">
        <v>30</v>
      </c>
      <c r="M157" s="47" t="s">
        <v>30</v>
      </c>
    </row>
    <row r="158" spans="1:21" x14ac:dyDescent="0.2">
      <c r="A158" s="47" t="s">
        <v>29</v>
      </c>
      <c r="D158" s="47" t="s">
        <v>519</v>
      </c>
      <c r="E158" s="47" t="s">
        <v>3185</v>
      </c>
      <c r="F158" s="47" t="s">
        <v>520</v>
      </c>
      <c r="H158" s="47" t="s">
        <v>521</v>
      </c>
      <c r="O158" s="47" t="s">
        <v>9457</v>
      </c>
      <c r="P158" s="47" t="s">
        <v>9458</v>
      </c>
      <c r="Q158" s="47" t="s">
        <v>9459</v>
      </c>
      <c r="R158" s="47" t="s">
        <v>9460</v>
      </c>
      <c r="S158" s="47" t="s">
        <v>9461</v>
      </c>
      <c r="T158" s="47" t="s">
        <v>9462</v>
      </c>
      <c r="U158" s="47" t="s">
        <v>9463</v>
      </c>
    </row>
    <row r="159" spans="1:21" x14ac:dyDescent="0.2">
      <c r="A159" s="47" t="s">
        <v>29</v>
      </c>
      <c r="D159" s="47" t="s">
        <v>522</v>
      </c>
      <c r="G159" s="47" t="s">
        <v>2702</v>
      </c>
      <c r="H159" s="47" t="s">
        <v>523</v>
      </c>
      <c r="I159" s="47" t="s">
        <v>524</v>
      </c>
      <c r="J159" s="47" t="s">
        <v>525</v>
      </c>
      <c r="K159" s="47" t="s">
        <v>526</v>
      </c>
      <c r="L159" s="47" t="s">
        <v>527</v>
      </c>
      <c r="M159" s="47" t="s">
        <v>528</v>
      </c>
      <c r="N159" s="47" t="s">
        <v>529</v>
      </c>
      <c r="O159" s="47" t="s">
        <v>2585</v>
      </c>
      <c r="P159" s="47" t="s">
        <v>2586</v>
      </c>
      <c r="Q159" s="47" t="s">
        <v>2587</v>
      </c>
      <c r="R159" s="47" t="s">
        <v>2588</v>
      </c>
      <c r="S159" s="47" t="s">
        <v>2589</v>
      </c>
      <c r="T159" s="47" t="s">
        <v>2590</v>
      </c>
    </row>
    <row r="160" spans="1:21" x14ac:dyDescent="0.2">
      <c r="A160" s="47" t="s">
        <v>29</v>
      </c>
      <c r="D160" s="47" t="s">
        <v>530</v>
      </c>
      <c r="G160" s="47" t="s">
        <v>8680</v>
      </c>
      <c r="H160" s="47" t="s">
        <v>531</v>
      </c>
      <c r="I160" s="47" t="s">
        <v>532</v>
      </c>
      <c r="J160" s="47" t="s">
        <v>533</v>
      </c>
      <c r="K160" s="47" t="s">
        <v>534</v>
      </c>
      <c r="L160" s="47" t="s">
        <v>535</v>
      </c>
      <c r="M160" s="47" t="s">
        <v>536</v>
      </c>
      <c r="N160" s="47" t="s">
        <v>537</v>
      </c>
      <c r="O160" s="47" t="s">
        <v>4385</v>
      </c>
      <c r="P160" s="47" t="s">
        <v>4386</v>
      </c>
      <c r="Q160" s="47" t="s">
        <v>4387</v>
      </c>
      <c r="R160" s="47" t="s">
        <v>4388</v>
      </c>
      <c r="S160" s="47" t="s">
        <v>4389</v>
      </c>
      <c r="T160" s="47" t="s">
        <v>4390</v>
      </c>
    </row>
    <row r="161" spans="1:21" x14ac:dyDescent="0.2">
      <c r="A161" s="47" t="s">
        <v>29</v>
      </c>
      <c r="D161" s="47" t="s">
        <v>538</v>
      </c>
      <c r="G161" s="47" t="s">
        <v>8681</v>
      </c>
      <c r="H161" s="47" t="s">
        <v>539</v>
      </c>
      <c r="I161" s="47" t="s">
        <v>540</v>
      </c>
      <c r="J161" s="47" t="s">
        <v>541</v>
      </c>
      <c r="K161" s="47" t="s">
        <v>542</v>
      </c>
      <c r="L161" s="47" t="s">
        <v>543</v>
      </c>
      <c r="M161" s="47" t="s">
        <v>544</v>
      </c>
      <c r="N161" s="47" t="s">
        <v>545</v>
      </c>
      <c r="O161" s="47" t="s">
        <v>2591</v>
      </c>
      <c r="P161" s="47" t="s">
        <v>2592</v>
      </c>
      <c r="Q161" s="47" t="s">
        <v>2593</v>
      </c>
      <c r="R161" s="47" t="s">
        <v>2594</v>
      </c>
      <c r="S161" s="47" t="s">
        <v>2595</v>
      </c>
      <c r="T161" s="47" t="s">
        <v>2596</v>
      </c>
    </row>
    <row r="162" spans="1:21" x14ac:dyDescent="0.2">
      <c r="A162" s="47" t="s">
        <v>29</v>
      </c>
    </row>
    <row r="163" spans="1:21" x14ac:dyDescent="0.2">
      <c r="A163" s="47" t="s">
        <v>29</v>
      </c>
      <c r="E163" s="47" t="s">
        <v>30</v>
      </c>
      <c r="F163" s="47" t="s">
        <v>30</v>
      </c>
      <c r="G163" s="47" t="s">
        <v>30</v>
      </c>
      <c r="J163" s="47" t="s">
        <v>30</v>
      </c>
      <c r="K163" s="47" t="s">
        <v>30</v>
      </c>
      <c r="L163" s="47" t="s">
        <v>30</v>
      </c>
      <c r="M163" s="47" t="s">
        <v>30</v>
      </c>
    </row>
    <row r="164" spans="1:21" x14ac:dyDescent="0.2">
      <c r="A164" s="47" t="s">
        <v>29</v>
      </c>
      <c r="D164" s="47" t="s">
        <v>2953</v>
      </c>
      <c r="E164" s="47" t="s">
        <v>3186</v>
      </c>
      <c r="F164" s="47" t="s">
        <v>2954</v>
      </c>
      <c r="H164" s="47" t="s">
        <v>2955</v>
      </c>
      <c r="O164" s="47" t="s">
        <v>9199</v>
      </c>
      <c r="P164" s="47" t="s">
        <v>9200</v>
      </c>
      <c r="Q164" s="47" t="s">
        <v>9201</v>
      </c>
      <c r="R164" s="47" t="s">
        <v>9202</v>
      </c>
      <c r="S164" s="47" t="s">
        <v>9203</v>
      </c>
      <c r="T164" s="47" t="s">
        <v>9204</v>
      </c>
      <c r="U164" s="47" t="s">
        <v>9205</v>
      </c>
    </row>
    <row r="165" spans="1:21" x14ac:dyDescent="0.2">
      <c r="A165" s="47" t="s">
        <v>29</v>
      </c>
      <c r="D165" s="47" t="s">
        <v>2022</v>
      </c>
      <c r="G165" s="47" t="s">
        <v>2963</v>
      </c>
      <c r="H165" s="47" t="s">
        <v>2023</v>
      </c>
      <c r="I165" s="47" t="s">
        <v>2024</v>
      </c>
      <c r="J165" s="47" t="s">
        <v>2025</v>
      </c>
      <c r="K165" s="47" t="s">
        <v>2026</v>
      </c>
      <c r="L165" s="47" t="s">
        <v>2027</v>
      </c>
      <c r="M165" s="47" t="s">
        <v>2028</v>
      </c>
      <c r="N165" s="47" t="s">
        <v>2029</v>
      </c>
      <c r="O165" s="47" t="s">
        <v>2703</v>
      </c>
      <c r="P165" s="47" t="s">
        <v>2704</v>
      </c>
      <c r="Q165" s="47" t="s">
        <v>2705</v>
      </c>
      <c r="R165" s="47" t="s">
        <v>2706</v>
      </c>
      <c r="S165" s="47" t="s">
        <v>2707</v>
      </c>
      <c r="T165" s="47" t="s">
        <v>2708</v>
      </c>
    </row>
    <row r="166" spans="1:21" x14ac:dyDescent="0.2">
      <c r="A166" s="47" t="s">
        <v>29</v>
      </c>
      <c r="D166" s="47" t="s">
        <v>1812</v>
      </c>
      <c r="G166" s="47" t="s">
        <v>8683</v>
      </c>
      <c r="H166" s="47" t="s">
        <v>1813</v>
      </c>
      <c r="I166" s="47" t="s">
        <v>1814</v>
      </c>
      <c r="J166" s="47" t="s">
        <v>1815</v>
      </c>
      <c r="K166" s="47" t="s">
        <v>1816</v>
      </c>
      <c r="L166" s="47" t="s">
        <v>1817</v>
      </c>
      <c r="M166" s="47" t="s">
        <v>1818</v>
      </c>
      <c r="N166" s="47" t="s">
        <v>1819</v>
      </c>
      <c r="O166" s="47" t="s">
        <v>4955</v>
      </c>
      <c r="P166" s="47" t="s">
        <v>4956</v>
      </c>
      <c r="Q166" s="47" t="s">
        <v>4957</v>
      </c>
      <c r="R166" s="47" t="s">
        <v>4958</v>
      </c>
      <c r="S166" s="47" t="s">
        <v>4959</v>
      </c>
      <c r="T166" s="47" t="s">
        <v>4960</v>
      </c>
    </row>
    <row r="167" spans="1:21" x14ac:dyDescent="0.2">
      <c r="A167" s="47" t="s">
        <v>29</v>
      </c>
    </row>
    <row r="168" spans="1:21" x14ac:dyDescent="0.2">
      <c r="A168" s="47" t="s">
        <v>29</v>
      </c>
      <c r="E168" s="47" t="s">
        <v>30</v>
      </c>
      <c r="F168" s="47" t="s">
        <v>30</v>
      </c>
      <c r="G168" s="47" t="s">
        <v>30</v>
      </c>
      <c r="J168" s="47" t="s">
        <v>30</v>
      </c>
      <c r="K168" s="47" t="s">
        <v>30</v>
      </c>
      <c r="L168" s="47" t="s">
        <v>30</v>
      </c>
      <c r="M168" s="47" t="s">
        <v>30</v>
      </c>
    </row>
    <row r="169" spans="1:21" x14ac:dyDescent="0.2">
      <c r="A169" s="47" t="s">
        <v>29</v>
      </c>
      <c r="D169" s="47" t="s">
        <v>4961</v>
      </c>
      <c r="E169" s="47" t="s">
        <v>3188</v>
      </c>
      <c r="F169" s="47" t="s">
        <v>4962</v>
      </c>
      <c r="H169" s="47" t="s">
        <v>4963</v>
      </c>
      <c r="O169" s="47" t="s">
        <v>4964</v>
      </c>
      <c r="P169" s="47" t="s">
        <v>4965</v>
      </c>
      <c r="Q169" s="47" t="s">
        <v>4966</v>
      </c>
      <c r="R169" s="47" t="s">
        <v>4967</v>
      </c>
      <c r="S169" s="47" t="s">
        <v>4968</v>
      </c>
      <c r="T169" s="47" t="s">
        <v>4969</v>
      </c>
      <c r="U169" s="47" t="s">
        <v>4970</v>
      </c>
    </row>
    <row r="170" spans="1:21" x14ac:dyDescent="0.2">
      <c r="A170" s="47" t="s">
        <v>29</v>
      </c>
      <c r="D170" s="47" t="s">
        <v>562</v>
      </c>
      <c r="G170" s="47" t="s">
        <v>4971</v>
      </c>
      <c r="H170" s="47" t="s">
        <v>563</v>
      </c>
      <c r="I170" s="47" t="s">
        <v>564</v>
      </c>
      <c r="J170" s="47" t="s">
        <v>565</v>
      </c>
      <c r="K170" s="47" t="s">
        <v>566</v>
      </c>
      <c r="L170" s="47" t="s">
        <v>567</v>
      </c>
      <c r="M170" s="47" t="s">
        <v>568</v>
      </c>
      <c r="N170" s="47" t="s">
        <v>569</v>
      </c>
      <c r="O170" s="47" t="s">
        <v>4972</v>
      </c>
      <c r="P170" s="47" t="s">
        <v>4973</v>
      </c>
      <c r="Q170" s="47" t="s">
        <v>4974</v>
      </c>
      <c r="R170" s="47" t="s">
        <v>4975</v>
      </c>
      <c r="S170" s="47" t="s">
        <v>4976</v>
      </c>
      <c r="T170" s="47" t="s">
        <v>4977</v>
      </c>
    </row>
    <row r="171" spans="1:21" x14ac:dyDescent="0.2">
      <c r="A171" s="47" t="s">
        <v>29</v>
      </c>
      <c r="D171" s="47" t="s">
        <v>3064</v>
      </c>
      <c r="G171" s="47" t="s">
        <v>8684</v>
      </c>
      <c r="H171" s="47" t="s">
        <v>3065</v>
      </c>
      <c r="I171" s="47" t="s">
        <v>3066</v>
      </c>
      <c r="J171" s="47" t="s">
        <v>3067</v>
      </c>
      <c r="K171" s="47" t="s">
        <v>3068</v>
      </c>
      <c r="L171" s="47" t="s">
        <v>3069</v>
      </c>
      <c r="M171" s="47" t="s">
        <v>3070</v>
      </c>
      <c r="N171" s="47" t="s">
        <v>3071</v>
      </c>
      <c r="O171" s="47" t="s">
        <v>4626</v>
      </c>
      <c r="P171" s="47" t="s">
        <v>4627</v>
      </c>
      <c r="Q171" s="47" t="s">
        <v>4628</v>
      </c>
      <c r="R171" s="47" t="s">
        <v>4629</v>
      </c>
      <c r="S171" s="47" t="s">
        <v>4630</v>
      </c>
      <c r="T171" s="47" t="s">
        <v>4631</v>
      </c>
    </row>
    <row r="172" spans="1:21" x14ac:dyDescent="0.2">
      <c r="A172" s="47" t="s">
        <v>29</v>
      </c>
    </row>
    <row r="173" spans="1:21" x14ac:dyDescent="0.2">
      <c r="A173" s="47" t="s">
        <v>29</v>
      </c>
      <c r="E173" s="47" t="s">
        <v>30</v>
      </c>
      <c r="F173" s="47" t="s">
        <v>30</v>
      </c>
      <c r="G173" s="47" t="s">
        <v>30</v>
      </c>
      <c r="J173" s="47" t="s">
        <v>30</v>
      </c>
      <c r="K173" s="47" t="s">
        <v>30</v>
      </c>
      <c r="L173" s="47" t="s">
        <v>30</v>
      </c>
      <c r="M173" s="47" t="s">
        <v>30</v>
      </c>
    </row>
    <row r="174" spans="1:21" x14ac:dyDescent="0.2">
      <c r="A174" s="47" t="s">
        <v>29</v>
      </c>
      <c r="D174" s="47" t="s">
        <v>4632</v>
      </c>
      <c r="E174" s="47" t="s">
        <v>3213</v>
      </c>
      <c r="F174" s="47" t="s">
        <v>4633</v>
      </c>
      <c r="H174" s="47" t="s">
        <v>4634</v>
      </c>
      <c r="O174" s="47" t="s">
        <v>6222</v>
      </c>
      <c r="P174" s="47" t="s">
        <v>6223</v>
      </c>
      <c r="Q174" s="47" t="s">
        <v>6224</v>
      </c>
      <c r="R174" s="47" t="s">
        <v>6225</v>
      </c>
      <c r="S174" s="47" t="s">
        <v>6226</v>
      </c>
      <c r="T174" s="47" t="s">
        <v>6227</v>
      </c>
      <c r="U174" s="47" t="s">
        <v>6228</v>
      </c>
    </row>
    <row r="175" spans="1:21" x14ac:dyDescent="0.2">
      <c r="A175" s="47" t="s">
        <v>29</v>
      </c>
      <c r="D175" s="47" t="s">
        <v>1259</v>
      </c>
      <c r="G175" s="47" t="s">
        <v>4635</v>
      </c>
      <c r="H175" s="47" t="s">
        <v>1260</v>
      </c>
      <c r="I175" s="47" t="s">
        <v>1261</v>
      </c>
      <c r="J175" s="47" t="s">
        <v>1262</v>
      </c>
      <c r="K175" s="47" t="s">
        <v>1263</v>
      </c>
      <c r="L175" s="47" t="s">
        <v>1264</v>
      </c>
      <c r="M175" s="47" t="s">
        <v>1265</v>
      </c>
      <c r="N175" s="47" t="s">
        <v>1266</v>
      </c>
      <c r="O175" s="47" t="s">
        <v>2728</v>
      </c>
      <c r="P175" s="47" t="s">
        <v>2729</v>
      </c>
      <c r="Q175" s="47" t="s">
        <v>2730</v>
      </c>
      <c r="R175" s="47" t="s">
        <v>2731</v>
      </c>
      <c r="S175" s="47" t="s">
        <v>2732</v>
      </c>
      <c r="T175" s="47" t="s">
        <v>2733</v>
      </c>
    </row>
    <row r="176" spans="1:21" x14ac:dyDescent="0.2">
      <c r="A176" s="47" t="s">
        <v>29</v>
      </c>
      <c r="D176" s="47" t="s">
        <v>570</v>
      </c>
      <c r="G176" s="47" t="s">
        <v>8686</v>
      </c>
      <c r="H176" s="47" t="s">
        <v>571</v>
      </c>
      <c r="I176" s="47" t="s">
        <v>572</v>
      </c>
      <c r="J176" s="47" t="s">
        <v>573</v>
      </c>
      <c r="K176" s="47" t="s">
        <v>574</v>
      </c>
      <c r="L176" s="47" t="s">
        <v>575</v>
      </c>
      <c r="M176" s="47" t="s">
        <v>576</v>
      </c>
      <c r="N176" s="47" t="s">
        <v>577</v>
      </c>
      <c r="O176" s="47" t="s">
        <v>4636</v>
      </c>
      <c r="P176" s="47" t="s">
        <v>4637</v>
      </c>
      <c r="Q176" s="47" t="s">
        <v>4638</v>
      </c>
      <c r="R176" s="47" t="s">
        <v>4639</v>
      </c>
      <c r="S176" s="47" t="s">
        <v>4640</v>
      </c>
      <c r="T176" s="47" t="s">
        <v>4641</v>
      </c>
    </row>
    <row r="177" spans="1:21" x14ac:dyDescent="0.2">
      <c r="A177" s="47" t="s">
        <v>29</v>
      </c>
    </row>
    <row r="178" spans="1:21" x14ac:dyDescent="0.2">
      <c r="A178" s="47" t="s">
        <v>29</v>
      </c>
      <c r="E178" s="47" t="s">
        <v>30</v>
      </c>
      <c r="F178" s="47" t="s">
        <v>30</v>
      </c>
      <c r="G178" s="47" t="s">
        <v>30</v>
      </c>
      <c r="J178" s="47" t="s">
        <v>30</v>
      </c>
      <c r="K178" s="47" t="s">
        <v>30</v>
      </c>
      <c r="L178" s="47" t="s">
        <v>30</v>
      </c>
      <c r="M178" s="47" t="s">
        <v>30</v>
      </c>
    </row>
    <row r="179" spans="1:21" x14ac:dyDescent="0.2">
      <c r="A179" s="47" t="s">
        <v>29</v>
      </c>
      <c r="D179" s="47" t="s">
        <v>6229</v>
      </c>
      <c r="E179" s="47" t="s">
        <v>3228</v>
      </c>
      <c r="F179" s="47" t="s">
        <v>6230</v>
      </c>
      <c r="H179" s="47" t="s">
        <v>6231</v>
      </c>
      <c r="O179" s="47" t="s">
        <v>6232</v>
      </c>
      <c r="P179" s="47" t="s">
        <v>6233</v>
      </c>
      <c r="Q179" s="47" t="s">
        <v>6234</v>
      </c>
      <c r="R179" s="47" t="s">
        <v>6235</v>
      </c>
      <c r="S179" s="47" t="s">
        <v>6236</v>
      </c>
      <c r="T179" s="47" t="s">
        <v>6237</v>
      </c>
      <c r="U179" s="47" t="s">
        <v>6238</v>
      </c>
    </row>
    <row r="180" spans="1:21" x14ac:dyDescent="0.2">
      <c r="A180" s="47" t="s">
        <v>29</v>
      </c>
      <c r="D180" s="47" t="s">
        <v>602</v>
      </c>
      <c r="G180" s="47" t="s">
        <v>6239</v>
      </c>
      <c r="H180" s="47" t="s">
        <v>603</v>
      </c>
      <c r="I180" s="47" t="s">
        <v>604</v>
      </c>
      <c r="J180" s="47" t="s">
        <v>605</v>
      </c>
      <c r="K180" s="47" t="s">
        <v>606</v>
      </c>
      <c r="L180" s="47" t="s">
        <v>607</v>
      </c>
      <c r="M180" s="47" t="s">
        <v>608</v>
      </c>
      <c r="N180" s="47" t="s">
        <v>609</v>
      </c>
      <c r="O180" s="47" t="s">
        <v>4978</v>
      </c>
      <c r="P180" s="47" t="s">
        <v>4979</v>
      </c>
      <c r="Q180" s="47" t="s">
        <v>4980</v>
      </c>
      <c r="R180" s="47" t="s">
        <v>4981</v>
      </c>
      <c r="S180" s="47" t="s">
        <v>4982</v>
      </c>
      <c r="T180" s="47" t="s">
        <v>4983</v>
      </c>
    </row>
    <row r="181" spans="1:21" x14ac:dyDescent="0.2">
      <c r="A181" s="47" t="s">
        <v>29</v>
      </c>
    </row>
    <row r="182" spans="1:21" x14ac:dyDescent="0.2">
      <c r="A182" s="47" t="s">
        <v>29</v>
      </c>
      <c r="E182" s="47" t="s">
        <v>30</v>
      </c>
      <c r="F182" s="47" t="s">
        <v>30</v>
      </c>
      <c r="G182" s="47" t="s">
        <v>30</v>
      </c>
      <c r="J182" s="47" t="s">
        <v>30</v>
      </c>
      <c r="K182" s="47" t="s">
        <v>30</v>
      </c>
      <c r="L182" s="47" t="s">
        <v>30</v>
      </c>
      <c r="M182" s="47" t="s">
        <v>30</v>
      </c>
    </row>
    <row r="183" spans="1:21" x14ac:dyDescent="0.2">
      <c r="A183" s="47" t="s">
        <v>29</v>
      </c>
      <c r="D183" s="47" t="s">
        <v>4984</v>
      </c>
      <c r="E183" s="47" t="s">
        <v>3229</v>
      </c>
      <c r="F183" s="47" t="s">
        <v>4985</v>
      </c>
      <c r="H183" s="47" t="s">
        <v>4986</v>
      </c>
      <c r="O183" s="47" t="s">
        <v>7860</v>
      </c>
      <c r="P183" s="47" t="s">
        <v>7861</v>
      </c>
      <c r="Q183" s="47" t="s">
        <v>7862</v>
      </c>
      <c r="R183" s="47" t="s">
        <v>7863</v>
      </c>
      <c r="S183" s="47" t="s">
        <v>7864</v>
      </c>
      <c r="T183" s="47" t="s">
        <v>7865</v>
      </c>
      <c r="U183" s="47" t="s">
        <v>7866</v>
      </c>
    </row>
    <row r="184" spans="1:21" x14ac:dyDescent="0.2">
      <c r="A184" s="47" t="s">
        <v>29</v>
      </c>
      <c r="D184" s="47" t="s">
        <v>3073</v>
      </c>
      <c r="G184" s="47" t="s">
        <v>4987</v>
      </c>
      <c r="H184" s="47" t="s">
        <v>3074</v>
      </c>
      <c r="I184" s="47" t="s">
        <v>3075</v>
      </c>
      <c r="J184" s="47" t="s">
        <v>3076</v>
      </c>
      <c r="K184" s="47" t="s">
        <v>3077</v>
      </c>
      <c r="L184" s="47" t="s">
        <v>3078</v>
      </c>
      <c r="M184" s="47" t="s">
        <v>3079</v>
      </c>
      <c r="N184" s="47" t="s">
        <v>3080</v>
      </c>
      <c r="O184" s="47" t="s">
        <v>4988</v>
      </c>
      <c r="P184" s="47" t="s">
        <v>4989</v>
      </c>
      <c r="Q184" s="47" t="s">
        <v>4990</v>
      </c>
      <c r="R184" s="47" t="s">
        <v>4991</v>
      </c>
      <c r="S184" s="47" t="s">
        <v>4992</v>
      </c>
      <c r="T184" s="47" t="s">
        <v>4993</v>
      </c>
    </row>
    <row r="185" spans="1:21" x14ac:dyDescent="0.2">
      <c r="A185" s="47" t="s">
        <v>29</v>
      </c>
    </row>
    <row r="186" spans="1:21" x14ac:dyDescent="0.2">
      <c r="A186" s="47" t="s">
        <v>29</v>
      </c>
      <c r="E186" s="47" t="s">
        <v>30</v>
      </c>
      <c r="F186" s="47" t="s">
        <v>30</v>
      </c>
      <c r="G186" s="47" t="s">
        <v>30</v>
      </c>
      <c r="J186" s="47" t="s">
        <v>30</v>
      </c>
      <c r="K186" s="47" t="s">
        <v>30</v>
      </c>
      <c r="L186" s="47" t="s">
        <v>30</v>
      </c>
      <c r="M186" s="47" t="s">
        <v>30</v>
      </c>
    </row>
    <row r="187" spans="1:21" x14ac:dyDescent="0.2">
      <c r="A187" s="47" t="s">
        <v>29</v>
      </c>
      <c r="D187" s="47" t="s">
        <v>6324</v>
      </c>
      <c r="E187" s="47" t="s">
        <v>3244</v>
      </c>
      <c r="F187" s="47" t="s">
        <v>6326</v>
      </c>
      <c r="H187" s="47" t="s">
        <v>6327</v>
      </c>
      <c r="O187" s="47" t="s">
        <v>7867</v>
      </c>
      <c r="P187" s="47" t="s">
        <v>7868</v>
      </c>
      <c r="Q187" s="47" t="s">
        <v>7869</v>
      </c>
      <c r="R187" s="47" t="s">
        <v>7870</v>
      </c>
      <c r="S187" s="47" t="s">
        <v>7871</v>
      </c>
      <c r="T187" s="47" t="s">
        <v>7872</v>
      </c>
      <c r="U187" s="47" t="s">
        <v>7873</v>
      </c>
    </row>
    <row r="188" spans="1:21" x14ac:dyDescent="0.2">
      <c r="A188" s="47" t="s">
        <v>29</v>
      </c>
      <c r="D188" s="47" t="s">
        <v>626</v>
      </c>
      <c r="G188" s="47" t="s">
        <v>7874</v>
      </c>
      <c r="H188" s="47" t="s">
        <v>627</v>
      </c>
      <c r="I188" s="47" t="s">
        <v>628</v>
      </c>
      <c r="J188" s="47" t="s">
        <v>629</v>
      </c>
      <c r="K188" s="47" t="s">
        <v>630</v>
      </c>
      <c r="L188" s="47" t="s">
        <v>631</v>
      </c>
      <c r="M188" s="47" t="s">
        <v>632</v>
      </c>
      <c r="N188" s="47" t="s">
        <v>633</v>
      </c>
      <c r="O188" s="47" t="s">
        <v>4994</v>
      </c>
      <c r="P188" s="47" t="s">
        <v>4995</v>
      </c>
      <c r="Q188" s="47" t="s">
        <v>4996</v>
      </c>
      <c r="R188" s="47" t="s">
        <v>4997</v>
      </c>
      <c r="S188" s="47" t="s">
        <v>4998</v>
      </c>
      <c r="T188" s="47" t="s">
        <v>4999</v>
      </c>
    </row>
    <row r="189" spans="1:21" x14ac:dyDescent="0.2">
      <c r="A189" s="47" t="s">
        <v>29</v>
      </c>
    </row>
    <row r="190" spans="1:21" x14ac:dyDescent="0.2">
      <c r="A190" s="47" t="s">
        <v>29</v>
      </c>
      <c r="E190" s="47" t="s">
        <v>30</v>
      </c>
      <c r="F190" s="47" t="s">
        <v>30</v>
      </c>
      <c r="G190" s="47" t="s">
        <v>30</v>
      </c>
      <c r="J190" s="47" t="s">
        <v>30</v>
      </c>
      <c r="K190" s="47" t="s">
        <v>30</v>
      </c>
      <c r="L190" s="47" t="s">
        <v>30</v>
      </c>
      <c r="M190" s="47" t="s">
        <v>30</v>
      </c>
    </row>
    <row r="191" spans="1:21" x14ac:dyDescent="0.2">
      <c r="A191" s="47" t="s">
        <v>29</v>
      </c>
      <c r="D191" s="47" t="s">
        <v>5000</v>
      </c>
      <c r="E191" s="47" t="s">
        <v>3245</v>
      </c>
      <c r="F191" s="47" t="s">
        <v>5001</v>
      </c>
      <c r="H191" s="47" t="s">
        <v>5002</v>
      </c>
      <c r="O191" s="47" t="s">
        <v>6178</v>
      </c>
      <c r="P191" s="47" t="s">
        <v>6179</v>
      </c>
      <c r="Q191" s="47" t="s">
        <v>6180</v>
      </c>
      <c r="R191" s="47" t="s">
        <v>6181</v>
      </c>
      <c r="S191" s="47" t="s">
        <v>6182</v>
      </c>
      <c r="T191" s="47" t="s">
        <v>6183</v>
      </c>
      <c r="U191" s="47" t="s">
        <v>6184</v>
      </c>
    </row>
    <row r="192" spans="1:21" x14ac:dyDescent="0.2">
      <c r="A192" s="47" t="s">
        <v>29</v>
      </c>
      <c r="D192" s="47" t="s">
        <v>634</v>
      </c>
      <c r="G192" s="47" t="s">
        <v>5003</v>
      </c>
      <c r="H192" s="47" t="s">
        <v>635</v>
      </c>
      <c r="I192" s="47" t="s">
        <v>636</v>
      </c>
      <c r="J192" s="47" t="s">
        <v>637</v>
      </c>
      <c r="K192" s="47" t="s">
        <v>638</v>
      </c>
      <c r="L192" s="47" t="s">
        <v>639</v>
      </c>
      <c r="M192" s="47" t="s">
        <v>640</v>
      </c>
      <c r="N192" s="47" t="s">
        <v>641</v>
      </c>
      <c r="O192" s="47" t="s">
        <v>4642</v>
      </c>
      <c r="P192" s="47" t="s">
        <v>4643</v>
      </c>
      <c r="Q192" s="47" t="s">
        <v>4644</v>
      </c>
      <c r="R192" s="47" t="s">
        <v>4645</v>
      </c>
      <c r="S192" s="47" t="s">
        <v>4646</v>
      </c>
      <c r="T192" s="47" t="s">
        <v>4647</v>
      </c>
    </row>
    <row r="193" spans="1:21" x14ac:dyDescent="0.2">
      <c r="A193" s="47" t="s">
        <v>29</v>
      </c>
    </row>
    <row r="194" spans="1:21" x14ac:dyDescent="0.2">
      <c r="A194" s="47" t="s">
        <v>29</v>
      </c>
      <c r="E194" s="47" t="s">
        <v>30</v>
      </c>
      <c r="F194" s="47" t="s">
        <v>30</v>
      </c>
      <c r="G194" s="47" t="s">
        <v>30</v>
      </c>
      <c r="J194" s="47" t="s">
        <v>30</v>
      </c>
      <c r="K194" s="47" t="s">
        <v>30</v>
      </c>
      <c r="L194" s="47" t="s">
        <v>30</v>
      </c>
      <c r="M194" s="47" t="s">
        <v>30</v>
      </c>
    </row>
    <row r="195" spans="1:21" x14ac:dyDescent="0.2">
      <c r="A195" s="47" t="s">
        <v>29</v>
      </c>
      <c r="D195" s="47" t="s">
        <v>5106</v>
      </c>
      <c r="E195" s="47" t="s">
        <v>3262</v>
      </c>
      <c r="F195" s="47" t="s">
        <v>5107</v>
      </c>
      <c r="H195" s="47" t="s">
        <v>5108</v>
      </c>
      <c r="O195" s="47" t="s">
        <v>7514</v>
      </c>
      <c r="P195" s="47" t="s">
        <v>7515</v>
      </c>
      <c r="Q195" s="47" t="s">
        <v>7516</v>
      </c>
      <c r="R195" s="47" t="s">
        <v>7517</v>
      </c>
      <c r="S195" s="47" t="s">
        <v>7518</v>
      </c>
      <c r="T195" s="47" t="s">
        <v>7519</v>
      </c>
      <c r="U195" s="47" t="s">
        <v>7520</v>
      </c>
    </row>
    <row r="196" spans="1:21" x14ac:dyDescent="0.2">
      <c r="A196" s="47" t="s">
        <v>29</v>
      </c>
      <c r="D196" s="47" t="s">
        <v>642</v>
      </c>
      <c r="G196" s="47" t="s">
        <v>5109</v>
      </c>
      <c r="H196" s="47" t="s">
        <v>643</v>
      </c>
      <c r="I196" s="47" t="s">
        <v>644</v>
      </c>
      <c r="J196" s="47" t="s">
        <v>645</v>
      </c>
      <c r="K196" s="47" t="s">
        <v>646</v>
      </c>
      <c r="L196" s="47" t="s">
        <v>647</v>
      </c>
      <c r="M196" s="47" t="s">
        <v>648</v>
      </c>
      <c r="N196" s="47" t="s">
        <v>649</v>
      </c>
      <c r="O196" s="47" t="s">
        <v>5110</v>
      </c>
      <c r="P196" s="47" t="s">
        <v>5111</v>
      </c>
      <c r="Q196" s="47" t="s">
        <v>5112</v>
      </c>
      <c r="R196" s="47" t="s">
        <v>5113</v>
      </c>
      <c r="S196" s="47" t="s">
        <v>5114</v>
      </c>
      <c r="T196" s="47" t="s">
        <v>5115</v>
      </c>
    </row>
    <row r="197" spans="1:21" x14ac:dyDescent="0.2">
      <c r="A197" s="47" t="s">
        <v>29</v>
      </c>
      <c r="D197" s="47" t="s">
        <v>650</v>
      </c>
      <c r="G197" s="47" t="s">
        <v>8689</v>
      </c>
      <c r="H197" s="47" t="s">
        <v>651</v>
      </c>
      <c r="I197" s="47" t="s">
        <v>652</v>
      </c>
      <c r="J197" s="47" t="s">
        <v>653</v>
      </c>
      <c r="K197" s="47" t="s">
        <v>654</v>
      </c>
      <c r="L197" s="47" t="s">
        <v>655</v>
      </c>
      <c r="M197" s="47" t="s">
        <v>656</v>
      </c>
      <c r="N197" s="47" t="s">
        <v>657</v>
      </c>
      <c r="O197" s="47" t="s">
        <v>4648</v>
      </c>
      <c r="P197" s="47" t="s">
        <v>4649</v>
      </c>
      <c r="Q197" s="47" t="s">
        <v>4650</v>
      </c>
      <c r="R197" s="47" t="s">
        <v>4651</v>
      </c>
      <c r="S197" s="47" t="s">
        <v>4652</v>
      </c>
      <c r="T197" s="47" t="s">
        <v>4653</v>
      </c>
    </row>
    <row r="198" spans="1:21" x14ac:dyDescent="0.2">
      <c r="A198" s="47" t="s">
        <v>29</v>
      </c>
    </row>
    <row r="199" spans="1:21" x14ac:dyDescent="0.2">
      <c r="A199" s="47" t="s">
        <v>29</v>
      </c>
      <c r="E199" s="47" t="s">
        <v>30</v>
      </c>
      <c r="F199" s="47" t="s">
        <v>30</v>
      </c>
      <c r="G199" s="47" t="s">
        <v>30</v>
      </c>
      <c r="J199" s="47" t="s">
        <v>30</v>
      </c>
      <c r="K199" s="47" t="s">
        <v>30</v>
      </c>
      <c r="L199" s="47" t="s">
        <v>30</v>
      </c>
      <c r="M199" s="47" t="s">
        <v>30</v>
      </c>
    </row>
    <row r="200" spans="1:21" x14ac:dyDescent="0.2">
      <c r="A200" s="47" t="s">
        <v>29</v>
      </c>
      <c r="D200" s="47" t="s">
        <v>4654</v>
      </c>
      <c r="E200" s="47" t="s">
        <v>3277</v>
      </c>
      <c r="F200" s="47" t="s">
        <v>4655</v>
      </c>
      <c r="H200" s="47" t="s">
        <v>4656</v>
      </c>
      <c r="O200" s="47" t="s">
        <v>9126</v>
      </c>
      <c r="P200" s="47" t="s">
        <v>9127</v>
      </c>
      <c r="Q200" s="47" t="s">
        <v>9128</v>
      </c>
      <c r="R200" s="47" t="s">
        <v>9129</v>
      </c>
      <c r="S200" s="47" t="s">
        <v>9130</v>
      </c>
      <c r="T200" s="47" t="s">
        <v>9131</v>
      </c>
      <c r="U200" s="47" t="s">
        <v>9132</v>
      </c>
    </row>
    <row r="201" spans="1:21" x14ac:dyDescent="0.2">
      <c r="A201" s="47" t="s">
        <v>29</v>
      </c>
      <c r="D201" s="47" t="s">
        <v>1458</v>
      </c>
      <c r="G201" s="47" t="s">
        <v>7521</v>
      </c>
      <c r="H201" s="47" t="s">
        <v>1459</v>
      </c>
      <c r="I201" s="47" t="s">
        <v>1460</v>
      </c>
      <c r="J201" s="47" t="s">
        <v>1461</v>
      </c>
      <c r="K201" s="47" t="s">
        <v>1462</v>
      </c>
      <c r="L201" s="47" t="s">
        <v>1463</v>
      </c>
      <c r="M201" s="47" t="s">
        <v>1464</v>
      </c>
      <c r="N201" s="47" t="s">
        <v>1465</v>
      </c>
      <c r="O201" s="47" t="s">
        <v>4657</v>
      </c>
      <c r="P201" s="47" t="s">
        <v>4658</v>
      </c>
      <c r="Q201" s="47" t="s">
        <v>4659</v>
      </c>
      <c r="R201" s="47" t="s">
        <v>4660</v>
      </c>
      <c r="S201" s="47" t="s">
        <v>4661</v>
      </c>
      <c r="T201" s="47" t="s">
        <v>4662</v>
      </c>
    </row>
    <row r="202" spans="1:21" x14ac:dyDescent="0.2">
      <c r="A202" s="47" t="s">
        <v>29</v>
      </c>
    </row>
    <row r="203" spans="1:21" x14ac:dyDescent="0.2">
      <c r="A203" s="47" t="s">
        <v>29</v>
      </c>
      <c r="E203" s="47" t="s">
        <v>30</v>
      </c>
      <c r="F203" s="47" t="s">
        <v>30</v>
      </c>
      <c r="G203" s="47" t="s">
        <v>30</v>
      </c>
      <c r="J203" s="47" t="s">
        <v>30</v>
      </c>
      <c r="K203" s="47" t="s">
        <v>30</v>
      </c>
      <c r="L203" s="47" t="s">
        <v>30</v>
      </c>
      <c r="M203" s="47" t="s">
        <v>30</v>
      </c>
    </row>
    <row r="204" spans="1:21" x14ac:dyDescent="0.2">
      <c r="A204" s="47" t="s">
        <v>29</v>
      </c>
      <c r="D204" s="47" t="s">
        <v>3082</v>
      </c>
      <c r="E204" s="47" t="s">
        <v>3286</v>
      </c>
      <c r="F204" s="47" t="s">
        <v>3084</v>
      </c>
      <c r="H204" s="47" t="s">
        <v>3085</v>
      </c>
      <c r="O204" s="47" t="s">
        <v>9464</v>
      </c>
      <c r="P204" s="47" t="s">
        <v>9465</v>
      </c>
      <c r="Q204" s="47" t="s">
        <v>9466</v>
      </c>
      <c r="R204" s="47" t="s">
        <v>9467</v>
      </c>
      <c r="S204" s="47" t="s">
        <v>9468</v>
      </c>
      <c r="T204" s="47" t="s">
        <v>9469</v>
      </c>
      <c r="U204" s="47" t="s">
        <v>9470</v>
      </c>
    </row>
    <row r="205" spans="1:21" x14ac:dyDescent="0.2">
      <c r="A205" s="47" t="s">
        <v>29</v>
      </c>
      <c r="D205" s="47" t="s">
        <v>682</v>
      </c>
      <c r="G205" s="47" t="s">
        <v>4663</v>
      </c>
      <c r="H205" s="47" t="s">
        <v>683</v>
      </c>
      <c r="I205" s="47" t="s">
        <v>684</v>
      </c>
      <c r="J205" s="47" t="s">
        <v>685</v>
      </c>
      <c r="K205" s="47" t="s">
        <v>686</v>
      </c>
      <c r="L205" s="47" t="s">
        <v>687</v>
      </c>
      <c r="M205" s="47" t="s">
        <v>688</v>
      </c>
      <c r="N205" s="47" t="s">
        <v>689</v>
      </c>
      <c r="O205" s="47" t="s">
        <v>4664</v>
      </c>
      <c r="P205" s="47" t="s">
        <v>4665</v>
      </c>
      <c r="Q205" s="47" t="s">
        <v>4666</v>
      </c>
      <c r="R205" s="47" t="s">
        <v>4667</v>
      </c>
      <c r="S205" s="47" t="s">
        <v>4668</v>
      </c>
      <c r="T205" s="47" t="s">
        <v>4669</v>
      </c>
    </row>
    <row r="206" spans="1:21" x14ac:dyDescent="0.2">
      <c r="A206" s="47" t="s">
        <v>29</v>
      </c>
      <c r="D206" s="47" t="s">
        <v>690</v>
      </c>
      <c r="G206" s="47" t="s">
        <v>8691</v>
      </c>
      <c r="H206" s="47" t="s">
        <v>691</v>
      </c>
      <c r="I206" s="47" t="s">
        <v>692</v>
      </c>
      <c r="J206" s="47" t="s">
        <v>693</v>
      </c>
      <c r="K206" s="47" t="s">
        <v>694</v>
      </c>
      <c r="L206" s="47" t="s">
        <v>695</v>
      </c>
      <c r="M206" s="47" t="s">
        <v>696</v>
      </c>
      <c r="N206" s="47" t="s">
        <v>697</v>
      </c>
      <c r="O206" s="47" t="s">
        <v>5008</v>
      </c>
      <c r="P206" s="47" t="s">
        <v>5009</v>
      </c>
      <c r="Q206" s="47" t="s">
        <v>5010</v>
      </c>
      <c r="R206" s="47" t="s">
        <v>5011</v>
      </c>
      <c r="S206" s="47" t="s">
        <v>5012</v>
      </c>
      <c r="T206" s="47" t="s">
        <v>5013</v>
      </c>
    </row>
    <row r="207" spans="1:21" x14ac:dyDescent="0.2">
      <c r="A207" s="47" t="s">
        <v>29</v>
      </c>
    </row>
    <row r="208" spans="1:21" x14ac:dyDescent="0.2">
      <c r="A208" s="47" t="s">
        <v>29</v>
      </c>
      <c r="E208" s="47" t="s">
        <v>30</v>
      </c>
      <c r="F208" s="47" t="s">
        <v>30</v>
      </c>
      <c r="G208" s="47" t="s">
        <v>30</v>
      </c>
      <c r="J208" s="47" t="s">
        <v>30</v>
      </c>
      <c r="K208" s="47" t="s">
        <v>30</v>
      </c>
      <c r="L208" s="47" t="s">
        <v>30</v>
      </c>
      <c r="M208" s="47" t="s">
        <v>30</v>
      </c>
    </row>
    <row r="209" spans="1:21" x14ac:dyDescent="0.2">
      <c r="A209" s="47" t="s">
        <v>29</v>
      </c>
      <c r="D209" s="47" t="s">
        <v>3086</v>
      </c>
      <c r="E209" s="47" t="s">
        <v>3323</v>
      </c>
      <c r="F209" s="47" t="s">
        <v>3088</v>
      </c>
      <c r="H209" s="47" t="s">
        <v>3089</v>
      </c>
      <c r="O209" s="47" t="s">
        <v>5989</v>
      </c>
      <c r="P209" s="47" t="s">
        <v>5990</v>
      </c>
      <c r="Q209" s="47" t="s">
        <v>5991</v>
      </c>
      <c r="R209" s="47" t="s">
        <v>5992</v>
      </c>
      <c r="S209" s="47" t="s">
        <v>5993</v>
      </c>
      <c r="T209" s="47" t="s">
        <v>5994</v>
      </c>
      <c r="U209" s="47" t="s">
        <v>5995</v>
      </c>
    </row>
    <row r="210" spans="1:21" x14ac:dyDescent="0.2">
      <c r="A210" s="47" t="s">
        <v>29</v>
      </c>
      <c r="D210" s="47" t="s">
        <v>1466</v>
      </c>
      <c r="G210" s="47" t="s">
        <v>5996</v>
      </c>
      <c r="H210" s="47" t="s">
        <v>1467</v>
      </c>
      <c r="I210" s="47" t="s">
        <v>1468</v>
      </c>
      <c r="J210" s="47" t="s">
        <v>1469</v>
      </c>
      <c r="K210" s="47" t="s">
        <v>1470</v>
      </c>
      <c r="L210" s="47" t="s">
        <v>1471</v>
      </c>
      <c r="M210" s="47" t="s">
        <v>1472</v>
      </c>
      <c r="N210" s="47" t="s">
        <v>1473</v>
      </c>
      <c r="O210" s="47" t="s">
        <v>5116</v>
      </c>
      <c r="P210" s="47" t="s">
        <v>5117</v>
      </c>
      <c r="Q210" s="47" t="s">
        <v>5118</v>
      </c>
      <c r="R210" s="47" t="s">
        <v>5119</v>
      </c>
      <c r="S210" s="47" t="s">
        <v>5120</v>
      </c>
      <c r="T210" s="47" t="s">
        <v>5121</v>
      </c>
    </row>
    <row r="211" spans="1:21" x14ac:dyDescent="0.2">
      <c r="A211" s="47" t="s">
        <v>29</v>
      </c>
    </row>
    <row r="212" spans="1:21" x14ac:dyDescent="0.2">
      <c r="A212" s="47" t="s">
        <v>29</v>
      </c>
      <c r="E212" s="47" t="s">
        <v>30</v>
      </c>
      <c r="F212" s="47" t="s">
        <v>30</v>
      </c>
      <c r="G212" s="47" t="s">
        <v>30</v>
      </c>
      <c r="J212" s="47" t="s">
        <v>30</v>
      </c>
      <c r="K212" s="47" t="s">
        <v>30</v>
      </c>
      <c r="L212" s="47" t="s">
        <v>30</v>
      </c>
      <c r="M212" s="47" t="s">
        <v>30</v>
      </c>
    </row>
    <row r="213" spans="1:21" x14ac:dyDescent="0.2">
      <c r="A213" s="47" t="s">
        <v>29</v>
      </c>
      <c r="D213" s="47" t="s">
        <v>5122</v>
      </c>
      <c r="E213" s="47" t="s">
        <v>3332</v>
      </c>
      <c r="F213" s="47" t="s">
        <v>5123</v>
      </c>
      <c r="H213" s="47" t="s">
        <v>5124</v>
      </c>
      <c r="O213" s="47" t="s">
        <v>9471</v>
      </c>
      <c r="P213" s="47" t="s">
        <v>9472</v>
      </c>
      <c r="Q213" s="47" t="s">
        <v>9473</v>
      </c>
      <c r="R213" s="47" t="s">
        <v>9474</v>
      </c>
      <c r="S213" s="47" t="s">
        <v>9475</v>
      </c>
      <c r="T213" s="47" t="s">
        <v>9476</v>
      </c>
      <c r="U213" s="47" t="s">
        <v>9477</v>
      </c>
    </row>
    <row r="214" spans="1:21" x14ac:dyDescent="0.2">
      <c r="A214" s="47" t="s">
        <v>29</v>
      </c>
      <c r="D214" s="47" t="s">
        <v>706</v>
      </c>
      <c r="G214" s="47" t="s">
        <v>5125</v>
      </c>
      <c r="H214" s="47" t="s">
        <v>707</v>
      </c>
      <c r="I214" s="47" t="s">
        <v>708</v>
      </c>
      <c r="J214" s="47" t="s">
        <v>709</v>
      </c>
      <c r="K214" s="47" t="s">
        <v>710</v>
      </c>
      <c r="L214" s="47" t="s">
        <v>711</v>
      </c>
      <c r="M214" s="47" t="s">
        <v>712</v>
      </c>
      <c r="N214" s="47" t="s">
        <v>713</v>
      </c>
      <c r="O214" s="47" t="s">
        <v>5126</v>
      </c>
      <c r="P214" s="47" t="s">
        <v>5127</v>
      </c>
      <c r="Q214" s="47" t="s">
        <v>5128</v>
      </c>
      <c r="R214" s="47" t="s">
        <v>5129</v>
      </c>
      <c r="S214" s="47" t="s">
        <v>5130</v>
      </c>
      <c r="T214" s="47" t="s">
        <v>5131</v>
      </c>
    </row>
    <row r="215" spans="1:21" x14ac:dyDescent="0.2">
      <c r="A215" s="47" t="s">
        <v>29</v>
      </c>
      <c r="D215" s="47" t="s">
        <v>714</v>
      </c>
      <c r="G215" s="47" t="s">
        <v>8692</v>
      </c>
      <c r="H215" s="47" t="s">
        <v>715</v>
      </c>
      <c r="I215" s="47" t="s">
        <v>716</v>
      </c>
      <c r="J215" s="47" t="s">
        <v>717</v>
      </c>
      <c r="K215" s="47" t="s">
        <v>718</v>
      </c>
      <c r="L215" s="47" t="s">
        <v>719</v>
      </c>
      <c r="M215" s="47" t="s">
        <v>720</v>
      </c>
      <c r="N215" s="47" t="s">
        <v>721</v>
      </c>
      <c r="O215" s="47" t="s">
        <v>5132</v>
      </c>
      <c r="P215" s="47" t="s">
        <v>5133</v>
      </c>
      <c r="Q215" s="47" t="s">
        <v>5134</v>
      </c>
      <c r="R215" s="47" t="s">
        <v>5135</v>
      </c>
      <c r="S215" s="47" t="s">
        <v>5136</v>
      </c>
      <c r="T215" s="47" t="s">
        <v>5137</v>
      </c>
    </row>
    <row r="216" spans="1:21" x14ac:dyDescent="0.2">
      <c r="A216" s="47" t="s">
        <v>29</v>
      </c>
    </row>
    <row r="217" spans="1:21" x14ac:dyDescent="0.2">
      <c r="A217" s="47" t="s">
        <v>29</v>
      </c>
      <c r="E217" s="47" t="s">
        <v>30</v>
      </c>
      <c r="F217" s="47" t="s">
        <v>30</v>
      </c>
      <c r="G217" s="47" t="s">
        <v>30</v>
      </c>
      <c r="J217" s="47" t="s">
        <v>30</v>
      </c>
      <c r="K217" s="47" t="s">
        <v>30</v>
      </c>
      <c r="L217" s="47" t="s">
        <v>30</v>
      </c>
      <c r="M217" s="47" t="s">
        <v>30</v>
      </c>
    </row>
    <row r="218" spans="1:21" x14ac:dyDescent="0.2">
      <c r="A218" s="47" t="s">
        <v>29</v>
      </c>
      <c r="D218" s="47" t="s">
        <v>7373</v>
      </c>
      <c r="E218" s="47" t="s">
        <v>3347</v>
      </c>
      <c r="F218" s="47" t="s">
        <v>7374</v>
      </c>
      <c r="H218" s="47" t="s">
        <v>7375</v>
      </c>
      <c r="O218" s="47" t="s">
        <v>9478</v>
      </c>
      <c r="P218" s="47" t="s">
        <v>9479</v>
      </c>
      <c r="Q218" s="47" t="s">
        <v>9480</v>
      </c>
      <c r="R218" s="47" t="s">
        <v>9481</v>
      </c>
      <c r="S218" s="47" t="s">
        <v>9482</v>
      </c>
      <c r="T218" s="47" t="s">
        <v>9483</v>
      </c>
      <c r="U218" s="47" t="s">
        <v>9484</v>
      </c>
    </row>
    <row r="219" spans="1:21" x14ac:dyDescent="0.2">
      <c r="A219" s="47" t="s">
        <v>29</v>
      </c>
      <c r="D219" s="47" t="s">
        <v>730</v>
      </c>
      <c r="G219" s="47" t="s">
        <v>7383</v>
      </c>
      <c r="H219" s="47" t="s">
        <v>731</v>
      </c>
      <c r="I219" s="47" t="s">
        <v>732</v>
      </c>
      <c r="J219" s="47" t="s">
        <v>733</v>
      </c>
      <c r="K219" s="47" t="s">
        <v>734</v>
      </c>
      <c r="L219" s="47" t="s">
        <v>735</v>
      </c>
      <c r="M219" s="47" t="s">
        <v>736</v>
      </c>
      <c r="N219" s="47" t="s">
        <v>737</v>
      </c>
      <c r="O219" s="47" t="s">
        <v>7384</v>
      </c>
      <c r="P219" s="47" t="s">
        <v>7385</v>
      </c>
      <c r="Q219" s="47" t="s">
        <v>7386</v>
      </c>
      <c r="R219" s="47" t="s">
        <v>7387</v>
      </c>
      <c r="S219" s="47" t="s">
        <v>7388</v>
      </c>
      <c r="T219" s="47" t="s">
        <v>7389</v>
      </c>
    </row>
    <row r="220" spans="1:21" x14ac:dyDescent="0.2">
      <c r="A220" s="47" t="s">
        <v>29</v>
      </c>
    </row>
    <row r="221" spans="1:21" x14ac:dyDescent="0.2">
      <c r="A221" s="47" t="s">
        <v>29</v>
      </c>
      <c r="E221" s="47" t="s">
        <v>30</v>
      </c>
      <c r="F221" s="47" t="s">
        <v>30</v>
      </c>
      <c r="G221" s="47" t="s">
        <v>30</v>
      </c>
      <c r="J221" s="47" t="s">
        <v>30</v>
      </c>
      <c r="K221" s="47" t="s">
        <v>30</v>
      </c>
      <c r="L221" s="47" t="s">
        <v>30</v>
      </c>
      <c r="M221" s="47" t="s">
        <v>30</v>
      </c>
    </row>
    <row r="222" spans="1:21" x14ac:dyDescent="0.2">
      <c r="A222" s="47" t="s">
        <v>29</v>
      </c>
      <c r="D222" s="47" t="s">
        <v>8301</v>
      </c>
      <c r="E222" s="47" t="s">
        <v>3348</v>
      </c>
      <c r="F222" s="47" t="s">
        <v>8302</v>
      </c>
      <c r="H222" s="47" t="s">
        <v>8303</v>
      </c>
      <c r="O222" s="47" t="s">
        <v>9485</v>
      </c>
      <c r="P222" s="47" t="s">
        <v>9486</v>
      </c>
      <c r="Q222" s="47" t="s">
        <v>9487</v>
      </c>
      <c r="R222" s="47" t="s">
        <v>9488</v>
      </c>
      <c r="S222" s="47" t="s">
        <v>9489</v>
      </c>
      <c r="T222" s="47" t="s">
        <v>9490</v>
      </c>
      <c r="U222" s="47" t="s">
        <v>9491</v>
      </c>
    </row>
    <row r="223" spans="1:21" x14ac:dyDescent="0.2">
      <c r="A223" s="47" t="s">
        <v>29</v>
      </c>
      <c r="D223" s="47" t="s">
        <v>738</v>
      </c>
      <c r="G223" s="47" t="s">
        <v>8304</v>
      </c>
      <c r="H223" s="47" t="s">
        <v>739</v>
      </c>
      <c r="I223" s="47" t="s">
        <v>740</v>
      </c>
      <c r="J223" s="47" t="s">
        <v>741</v>
      </c>
      <c r="K223" s="47" t="s">
        <v>742</v>
      </c>
      <c r="L223" s="47" t="s">
        <v>743</v>
      </c>
      <c r="M223" s="47" t="s">
        <v>744</v>
      </c>
      <c r="N223" s="47" t="s">
        <v>745</v>
      </c>
      <c r="O223" s="47" t="s">
        <v>4694</v>
      </c>
      <c r="P223" s="47" t="s">
        <v>4695</v>
      </c>
      <c r="Q223" s="47" t="s">
        <v>4696</v>
      </c>
      <c r="R223" s="47" t="s">
        <v>4697</v>
      </c>
      <c r="S223" s="47" t="s">
        <v>4698</v>
      </c>
      <c r="T223" s="47" t="s">
        <v>4699</v>
      </c>
    </row>
    <row r="224" spans="1:21" x14ac:dyDescent="0.2">
      <c r="A224" s="47" t="s">
        <v>29</v>
      </c>
      <c r="D224" s="47" t="s">
        <v>6329</v>
      </c>
      <c r="G224" s="47" t="s">
        <v>8693</v>
      </c>
      <c r="H224" s="47" t="s">
        <v>7069</v>
      </c>
      <c r="I224" s="47" t="s">
        <v>7070</v>
      </c>
      <c r="J224" s="47" t="s">
        <v>7083</v>
      </c>
      <c r="K224" s="47" t="s">
        <v>7084</v>
      </c>
      <c r="L224" s="47" t="s">
        <v>6330</v>
      </c>
      <c r="M224" s="47" t="s">
        <v>6331</v>
      </c>
      <c r="N224" s="47" t="s">
        <v>6332</v>
      </c>
      <c r="O224" s="47" t="s">
        <v>7393</v>
      </c>
      <c r="P224" s="47" t="s">
        <v>7394</v>
      </c>
      <c r="Q224" s="47" t="s">
        <v>7395</v>
      </c>
      <c r="R224" s="47" t="s">
        <v>7396</v>
      </c>
      <c r="S224" s="47" t="s">
        <v>7397</v>
      </c>
      <c r="T224" s="47" t="s">
        <v>7398</v>
      </c>
    </row>
    <row r="225" spans="1:21" x14ac:dyDescent="0.2">
      <c r="A225" s="47" t="s">
        <v>29</v>
      </c>
    </row>
    <row r="226" spans="1:21" x14ac:dyDescent="0.2">
      <c r="A226" s="47" t="s">
        <v>29</v>
      </c>
      <c r="E226" s="47" t="s">
        <v>30</v>
      </c>
      <c r="F226" s="47" t="s">
        <v>30</v>
      </c>
      <c r="G226" s="47" t="s">
        <v>30</v>
      </c>
      <c r="J226" s="47" t="s">
        <v>30</v>
      </c>
      <c r="K226" s="47" t="s">
        <v>30</v>
      </c>
      <c r="L226" s="47" t="s">
        <v>30</v>
      </c>
      <c r="M226" s="47" t="s">
        <v>30</v>
      </c>
    </row>
    <row r="227" spans="1:21" x14ac:dyDescent="0.2">
      <c r="A227" s="47" t="s">
        <v>29</v>
      </c>
      <c r="D227" s="47" t="s">
        <v>7399</v>
      </c>
      <c r="E227" s="47" t="s">
        <v>3377</v>
      </c>
      <c r="F227" s="47" t="s">
        <v>7400</v>
      </c>
      <c r="H227" s="47" t="s">
        <v>7401</v>
      </c>
      <c r="O227" s="47" t="s">
        <v>9492</v>
      </c>
      <c r="P227" s="47" t="s">
        <v>9493</v>
      </c>
      <c r="Q227" s="47" t="s">
        <v>9494</v>
      </c>
      <c r="R227" s="47" t="s">
        <v>9495</v>
      </c>
      <c r="S227" s="47" t="s">
        <v>9496</v>
      </c>
      <c r="T227" s="47" t="s">
        <v>9497</v>
      </c>
      <c r="U227" s="47" t="s">
        <v>9498</v>
      </c>
    </row>
    <row r="228" spans="1:21" x14ac:dyDescent="0.2">
      <c r="A228" s="47" t="s">
        <v>29</v>
      </c>
      <c r="D228" s="47" t="s">
        <v>3099</v>
      </c>
      <c r="G228" s="47" t="s">
        <v>7402</v>
      </c>
      <c r="H228" s="47" t="s">
        <v>3100</v>
      </c>
      <c r="I228" s="47" t="s">
        <v>3101</v>
      </c>
      <c r="J228" s="47" t="s">
        <v>3102</v>
      </c>
      <c r="K228" s="47" t="s">
        <v>3103</v>
      </c>
      <c r="L228" s="47" t="s">
        <v>3104</v>
      </c>
      <c r="M228" s="47" t="s">
        <v>3105</v>
      </c>
      <c r="N228" s="47" t="s">
        <v>3106</v>
      </c>
      <c r="O228" s="47" t="s">
        <v>7403</v>
      </c>
      <c r="P228" s="47" t="s">
        <v>7404</v>
      </c>
      <c r="Q228" s="47" t="s">
        <v>7405</v>
      </c>
      <c r="R228" s="47" t="s">
        <v>7406</v>
      </c>
      <c r="S228" s="47" t="s">
        <v>7407</v>
      </c>
      <c r="T228" s="47" t="s">
        <v>7408</v>
      </c>
    </row>
    <row r="229" spans="1:21" x14ac:dyDescent="0.2">
      <c r="A229" s="47" t="s">
        <v>29</v>
      </c>
      <c r="D229" s="47" t="s">
        <v>746</v>
      </c>
      <c r="G229" s="47" t="s">
        <v>8694</v>
      </c>
      <c r="H229" s="47" t="s">
        <v>747</v>
      </c>
      <c r="I229" s="47" t="s">
        <v>748</v>
      </c>
      <c r="J229" s="47" t="s">
        <v>749</v>
      </c>
      <c r="K229" s="47" t="s">
        <v>750</v>
      </c>
      <c r="L229" s="47" t="s">
        <v>751</v>
      </c>
      <c r="M229" s="47" t="s">
        <v>752</v>
      </c>
      <c r="N229" s="47" t="s">
        <v>753</v>
      </c>
      <c r="O229" s="47" t="s">
        <v>7409</v>
      </c>
      <c r="P229" s="47" t="s">
        <v>7410</v>
      </c>
      <c r="Q229" s="47" t="s">
        <v>7411</v>
      </c>
      <c r="R229" s="47" t="s">
        <v>7412</v>
      </c>
      <c r="S229" s="47" t="s">
        <v>7413</v>
      </c>
      <c r="T229" s="47" t="s">
        <v>7414</v>
      </c>
    </row>
    <row r="230" spans="1:21" x14ac:dyDescent="0.2">
      <c r="A230" s="47" t="s">
        <v>29</v>
      </c>
      <c r="D230" s="47" t="s">
        <v>754</v>
      </c>
      <c r="G230" s="47" t="s">
        <v>8695</v>
      </c>
      <c r="H230" s="47" t="s">
        <v>755</v>
      </c>
      <c r="I230" s="47" t="s">
        <v>756</v>
      </c>
      <c r="J230" s="47" t="s">
        <v>757</v>
      </c>
      <c r="K230" s="47" t="s">
        <v>758</v>
      </c>
      <c r="L230" s="47" t="s">
        <v>759</v>
      </c>
      <c r="M230" s="47" t="s">
        <v>760</v>
      </c>
      <c r="N230" s="47" t="s">
        <v>761</v>
      </c>
      <c r="O230" s="47" t="s">
        <v>6290</v>
      </c>
      <c r="P230" s="47" t="s">
        <v>6291</v>
      </c>
      <c r="Q230" s="47" t="s">
        <v>6292</v>
      </c>
      <c r="R230" s="47" t="s">
        <v>6293</v>
      </c>
      <c r="S230" s="47" t="s">
        <v>6294</v>
      </c>
      <c r="T230" s="47" t="s">
        <v>6295</v>
      </c>
    </row>
    <row r="231" spans="1:21" x14ac:dyDescent="0.2">
      <c r="A231" s="47" t="s">
        <v>29</v>
      </c>
    </row>
    <row r="232" spans="1:21" x14ac:dyDescent="0.2">
      <c r="A232" s="47" t="s">
        <v>29</v>
      </c>
      <c r="E232" s="47" t="s">
        <v>30</v>
      </c>
      <c r="F232" s="47" t="s">
        <v>30</v>
      </c>
      <c r="G232" s="47" t="s">
        <v>30</v>
      </c>
      <c r="J232" s="47" t="s">
        <v>30</v>
      </c>
      <c r="K232" s="47" t="s">
        <v>30</v>
      </c>
      <c r="L232" s="47" t="s">
        <v>30</v>
      </c>
      <c r="M232" s="47" t="s">
        <v>30</v>
      </c>
    </row>
    <row r="233" spans="1:21" x14ac:dyDescent="0.2">
      <c r="A233" s="47" t="s">
        <v>29</v>
      </c>
      <c r="D233" s="47" t="s">
        <v>6296</v>
      </c>
      <c r="E233" s="47" t="s">
        <v>3378</v>
      </c>
      <c r="F233" s="47" t="s">
        <v>6297</v>
      </c>
      <c r="H233" s="47" t="s">
        <v>6298</v>
      </c>
      <c r="O233" s="47" t="s">
        <v>6299</v>
      </c>
      <c r="P233" s="47" t="s">
        <v>6300</v>
      </c>
      <c r="Q233" s="47" t="s">
        <v>6301</v>
      </c>
      <c r="R233" s="47" t="s">
        <v>6302</v>
      </c>
      <c r="S233" s="47" t="s">
        <v>6303</v>
      </c>
      <c r="T233" s="47" t="s">
        <v>6304</v>
      </c>
      <c r="U233" s="47" t="s">
        <v>6305</v>
      </c>
    </row>
    <row r="234" spans="1:21" x14ac:dyDescent="0.2">
      <c r="A234" s="47" t="s">
        <v>29</v>
      </c>
      <c r="D234" s="47" t="s">
        <v>762</v>
      </c>
      <c r="G234" s="47" t="s">
        <v>6306</v>
      </c>
      <c r="H234" s="47" t="s">
        <v>763</v>
      </c>
      <c r="I234" s="47" t="s">
        <v>764</v>
      </c>
      <c r="J234" s="47" t="s">
        <v>765</v>
      </c>
      <c r="K234" s="47" t="s">
        <v>766</v>
      </c>
      <c r="L234" s="47" t="s">
        <v>767</v>
      </c>
      <c r="M234" s="47" t="s">
        <v>768</v>
      </c>
      <c r="N234" s="47" t="s">
        <v>769</v>
      </c>
      <c r="O234" s="47" t="s">
        <v>5022</v>
      </c>
      <c r="P234" s="47" t="s">
        <v>5023</v>
      </c>
      <c r="Q234" s="47" t="s">
        <v>5024</v>
      </c>
      <c r="R234" s="47" t="s">
        <v>5025</v>
      </c>
      <c r="S234" s="47" t="s">
        <v>5026</v>
      </c>
      <c r="T234" s="47" t="s">
        <v>5027</v>
      </c>
    </row>
    <row r="235" spans="1:21" x14ac:dyDescent="0.2">
      <c r="A235" s="47" t="s">
        <v>29</v>
      </c>
    </row>
    <row r="236" spans="1:21" x14ac:dyDescent="0.2">
      <c r="A236" s="47" t="s">
        <v>29</v>
      </c>
      <c r="E236" s="47" t="s">
        <v>30</v>
      </c>
      <c r="F236" s="47" t="s">
        <v>30</v>
      </c>
      <c r="G236" s="47" t="s">
        <v>30</v>
      </c>
      <c r="J236" s="47" t="s">
        <v>30</v>
      </c>
      <c r="K236" s="47" t="s">
        <v>30</v>
      </c>
      <c r="L236" s="47" t="s">
        <v>30</v>
      </c>
      <c r="M236" s="47" t="s">
        <v>30</v>
      </c>
    </row>
    <row r="237" spans="1:21" x14ac:dyDescent="0.2">
      <c r="A237" s="47" t="s">
        <v>29</v>
      </c>
      <c r="D237" s="47" t="s">
        <v>5028</v>
      </c>
      <c r="E237" s="47" t="s">
        <v>3379</v>
      </c>
      <c r="F237" s="47" t="s">
        <v>5029</v>
      </c>
      <c r="H237" s="47" t="s">
        <v>5030</v>
      </c>
      <c r="O237" s="47" t="s">
        <v>9301</v>
      </c>
      <c r="P237" s="47" t="s">
        <v>9302</v>
      </c>
      <c r="Q237" s="47" t="s">
        <v>9303</v>
      </c>
      <c r="R237" s="47" t="s">
        <v>9304</v>
      </c>
      <c r="S237" s="47" t="s">
        <v>9305</v>
      </c>
      <c r="T237" s="47" t="s">
        <v>9306</v>
      </c>
      <c r="U237" s="47" t="s">
        <v>9307</v>
      </c>
    </row>
    <row r="238" spans="1:21" x14ac:dyDescent="0.2">
      <c r="A238" s="47" t="s">
        <v>29</v>
      </c>
      <c r="D238" s="47" t="s">
        <v>1683</v>
      </c>
      <c r="G238" s="47" t="s">
        <v>5031</v>
      </c>
      <c r="H238" s="47" t="s">
        <v>1684</v>
      </c>
      <c r="I238" s="47" t="s">
        <v>1685</v>
      </c>
      <c r="J238" s="47" t="s">
        <v>1686</v>
      </c>
      <c r="K238" s="47" t="s">
        <v>1687</v>
      </c>
      <c r="L238" s="47" t="s">
        <v>1688</v>
      </c>
      <c r="M238" s="47" t="s">
        <v>1689</v>
      </c>
      <c r="N238" s="47" t="s">
        <v>1690</v>
      </c>
      <c r="O238" s="47" t="s">
        <v>4408</v>
      </c>
      <c r="P238" s="47" t="s">
        <v>4409</v>
      </c>
      <c r="Q238" s="47" t="s">
        <v>4410</v>
      </c>
      <c r="R238" s="47" t="s">
        <v>4411</v>
      </c>
      <c r="S238" s="47" t="s">
        <v>4412</v>
      </c>
      <c r="T238" s="47" t="s">
        <v>4413</v>
      </c>
    </row>
    <row r="239" spans="1:21" x14ac:dyDescent="0.2">
      <c r="A239" s="47" t="s">
        <v>29</v>
      </c>
    </row>
    <row r="240" spans="1:21" x14ac:dyDescent="0.2">
      <c r="A240" s="47" t="s">
        <v>29</v>
      </c>
      <c r="E240" s="47" t="s">
        <v>30</v>
      </c>
      <c r="F240" s="47" t="s">
        <v>30</v>
      </c>
      <c r="G240" s="47" t="s">
        <v>30</v>
      </c>
      <c r="J240" s="47" t="s">
        <v>30</v>
      </c>
      <c r="K240" s="47" t="s">
        <v>30</v>
      </c>
      <c r="L240" s="47" t="s">
        <v>30</v>
      </c>
      <c r="M240" s="47" t="s">
        <v>30</v>
      </c>
    </row>
    <row r="241" spans="1:21" x14ac:dyDescent="0.2">
      <c r="A241" s="47" t="s">
        <v>29</v>
      </c>
      <c r="D241" s="47" t="s">
        <v>9308</v>
      </c>
      <c r="E241" s="47" t="s">
        <v>3396</v>
      </c>
      <c r="F241" s="47" t="s">
        <v>9309</v>
      </c>
      <c r="H241" s="47" t="s">
        <v>9310</v>
      </c>
      <c r="O241" s="47" t="s">
        <v>9311</v>
      </c>
      <c r="P241" s="47" t="s">
        <v>9312</v>
      </c>
      <c r="Q241" s="47" t="s">
        <v>9313</v>
      </c>
      <c r="R241" s="47" t="s">
        <v>9314</v>
      </c>
      <c r="S241" s="47" t="s">
        <v>9315</v>
      </c>
      <c r="T241" s="47" t="s">
        <v>9316</v>
      </c>
      <c r="U241" s="47" t="s">
        <v>9317</v>
      </c>
    </row>
    <row r="242" spans="1:21" x14ac:dyDescent="0.2">
      <c r="A242" s="47" t="s">
        <v>29</v>
      </c>
      <c r="D242" s="47" t="s">
        <v>1914</v>
      </c>
      <c r="G242" s="47" t="s">
        <v>9318</v>
      </c>
      <c r="H242" s="47" t="s">
        <v>1915</v>
      </c>
      <c r="I242" s="47" t="s">
        <v>1916</v>
      </c>
      <c r="J242" s="47" t="s">
        <v>1917</v>
      </c>
      <c r="K242" s="47" t="s">
        <v>1918</v>
      </c>
      <c r="L242" s="47" t="s">
        <v>1919</v>
      </c>
      <c r="M242" s="47" t="s">
        <v>1920</v>
      </c>
      <c r="N242" s="47" t="s">
        <v>1921</v>
      </c>
      <c r="O242" s="47" t="s">
        <v>9295</v>
      </c>
      <c r="P242" s="47" t="s">
        <v>9296</v>
      </c>
      <c r="Q242" s="47" t="s">
        <v>9297</v>
      </c>
      <c r="R242" s="47" t="s">
        <v>9298</v>
      </c>
      <c r="S242" s="47" t="s">
        <v>9299</v>
      </c>
      <c r="T242" s="47" t="s">
        <v>9300</v>
      </c>
    </row>
    <row r="243" spans="1:21" x14ac:dyDescent="0.2">
      <c r="A243" s="47" t="s">
        <v>29</v>
      </c>
    </row>
    <row r="244" spans="1:21" x14ac:dyDescent="0.2">
      <c r="A244" s="47" t="s">
        <v>29</v>
      </c>
      <c r="E244" s="47" t="s">
        <v>30</v>
      </c>
      <c r="F244" s="47" t="s">
        <v>30</v>
      </c>
      <c r="G244" s="47" t="s">
        <v>30</v>
      </c>
      <c r="J244" s="47" t="s">
        <v>30</v>
      </c>
      <c r="K244" s="47" t="s">
        <v>30</v>
      </c>
      <c r="L244" s="47" t="s">
        <v>30</v>
      </c>
      <c r="M244" s="47" t="s">
        <v>30</v>
      </c>
    </row>
    <row r="245" spans="1:21" x14ac:dyDescent="0.2">
      <c r="A245" s="47" t="s">
        <v>29</v>
      </c>
      <c r="D245" s="47" t="s">
        <v>5032</v>
      </c>
      <c r="E245" s="47" t="s">
        <v>3426</v>
      </c>
      <c r="F245" s="47" t="s">
        <v>5033</v>
      </c>
      <c r="H245" s="47" t="s">
        <v>5034</v>
      </c>
      <c r="O245" s="47" t="s">
        <v>9499</v>
      </c>
      <c r="P245" s="47" t="s">
        <v>9500</v>
      </c>
      <c r="Q245" s="47" t="s">
        <v>9501</v>
      </c>
      <c r="R245" s="47" t="s">
        <v>9502</v>
      </c>
      <c r="S245" s="47" t="s">
        <v>9503</v>
      </c>
      <c r="T245" s="47" t="s">
        <v>9504</v>
      </c>
      <c r="U245" s="47" t="s">
        <v>9505</v>
      </c>
    </row>
    <row r="246" spans="1:21" x14ac:dyDescent="0.2">
      <c r="A246" s="47" t="s">
        <v>29</v>
      </c>
      <c r="D246" s="47" t="s">
        <v>1820</v>
      </c>
      <c r="G246" s="47" t="s">
        <v>9319</v>
      </c>
      <c r="H246" s="47" t="s">
        <v>1821</v>
      </c>
      <c r="I246" s="47" t="s">
        <v>1822</v>
      </c>
      <c r="J246" s="47" t="s">
        <v>1823</v>
      </c>
      <c r="K246" s="47" t="s">
        <v>1824</v>
      </c>
      <c r="L246" s="47" t="s">
        <v>1825</v>
      </c>
      <c r="M246" s="47" t="s">
        <v>1826</v>
      </c>
      <c r="N246" s="47" t="s">
        <v>1827</v>
      </c>
      <c r="O246" s="47" t="s">
        <v>5035</v>
      </c>
      <c r="P246" s="47" t="s">
        <v>5036</v>
      </c>
      <c r="Q246" s="47" t="s">
        <v>5037</v>
      </c>
      <c r="R246" s="47" t="s">
        <v>5038</v>
      </c>
      <c r="S246" s="47" t="s">
        <v>5039</v>
      </c>
      <c r="T246" s="47" t="s">
        <v>5040</v>
      </c>
    </row>
    <row r="247" spans="1:21" x14ac:dyDescent="0.2">
      <c r="A247" s="47" t="s">
        <v>29</v>
      </c>
    </row>
    <row r="248" spans="1:21" x14ac:dyDescent="0.2">
      <c r="A248" s="47" t="s">
        <v>29</v>
      </c>
      <c r="E248" s="47" t="s">
        <v>30</v>
      </c>
      <c r="F248" s="47" t="s">
        <v>30</v>
      </c>
      <c r="G248" s="47" t="s">
        <v>30</v>
      </c>
      <c r="J248" s="47" t="s">
        <v>30</v>
      </c>
      <c r="K248" s="47" t="s">
        <v>30</v>
      </c>
      <c r="L248" s="47" t="s">
        <v>30</v>
      </c>
      <c r="M248" s="47" t="s">
        <v>30</v>
      </c>
    </row>
    <row r="249" spans="1:21" x14ac:dyDescent="0.2">
      <c r="A249" s="47" t="s">
        <v>29</v>
      </c>
      <c r="D249" s="47" t="s">
        <v>9133</v>
      </c>
      <c r="E249" s="47" t="s">
        <v>3471</v>
      </c>
      <c r="F249" s="47" t="s">
        <v>9134</v>
      </c>
      <c r="H249" s="47" t="s">
        <v>9135</v>
      </c>
      <c r="O249" s="47" t="s">
        <v>9506</v>
      </c>
      <c r="P249" s="47" t="s">
        <v>9507</v>
      </c>
      <c r="Q249" s="47" t="s">
        <v>9508</v>
      </c>
      <c r="R249" s="47" t="s">
        <v>9509</v>
      </c>
      <c r="S249" s="47" t="s">
        <v>9510</v>
      </c>
      <c r="T249" s="47" t="s">
        <v>9511</v>
      </c>
      <c r="U249" s="47" t="s">
        <v>9512</v>
      </c>
    </row>
    <row r="250" spans="1:21" x14ac:dyDescent="0.2">
      <c r="A250" s="47" t="s">
        <v>29</v>
      </c>
      <c r="D250" s="47" t="s">
        <v>1506</v>
      </c>
      <c r="G250" s="47" t="s">
        <v>9136</v>
      </c>
      <c r="H250" s="47" t="s">
        <v>1507</v>
      </c>
      <c r="I250" s="47" t="s">
        <v>1508</v>
      </c>
      <c r="J250" s="47" t="s">
        <v>1509</v>
      </c>
      <c r="K250" s="47" t="s">
        <v>1510</v>
      </c>
      <c r="L250" s="47" t="s">
        <v>1511</v>
      </c>
      <c r="M250" s="47" t="s">
        <v>1512</v>
      </c>
      <c r="N250" s="47" t="s">
        <v>1513</v>
      </c>
      <c r="O250" s="47" t="s">
        <v>4732</v>
      </c>
      <c r="P250" s="47" t="s">
        <v>4733</v>
      </c>
      <c r="Q250" s="47" t="s">
        <v>4734</v>
      </c>
      <c r="R250" s="47" t="s">
        <v>4735</v>
      </c>
      <c r="S250" s="47" t="s">
        <v>4736</v>
      </c>
      <c r="T250" s="47" t="s">
        <v>4737</v>
      </c>
    </row>
    <row r="251" spans="1:21" x14ac:dyDescent="0.2">
      <c r="A251" s="47" t="s">
        <v>29</v>
      </c>
    </row>
    <row r="252" spans="1:21" x14ac:dyDescent="0.2">
      <c r="A252" s="47" t="s">
        <v>29</v>
      </c>
      <c r="E252" s="47" t="s">
        <v>30</v>
      </c>
      <c r="F252" s="47" t="s">
        <v>30</v>
      </c>
      <c r="G252" s="47" t="s">
        <v>30</v>
      </c>
      <c r="J252" s="47" t="s">
        <v>30</v>
      </c>
      <c r="K252" s="47" t="s">
        <v>30</v>
      </c>
      <c r="L252" s="47" t="s">
        <v>30</v>
      </c>
      <c r="M252" s="47" t="s">
        <v>30</v>
      </c>
    </row>
    <row r="253" spans="1:21" x14ac:dyDescent="0.2">
      <c r="A253" s="47" t="s">
        <v>29</v>
      </c>
      <c r="D253" s="47" t="s">
        <v>4738</v>
      </c>
      <c r="E253" s="47" t="s">
        <v>3486</v>
      </c>
      <c r="F253" s="47" t="s">
        <v>4739</v>
      </c>
      <c r="H253" s="47" t="s">
        <v>4740</v>
      </c>
      <c r="O253" s="47" t="s">
        <v>4741</v>
      </c>
      <c r="P253" s="47" t="s">
        <v>4742</v>
      </c>
      <c r="Q253" s="47" t="s">
        <v>4743</v>
      </c>
      <c r="R253" s="47" t="s">
        <v>4744</v>
      </c>
      <c r="S253" s="47" t="s">
        <v>4745</v>
      </c>
      <c r="T253" s="47" t="s">
        <v>4746</v>
      </c>
      <c r="U253" s="47" t="s">
        <v>4747</v>
      </c>
    </row>
    <row r="254" spans="1:21" x14ac:dyDescent="0.2">
      <c r="A254" s="47" t="s">
        <v>29</v>
      </c>
      <c r="D254" s="47" t="s">
        <v>1828</v>
      </c>
      <c r="G254" s="47" t="s">
        <v>4748</v>
      </c>
      <c r="H254" s="47" t="s">
        <v>1829</v>
      </c>
      <c r="I254" s="47" t="s">
        <v>1830</v>
      </c>
      <c r="J254" s="47" t="s">
        <v>1831</v>
      </c>
      <c r="K254" s="47" t="s">
        <v>1832</v>
      </c>
      <c r="L254" s="47" t="s">
        <v>1833</v>
      </c>
      <c r="M254" s="47" t="s">
        <v>1834</v>
      </c>
      <c r="N254" s="47" t="s">
        <v>1835</v>
      </c>
      <c r="O254" s="47" t="s">
        <v>4749</v>
      </c>
      <c r="P254" s="47" t="s">
        <v>4750</v>
      </c>
      <c r="Q254" s="47" t="s">
        <v>4751</v>
      </c>
      <c r="R254" s="47" t="s">
        <v>4752</v>
      </c>
      <c r="S254" s="47" t="s">
        <v>4753</v>
      </c>
      <c r="T254" s="47" t="s">
        <v>4754</v>
      </c>
    </row>
    <row r="255" spans="1:21" x14ac:dyDescent="0.2">
      <c r="A255" s="47" t="s">
        <v>29</v>
      </c>
    </row>
    <row r="256" spans="1:21" x14ac:dyDescent="0.2">
      <c r="A256" s="47" t="s">
        <v>29</v>
      </c>
      <c r="E256" s="47" t="s">
        <v>30</v>
      </c>
      <c r="F256" s="47" t="s">
        <v>30</v>
      </c>
      <c r="G256" s="47" t="s">
        <v>30</v>
      </c>
      <c r="J256" s="47" t="s">
        <v>30</v>
      </c>
      <c r="K256" s="47" t="s">
        <v>30</v>
      </c>
      <c r="L256" s="47" t="s">
        <v>30</v>
      </c>
      <c r="M256" s="47" t="s">
        <v>30</v>
      </c>
    </row>
    <row r="257" spans="1:21" x14ac:dyDescent="0.2">
      <c r="A257" s="47" t="s">
        <v>29</v>
      </c>
      <c r="D257" s="47" t="s">
        <v>4755</v>
      </c>
      <c r="E257" s="47" t="s">
        <v>6532</v>
      </c>
      <c r="F257" s="47" t="s">
        <v>4756</v>
      </c>
      <c r="H257" s="47" t="s">
        <v>4757</v>
      </c>
      <c r="O257" s="47" t="s">
        <v>9320</v>
      </c>
      <c r="P257" s="47" t="s">
        <v>9321</v>
      </c>
      <c r="Q257" s="47" t="s">
        <v>9322</v>
      </c>
      <c r="R257" s="47" t="s">
        <v>9323</v>
      </c>
      <c r="S257" s="47" t="s">
        <v>9324</v>
      </c>
      <c r="T257" s="47" t="s">
        <v>9325</v>
      </c>
      <c r="U257" s="47" t="s">
        <v>9326</v>
      </c>
    </row>
    <row r="258" spans="1:21" x14ac:dyDescent="0.2">
      <c r="A258" s="47" t="s">
        <v>29</v>
      </c>
      <c r="D258" s="47" t="s">
        <v>818</v>
      </c>
      <c r="G258" s="47" t="s">
        <v>4758</v>
      </c>
      <c r="H258" s="47" t="s">
        <v>819</v>
      </c>
      <c r="I258" s="47" t="s">
        <v>820</v>
      </c>
      <c r="J258" s="47" t="s">
        <v>821</v>
      </c>
      <c r="K258" s="47" t="s">
        <v>822</v>
      </c>
      <c r="L258" s="47" t="s">
        <v>823</v>
      </c>
      <c r="M258" s="47" t="s">
        <v>824</v>
      </c>
      <c r="N258" s="47" t="s">
        <v>825</v>
      </c>
      <c r="O258" s="47" t="s">
        <v>4423</v>
      </c>
      <c r="P258" s="47" t="s">
        <v>4424</v>
      </c>
      <c r="Q258" s="47" t="s">
        <v>4425</v>
      </c>
      <c r="R258" s="47" t="s">
        <v>4426</v>
      </c>
      <c r="S258" s="47" t="s">
        <v>4427</v>
      </c>
      <c r="T258" s="47" t="s">
        <v>4428</v>
      </c>
    </row>
    <row r="259" spans="1:21" x14ac:dyDescent="0.2">
      <c r="A259" s="47" t="s">
        <v>29</v>
      </c>
    </row>
    <row r="260" spans="1:21" x14ac:dyDescent="0.2">
      <c r="A260" s="47" t="s">
        <v>29</v>
      </c>
      <c r="E260" s="47" t="s">
        <v>30</v>
      </c>
      <c r="F260" s="47" t="s">
        <v>30</v>
      </c>
      <c r="G260" s="47" t="s">
        <v>30</v>
      </c>
      <c r="J260" s="47" t="s">
        <v>30</v>
      </c>
      <c r="K260" s="47" t="s">
        <v>30</v>
      </c>
      <c r="L260" s="47" t="s">
        <v>30</v>
      </c>
      <c r="M260" s="47" t="s">
        <v>30</v>
      </c>
    </row>
    <row r="261" spans="1:21" x14ac:dyDescent="0.2">
      <c r="A261" s="47" t="s">
        <v>29</v>
      </c>
      <c r="D261" s="47" t="s">
        <v>9327</v>
      </c>
      <c r="E261" s="47" t="s">
        <v>3495</v>
      </c>
      <c r="F261" s="47" t="s">
        <v>9328</v>
      </c>
      <c r="H261" s="47" t="s">
        <v>9329</v>
      </c>
      <c r="O261" s="47" t="s">
        <v>9330</v>
      </c>
      <c r="P261" s="47" t="s">
        <v>9331</v>
      </c>
      <c r="Q261" s="47" t="s">
        <v>9332</v>
      </c>
      <c r="R261" s="47" t="s">
        <v>9333</v>
      </c>
      <c r="S261" s="47" t="s">
        <v>9334</v>
      </c>
      <c r="T261" s="47" t="s">
        <v>9335</v>
      </c>
      <c r="U261" s="47" t="s">
        <v>9336</v>
      </c>
    </row>
    <row r="262" spans="1:21" x14ac:dyDescent="0.2">
      <c r="A262" s="47" t="s">
        <v>29</v>
      </c>
      <c r="D262" s="47" t="s">
        <v>1930</v>
      </c>
      <c r="G262" s="47" t="s">
        <v>9337</v>
      </c>
      <c r="H262" s="47" t="s">
        <v>1931</v>
      </c>
      <c r="I262" s="47" t="s">
        <v>1932</v>
      </c>
      <c r="J262" s="47" t="s">
        <v>1933</v>
      </c>
      <c r="K262" s="47" t="s">
        <v>1934</v>
      </c>
      <c r="L262" s="47" t="s">
        <v>1935</v>
      </c>
      <c r="M262" s="47" t="s">
        <v>1936</v>
      </c>
      <c r="N262" s="47" t="s">
        <v>1937</v>
      </c>
      <c r="O262" s="47" t="s">
        <v>4429</v>
      </c>
      <c r="P262" s="47" t="s">
        <v>4430</v>
      </c>
      <c r="Q262" s="47" t="s">
        <v>4431</v>
      </c>
      <c r="R262" s="47" t="s">
        <v>4432</v>
      </c>
      <c r="S262" s="47" t="s">
        <v>4433</v>
      </c>
      <c r="T262" s="47" t="s">
        <v>4434</v>
      </c>
    </row>
    <row r="263" spans="1:21" x14ac:dyDescent="0.2">
      <c r="A263" s="47" t="s">
        <v>29</v>
      </c>
      <c r="D263" s="47" t="s">
        <v>834</v>
      </c>
      <c r="G263" s="47" t="s">
        <v>8705</v>
      </c>
      <c r="H263" s="47" t="s">
        <v>835</v>
      </c>
      <c r="I263" s="47" t="s">
        <v>836</v>
      </c>
      <c r="J263" s="47" t="s">
        <v>837</v>
      </c>
      <c r="K263" s="47" t="s">
        <v>838</v>
      </c>
      <c r="L263" s="47" t="s">
        <v>839</v>
      </c>
      <c r="M263" s="47" t="s">
        <v>840</v>
      </c>
      <c r="N263" s="47" t="s">
        <v>841</v>
      </c>
      <c r="O263" s="47" t="s">
        <v>8525</v>
      </c>
      <c r="P263" s="47" t="s">
        <v>8526</v>
      </c>
      <c r="Q263" s="47" t="s">
        <v>8527</v>
      </c>
      <c r="R263" s="47" t="s">
        <v>8528</v>
      </c>
      <c r="S263" s="47" t="s">
        <v>8529</v>
      </c>
      <c r="T263" s="47" t="s">
        <v>8530</v>
      </c>
    </row>
    <row r="264" spans="1:21" x14ac:dyDescent="0.2">
      <c r="A264" s="47" t="s">
        <v>29</v>
      </c>
    </row>
    <row r="265" spans="1:21" x14ac:dyDescent="0.2">
      <c r="A265" s="47" t="s">
        <v>29</v>
      </c>
      <c r="E265" s="47" t="s">
        <v>30</v>
      </c>
      <c r="F265" s="47" t="s">
        <v>30</v>
      </c>
      <c r="G265" s="47" t="s">
        <v>30</v>
      </c>
      <c r="J265" s="47" t="s">
        <v>30</v>
      </c>
      <c r="K265" s="47" t="s">
        <v>30</v>
      </c>
      <c r="L265" s="47" t="s">
        <v>30</v>
      </c>
      <c r="M265" s="47" t="s">
        <v>30</v>
      </c>
    </row>
    <row r="266" spans="1:21" x14ac:dyDescent="0.2">
      <c r="A266" s="47" t="s">
        <v>29</v>
      </c>
      <c r="D266" s="47" t="s">
        <v>8531</v>
      </c>
      <c r="E266" s="47" t="s">
        <v>3554</v>
      </c>
      <c r="F266" s="47" t="s">
        <v>8532</v>
      </c>
      <c r="H266" s="47" t="s">
        <v>8533</v>
      </c>
      <c r="O266" s="47" t="s">
        <v>8534</v>
      </c>
      <c r="P266" s="47" t="s">
        <v>8535</v>
      </c>
      <c r="Q266" s="47" t="s">
        <v>8536</v>
      </c>
      <c r="R266" s="47" t="s">
        <v>8537</v>
      </c>
      <c r="S266" s="47" t="s">
        <v>8538</v>
      </c>
      <c r="T266" s="47" t="s">
        <v>8539</v>
      </c>
      <c r="U266" s="47" t="s">
        <v>8540</v>
      </c>
    </row>
    <row r="267" spans="1:21" x14ac:dyDescent="0.2">
      <c r="A267" s="47" t="s">
        <v>29</v>
      </c>
      <c r="D267" s="47" t="s">
        <v>6333</v>
      </c>
      <c r="G267" s="47" t="s">
        <v>8541</v>
      </c>
      <c r="H267" s="47" t="s">
        <v>7035</v>
      </c>
      <c r="I267" s="47" t="s">
        <v>7036</v>
      </c>
      <c r="J267" s="47" t="s">
        <v>7061</v>
      </c>
      <c r="K267" s="47" t="s">
        <v>7062</v>
      </c>
      <c r="L267" s="47" t="s">
        <v>6334</v>
      </c>
      <c r="M267" s="47" t="s">
        <v>6335</v>
      </c>
      <c r="N267" s="47" t="s">
        <v>6336</v>
      </c>
      <c r="O267" s="47" t="s">
        <v>7508</v>
      </c>
      <c r="P267" s="47" t="s">
        <v>7509</v>
      </c>
      <c r="Q267" s="47" t="s">
        <v>7510</v>
      </c>
      <c r="R267" s="47" t="s">
        <v>7511</v>
      </c>
      <c r="S267" s="47" t="s">
        <v>7512</v>
      </c>
      <c r="T267" s="47" t="s">
        <v>7513</v>
      </c>
    </row>
    <row r="268" spans="1:21" x14ac:dyDescent="0.2">
      <c r="A268" s="47" t="s">
        <v>29</v>
      </c>
    </row>
    <row r="269" spans="1:21" x14ac:dyDescent="0.2">
      <c r="A269" s="47" t="s">
        <v>29</v>
      </c>
      <c r="E269" s="47" t="s">
        <v>30</v>
      </c>
      <c r="F269" s="47" t="s">
        <v>30</v>
      </c>
      <c r="G269" s="47" t="s">
        <v>30</v>
      </c>
      <c r="J269" s="47" t="s">
        <v>30</v>
      </c>
      <c r="K269" s="47" t="s">
        <v>30</v>
      </c>
      <c r="L269" s="47" t="s">
        <v>30</v>
      </c>
      <c r="M269" s="47" t="s">
        <v>30</v>
      </c>
    </row>
    <row r="270" spans="1:21" x14ac:dyDescent="0.2">
      <c r="A270" s="47" t="s">
        <v>29</v>
      </c>
      <c r="D270" s="47" t="s">
        <v>7418</v>
      </c>
      <c r="E270" s="47" t="s">
        <v>3555</v>
      </c>
      <c r="F270" s="47" t="s">
        <v>7419</v>
      </c>
      <c r="H270" s="47" t="s">
        <v>7420</v>
      </c>
      <c r="O270" s="47" t="s">
        <v>9513</v>
      </c>
      <c r="P270" s="47" t="s">
        <v>9514</v>
      </c>
      <c r="Q270" s="47" t="s">
        <v>9515</v>
      </c>
      <c r="R270" s="47" t="s">
        <v>9516</v>
      </c>
      <c r="S270" s="47" t="s">
        <v>9517</v>
      </c>
      <c r="T270" s="47" t="s">
        <v>9518</v>
      </c>
      <c r="U270" s="47" t="s">
        <v>9519</v>
      </c>
    </row>
    <row r="271" spans="1:21" x14ac:dyDescent="0.2">
      <c r="A271" s="47" t="s">
        <v>29</v>
      </c>
      <c r="D271" s="47" t="s">
        <v>3113</v>
      </c>
      <c r="G271" s="47" t="s">
        <v>7421</v>
      </c>
      <c r="H271" s="47" t="s">
        <v>3114</v>
      </c>
      <c r="I271" s="47" t="s">
        <v>3115</v>
      </c>
      <c r="J271" s="47" t="s">
        <v>3116</v>
      </c>
      <c r="K271" s="47" t="s">
        <v>3117</v>
      </c>
      <c r="L271" s="47" t="s">
        <v>3118</v>
      </c>
      <c r="M271" s="47" t="s">
        <v>3119</v>
      </c>
      <c r="N271" s="47" t="s">
        <v>3120</v>
      </c>
      <c r="O271" s="47" t="s">
        <v>4438</v>
      </c>
      <c r="P271" s="47" t="s">
        <v>4439</v>
      </c>
      <c r="Q271" s="47" t="s">
        <v>4440</v>
      </c>
      <c r="R271" s="47" t="s">
        <v>4441</v>
      </c>
      <c r="S271" s="47" t="s">
        <v>4442</v>
      </c>
      <c r="T271" s="47" t="s">
        <v>4443</v>
      </c>
    </row>
    <row r="272" spans="1:21" x14ac:dyDescent="0.2">
      <c r="A272" s="47" t="s">
        <v>29</v>
      </c>
    </row>
    <row r="273" spans="1:21" x14ac:dyDescent="0.2">
      <c r="A273" s="47" t="s">
        <v>29</v>
      </c>
      <c r="E273" s="47" t="s">
        <v>30</v>
      </c>
      <c r="F273" s="47" t="s">
        <v>30</v>
      </c>
      <c r="G273" s="47" t="s">
        <v>30</v>
      </c>
      <c r="J273" s="47" t="s">
        <v>30</v>
      </c>
      <c r="K273" s="47" t="s">
        <v>30</v>
      </c>
      <c r="L273" s="47" t="s">
        <v>30</v>
      </c>
      <c r="M273" s="47" t="s">
        <v>30</v>
      </c>
    </row>
    <row r="274" spans="1:21" x14ac:dyDescent="0.2">
      <c r="A274" s="47" t="s">
        <v>29</v>
      </c>
      <c r="D274" s="47" t="s">
        <v>9520</v>
      </c>
      <c r="E274" s="47" t="s">
        <v>3580</v>
      </c>
      <c r="F274" s="47" t="s">
        <v>9521</v>
      </c>
      <c r="H274" s="47" t="s">
        <v>9522</v>
      </c>
      <c r="O274" s="47" t="s">
        <v>9523</v>
      </c>
      <c r="P274" s="47" t="s">
        <v>9524</v>
      </c>
      <c r="Q274" s="47" t="s">
        <v>9525</v>
      </c>
      <c r="R274" s="47" t="s">
        <v>9526</v>
      </c>
      <c r="S274" s="47" t="s">
        <v>9527</v>
      </c>
      <c r="T274" s="47" t="s">
        <v>9528</v>
      </c>
      <c r="U274" s="47" t="s">
        <v>9529</v>
      </c>
    </row>
    <row r="275" spans="1:21" x14ac:dyDescent="0.2">
      <c r="A275" s="47" t="s">
        <v>29</v>
      </c>
      <c r="D275" s="47" t="s">
        <v>858</v>
      </c>
      <c r="G275" s="47" t="s">
        <v>9530</v>
      </c>
      <c r="H275" s="47" t="s">
        <v>859</v>
      </c>
      <c r="I275" s="47" t="s">
        <v>860</v>
      </c>
      <c r="J275" s="47" t="s">
        <v>861</v>
      </c>
      <c r="K275" s="47" t="s">
        <v>862</v>
      </c>
      <c r="L275" s="47" t="s">
        <v>863</v>
      </c>
      <c r="M275" s="47" t="s">
        <v>864</v>
      </c>
      <c r="N275" s="47" t="s">
        <v>865</v>
      </c>
      <c r="O275" s="47" t="s">
        <v>5249</v>
      </c>
      <c r="P275" s="47" t="s">
        <v>5250</v>
      </c>
      <c r="Q275" s="47" t="s">
        <v>5251</v>
      </c>
      <c r="R275" s="47" t="s">
        <v>5252</v>
      </c>
      <c r="S275" s="47" t="s">
        <v>5253</v>
      </c>
      <c r="T275" s="47" t="s">
        <v>5254</v>
      </c>
    </row>
    <row r="276" spans="1:21" x14ac:dyDescent="0.2">
      <c r="A276" s="47" t="s">
        <v>29</v>
      </c>
    </row>
    <row r="277" spans="1:21" x14ac:dyDescent="0.2">
      <c r="A277" s="47" t="s">
        <v>29</v>
      </c>
      <c r="E277" s="47" t="s">
        <v>30</v>
      </c>
      <c r="F277" s="47" t="s">
        <v>30</v>
      </c>
      <c r="G277" s="47" t="s">
        <v>30</v>
      </c>
      <c r="J277" s="47" t="s">
        <v>30</v>
      </c>
      <c r="K277" s="47" t="s">
        <v>30</v>
      </c>
      <c r="L277" s="47" t="s">
        <v>30</v>
      </c>
      <c r="M277" s="47" t="s">
        <v>30</v>
      </c>
    </row>
    <row r="278" spans="1:21" x14ac:dyDescent="0.2">
      <c r="A278" s="47" t="s">
        <v>29</v>
      </c>
      <c r="D278" s="47" t="s">
        <v>5255</v>
      </c>
      <c r="E278" s="47" t="s">
        <v>3604</v>
      </c>
      <c r="F278" s="47" t="s">
        <v>5256</v>
      </c>
      <c r="H278" s="47" t="s">
        <v>5257</v>
      </c>
      <c r="O278" s="47" t="s">
        <v>9531</v>
      </c>
      <c r="P278" s="47" t="s">
        <v>9532</v>
      </c>
      <c r="Q278" s="47" t="s">
        <v>9533</v>
      </c>
      <c r="R278" s="47" t="s">
        <v>9534</v>
      </c>
      <c r="S278" s="47" t="s">
        <v>9535</v>
      </c>
      <c r="T278" s="47" t="s">
        <v>9536</v>
      </c>
      <c r="U278" s="47" t="s">
        <v>9537</v>
      </c>
    </row>
    <row r="279" spans="1:21" x14ac:dyDescent="0.2">
      <c r="A279" s="47" t="s">
        <v>29</v>
      </c>
      <c r="D279" s="47" t="s">
        <v>1715</v>
      </c>
      <c r="G279" s="47" t="s">
        <v>5258</v>
      </c>
      <c r="H279" s="47" t="s">
        <v>1716</v>
      </c>
      <c r="I279" s="47" t="s">
        <v>1717</v>
      </c>
      <c r="J279" s="47" t="s">
        <v>1718</v>
      </c>
      <c r="K279" s="47" t="s">
        <v>1719</v>
      </c>
      <c r="L279" s="47" t="s">
        <v>1720</v>
      </c>
      <c r="M279" s="47" t="s">
        <v>1721</v>
      </c>
      <c r="N279" s="47" t="s">
        <v>1722</v>
      </c>
      <c r="O279" s="47" t="s">
        <v>4771</v>
      </c>
      <c r="P279" s="47" t="s">
        <v>4772</v>
      </c>
      <c r="Q279" s="47" t="s">
        <v>4773</v>
      </c>
      <c r="R279" s="47" t="s">
        <v>4774</v>
      </c>
      <c r="S279" s="47" t="s">
        <v>4775</v>
      </c>
      <c r="T279" s="47" t="s">
        <v>4776</v>
      </c>
    </row>
    <row r="280" spans="1:21" x14ac:dyDescent="0.2">
      <c r="A280" s="47" t="s">
        <v>29</v>
      </c>
    </row>
    <row r="281" spans="1:21" x14ac:dyDescent="0.2">
      <c r="A281" s="47" t="s">
        <v>29</v>
      </c>
      <c r="E281" s="47" t="s">
        <v>30</v>
      </c>
      <c r="F281" s="47" t="s">
        <v>30</v>
      </c>
      <c r="G281" s="47" t="s">
        <v>30</v>
      </c>
      <c r="J281" s="47" t="s">
        <v>30</v>
      </c>
      <c r="K281" s="47" t="s">
        <v>30</v>
      </c>
      <c r="L281" s="47" t="s">
        <v>30</v>
      </c>
      <c r="M281" s="47" t="s">
        <v>30</v>
      </c>
    </row>
    <row r="282" spans="1:21" x14ac:dyDescent="0.2">
      <c r="A282" s="47" t="s">
        <v>29</v>
      </c>
      <c r="D282" s="47" t="s">
        <v>4777</v>
      </c>
      <c r="E282" s="47" t="s">
        <v>3627</v>
      </c>
      <c r="F282" s="47" t="s">
        <v>4778</v>
      </c>
      <c r="H282" s="47" t="s">
        <v>4779</v>
      </c>
      <c r="O282" s="47" t="s">
        <v>7422</v>
      </c>
      <c r="P282" s="47" t="s">
        <v>7423</v>
      </c>
      <c r="Q282" s="47" t="s">
        <v>7424</v>
      </c>
      <c r="R282" s="47" t="s">
        <v>7425</v>
      </c>
      <c r="S282" s="47" t="s">
        <v>7426</v>
      </c>
      <c r="T282" s="47" t="s">
        <v>7427</v>
      </c>
      <c r="U282" s="47" t="s">
        <v>7428</v>
      </c>
    </row>
    <row r="283" spans="1:21" x14ac:dyDescent="0.2">
      <c r="A283" s="47" t="s">
        <v>29</v>
      </c>
      <c r="D283" s="47" t="s">
        <v>3144</v>
      </c>
      <c r="G283" s="47" t="s">
        <v>4780</v>
      </c>
      <c r="H283" s="47" t="s">
        <v>3145</v>
      </c>
      <c r="I283" s="47" t="s">
        <v>3146</v>
      </c>
      <c r="J283" s="47" t="s">
        <v>3147</v>
      </c>
      <c r="K283" s="47" t="s">
        <v>3148</v>
      </c>
      <c r="L283" s="47" t="s">
        <v>3149</v>
      </c>
      <c r="M283" s="47" t="s">
        <v>3150</v>
      </c>
      <c r="N283" s="47" t="s">
        <v>3151</v>
      </c>
      <c r="O283" s="47" t="s">
        <v>4781</v>
      </c>
      <c r="P283" s="47" t="s">
        <v>4782</v>
      </c>
      <c r="Q283" s="47" t="s">
        <v>4783</v>
      </c>
      <c r="R283" s="47" t="s">
        <v>4784</v>
      </c>
      <c r="S283" s="47" t="s">
        <v>4785</v>
      </c>
      <c r="T283" s="47" t="s">
        <v>4786</v>
      </c>
    </row>
    <row r="284" spans="1:21" x14ac:dyDescent="0.2">
      <c r="A284" s="47" t="s">
        <v>29</v>
      </c>
    </row>
    <row r="285" spans="1:21" x14ac:dyDescent="0.2">
      <c r="A285" s="47" t="s">
        <v>29</v>
      </c>
      <c r="E285" s="47" t="s">
        <v>30</v>
      </c>
      <c r="F285" s="47" t="s">
        <v>30</v>
      </c>
      <c r="G285" s="47" t="s">
        <v>30</v>
      </c>
      <c r="J285" s="47" t="s">
        <v>30</v>
      </c>
      <c r="K285" s="47" t="s">
        <v>30</v>
      </c>
      <c r="L285" s="47" t="s">
        <v>30</v>
      </c>
      <c r="M285" s="47" t="s">
        <v>30</v>
      </c>
    </row>
    <row r="286" spans="1:21" x14ac:dyDescent="0.2">
      <c r="A286" s="47" t="s">
        <v>29</v>
      </c>
      <c r="D286" s="47" t="s">
        <v>7429</v>
      </c>
      <c r="E286" s="47" t="s">
        <v>3670</v>
      </c>
      <c r="F286" s="47" t="s">
        <v>7430</v>
      </c>
      <c r="H286" s="47" t="s">
        <v>7431</v>
      </c>
      <c r="O286" s="47" t="s">
        <v>9538</v>
      </c>
      <c r="P286" s="47" t="s">
        <v>9539</v>
      </c>
      <c r="Q286" s="47" t="s">
        <v>9540</v>
      </c>
      <c r="R286" s="47" t="s">
        <v>9541</v>
      </c>
      <c r="S286" s="47" t="s">
        <v>9542</v>
      </c>
      <c r="T286" s="47" t="s">
        <v>9543</v>
      </c>
      <c r="U286" s="47" t="s">
        <v>9544</v>
      </c>
    </row>
    <row r="287" spans="1:21" x14ac:dyDescent="0.2">
      <c r="A287" s="47" t="s">
        <v>29</v>
      </c>
      <c r="D287" s="47" t="s">
        <v>882</v>
      </c>
      <c r="G287" s="47" t="s">
        <v>7432</v>
      </c>
      <c r="H287" s="47" t="s">
        <v>883</v>
      </c>
      <c r="I287" s="47" t="s">
        <v>884</v>
      </c>
      <c r="J287" s="47" t="s">
        <v>885</v>
      </c>
      <c r="K287" s="47" t="s">
        <v>886</v>
      </c>
      <c r="L287" s="47" t="s">
        <v>887</v>
      </c>
      <c r="M287" s="47" t="s">
        <v>888</v>
      </c>
      <c r="N287" s="47" t="s">
        <v>889</v>
      </c>
      <c r="O287" s="47" t="s">
        <v>4787</v>
      </c>
      <c r="P287" s="47" t="s">
        <v>4788</v>
      </c>
      <c r="Q287" s="47" t="s">
        <v>4789</v>
      </c>
      <c r="R287" s="47" t="s">
        <v>4790</v>
      </c>
      <c r="S287" s="47" t="s">
        <v>4791</v>
      </c>
      <c r="T287" s="47" t="s">
        <v>4792</v>
      </c>
    </row>
    <row r="288" spans="1:21" x14ac:dyDescent="0.2">
      <c r="A288" s="47" t="s">
        <v>29</v>
      </c>
    </row>
    <row r="289" spans="1:21" x14ac:dyDescent="0.2">
      <c r="A289" s="47" t="s">
        <v>29</v>
      </c>
      <c r="E289" s="47" t="s">
        <v>30</v>
      </c>
      <c r="F289" s="47" t="s">
        <v>30</v>
      </c>
      <c r="G289" s="47" t="s">
        <v>30</v>
      </c>
      <c r="J289" s="47" t="s">
        <v>30</v>
      </c>
      <c r="K289" s="47" t="s">
        <v>30</v>
      </c>
      <c r="L289" s="47" t="s">
        <v>30</v>
      </c>
      <c r="M289" s="47" t="s">
        <v>30</v>
      </c>
    </row>
    <row r="290" spans="1:21" x14ac:dyDescent="0.2">
      <c r="A290" s="47" t="s">
        <v>29</v>
      </c>
      <c r="D290" s="47" t="s">
        <v>6199</v>
      </c>
      <c r="E290" s="47" t="s">
        <v>3735</v>
      </c>
      <c r="F290" s="47" t="s">
        <v>6200</v>
      </c>
      <c r="H290" s="47" t="s">
        <v>6201</v>
      </c>
      <c r="O290" s="47" t="s">
        <v>9545</v>
      </c>
      <c r="P290" s="47" t="s">
        <v>9546</v>
      </c>
      <c r="Q290" s="47" t="s">
        <v>9547</v>
      </c>
      <c r="R290" s="47" t="s">
        <v>9548</v>
      </c>
      <c r="S290" s="47" t="s">
        <v>9549</v>
      </c>
      <c r="T290" s="47" t="s">
        <v>9550</v>
      </c>
      <c r="U290" s="47" t="s">
        <v>9551</v>
      </c>
    </row>
    <row r="291" spans="1:21" x14ac:dyDescent="0.2">
      <c r="A291" s="47" t="s">
        <v>29</v>
      </c>
      <c r="D291" s="47" t="s">
        <v>1946</v>
      </c>
      <c r="G291" s="47" t="s">
        <v>6202</v>
      </c>
      <c r="H291" s="47" t="s">
        <v>1947</v>
      </c>
      <c r="I291" s="47" t="s">
        <v>1948</v>
      </c>
      <c r="J291" s="47" t="s">
        <v>1949</v>
      </c>
      <c r="K291" s="47" t="s">
        <v>1950</v>
      </c>
      <c r="L291" s="47" t="s">
        <v>1951</v>
      </c>
      <c r="M291" s="47" t="s">
        <v>1952</v>
      </c>
      <c r="N291" s="47" t="s">
        <v>1953</v>
      </c>
      <c r="O291" s="47" t="s">
        <v>6203</v>
      </c>
      <c r="P291" s="47" t="s">
        <v>6204</v>
      </c>
      <c r="Q291" s="47" t="s">
        <v>6205</v>
      </c>
      <c r="R291" s="47" t="s">
        <v>6206</v>
      </c>
      <c r="S291" s="47" t="s">
        <v>6207</v>
      </c>
      <c r="T291" s="47" t="s">
        <v>6208</v>
      </c>
    </row>
    <row r="292" spans="1:21" x14ac:dyDescent="0.2">
      <c r="A292" s="47" t="s">
        <v>29</v>
      </c>
    </row>
    <row r="293" spans="1:21" x14ac:dyDescent="0.2">
      <c r="A293" s="47" t="s">
        <v>29</v>
      </c>
      <c r="E293" s="47" t="s">
        <v>30</v>
      </c>
      <c r="F293" s="47" t="s">
        <v>30</v>
      </c>
      <c r="G293" s="47" t="s">
        <v>30</v>
      </c>
      <c r="J293" s="47" t="s">
        <v>30</v>
      </c>
      <c r="K293" s="47" t="s">
        <v>30</v>
      </c>
      <c r="L293" s="47" t="s">
        <v>30</v>
      </c>
      <c r="M293" s="47" t="s">
        <v>30</v>
      </c>
    </row>
    <row r="294" spans="1:21" x14ac:dyDescent="0.2">
      <c r="A294" s="47" t="s">
        <v>29</v>
      </c>
      <c r="D294" s="47" t="s">
        <v>9552</v>
      </c>
      <c r="E294" s="47" t="s">
        <v>3778</v>
      </c>
      <c r="F294" s="47" t="s">
        <v>9553</v>
      </c>
      <c r="H294" s="47" t="s">
        <v>9554</v>
      </c>
      <c r="O294" s="47" t="s">
        <v>9555</v>
      </c>
      <c r="P294" s="47" t="s">
        <v>9556</v>
      </c>
      <c r="Q294" s="47" t="s">
        <v>9557</v>
      </c>
      <c r="R294" s="47" t="s">
        <v>9558</v>
      </c>
      <c r="S294" s="47" t="s">
        <v>9559</v>
      </c>
      <c r="T294" s="47" t="s">
        <v>9560</v>
      </c>
      <c r="U294" s="47" t="s">
        <v>9561</v>
      </c>
    </row>
    <row r="295" spans="1:21" x14ac:dyDescent="0.2">
      <c r="A295" s="47" t="s">
        <v>29</v>
      </c>
      <c r="D295" s="47" t="s">
        <v>5308</v>
      </c>
      <c r="G295" s="47" t="s">
        <v>9562</v>
      </c>
      <c r="H295" s="47" t="s">
        <v>5309</v>
      </c>
      <c r="I295" s="47" t="s">
        <v>5310</v>
      </c>
      <c r="J295" s="47" t="s">
        <v>5311</v>
      </c>
      <c r="K295" s="47" t="s">
        <v>5312</v>
      </c>
      <c r="L295" s="47" t="s">
        <v>5313</v>
      </c>
      <c r="M295" s="47" t="s">
        <v>5314</v>
      </c>
      <c r="N295" s="47" t="s">
        <v>5315</v>
      </c>
      <c r="O295" s="47" t="s">
        <v>9563</v>
      </c>
      <c r="P295" s="47" t="s">
        <v>9564</v>
      </c>
      <c r="Q295" s="47" t="s">
        <v>9565</v>
      </c>
      <c r="R295" s="47" t="s">
        <v>9566</v>
      </c>
      <c r="S295" s="47" t="s">
        <v>9567</v>
      </c>
      <c r="T295" s="47" t="s">
        <v>9568</v>
      </c>
    </row>
    <row r="296" spans="1:21" x14ac:dyDescent="0.2">
      <c r="A296" s="47" t="s">
        <v>29</v>
      </c>
    </row>
    <row r="297" spans="1:21" x14ac:dyDescent="0.2">
      <c r="A297" s="47" t="s">
        <v>29</v>
      </c>
      <c r="E297" s="47" t="s">
        <v>30</v>
      </c>
      <c r="F297" s="47" t="s">
        <v>30</v>
      </c>
      <c r="G297" s="47" t="s">
        <v>30</v>
      </c>
      <c r="J297" s="47" t="s">
        <v>30</v>
      </c>
      <c r="K297" s="47" t="s">
        <v>30</v>
      </c>
      <c r="L297" s="47" t="s">
        <v>30</v>
      </c>
      <c r="M297" s="47" t="s">
        <v>30</v>
      </c>
    </row>
    <row r="298" spans="1:21" x14ac:dyDescent="0.2">
      <c r="A298" s="47" t="s">
        <v>29</v>
      </c>
      <c r="D298" s="47" t="s">
        <v>9569</v>
      </c>
      <c r="E298" s="47" t="s">
        <v>3807</v>
      </c>
      <c r="F298" s="47" t="s">
        <v>9570</v>
      </c>
      <c r="H298" s="47" t="s">
        <v>9571</v>
      </c>
      <c r="O298" s="47" t="s">
        <v>9572</v>
      </c>
      <c r="P298" s="47" t="s">
        <v>9573</v>
      </c>
      <c r="Q298" s="47" t="s">
        <v>9574</v>
      </c>
      <c r="R298" s="47" t="s">
        <v>9575</v>
      </c>
      <c r="S298" s="47" t="s">
        <v>9576</v>
      </c>
      <c r="T298" s="47" t="s">
        <v>9577</v>
      </c>
      <c r="U298" s="47" t="s">
        <v>9578</v>
      </c>
    </row>
    <row r="299" spans="1:21" x14ac:dyDescent="0.2">
      <c r="A299" s="47" t="s">
        <v>29</v>
      </c>
      <c r="D299" s="47" t="s">
        <v>7893</v>
      </c>
      <c r="G299" s="47" t="s">
        <v>9579</v>
      </c>
      <c r="H299" s="47" t="s">
        <v>8085</v>
      </c>
      <c r="I299" s="47" t="s">
        <v>8086</v>
      </c>
      <c r="J299" s="47" t="s">
        <v>8093</v>
      </c>
      <c r="K299" s="47" t="s">
        <v>8094</v>
      </c>
      <c r="L299" s="47" t="s">
        <v>7894</v>
      </c>
      <c r="M299" s="47" t="s">
        <v>7895</v>
      </c>
      <c r="N299" s="47" t="s">
        <v>7896</v>
      </c>
      <c r="O299" s="47" t="s">
        <v>8087</v>
      </c>
      <c r="P299" s="47" t="s">
        <v>8088</v>
      </c>
      <c r="Q299" s="47" t="s">
        <v>8089</v>
      </c>
      <c r="R299" s="47" t="s">
        <v>8090</v>
      </c>
      <c r="S299" s="47" t="s">
        <v>8091</v>
      </c>
      <c r="T299" s="47" t="s">
        <v>8092</v>
      </c>
    </row>
    <row r="300" spans="1:21" x14ac:dyDescent="0.2">
      <c r="A300" s="47" t="s">
        <v>29</v>
      </c>
      <c r="D300" s="47" t="s">
        <v>1836</v>
      </c>
      <c r="G300" s="47" t="s">
        <v>8719</v>
      </c>
      <c r="H300" s="47" t="s">
        <v>1837</v>
      </c>
      <c r="I300" s="47" t="s">
        <v>1838</v>
      </c>
      <c r="J300" s="47" t="s">
        <v>1839</v>
      </c>
      <c r="K300" s="47" t="s">
        <v>1840</v>
      </c>
      <c r="L300" s="47" t="s">
        <v>1841</v>
      </c>
      <c r="M300" s="47" t="s">
        <v>1842</v>
      </c>
      <c r="N300" s="47" t="s">
        <v>1843</v>
      </c>
      <c r="O300" s="47" t="s">
        <v>4475</v>
      </c>
      <c r="P300" s="47" t="s">
        <v>4476</v>
      </c>
      <c r="Q300" s="47" t="s">
        <v>4477</v>
      </c>
      <c r="R300" s="47" t="s">
        <v>4478</v>
      </c>
      <c r="S300" s="47" t="s">
        <v>4479</v>
      </c>
      <c r="T300" s="47" t="s">
        <v>4480</v>
      </c>
    </row>
    <row r="301" spans="1:21" x14ac:dyDescent="0.2">
      <c r="A301" s="47" t="s">
        <v>29</v>
      </c>
    </row>
    <row r="302" spans="1:21" x14ac:dyDescent="0.2">
      <c r="A302" s="47" t="s">
        <v>29</v>
      </c>
      <c r="E302" s="47" t="s">
        <v>30</v>
      </c>
      <c r="F302" s="47" t="s">
        <v>30</v>
      </c>
      <c r="G302" s="47" t="s">
        <v>30</v>
      </c>
      <c r="J302" s="47" t="s">
        <v>30</v>
      </c>
      <c r="K302" s="47" t="s">
        <v>30</v>
      </c>
      <c r="L302" s="47" t="s">
        <v>30</v>
      </c>
      <c r="M302" s="47" t="s">
        <v>30</v>
      </c>
    </row>
    <row r="303" spans="1:21" x14ac:dyDescent="0.2">
      <c r="A303" s="47" t="s">
        <v>29</v>
      </c>
      <c r="D303" s="47" t="s">
        <v>4481</v>
      </c>
      <c r="E303" s="47" t="s">
        <v>3866</v>
      </c>
      <c r="F303" s="47" t="s">
        <v>4482</v>
      </c>
      <c r="H303" s="47" t="s">
        <v>4483</v>
      </c>
      <c r="O303" s="47" t="s">
        <v>9580</v>
      </c>
      <c r="P303" s="47" t="s">
        <v>9581</v>
      </c>
      <c r="Q303" s="47" t="s">
        <v>9582</v>
      </c>
      <c r="R303" s="47" t="s">
        <v>9583</v>
      </c>
      <c r="S303" s="47" t="s">
        <v>9584</v>
      </c>
      <c r="T303" s="47" t="s">
        <v>9585</v>
      </c>
      <c r="U303" s="47" t="s">
        <v>9586</v>
      </c>
    </row>
    <row r="304" spans="1:21" x14ac:dyDescent="0.2">
      <c r="A304" s="47" t="s">
        <v>29</v>
      </c>
      <c r="D304" s="47" t="s">
        <v>906</v>
      </c>
      <c r="G304" s="47" t="s">
        <v>4484</v>
      </c>
      <c r="H304" s="47" t="s">
        <v>907</v>
      </c>
      <c r="I304" s="47" t="s">
        <v>908</v>
      </c>
      <c r="J304" s="47" t="s">
        <v>909</v>
      </c>
      <c r="K304" s="47" t="s">
        <v>910</v>
      </c>
      <c r="L304" s="47" t="s">
        <v>911</v>
      </c>
      <c r="M304" s="47" t="s">
        <v>912</v>
      </c>
      <c r="N304" s="47" t="s">
        <v>913</v>
      </c>
      <c r="O304" s="47" t="s">
        <v>4485</v>
      </c>
      <c r="P304" s="47" t="s">
        <v>4486</v>
      </c>
      <c r="Q304" s="47" t="s">
        <v>4487</v>
      </c>
      <c r="R304" s="47" t="s">
        <v>4488</v>
      </c>
      <c r="S304" s="47" t="s">
        <v>4489</v>
      </c>
      <c r="T304" s="47" t="s">
        <v>4490</v>
      </c>
    </row>
    <row r="305" spans="1:21" x14ac:dyDescent="0.2">
      <c r="A305" s="47" t="s">
        <v>29</v>
      </c>
      <c r="D305" s="47" t="s">
        <v>914</v>
      </c>
      <c r="G305" s="47" t="s">
        <v>8723</v>
      </c>
      <c r="H305" s="47" t="s">
        <v>915</v>
      </c>
      <c r="I305" s="47" t="s">
        <v>916</v>
      </c>
      <c r="J305" s="47" t="s">
        <v>917</v>
      </c>
      <c r="K305" s="47" t="s">
        <v>918</v>
      </c>
      <c r="L305" s="47" t="s">
        <v>919</v>
      </c>
      <c r="M305" s="47" t="s">
        <v>920</v>
      </c>
      <c r="N305" s="47" t="s">
        <v>921</v>
      </c>
      <c r="O305" s="47" t="s">
        <v>4491</v>
      </c>
      <c r="P305" s="47" t="s">
        <v>4492</v>
      </c>
      <c r="Q305" s="47" t="s">
        <v>4493</v>
      </c>
      <c r="R305" s="47" t="s">
        <v>4494</v>
      </c>
      <c r="S305" s="47" t="s">
        <v>4495</v>
      </c>
      <c r="T305" s="47" t="s">
        <v>4496</v>
      </c>
    </row>
    <row r="306" spans="1:21" x14ac:dyDescent="0.2">
      <c r="A306" s="47" t="s">
        <v>29</v>
      </c>
    </row>
    <row r="307" spans="1:21" x14ac:dyDescent="0.2">
      <c r="A307" s="47" t="s">
        <v>29</v>
      </c>
      <c r="E307" s="47" t="s">
        <v>30</v>
      </c>
      <c r="F307" s="47" t="s">
        <v>30</v>
      </c>
      <c r="G307" s="47" t="s">
        <v>30</v>
      </c>
      <c r="J307" s="47" t="s">
        <v>30</v>
      </c>
      <c r="K307" s="47" t="s">
        <v>30</v>
      </c>
      <c r="L307" s="47" t="s">
        <v>30</v>
      </c>
      <c r="M307" s="47" t="s">
        <v>30</v>
      </c>
    </row>
    <row r="308" spans="1:21" x14ac:dyDescent="0.2">
      <c r="A308" s="47" t="s">
        <v>29</v>
      </c>
      <c r="D308" s="47" t="s">
        <v>4497</v>
      </c>
      <c r="E308" s="47" t="s">
        <v>3937</v>
      </c>
      <c r="F308" s="47" t="s">
        <v>4498</v>
      </c>
      <c r="H308" s="47" t="s">
        <v>4499</v>
      </c>
      <c r="O308" s="47" t="s">
        <v>4500</v>
      </c>
      <c r="P308" s="47" t="s">
        <v>4501</v>
      </c>
      <c r="Q308" s="47" t="s">
        <v>4502</v>
      </c>
      <c r="R308" s="47" t="s">
        <v>4503</v>
      </c>
      <c r="S308" s="47" t="s">
        <v>4504</v>
      </c>
      <c r="T308" s="47" t="s">
        <v>4505</v>
      </c>
      <c r="U308" s="47" t="s">
        <v>4506</v>
      </c>
    </row>
    <row r="309" spans="1:21" x14ac:dyDescent="0.2">
      <c r="A309" s="47" t="s">
        <v>29</v>
      </c>
      <c r="D309" s="47" t="s">
        <v>922</v>
      </c>
      <c r="G309" s="47" t="s">
        <v>4507</v>
      </c>
      <c r="H309" s="47" t="s">
        <v>923</v>
      </c>
      <c r="I309" s="47" t="s">
        <v>924</v>
      </c>
      <c r="J309" s="47" t="s">
        <v>925</v>
      </c>
      <c r="K309" s="47" t="s">
        <v>926</v>
      </c>
      <c r="L309" s="47" t="s">
        <v>927</v>
      </c>
      <c r="M309" s="47" t="s">
        <v>928</v>
      </c>
      <c r="N309" s="47" t="s">
        <v>929</v>
      </c>
      <c r="O309" s="47" t="s">
        <v>4508</v>
      </c>
      <c r="P309" s="47" t="s">
        <v>4509</v>
      </c>
      <c r="Q309" s="47" t="s">
        <v>4510</v>
      </c>
      <c r="R309" s="47" t="s">
        <v>4511</v>
      </c>
      <c r="S309" s="47" t="s">
        <v>4512</v>
      </c>
      <c r="T309" s="47" t="s">
        <v>4513</v>
      </c>
    </row>
    <row r="310" spans="1:21" x14ac:dyDescent="0.2">
      <c r="A310" s="47" t="s">
        <v>29</v>
      </c>
    </row>
    <row r="311" spans="1:21" x14ac:dyDescent="0.2">
      <c r="A311" s="47" t="s">
        <v>29</v>
      </c>
      <c r="E311" s="47" t="s">
        <v>30</v>
      </c>
      <c r="F311" s="47" t="s">
        <v>30</v>
      </c>
      <c r="G311" s="47" t="s">
        <v>30</v>
      </c>
      <c r="J311" s="47" t="s">
        <v>30</v>
      </c>
      <c r="K311" s="47" t="s">
        <v>30</v>
      </c>
      <c r="L311" s="47" t="s">
        <v>30</v>
      </c>
      <c r="M311" s="47" t="s">
        <v>30</v>
      </c>
    </row>
    <row r="312" spans="1:21" x14ac:dyDescent="0.2">
      <c r="A312" s="47" t="s">
        <v>29</v>
      </c>
      <c r="D312" s="47" t="s">
        <v>4514</v>
      </c>
      <c r="E312" s="47" t="s">
        <v>4022</v>
      </c>
      <c r="F312" s="47" t="s">
        <v>4515</v>
      </c>
      <c r="H312" s="47" t="s">
        <v>4516</v>
      </c>
      <c r="O312" s="47" t="s">
        <v>9587</v>
      </c>
      <c r="P312" s="47" t="s">
        <v>9588</v>
      </c>
      <c r="Q312" s="47" t="s">
        <v>9589</v>
      </c>
      <c r="R312" s="47" t="s">
        <v>9590</v>
      </c>
      <c r="S312" s="47" t="s">
        <v>9591</v>
      </c>
      <c r="T312" s="47" t="s">
        <v>9592</v>
      </c>
      <c r="U312" s="47" t="s">
        <v>9593</v>
      </c>
    </row>
    <row r="313" spans="1:21" x14ac:dyDescent="0.2">
      <c r="A313" s="47" t="s">
        <v>29</v>
      </c>
      <c r="D313" s="47" t="s">
        <v>3169</v>
      </c>
      <c r="G313" s="47" t="s">
        <v>4517</v>
      </c>
      <c r="H313" s="47" t="s">
        <v>3170</v>
      </c>
      <c r="I313" s="47" t="s">
        <v>3171</v>
      </c>
      <c r="J313" s="47" t="s">
        <v>3172</v>
      </c>
      <c r="K313" s="47" t="s">
        <v>3173</v>
      </c>
      <c r="L313" s="47" t="s">
        <v>3174</v>
      </c>
      <c r="M313" s="47" t="s">
        <v>3175</v>
      </c>
      <c r="N313" s="47" t="s">
        <v>3176</v>
      </c>
      <c r="O313" s="47" t="s">
        <v>4518</v>
      </c>
      <c r="P313" s="47" t="s">
        <v>4519</v>
      </c>
      <c r="Q313" s="47" t="s">
        <v>4520</v>
      </c>
      <c r="R313" s="47" t="s">
        <v>4521</v>
      </c>
      <c r="S313" s="47" t="s">
        <v>4522</v>
      </c>
      <c r="T313" s="47" t="s">
        <v>4523</v>
      </c>
    </row>
    <row r="314" spans="1:21" x14ac:dyDescent="0.2">
      <c r="A314" s="47" t="s">
        <v>29</v>
      </c>
      <c r="D314" s="47" t="s">
        <v>3177</v>
      </c>
      <c r="G314" s="47" t="s">
        <v>8726</v>
      </c>
      <c r="H314" s="47" t="s">
        <v>3178</v>
      </c>
      <c r="I314" s="47" t="s">
        <v>3179</v>
      </c>
      <c r="J314" s="47" t="s">
        <v>3180</v>
      </c>
      <c r="K314" s="47" t="s">
        <v>3181</v>
      </c>
      <c r="L314" s="47" t="s">
        <v>3182</v>
      </c>
      <c r="M314" s="47" t="s">
        <v>3183</v>
      </c>
      <c r="N314" s="47" t="s">
        <v>3184</v>
      </c>
      <c r="O314" s="47" t="s">
        <v>4524</v>
      </c>
      <c r="P314" s="47" t="s">
        <v>4525</v>
      </c>
      <c r="Q314" s="47" t="s">
        <v>4526</v>
      </c>
      <c r="R314" s="47" t="s">
        <v>4527</v>
      </c>
      <c r="S314" s="47" t="s">
        <v>4528</v>
      </c>
      <c r="T314" s="47" t="s">
        <v>4529</v>
      </c>
    </row>
    <row r="315" spans="1:21" x14ac:dyDescent="0.2">
      <c r="A315" s="47" t="s">
        <v>29</v>
      </c>
    </row>
    <row r="316" spans="1:21" x14ac:dyDescent="0.2">
      <c r="A316" s="47" t="s">
        <v>29</v>
      </c>
      <c r="E316" s="47" t="s">
        <v>30</v>
      </c>
      <c r="F316" s="47" t="s">
        <v>30</v>
      </c>
      <c r="G316" s="47" t="s">
        <v>30</v>
      </c>
      <c r="J316" s="47" t="s">
        <v>30</v>
      </c>
      <c r="K316" s="47" t="s">
        <v>30</v>
      </c>
      <c r="L316" s="47" t="s">
        <v>30</v>
      </c>
      <c r="M316" s="47" t="s">
        <v>30</v>
      </c>
    </row>
    <row r="317" spans="1:21" x14ac:dyDescent="0.2">
      <c r="A317" s="47" t="s">
        <v>29</v>
      </c>
      <c r="D317" s="47" t="s">
        <v>7553</v>
      </c>
      <c r="E317" s="47" t="s">
        <v>4075</v>
      </c>
      <c r="F317" s="47" t="s">
        <v>7554</v>
      </c>
      <c r="H317" s="47" t="s">
        <v>7555</v>
      </c>
      <c r="O317" s="47" t="s">
        <v>7901</v>
      </c>
      <c r="P317" s="47" t="s">
        <v>7902</v>
      </c>
      <c r="Q317" s="47" t="s">
        <v>7903</v>
      </c>
      <c r="R317" s="47" t="s">
        <v>7904</v>
      </c>
      <c r="S317" s="47" t="s">
        <v>7905</v>
      </c>
      <c r="T317" s="47" t="s">
        <v>7906</v>
      </c>
      <c r="U317" s="47" t="s">
        <v>7907</v>
      </c>
    </row>
    <row r="318" spans="1:21" x14ac:dyDescent="0.2">
      <c r="A318" s="47" t="s">
        <v>29</v>
      </c>
      <c r="D318" s="47" t="s">
        <v>6340</v>
      </c>
      <c r="G318" s="47" t="s">
        <v>7556</v>
      </c>
      <c r="H318" s="47" t="s">
        <v>6973</v>
      </c>
      <c r="I318" s="47" t="s">
        <v>6975</v>
      </c>
      <c r="J318" s="47" t="s">
        <v>7007</v>
      </c>
      <c r="K318" s="47" t="s">
        <v>7009</v>
      </c>
      <c r="L318" s="47" t="s">
        <v>6341</v>
      </c>
      <c r="M318" s="47" t="s">
        <v>6342</v>
      </c>
      <c r="N318" s="47" t="s">
        <v>6343</v>
      </c>
      <c r="O318" s="47" t="s">
        <v>7833</v>
      </c>
      <c r="P318" s="47" t="s">
        <v>7834</v>
      </c>
      <c r="Q318" s="47" t="s">
        <v>7835</v>
      </c>
      <c r="R318" s="47" t="s">
        <v>7836</v>
      </c>
      <c r="S318" s="47" t="s">
        <v>7837</v>
      </c>
      <c r="T318" s="47" t="s">
        <v>7838</v>
      </c>
    </row>
    <row r="319" spans="1:21" x14ac:dyDescent="0.2">
      <c r="A319" s="47" t="s">
        <v>29</v>
      </c>
    </row>
    <row r="320" spans="1:21" x14ac:dyDescent="0.2">
      <c r="A320" s="47" t="s">
        <v>29</v>
      </c>
      <c r="E320" s="47" t="s">
        <v>30</v>
      </c>
      <c r="F320" s="47" t="s">
        <v>30</v>
      </c>
      <c r="G320" s="47" t="s">
        <v>30</v>
      </c>
      <c r="J320" s="47" t="s">
        <v>30</v>
      </c>
      <c r="K320" s="47" t="s">
        <v>30</v>
      </c>
      <c r="L320" s="47" t="s">
        <v>30</v>
      </c>
      <c r="M320" s="47" t="s">
        <v>30</v>
      </c>
    </row>
    <row r="321" spans="1:21" x14ac:dyDescent="0.2">
      <c r="A321" s="47" t="s">
        <v>29</v>
      </c>
      <c r="D321" s="47" t="s">
        <v>7908</v>
      </c>
      <c r="E321" s="47" t="s">
        <v>4146</v>
      </c>
      <c r="F321" s="47" t="s">
        <v>7909</v>
      </c>
      <c r="H321" s="47" t="s">
        <v>7910</v>
      </c>
      <c r="O321" s="47" t="s">
        <v>9594</v>
      </c>
      <c r="P321" s="47" t="s">
        <v>9595</v>
      </c>
      <c r="Q321" s="47" t="s">
        <v>9596</v>
      </c>
      <c r="R321" s="47" t="s">
        <v>9597</v>
      </c>
      <c r="S321" s="47" t="s">
        <v>9598</v>
      </c>
      <c r="T321" s="47" t="s">
        <v>9599</v>
      </c>
      <c r="U321" s="47" t="s">
        <v>9600</v>
      </c>
    </row>
    <row r="322" spans="1:21" x14ac:dyDescent="0.2">
      <c r="A322" s="47" t="s">
        <v>29</v>
      </c>
      <c r="D322" s="47" t="s">
        <v>946</v>
      </c>
      <c r="G322" s="47" t="s">
        <v>7911</v>
      </c>
      <c r="H322" s="47" t="s">
        <v>947</v>
      </c>
      <c r="I322" s="47" t="s">
        <v>948</v>
      </c>
      <c r="J322" s="47" t="s">
        <v>949</v>
      </c>
      <c r="K322" s="47" t="s">
        <v>950</v>
      </c>
      <c r="L322" s="47" t="s">
        <v>951</v>
      </c>
      <c r="M322" s="47" t="s">
        <v>952</v>
      </c>
      <c r="N322" s="47" t="s">
        <v>953</v>
      </c>
      <c r="O322" s="47" t="s">
        <v>4530</v>
      </c>
      <c r="P322" s="47" t="s">
        <v>4531</v>
      </c>
      <c r="Q322" s="47" t="s">
        <v>4532</v>
      </c>
      <c r="R322" s="47" t="s">
        <v>4533</v>
      </c>
      <c r="S322" s="47" t="s">
        <v>4534</v>
      </c>
      <c r="T322" s="47" t="s">
        <v>4535</v>
      </c>
    </row>
    <row r="323" spans="1:21" x14ac:dyDescent="0.2">
      <c r="A323" s="47" t="s">
        <v>29</v>
      </c>
      <c r="D323" s="47" t="s">
        <v>1844</v>
      </c>
      <c r="G323" s="47" t="s">
        <v>8729</v>
      </c>
      <c r="H323" s="47" t="s">
        <v>1845</v>
      </c>
      <c r="I323" s="47" t="s">
        <v>1846</v>
      </c>
      <c r="J323" s="47" t="s">
        <v>1847</v>
      </c>
      <c r="K323" s="47" t="s">
        <v>1848</v>
      </c>
      <c r="L323" s="47" t="s">
        <v>1849</v>
      </c>
      <c r="M323" s="47" t="s">
        <v>1850</v>
      </c>
      <c r="N323" s="47" t="s">
        <v>1851</v>
      </c>
      <c r="O323" s="47" t="s">
        <v>9278</v>
      </c>
      <c r="P323" s="47" t="s">
        <v>9279</v>
      </c>
      <c r="Q323" s="47" t="s">
        <v>9280</v>
      </c>
      <c r="R323" s="47" t="s">
        <v>9281</v>
      </c>
      <c r="S323" s="47" t="s">
        <v>9282</v>
      </c>
      <c r="T323" s="47" t="s">
        <v>9283</v>
      </c>
    </row>
    <row r="324" spans="1:21" x14ac:dyDescent="0.2">
      <c r="A324" s="47" t="s">
        <v>29</v>
      </c>
    </row>
    <row r="325" spans="1:21" x14ac:dyDescent="0.2">
      <c r="A325" s="47" t="s">
        <v>29</v>
      </c>
      <c r="E325" s="47" t="s">
        <v>30</v>
      </c>
      <c r="F325" s="47" t="s">
        <v>30</v>
      </c>
      <c r="G325" s="47" t="s">
        <v>30</v>
      </c>
      <c r="J325" s="47" t="s">
        <v>30</v>
      </c>
      <c r="K325" s="47" t="s">
        <v>30</v>
      </c>
      <c r="L325" s="47" t="s">
        <v>30</v>
      </c>
      <c r="M325" s="47" t="s">
        <v>30</v>
      </c>
    </row>
    <row r="326" spans="1:21" x14ac:dyDescent="0.2">
      <c r="A326" s="47" t="s">
        <v>29</v>
      </c>
      <c r="D326" s="47" t="s">
        <v>9601</v>
      </c>
      <c r="E326" s="47" t="s">
        <v>4183</v>
      </c>
      <c r="F326" s="47" t="s">
        <v>9602</v>
      </c>
      <c r="H326" s="47" t="s">
        <v>9603</v>
      </c>
      <c r="O326" s="47" t="s">
        <v>9604</v>
      </c>
      <c r="P326" s="47" t="s">
        <v>9605</v>
      </c>
      <c r="Q326" s="47" t="s">
        <v>9606</v>
      </c>
      <c r="R326" s="47" t="s">
        <v>9607</v>
      </c>
      <c r="S326" s="47" t="s">
        <v>9608</v>
      </c>
      <c r="T326" s="47" t="s">
        <v>9609</v>
      </c>
      <c r="U326" s="47" t="s">
        <v>9610</v>
      </c>
    </row>
    <row r="327" spans="1:21" x14ac:dyDescent="0.2">
      <c r="A327" s="47" t="s">
        <v>29</v>
      </c>
      <c r="D327" s="47" t="s">
        <v>6344</v>
      </c>
      <c r="G327" s="47" t="s">
        <v>9611</v>
      </c>
      <c r="H327" s="47" t="s">
        <v>6974</v>
      </c>
      <c r="I327" s="47" t="s">
        <v>6976</v>
      </c>
      <c r="J327" s="47" t="s">
        <v>7008</v>
      </c>
      <c r="K327" s="47" t="s">
        <v>7010</v>
      </c>
      <c r="L327" s="47" t="s">
        <v>6345</v>
      </c>
      <c r="M327" s="47" t="s">
        <v>6346</v>
      </c>
      <c r="N327" s="47" t="s">
        <v>6347</v>
      </c>
      <c r="O327" s="47" t="s">
        <v>8079</v>
      </c>
      <c r="P327" s="47" t="s">
        <v>8080</v>
      </c>
      <c r="Q327" s="47" t="s">
        <v>8081</v>
      </c>
      <c r="R327" s="47" t="s">
        <v>8082</v>
      </c>
      <c r="S327" s="47" t="s">
        <v>8083</v>
      </c>
      <c r="T327" s="47" t="s">
        <v>8084</v>
      </c>
    </row>
    <row r="328" spans="1:21" x14ac:dyDescent="0.2">
      <c r="A328" s="47" t="s">
        <v>29</v>
      </c>
      <c r="D328" s="47" t="s">
        <v>1852</v>
      </c>
      <c r="G328" s="47" t="s">
        <v>8735</v>
      </c>
      <c r="H328" s="47" t="s">
        <v>1853</v>
      </c>
      <c r="I328" s="47" t="s">
        <v>1854</v>
      </c>
      <c r="J328" s="47" t="s">
        <v>1855</v>
      </c>
      <c r="K328" s="47" t="s">
        <v>1856</v>
      </c>
      <c r="L328" s="47" t="s">
        <v>1857</v>
      </c>
      <c r="M328" s="47" t="s">
        <v>1858</v>
      </c>
      <c r="N328" s="47" t="s">
        <v>1859</v>
      </c>
      <c r="O328" s="47" t="s">
        <v>4821</v>
      </c>
      <c r="P328" s="47" t="s">
        <v>4822</v>
      </c>
      <c r="Q328" s="47" t="s">
        <v>4823</v>
      </c>
      <c r="R328" s="47" t="s">
        <v>4824</v>
      </c>
      <c r="S328" s="47" t="s">
        <v>4825</v>
      </c>
      <c r="T328" s="47" t="s">
        <v>4826</v>
      </c>
    </row>
    <row r="329" spans="1:21" x14ac:dyDescent="0.2">
      <c r="A329" s="47" t="s">
        <v>29</v>
      </c>
    </row>
    <row r="330" spans="1:21" x14ac:dyDescent="0.2">
      <c r="A330" s="47" t="s">
        <v>29</v>
      </c>
      <c r="E330" s="47" t="s">
        <v>30</v>
      </c>
      <c r="F330" s="47" t="s">
        <v>30</v>
      </c>
      <c r="G330" s="47" t="s">
        <v>30</v>
      </c>
      <c r="J330" s="47" t="s">
        <v>30</v>
      </c>
      <c r="K330" s="47" t="s">
        <v>30</v>
      </c>
      <c r="L330" s="47" t="s">
        <v>30</v>
      </c>
      <c r="M330" s="47" t="s">
        <v>30</v>
      </c>
    </row>
    <row r="331" spans="1:21" x14ac:dyDescent="0.2">
      <c r="A331" s="47" t="s">
        <v>29</v>
      </c>
      <c r="D331" s="47" t="s">
        <v>7467</v>
      </c>
      <c r="E331" s="47" t="s">
        <v>4220</v>
      </c>
      <c r="F331" s="47" t="s">
        <v>7468</v>
      </c>
      <c r="H331" s="47" t="s">
        <v>7469</v>
      </c>
      <c r="O331" s="47" t="s">
        <v>9612</v>
      </c>
      <c r="P331" s="47" t="s">
        <v>9613</v>
      </c>
      <c r="Q331" s="47" t="s">
        <v>9614</v>
      </c>
      <c r="R331" s="47" t="s">
        <v>9615</v>
      </c>
      <c r="S331" s="47" t="s">
        <v>9616</v>
      </c>
      <c r="T331" s="47" t="s">
        <v>9617</v>
      </c>
      <c r="U331" s="47" t="s">
        <v>9618</v>
      </c>
    </row>
    <row r="332" spans="1:21" x14ac:dyDescent="0.2">
      <c r="A332" s="47" t="s">
        <v>29</v>
      </c>
      <c r="D332" s="47" t="s">
        <v>954</v>
      </c>
      <c r="G332" s="47" t="s">
        <v>7477</v>
      </c>
      <c r="H332" s="47" t="s">
        <v>955</v>
      </c>
      <c r="I332" s="47" t="s">
        <v>956</v>
      </c>
      <c r="J332" s="47" t="s">
        <v>957</v>
      </c>
      <c r="K332" s="47" t="s">
        <v>958</v>
      </c>
      <c r="L332" s="47" t="s">
        <v>959</v>
      </c>
      <c r="M332" s="47" t="s">
        <v>960</v>
      </c>
      <c r="N332" s="47" t="s">
        <v>961</v>
      </c>
      <c r="O332" s="47" t="s">
        <v>7478</v>
      </c>
      <c r="P332" s="47" t="s">
        <v>7479</v>
      </c>
      <c r="Q332" s="47" t="s">
        <v>7480</v>
      </c>
      <c r="R332" s="47" t="s">
        <v>7481</v>
      </c>
      <c r="S332" s="47" t="s">
        <v>7482</v>
      </c>
      <c r="T332" s="47" t="s">
        <v>7483</v>
      </c>
    </row>
    <row r="333" spans="1:21" x14ac:dyDescent="0.2">
      <c r="A333" s="47" t="s">
        <v>29</v>
      </c>
      <c r="D333" s="47" t="s">
        <v>962</v>
      </c>
      <c r="G333" s="47" t="s">
        <v>8738</v>
      </c>
      <c r="H333" s="47" t="s">
        <v>963</v>
      </c>
      <c r="I333" s="47" t="s">
        <v>964</v>
      </c>
      <c r="J333" s="47" t="s">
        <v>965</v>
      </c>
      <c r="K333" s="47" t="s">
        <v>966</v>
      </c>
      <c r="L333" s="47" t="s">
        <v>967</v>
      </c>
      <c r="M333" s="47" t="s">
        <v>968</v>
      </c>
      <c r="N333" s="47" t="s">
        <v>969</v>
      </c>
      <c r="O333" s="47" t="s">
        <v>6258</v>
      </c>
      <c r="P333" s="47" t="s">
        <v>6259</v>
      </c>
      <c r="Q333" s="47" t="s">
        <v>6260</v>
      </c>
      <c r="R333" s="47" t="s">
        <v>6261</v>
      </c>
      <c r="S333" s="47" t="s">
        <v>6262</v>
      </c>
      <c r="T333" s="47" t="s">
        <v>6263</v>
      </c>
    </row>
    <row r="334" spans="1:21" x14ac:dyDescent="0.2">
      <c r="A334" s="47" t="s">
        <v>29</v>
      </c>
      <c r="D334" s="47" t="s">
        <v>970</v>
      </c>
      <c r="G334" s="47" t="s">
        <v>8739</v>
      </c>
      <c r="H334" s="47" t="s">
        <v>971</v>
      </c>
      <c r="I334" s="47" t="s">
        <v>972</v>
      </c>
      <c r="J334" s="47" t="s">
        <v>973</v>
      </c>
      <c r="K334" s="47" t="s">
        <v>974</v>
      </c>
      <c r="L334" s="47" t="s">
        <v>975</v>
      </c>
      <c r="M334" s="47" t="s">
        <v>976</v>
      </c>
      <c r="N334" s="47" t="s">
        <v>977</v>
      </c>
      <c r="O334" s="47" t="s">
        <v>6023</v>
      </c>
      <c r="P334" s="47" t="s">
        <v>6024</v>
      </c>
      <c r="Q334" s="47" t="s">
        <v>6025</v>
      </c>
      <c r="R334" s="47" t="s">
        <v>6026</v>
      </c>
      <c r="S334" s="47" t="s">
        <v>6027</v>
      </c>
      <c r="T334" s="47" t="s">
        <v>6028</v>
      </c>
    </row>
    <row r="335" spans="1:21" x14ac:dyDescent="0.2">
      <c r="A335" s="47" t="s">
        <v>29</v>
      </c>
      <c r="D335" s="47" t="s">
        <v>3191</v>
      </c>
      <c r="G335" s="47" t="s">
        <v>8741</v>
      </c>
      <c r="H335" s="47" t="s">
        <v>3192</v>
      </c>
      <c r="I335" s="47" t="s">
        <v>3193</v>
      </c>
      <c r="J335" s="47" t="s">
        <v>3194</v>
      </c>
      <c r="K335" s="47" t="s">
        <v>3195</v>
      </c>
      <c r="L335" s="47" t="s">
        <v>3196</v>
      </c>
      <c r="M335" s="47" t="s">
        <v>3197</v>
      </c>
      <c r="N335" s="47" t="s">
        <v>3198</v>
      </c>
      <c r="O335" s="47" t="s">
        <v>4827</v>
      </c>
      <c r="P335" s="47" t="s">
        <v>4828</v>
      </c>
      <c r="Q335" s="47" t="s">
        <v>4829</v>
      </c>
      <c r="R335" s="47" t="s">
        <v>4830</v>
      </c>
      <c r="S335" s="47" t="s">
        <v>4831</v>
      </c>
      <c r="T335" s="47" t="s">
        <v>4832</v>
      </c>
    </row>
    <row r="336" spans="1:21" x14ac:dyDescent="0.2">
      <c r="A336" s="47" t="s">
        <v>29</v>
      </c>
    </row>
    <row r="337" spans="1:21" x14ac:dyDescent="0.2">
      <c r="A337" s="47" t="s">
        <v>29</v>
      </c>
      <c r="E337" s="47" t="s">
        <v>30</v>
      </c>
      <c r="F337" s="47" t="s">
        <v>30</v>
      </c>
      <c r="G337" s="47" t="s">
        <v>30</v>
      </c>
      <c r="J337" s="47" t="s">
        <v>30</v>
      </c>
      <c r="K337" s="47" t="s">
        <v>30</v>
      </c>
      <c r="L337" s="47" t="s">
        <v>30</v>
      </c>
      <c r="M337" s="47" t="s">
        <v>30</v>
      </c>
    </row>
    <row r="338" spans="1:21" x14ac:dyDescent="0.2">
      <c r="A338" s="47" t="s">
        <v>29</v>
      </c>
      <c r="D338" s="47" t="s">
        <v>6029</v>
      </c>
      <c r="E338" s="47" t="s">
        <v>4277</v>
      </c>
      <c r="F338" s="47" t="s">
        <v>6030</v>
      </c>
      <c r="H338" s="47" t="s">
        <v>6031</v>
      </c>
      <c r="O338" s="47" t="s">
        <v>8312</v>
      </c>
      <c r="P338" s="47" t="s">
        <v>8313</v>
      </c>
      <c r="Q338" s="47" t="s">
        <v>8314</v>
      </c>
      <c r="R338" s="47" t="s">
        <v>8315</v>
      </c>
      <c r="S338" s="47" t="s">
        <v>8316</v>
      </c>
      <c r="T338" s="47" t="s">
        <v>8317</v>
      </c>
      <c r="U338" s="47" t="s">
        <v>8318</v>
      </c>
    </row>
    <row r="339" spans="1:21" x14ac:dyDescent="0.2">
      <c r="A339" s="47" t="s">
        <v>29</v>
      </c>
      <c r="D339" s="47" t="s">
        <v>1755</v>
      </c>
      <c r="G339" s="47" t="s">
        <v>6032</v>
      </c>
      <c r="H339" s="47" t="s">
        <v>1756</v>
      </c>
      <c r="I339" s="47" t="s">
        <v>1757</v>
      </c>
      <c r="J339" s="47" t="s">
        <v>1758</v>
      </c>
      <c r="K339" s="47" t="s">
        <v>1759</v>
      </c>
      <c r="L339" s="47" t="s">
        <v>1760</v>
      </c>
      <c r="M339" s="47" t="s">
        <v>1761</v>
      </c>
      <c r="N339" s="47" t="s">
        <v>1762</v>
      </c>
      <c r="O339" s="47" t="s">
        <v>6033</v>
      </c>
      <c r="P339" s="47" t="s">
        <v>6034</v>
      </c>
      <c r="Q339" s="47" t="s">
        <v>6035</v>
      </c>
      <c r="R339" s="47" t="s">
        <v>6036</v>
      </c>
      <c r="S339" s="47" t="s">
        <v>6037</v>
      </c>
      <c r="T339" s="47" t="s">
        <v>6038</v>
      </c>
    </row>
    <row r="340" spans="1:21" x14ac:dyDescent="0.2">
      <c r="A340" s="47" t="s">
        <v>29</v>
      </c>
      <c r="D340" s="47" t="s">
        <v>978</v>
      </c>
      <c r="G340" s="47" t="s">
        <v>8742</v>
      </c>
      <c r="H340" s="47" t="s">
        <v>979</v>
      </c>
      <c r="I340" s="47" t="s">
        <v>980</v>
      </c>
      <c r="J340" s="47" t="s">
        <v>981</v>
      </c>
      <c r="K340" s="47" t="s">
        <v>982</v>
      </c>
      <c r="L340" s="47" t="s">
        <v>983</v>
      </c>
      <c r="M340" s="47" t="s">
        <v>984</v>
      </c>
      <c r="N340" s="47" t="s">
        <v>985</v>
      </c>
      <c r="O340" s="47" t="s">
        <v>5063</v>
      </c>
      <c r="P340" s="47" t="s">
        <v>5064</v>
      </c>
      <c r="Q340" s="47" t="s">
        <v>5065</v>
      </c>
      <c r="R340" s="47" t="s">
        <v>5066</v>
      </c>
      <c r="S340" s="47" t="s">
        <v>5067</v>
      </c>
      <c r="T340" s="47" t="s">
        <v>5068</v>
      </c>
    </row>
    <row r="341" spans="1:21" x14ac:dyDescent="0.2">
      <c r="A341" s="47" t="s">
        <v>29</v>
      </c>
    </row>
    <row r="342" spans="1:21" x14ac:dyDescent="0.2">
      <c r="A342" s="47" t="s">
        <v>29</v>
      </c>
      <c r="E342" s="47" t="s">
        <v>30</v>
      </c>
      <c r="F342" s="47" t="s">
        <v>30</v>
      </c>
      <c r="G342" s="47" t="s">
        <v>30</v>
      </c>
      <c r="J342" s="47" t="s">
        <v>30</v>
      </c>
      <c r="K342" s="47" t="s">
        <v>30</v>
      </c>
      <c r="L342" s="47" t="s">
        <v>30</v>
      </c>
      <c r="M342" s="47" t="s">
        <v>30</v>
      </c>
    </row>
    <row r="343" spans="1:21" x14ac:dyDescent="0.2">
      <c r="A343" s="47" t="s">
        <v>29</v>
      </c>
      <c r="D343" s="47" t="s">
        <v>6264</v>
      </c>
      <c r="E343" s="47" t="s">
        <v>4292</v>
      </c>
      <c r="F343" s="47" t="s">
        <v>6265</v>
      </c>
      <c r="H343" s="47" t="s">
        <v>6266</v>
      </c>
      <c r="O343" s="47" t="s">
        <v>9619</v>
      </c>
      <c r="P343" s="47" t="s">
        <v>9620</v>
      </c>
      <c r="Q343" s="47" t="s">
        <v>9621</v>
      </c>
      <c r="R343" s="47" t="s">
        <v>9622</v>
      </c>
      <c r="S343" s="47" t="s">
        <v>9623</v>
      </c>
      <c r="T343" s="47" t="s">
        <v>9624</v>
      </c>
      <c r="U343" s="47" t="s">
        <v>9625</v>
      </c>
    </row>
    <row r="344" spans="1:21" x14ac:dyDescent="0.2">
      <c r="A344" s="47" t="s">
        <v>29</v>
      </c>
      <c r="D344" s="47" t="s">
        <v>994</v>
      </c>
      <c r="G344" s="47" t="s">
        <v>6267</v>
      </c>
      <c r="H344" s="47" t="s">
        <v>995</v>
      </c>
      <c r="I344" s="47" t="s">
        <v>996</v>
      </c>
      <c r="J344" s="47" t="s">
        <v>997</v>
      </c>
      <c r="K344" s="47" t="s">
        <v>998</v>
      </c>
      <c r="L344" s="47" t="s">
        <v>999</v>
      </c>
      <c r="M344" s="47" t="s">
        <v>1000</v>
      </c>
      <c r="N344" s="47" t="s">
        <v>1001</v>
      </c>
      <c r="O344" s="47" t="s">
        <v>6039</v>
      </c>
      <c r="P344" s="47" t="s">
        <v>6040</v>
      </c>
      <c r="Q344" s="47" t="s">
        <v>6041</v>
      </c>
      <c r="R344" s="47" t="s">
        <v>6042</v>
      </c>
      <c r="S344" s="47" t="s">
        <v>6043</v>
      </c>
      <c r="T344" s="47" t="s">
        <v>6044</v>
      </c>
    </row>
    <row r="345" spans="1:21" x14ac:dyDescent="0.2">
      <c r="A345" s="47" t="s">
        <v>29</v>
      </c>
      <c r="D345" s="47" t="s">
        <v>1860</v>
      </c>
      <c r="G345" s="47" t="s">
        <v>8743</v>
      </c>
      <c r="H345" s="47" t="s">
        <v>1861</v>
      </c>
      <c r="I345" s="47" t="s">
        <v>1862</v>
      </c>
      <c r="J345" s="47" t="s">
        <v>1863</v>
      </c>
      <c r="K345" s="47" t="s">
        <v>1864</v>
      </c>
      <c r="L345" s="47" t="s">
        <v>1865</v>
      </c>
      <c r="M345" s="47" t="s">
        <v>1866</v>
      </c>
      <c r="N345" s="47" t="s">
        <v>1867</v>
      </c>
      <c r="O345" s="47" t="s">
        <v>4545</v>
      </c>
      <c r="P345" s="47" t="s">
        <v>4546</v>
      </c>
      <c r="Q345" s="47" t="s">
        <v>4547</v>
      </c>
      <c r="R345" s="47" t="s">
        <v>4548</v>
      </c>
      <c r="S345" s="47" t="s">
        <v>4549</v>
      </c>
      <c r="T345" s="47" t="s">
        <v>4550</v>
      </c>
    </row>
    <row r="346" spans="1:21" x14ac:dyDescent="0.2">
      <c r="A346" s="47" t="s">
        <v>29</v>
      </c>
    </row>
    <row r="347" spans="1:21" x14ac:dyDescent="0.2">
      <c r="A347" s="47" t="s">
        <v>29</v>
      </c>
      <c r="E347" s="47" t="s">
        <v>30</v>
      </c>
      <c r="F347" s="47" t="s">
        <v>30</v>
      </c>
      <c r="G347" s="47" t="s">
        <v>30</v>
      </c>
      <c r="J347" s="47" t="s">
        <v>30</v>
      </c>
      <c r="K347" s="47" t="s">
        <v>30</v>
      </c>
      <c r="L347" s="47" t="s">
        <v>30</v>
      </c>
      <c r="M347" s="47" t="s">
        <v>30</v>
      </c>
    </row>
    <row r="348" spans="1:21" x14ac:dyDescent="0.2">
      <c r="A348" s="47" t="s">
        <v>29</v>
      </c>
      <c r="D348" s="47" t="s">
        <v>6209</v>
      </c>
      <c r="E348" s="47" t="s">
        <v>4293</v>
      </c>
      <c r="F348" s="47" t="s">
        <v>6210</v>
      </c>
      <c r="H348" s="47" t="s">
        <v>6211</v>
      </c>
      <c r="O348" s="47" t="s">
        <v>9626</v>
      </c>
      <c r="P348" s="47" t="s">
        <v>9627</v>
      </c>
      <c r="Q348" s="47" t="s">
        <v>9628</v>
      </c>
      <c r="R348" s="47" t="s">
        <v>9629</v>
      </c>
      <c r="S348" s="47" t="s">
        <v>9630</v>
      </c>
      <c r="T348" s="47" t="s">
        <v>9631</v>
      </c>
      <c r="U348" s="47" t="s">
        <v>9632</v>
      </c>
    </row>
    <row r="349" spans="1:21" x14ac:dyDescent="0.2">
      <c r="A349" s="47" t="s">
        <v>29</v>
      </c>
      <c r="D349" s="47" t="s">
        <v>5169</v>
      </c>
      <c r="G349" s="47" t="s">
        <v>6212</v>
      </c>
      <c r="H349" s="47" t="s">
        <v>5170</v>
      </c>
      <c r="I349" s="47" t="s">
        <v>5171</v>
      </c>
      <c r="J349" s="47" t="s">
        <v>5172</v>
      </c>
      <c r="K349" s="47" t="s">
        <v>5173</v>
      </c>
      <c r="L349" s="47" t="s">
        <v>5174</v>
      </c>
      <c r="M349" s="47" t="s">
        <v>5175</v>
      </c>
      <c r="N349" s="47" t="s">
        <v>5176</v>
      </c>
      <c r="O349" s="47" t="s">
        <v>5177</v>
      </c>
      <c r="P349" s="47" t="s">
        <v>5178</v>
      </c>
      <c r="Q349" s="47" t="s">
        <v>5179</v>
      </c>
      <c r="R349" s="47" t="s">
        <v>5180</v>
      </c>
      <c r="S349" s="47" t="s">
        <v>5181</v>
      </c>
      <c r="T349" s="47" t="s">
        <v>5182</v>
      </c>
    </row>
    <row r="350" spans="1:21" x14ac:dyDescent="0.2">
      <c r="A350" s="47" t="s">
        <v>29</v>
      </c>
      <c r="D350" s="47" t="s">
        <v>1002</v>
      </c>
      <c r="G350" s="47" t="s">
        <v>8744</v>
      </c>
      <c r="H350" s="47" t="s">
        <v>1003</v>
      </c>
      <c r="I350" s="47" t="s">
        <v>1004</v>
      </c>
      <c r="J350" s="47" t="s">
        <v>1005</v>
      </c>
      <c r="K350" s="47" t="s">
        <v>1006</v>
      </c>
      <c r="L350" s="47" t="s">
        <v>1007</v>
      </c>
      <c r="M350" s="47" t="s">
        <v>1008</v>
      </c>
      <c r="N350" s="47" t="s">
        <v>1009</v>
      </c>
      <c r="O350" s="47" t="s">
        <v>8073</v>
      </c>
      <c r="P350" s="47" t="s">
        <v>8074</v>
      </c>
      <c r="Q350" s="47" t="s">
        <v>8075</v>
      </c>
      <c r="R350" s="47" t="s">
        <v>8076</v>
      </c>
      <c r="S350" s="47" t="s">
        <v>8077</v>
      </c>
      <c r="T350" s="47" t="s">
        <v>8078</v>
      </c>
    </row>
    <row r="351" spans="1:21" x14ac:dyDescent="0.2">
      <c r="A351" s="47" t="s">
        <v>29</v>
      </c>
      <c r="D351" s="47" t="s">
        <v>1010</v>
      </c>
      <c r="G351" s="47" t="s">
        <v>8745</v>
      </c>
      <c r="H351" s="47" t="s">
        <v>1011</v>
      </c>
      <c r="I351" s="47" t="s">
        <v>1012</v>
      </c>
      <c r="J351" s="47" t="s">
        <v>1013</v>
      </c>
      <c r="K351" s="47" t="s">
        <v>1014</v>
      </c>
      <c r="L351" s="47" t="s">
        <v>1015</v>
      </c>
      <c r="M351" s="47" t="s">
        <v>1016</v>
      </c>
      <c r="N351" s="47" t="s">
        <v>1017</v>
      </c>
      <c r="O351" s="47" t="s">
        <v>4551</v>
      </c>
      <c r="P351" s="47" t="s">
        <v>4552</v>
      </c>
      <c r="Q351" s="47" t="s">
        <v>4553</v>
      </c>
      <c r="R351" s="47" t="s">
        <v>4554</v>
      </c>
      <c r="S351" s="47" t="s">
        <v>4555</v>
      </c>
      <c r="T351" s="47" t="s">
        <v>4556</v>
      </c>
    </row>
    <row r="352" spans="1:21" x14ac:dyDescent="0.2">
      <c r="A352" s="47" t="s">
        <v>29</v>
      </c>
      <c r="D352" s="47" t="s">
        <v>6348</v>
      </c>
      <c r="G352" s="47" t="s">
        <v>8747</v>
      </c>
      <c r="H352" s="47" t="s">
        <v>6933</v>
      </c>
      <c r="I352" s="47" t="s">
        <v>6934</v>
      </c>
      <c r="J352" s="47" t="s">
        <v>6971</v>
      </c>
      <c r="K352" s="47" t="s">
        <v>6972</v>
      </c>
      <c r="L352" s="47" t="s">
        <v>6349</v>
      </c>
      <c r="M352" s="47" t="s">
        <v>6350</v>
      </c>
      <c r="N352" s="47" t="s">
        <v>6351</v>
      </c>
      <c r="O352" s="47" t="s">
        <v>9161</v>
      </c>
      <c r="P352" s="47" t="s">
        <v>9162</v>
      </c>
      <c r="Q352" s="47" t="s">
        <v>9163</v>
      </c>
      <c r="R352" s="47" t="s">
        <v>9164</v>
      </c>
      <c r="S352" s="47" t="s">
        <v>9165</v>
      </c>
      <c r="T352" s="47" t="s">
        <v>9166</v>
      </c>
    </row>
    <row r="353" spans="1:21" x14ac:dyDescent="0.2">
      <c r="A353" s="47" t="s">
        <v>29</v>
      </c>
    </row>
    <row r="354" spans="1:21" x14ac:dyDescent="0.2">
      <c r="A354" s="47" t="s">
        <v>29</v>
      </c>
      <c r="E354" s="47" t="s">
        <v>30</v>
      </c>
      <c r="F354" s="47" t="s">
        <v>30</v>
      </c>
      <c r="G354" s="47" t="s">
        <v>30</v>
      </c>
      <c r="J354" s="47" t="s">
        <v>30</v>
      </c>
      <c r="K354" s="47" t="s">
        <v>30</v>
      </c>
      <c r="L354" s="47" t="s">
        <v>30</v>
      </c>
      <c r="M354" s="47" t="s">
        <v>30</v>
      </c>
    </row>
    <row r="355" spans="1:21" x14ac:dyDescent="0.2">
      <c r="A355" s="47" t="s">
        <v>29</v>
      </c>
      <c r="D355" s="47" t="s">
        <v>9167</v>
      </c>
      <c r="E355" s="47" t="s">
        <v>4294</v>
      </c>
      <c r="F355" s="47" t="s">
        <v>9168</v>
      </c>
      <c r="H355" s="47" t="s">
        <v>9169</v>
      </c>
      <c r="O355" s="47" t="s">
        <v>9170</v>
      </c>
      <c r="P355" s="47" t="s">
        <v>9171</v>
      </c>
      <c r="Q355" s="47" t="s">
        <v>9172</v>
      </c>
      <c r="R355" s="47" t="s">
        <v>9173</v>
      </c>
      <c r="S355" s="47" t="s">
        <v>9174</v>
      </c>
      <c r="T355" s="47" t="s">
        <v>9175</v>
      </c>
      <c r="U355" s="47" t="s">
        <v>9176</v>
      </c>
    </row>
    <row r="356" spans="1:21" x14ac:dyDescent="0.2">
      <c r="A356" s="47" t="s">
        <v>29</v>
      </c>
      <c r="D356" s="47" t="s">
        <v>1026</v>
      </c>
      <c r="G356" s="47" t="s">
        <v>9177</v>
      </c>
      <c r="H356" s="47" t="s">
        <v>1027</v>
      </c>
      <c r="I356" s="47" t="s">
        <v>1028</v>
      </c>
      <c r="J356" s="47" t="s">
        <v>1029</v>
      </c>
      <c r="K356" s="47" t="s">
        <v>1030</v>
      </c>
      <c r="L356" s="47" t="s">
        <v>1031</v>
      </c>
      <c r="M356" s="47" t="s">
        <v>1032</v>
      </c>
      <c r="N356" s="47" t="s">
        <v>1033</v>
      </c>
      <c r="O356" s="47" t="s">
        <v>7827</v>
      </c>
      <c r="P356" s="47" t="s">
        <v>7828</v>
      </c>
      <c r="Q356" s="47" t="s">
        <v>7829</v>
      </c>
      <c r="R356" s="47" t="s">
        <v>7830</v>
      </c>
      <c r="S356" s="47" t="s">
        <v>7831</v>
      </c>
      <c r="T356" s="47" t="s">
        <v>7832</v>
      </c>
    </row>
    <row r="357" spans="1:21" x14ac:dyDescent="0.2">
      <c r="A357" s="47" t="s">
        <v>29</v>
      </c>
    </row>
    <row r="358" spans="1:21" x14ac:dyDescent="0.2">
      <c r="A358" s="47" t="s">
        <v>29</v>
      </c>
      <c r="E358" s="47" t="s">
        <v>30</v>
      </c>
      <c r="F358" s="47" t="s">
        <v>30</v>
      </c>
      <c r="G358" s="47" t="s">
        <v>30</v>
      </c>
      <c r="J358" s="47" t="s">
        <v>30</v>
      </c>
      <c r="K358" s="47" t="s">
        <v>30</v>
      </c>
      <c r="L358" s="47" t="s">
        <v>30</v>
      </c>
      <c r="M358" s="47" t="s">
        <v>30</v>
      </c>
    </row>
    <row r="359" spans="1:21" x14ac:dyDescent="0.2">
      <c r="A359" s="47" t="s">
        <v>29</v>
      </c>
      <c r="D359" s="47" t="s">
        <v>7557</v>
      </c>
      <c r="E359" s="47" t="s">
        <v>4295</v>
      </c>
      <c r="F359" s="47" t="s">
        <v>7558</v>
      </c>
      <c r="H359" s="47" t="s">
        <v>7559</v>
      </c>
      <c r="O359" s="47" t="s">
        <v>9178</v>
      </c>
      <c r="P359" s="47" t="s">
        <v>9179</v>
      </c>
      <c r="Q359" s="47" t="s">
        <v>9180</v>
      </c>
      <c r="R359" s="47" t="s">
        <v>9181</v>
      </c>
      <c r="S359" s="47" t="s">
        <v>9182</v>
      </c>
      <c r="T359" s="47" t="s">
        <v>9183</v>
      </c>
      <c r="U359" s="47" t="s">
        <v>9184</v>
      </c>
    </row>
    <row r="360" spans="1:21" x14ac:dyDescent="0.2">
      <c r="A360" s="47" t="s">
        <v>29</v>
      </c>
      <c r="D360" s="47" t="s">
        <v>4557</v>
      </c>
      <c r="G360" s="47" t="s">
        <v>7567</v>
      </c>
      <c r="H360" s="47" t="s">
        <v>4558</v>
      </c>
      <c r="I360" s="47" t="s">
        <v>4559</v>
      </c>
      <c r="J360" s="47" t="s">
        <v>4560</v>
      </c>
      <c r="K360" s="47" t="s">
        <v>4561</v>
      </c>
      <c r="L360" s="47" t="s">
        <v>4562</v>
      </c>
      <c r="M360" s="47" t="s">
        <v>4563</v>
      </c>
      <c r="N360" s="47" t="s">
        <v>4564</v>
      </c>
      <c r="O360" s="47" t="s">
        <v>4565</v>
      </c>
      <c r="P360" s="47" t="s">
        <v>4566</v>
      </c>
      <c r="Q360" s="47" t="s">
        <v>4567</v>
      </c>
      <c r="R360" s="47" t="s">
        <v>4568</v>
      </c>
      <c r="S360" s="47" t="s">
        <v>4569</v>
      </c>
      <c r="T360" s="47" t="s">
        <v>4570</v>
      </c>
    </row>
    <row r="361" spans="1:21" x14ac:dyDescent="0.2">
      <c r="A361" s="47" t="s">
        <v>29</v>
      </c>
    </row>
    <row r="362" spans="1:21" x14ac:dyDescent="0.2">
      <c r="A362" s="47" t="s">
        <v>29</v>
      </c>
      <c r="E362" s="47" t="s">
        <v>30</v>
      </c>
      <c r="F362" s="47" t="s">
        <v>30</v>
      </c>
      <c r="G362" s="47" t="s">
        <v>30</v>
      </c>
      <c r="J362" s="47" t="s">
        <v>30</v>
      </c>
      <c r="K362" s="47" t="s">
        <v>30</v>
      </c>
      <c r="L362" s="47" t="s">
        <v>30</v>
      </c>
      <c r="M362" s="47" t="s">
        <v>30</v>
      </c>
    </row>
    <row r="363" spans="1:21" x14ac:dyDescent="0.2">
      <c r="A363" s="47" t="s">
        <v>29</v>
      </c>
      <c r="D363" s="47" t="s">
        <v>9185</v>
      </c>
      <c r="E363" s="47" t="s">
        <v>4296</v>
      </c>
      <c r="F363" s="47" t="s">
        <v>9186</v>
      </c>
      <c r="H363" s="47" t="s">
        <v>9187</v>
      </c>
      <c r="O363" s="47" t="s">
        <v>9633</v>
      </c>
      <c r="P363" s="47" t="s">
        <v>9634</v>
      </c>
      <c r="Q363" s="47" t="s">
        <v>9635</v>
      </c>
      <c r="R363" s="47" t="s">
        <v>9636</v>
      </c>
      <c r="S363" s="47" t="s">
        <v>9637</v>
      </c>
      <c r="T363" s="47" t="s">
        <v>9638</v>
      </c>
      <c r="U363" s="47" t="s">
        <v>9639</v>
      </c>
    </row>
    <row r="364" spans="1:21" x14ac:dyDescent="0.2">
      <c r="A364" s="47" t="s">
        <v>29</v>
      </c>
      <c r="D364" s="47" t="s">
        <v>1034</v>
      </c>
      <c r="G364" s="47" t="s">
        <v>9188</v>
      </c>
      <c r="H364" s="47" t="s">
        <v>1035</v>
      </c>
      <c r="I364" s="47" t="s">
        <v>1036</v>
      </c>
      <c r="J364" s="47" t="s">
        <v>1037</v>
      </c>
      <c r="K364" s="47" t="s">
        <v>1038</v>
      </c>
      <c r="L364" s="47" t="s">
        <v>1039</v>
      </c>
      <c r="M364" s="47" t="s">
        <v>1040</v>
      </c>
      <c r="N364" s="47" t="s">
        <v>1041</v>
      </c>
      <c r="O364" s="47" t="s">
        <v>7502</v>
      </c>
      <c r="P364" s="47" t="s">
        <v>7503</v>
      </c>
      <c r="Q364" s="47" t="s">
        <v>7504</v>
      </c>
      <c r="R364" s="47" t="s">
        <v>7505</v>
      </c>
      <c r="S364" s="47" t="s">
        <v>7506</v>
      </c>
      <c r="T364" s="47" t="s">
        <v>7507</v>
      </c>
    </row>
    <row r="365" spans="1:21" x14ac:dyDescent="0.2">
      <c r="A365" s="47" t="s">
        <v>29</v>
      </c>
      <c r="D365" s="47" t="s">
        <v>1042</v>
      </c>
      <c r="G365" s="47" t="s">
        <v>8750</v>
      </c>
      <c r="H365" s="47" t="s">
        <v>1043</v>
      </c>
      <c r="I365" s="47" t="s">
        <v>1044</v>
      </c>
      <c r="J365" s="47" t="s">
        <v>1045</v>
      </c>
      <c r="K365" s="47" t="s">
        <v>1046</v>
      </c>
      <c r="L365" s="47" t="s">
        <v>1047</v>
      </c>
      <c r="M365" s="47" t="s">
        <v>1048</v>
      </c>
      <c r="N365" s="47" t="s">
        <v>1049</v>
      </c>
      <c r="O365" s="47" t="s">
        <v>4571</v>
      </c>
      <c r="P365" s="47" t="s">
        <v>4572</v>
      </c>
      <c r="Q365" s="47" t="s">
        <v>4573</v>
      </c>
      <c r="R365" s="47" t="s">
        <v>4574</v>
      </c>
      <c r="S365" s="47" t="s">
        <v>4575</v>
      </c>
      <c r="T365" s="47" t="s">
        <v>4576</v>
      </c>
    </row>
    <row r="366" spans="1:21" x14ac:dyDescent="0.2">
      <c r="A366" s="47" t="s">
        <v>29</v>
      </c>
    </row>
    <row r="367" spans="1:21" x14ac:dyDescent="0.2">
      <c r="A367" s="47" t="s">
        <v>29</v>
      </c>
      <c r="E367" s="47" t="s">
        <v>30</v>
      </c>
      <c r="F367" s="47" t="s">
        <v>30</v>
      </c>
      <c r="G367" s="47" t="s">
        <v>30</v>
      </c>
      <c r="J367" s="47" t="s">
        <v>30</v>
      </c>
      <c r="K367" s="47" t="s">
        <v>30</v>
      </c>
      <c r="L367" s="47" t="s">
        <v>30</v>
      </c>
      <c r="M367" s="47" t="s">
        <v>30</v>
      </c>
    </row>
    <row r="368" spans="1:21" x14ac:dyDescent="0.2">
      <c r="A368" s="47" t="s">
        <v>29</v>
      </c>
      <c r="D368" s="47" t="s">
        <v>8654</v>
      </c>
      <c r="E368" s="47" t="s">
        <v>4297</v>
      </c>
      <c r="F368" s="47" t="s">
        <v>8655</v>
      </c>
      <c r="H368" s="47" t="s">
        <v>8656</v>
      </c>
      <c r="O368" s="47" t="s">
        <v>9640</v>
      </c>
      <c r="P368" s="47" t="s">
        <v>9641</v>
      </c>
      <c r="Q368" s="47" t="s">
        <v>9642</v>
      </c>
      <c r="R368" s="47" t="s">
        <v>9643</v>
      </c>
      <c r="S368" s="47" t="s">
        <v>9644</v>
      </c>
      <c r="T368" s="47" t="s">
        <v>9645</v>
      </c>
      <c r="U368" s="47" t="s">
        <v>9646</v>
      </c>
    </row>
    <row r="369" spans="1:21" x14ac:dyDescent="0.2">
      <c r="A369" s="47" t="s">
        <v>29</v>
      </c>
      <c r="D369" s="47" t="s">
        <v>1554</v>
      </c>
      <c r="G369" s="47" t="s">
        <v>9213</v>
      </c>
      <c r="H369" s="47" t="s">
        <v>1555</v>
      </c>
      <c r="I369" s="47" t="s">
        <v>1556</v>
      </c>
      <c r="J369" s="47" t="s">
        <v>1557</v>
      </c>
      <c r="K369" s="47" t="s">
        <v>1558</v>
      </c>
      <c r="L369" s="47" t="s">
        <v>1559</v>
      </c>
      <c r="M369" s="47" t="s">
        <v>1560</v>
      </c>
      <c r="N369" s="47" t="s">
        <v>1561</v>
      </c>
      <c r="O369" s="47" t="s">
        <v>8253</v>
      </c>
      <c r="P369" s="47" t="s">
        <v>8254</v>
      </c>
      <c r="Q369" s="47" t="s">
        <v>8255</v>
      </c>
      <c r="R369" s="47" t="s">
        <v>8256</v>
      </c>
      <c r="S369" s="47" t="s">
        <v>8257</v>
      </c>
      <c r="T369" s="47" t="s">
        <v>8258</v>
      </c>
    </row>
    <row r="370" spans="1:21" x14ac:dyDescent="0.2">
      <c r="A370" s="47" t="s">
        <v>29</v>
      </c>
    </row>
    <row r="371" spans="1:21" x14ac:dyDescent="0.2">
      <c r="A371" s="47" t="s">
        <v>29</v>
      </c>
      <c r="E371" s="47" t="s">
        <v>30</v>
      </c>
      <c r="F371" s="47" t="s">
        <v>30</v>
      </c>
      <c r="G371" s="47" t="s">
        <v>30</v>
      </c>
      <c r="J371" s="47" t="s">
        <v>30</v>
      </c>
      <c r="K371" s="47" t="s">
        <v>30</v>
      </c>
      <c r="L371" s="47" t="s">
        <v>30</v>
      </c>
      <c r="M371" s="47" t="s">
        <v>30</v>
      </c>
    </row>
    <row r="372" spans="1:21" x14ac:dyDescent="0.2">
      <c r="A372" s="47" t="s">
        <v>29</v>
      </c>
      <c r="D372" s="47" t="s">
        <v>9647</v>
      </c>
      <c r="E372" s="47" t="s">
        <v>4298</v>
      </c>
      <c r="F372" s="47" t="s">
        <v>9648</v>
      </c>
      <c r="H372" s="47" t="s">
        <v>9649</v>
      </c>
      <c r="O372" s="47" t="s">
        <v>9650</v>
      </c>
      <c r="P372" s="47" t="s">
        <v>9651</v>
      </c>
      <c r="Q372" s="47" t="s">
        <v>9652</v>
      </c>
      <c r="R372" s="47" t="s">
        <v>9653</v>
      </c>
      <c r="S372" s="47" t="s">
        <v>9654</v>
      </c>
      <c r="T372" s="47" t="s">
        <v>9655</v>
      </c>
      <c r="U372" s="47" t="s">
        <v>9656</v>
      </c>
    </row>
    <row r="373" spans="1:21" x14ac:dyDescent="0.2">
      <c r="A373" s="47" t="s">
        <v>29</v>
      </c>
      <c r="D373" s="47" t="s">
        <v>6357</v>
      </c>
      <c r="G373" s="47" t="s">
        <v>9657</v>
      </c>
      <c r="H373" s="47" t="s">
        <v>6914</v>
      </c>
      <c r="I373" s="47" t="s">
        <v>6916</v>
      </c>
      <c r="J373" s="47" t="s">
        <v>6930</v>
      </c>
      <c r="K373" s="47" t="s">
        <v>6932</v>
      </c>
      <c r="L373" s="47" t="s">
        <v>6358</v>
      </c>
      <c r="M373" s="47" t="s">
        <v>6359</v>
      </c>
      <c r="N373" s="47" t="s">
        <v>6360</v>
      </c>
      <c r="O373" s="47" t="s">
        <v>8067</v>
      </c>
      <c r="P373" s="47" t="s">
        <v>8068</v>
      </c>
      <c r="Q373" s="47" t="s">
        <v>8069</v>
      </c>
      <c r="R373" s="47" t="s">
        <v>8070</v>
      </c>
      <c r="S373" s="47" t="s">
        <v>8071</v>
      </c>
      <c r="T373" s="47" t="s">
        <v>8072</v>
      </c>
    </row>
    <row r="374" spans="1:21" x14ac:dyDescent="0.2">
      <c r="A374" s="47" t="s">
        <v>29</v>
      </c>
    </row>
    <row r="375" spans="1:21" x14ac:dyDescent="0.2">
      <c r="A375" s="47" t="s">
        <v>29</v>
      </c>
      <c r="E375" s="47" t="s">
        <v>30</v>
      </c>
      <c r="F375" s="47" t="s">
        <v>30</v>
      </c>
      <c r="G375" s="47" t="s">
        <v>30</v>
      </c>
      <c r="J375" s="47" t="s">
        <v>30</v>
      </c>
      <c r="K375" s="47" t="s">
        <v>30</v>
      </c>
      <c r="L375" s="47" t="s">
        <v>30</v>
      </c>
      <c r="M375" s="47" t="s">
        <v>30</v>
      </c>
    </row>
    <row r="376" spans="1:21" x14ac:dyDescent="0.2">
      <c r="A376" s="47" t="s">
        <v>29</v>
      </c>
      <c r="D376" s="47" t="s">
        <v>7919</v>
      </c>
      <c r="E376" s="47" t="s">
        <v>4299</v>
      </c>
      <c r="F376" s="47" t="s">
        <v>7920</v>
      </c>
      <c r="H376" s="47" t="s">
        <v>7921</v>
      </c>
      <c r="O376" s="47" t="s">
        <v>9658</v>
      </c>
      <c r="P376" s="47" t="s">
        <v>9659</v>
      </c>
      <c r="Q376" s="47" t="s">
        <v>9660</v>
      </c>
      <c r="R376" s="47" t="s">
        <v>9661</v>
      </c>
      <c r="S376" s="47" t="s">
        <v>9662</v>
      </c>
      <c r="T376" s="47" t="s">
        <v>9663</v>
      </c>
      <c r="U376" s="47" t="s">
        <v>9664</v>
      </c>
    </row>
    <row r="377" spans="1:21" x14ac:dyDescent="0.2">
      <c r="A377" s="47" t="s">
        <v>29</v>
      </c>
      <c r="D377" s="47" t="s">
        <v>5329</v>
      </c>
      <c r="G377" s="47" t="s">
        <v>7922</v>
      </c>
      <c r="H377" s="47" t="s">
        <v>5330</v>
      </c>
      <c r="I377" s="47" t="s">
        <v>5331</v>
      </c>
      <c r="J377" s="47" t="s">
        <v>5332</v>
      </c>
      <c r="K377" s="47" t="s">
        <v>5333</v>
      </c>
      <c r="L377" s="47" t="s">
        <v>5334</v>
      </c>
      <c r="M377" s="47" t="s">
        <v>5335</v>
      </c>
      <c r="N377" s="47" t="s">
        <v>5336</v>
      </c>
      <c r="O377" s="47" t="s">
        <v>6045</v>
      </c>
      <c r="P377" s="47" t="s">
        <v>6046</v>
      </c>
      <c r="Q377" s="47" t="s">
        <v>6047</v>
      </c>
      <c r="R377" s="47" t="s">
        <v>6048</v>
      </c>
      <c r="S377" s="47" t="s">
        <v>6049</v>
      </c>
      <c r="T377" s="47" t="s">
        <v>6050</v>
      </c>
    </row>
    <row r="378" spans="1:21" x14ac:dyDescent="0.2">
      <c r="A378" s="47" t="s">
        <v>29</v>
      </c>
    </row>
    <row r="379" spans="1:21" x14ac:dyDescent="0.2">
      <c r="A379" s="47" t="s">
        <v>29</v>
      </c>
      <c r="E379" s="47" t="s">
        <v>30</v>
      </c>
      <c r="F379" s="47" t="s">
        <v>30</v>
      </c>
      <c r="G379" s="47" t="s">
        <v>30</v>
      </c>
      <c r="J379" s="47" t="s">
        <v>30</v>
      </c>
      <c r="K379" s="47" t="s">
        <v>30</v>
      </c>
      <c r="L379" s="47" t="s">
        <v>30</v>
      </c>
      <c r="M379" s="47" t="s">
        <v>30</v>
      </c>
    </row>
    <row r="380" spans="1:21" x14ac:dyDescent="0.2">
      <c r="A380" s="47" t="s">
        <v>29</v>
      </c>
      <c r="D380" s="47" t="s">
        <v>9665</v>
      </c>
      <c r="E380" s="47" t="s">
        <v>4300</v>
      </c>
      <c r="F380" s="47" t="s">
        <v>9666</v>
      </c>
      <c r="H380" s="47" t="s">
        <v>9667</v>
      </c>
      <c r="O380" s="47" t="s">
        <v>9668</v>
      </c>
      <c r="P380" s="47" t="s">
        <v>9669</v>
      </c>
      <c r="Q380" s="47" t="s">
        <v>9670</v>
      </c>
      <c r="R380" s="47" t="s">
        <v>9671</v>
      </c>
      <c r="S380" s="47" t="s">
        <v>9672</v>
      </c>
      <c r="T380" s="47" t="s">
        <v>9673</v>
      </c>
      <c r="U380" s="47" t="s">
        <v>9674</v>
      </c>
    </row>
    <row r="381" spans="1:21" x14ac:dyDescent="0.2">
      <c r="A381" s="47" t="s">
        <v>29</v>
      </c>
      <c r="D381" s="47" t="s">
        <v>1066</v>
      </c>
      <c r="G381" s="47" t="s">
        <v>9675</v>
      </c>
      <c r="H381" s="47" t="s">
        <v>1067</v>
      </c>
      <c r="I381" s="47" t="s">
        <v>1068</v>
      </c>
      <c r="J381" s="47" t="s">
        <v>1069</v>
      </c>
      <c r="K381" s="47" t="s">
        <v>1070</v>
      </c>
      <c r="L381" s="47" t="s">
        <v>1071</v>
      </c>
      <c r="M381" s="47" t="s">
        <v>1072</v>
      </c>
      <c r="N381" s="47" t="s">
        <v>1073</v>
      </c>
      <c r="O381" s="47" t="s">
        <v>5183</v>
      </c>
      <c r="P381" s="47" t="s">
        <v>5184</v>
      </c>
      <c r="Q381" s="47" t="s">
        <v>5185</v>
      </c>
      <c r="R381" s="47" t="s">
        <v>5186</v>
      </c>
      <c r="S381" s="47" t="s">
        <v>5187</v>
      </c>
      <c r="T381" s="47" t="s">
        <v>5188</v>
      </c>
    </row>
    <row r="382" spans="1:21" x14ac:dyDescent="0.2">
      <c r="A382" s="47" t="s">
        <v>29</v>
      </c>
    </row>
    <row r="383" spans="1:21" x14ac:dyDescent="0.2">
      <c r="A383" s="47" t="s">
        <v>29</v>
      </c>
      <c r="E383" s="47" t="s">
        <v>30</v>
      </c>
      <c r="F383" s="47" t="s">
        <v>30</v>
      </c>
      <c r="G383" s="47" t="s">
        <v>30</v>
      </c>
      <c r="J383" s="47" t="s">
        <v>30</v>
      </c>
      <c r="K383" s="47" t="s">
        <v>30</v>
      </c>
      <c r="L383" s="47" t="s">
        <v>30</v>
      </c>
      <c r="M383" s="47" t="s">
        <v>30</v>
      </c>
    </row>
    <row r="384" spans="1:21" x14ac:dyDescent="0.2">
      <c r="A384" s="47" t="s">
        <v>29</v>
      </c>
      <c r="D384" s="47" t="s">
        <v>9676</v>
      </c>
      <c r="E384" s="47" t="s">
        <v>4301</v>
      </c>
      <c r="F384" s="47" t="s">
        <v>9677</v>
      </c>
      <c r="H384" s="47" t="s">
        <v>9678</v>
      </c>
      <c r="O384" s="47" t="s">
        <v>9679</v>
      </c>
      <c r="P384" s="47" t="s">
        <v>9680</v>
      </c>
      <c r="Q384" s="47" t="s">
        <v>9681</v>
      </c>
      <c r="R384" s="47" t="s">
        <v>9682</v>
      </c>
      <c r="S384" s="47" t="s">
        <v>9683</v>
      </c>
      <c r="T384" s="47" t="s">
        <v>9684</v>
      </c>
      <c r="U384" s="47" t="s">
        <v>9685</v>
      </c>
    </row>
    <row r="385" spans="1:21" x14ac:dyDescent="0.2">
      <c r="A385" s="47" t="s">
        <v>29</v>
      </c>
      <c r="D385" s="47" t="s">
        <v>1098</v>
      </c>
      <c r="G385" s="47" t="s">
        <v>9686</v>
      </c>
      <c r="H385" s="47" t="s">
        <v>1099</v>
      </c>
      <c r="I385" s="47" t="s">
        <v>1100</v>
      </c>
      <c r="J385" s="47" t="s">
        <v>1101</v>
      </c>
      <c r="K385" s="47" t="s">
        <v>1102</v>
      </c>
      <c r="L385" s="47" t="s">
        <v>1103</v>
      </c>
      <c r="M385" s="47" t="s">
        <v>1104</v>
      </c>
      <c r="N385" s="47" t="s">
        <v>1105</v>
      </c>
      <c r="O385" s="47" t="s">
        <v>5189</v>
      </c>
      <c r="P385" s="47" t="s">
        <v>5190</v>
      </c>
      <c r="Q385" s="47" t="s">
        <v>5191</v>
      </c>
      <c r="R385" s="47" t="s">
        <v>5192</v>
      </c>
      <c r="S385" s="47" t="s">
        <v>5193</v>
      </c>
      <c r="T385" s="47" t="s">
        <v>5194</v>
      </c>
    </row>
    <row r="386" spans="1:21" x14ac:dyDescent="0.2">
      <c r="A386" s="47" t="s">
        <v>29</v>
      </c>
    </row>
    <row r="387" spans="1:21" x14ac:dyDescent="0.2">
      <c r="A387" s="47" t="s">
        <v>29</v>
      </c>
      <c r="E387" s="47" t="s">
        <v>30</v>
      </c>
      <c r="F387" s="47" t="s">
        <v>30</v>
      </c>
      <c r="G387" s="47" t="s">
        <v>30</v>
      </c>
      <c r="J387" s="47" t="s">
        <v>30</v>
      </c>
      <c r="K387" s="47" t="s">
        <v>30</v>
      </c>
      <c r="L387" s="47" t="s">
        <v>30</v>
      </c>
      <c r="M387" s="47" t="s">
        <v>30</v>
      </c>
    </row>
    <row r="388" spans="1:21" x14ac:dyDescent="0.2">
      <c r="A388" s="47" t="s">
        <v>29</v>
      </c>
      <c r="D388" s="47" t="s">
        <v>9687</v>
      </c>
      <c r="E388" s="47" t="s">
        <v>4302</v>
      </c>
      <c r="F388" s="47" t="s">
        <v>9688</v>
      </c>
      <c r="H388" s="47" t="s">
        <v>9689</v>
      </c>
      <c r="O388" s="47" t="s">
        <v>9690</v>
      </c>
      <c r="P388" s="47" t="s">
        <v>9691</v>
      </c>
      <c r="Q388" s="47" t="s">
        <v>9692</v>
      </c>
      <c r="R388" s="47" t="s">
        <v>9693</v>
      </c>
      <c r="S388" s="47" t="s">
        <v>9694</v>
      </c>
      <c r="T388" s="47" t="s">
        <v>9695</v>
      </c>
      <c r="U388" s="47" t="s">
        <v>9696</v>
      </c>
    </row>
    <row r="389" spans="1:21" x14ac:dyDescent="0.2">
      <c r="A389" s="47" t="s">
        <v>29</v>
      </c>
      <c r="D389" s="47" t="s">
        <v>1570</v>
      </c>
      <c r="G389" s="47" t="s">
        <v>9697</v>
      </c>
      <c r="H389" s="47" t="s">
        <v>1571</v>
      </c>
      <c r="I389" s="47" t="s">
        <v>1572</v>
      </c>
      <c r="J389" s="47" t="s">
        <v>1573</v>
      </c>
      <c r="K389" s="47" t="s">
        <v>1574</v>
      </c>
      <c r="L389" s="47" t="s">
        <v>1575</v>
      </c>
      <c r="M389" s="47" t="s">
        <v>1576</v>
      </c>
      <c r="N389" s="47" t="s">
        <v>1577</v>
      </c>
      <c r="O389" s="47" t="s">
        <v>5195</v>
      </c>
      <c r="P389" s="47" t="s">
        <v>5196</v>
      </c>
      <c r="Q389" s="47" t="s">
        <v>5197</v>
      </c>
      <c r="R389" s="47" t="s">
        <v>5198</v>
      </c>
      <c r="S389" s="47" t="s">
        <v>5199</v>
      </c>
      <c r="T389" s="47" t="s">
        <v>5200</v>
      </c>
    </row>
    <row r="390" spans="1:21" x14ac:dyDescent="0.2">
      <c r="A390" s="47" t="s">
        <v>29</v>
      </c>
    </row>
    <row r="391" spans="1:21" x14ac:dyDescent="0.2">
      <c r="A391" s="47" t="s">
        <v>29</v>
      </c>
      <c r="E391" s="47" t="s">
        <v>30</v>
      </c>
      <c r="F391" s="47" t="s">
        <v>30</v>
      </c>
      <c r="G391" s="47" t="s">
        <v>30</v>
      </c>
      <c r="J391" s="47" t="s">
        <v>30</v>
      </c>
      <c r="K391" s="47" t="s">
        <v>30</v>
      </c>
      <c r="L391" s="47" t="s">
        <v>30</v>
      </c>
      <c r="M391" s="47" t="s">
        <v>30</v>
      </c>
    </row>
    <row r="392" spans="1:21" x14ac:dyDescent="0.2">
      <c r="A392" s="47" t="s">
        <v>29</v>
      </c>
      <c r="D392" s="47" t="s">
        <v>9698</v>
      </c>
      <c r="E392" s="47" t="s">
        <v>4303</v>
      </c>
      <c r="F392" s="47" t="s">
        <v>9699</v>
      </c>
      <c r="H392" s="47" t="s">
        <v>9700</v>
      </c>
      <c r="O392" s="47" t="s">
        <v>9701</v>
      </c>
      <c r="P392" s="47" t="s">
        <v>9702</v>
      </c>
      <c r="Q392" s="47" t="s">
        <v>9703</v>
      </c>
      <c r="R392" s="47" t="s">
        <v>9704</v>
      </c>
      <c r="S392" s="47" t="s">
        <v>9705</v>
      </c>
      <c r="T392" s="47" t="s">
        <v>9706</v>
      </c>
      <c r="U392" s="47" t="s">
        <v>9707</v>
      </c>
    </row>
    <row r="393" spans="1:21" x14ac:dyDescent="0.2">
      <c r="A393" s="47" t="s">
        <v>29</v>
      </c>
      <c r="D393" s="47" t="s">
        <v>3246</v>
      </c>
      <c r="G393" s="47" t="s">
        <v>9708</v>
      </c>
      <c r="H393" s="47" t="s">
        <v>3247</v>
      </c>
      <c r="I393" s="47" t="s">
        <v>3248</v>
      </c>
      <c r="J393" s="47" t="s">
        <v>3249</v>
      </c>
      <c r="K393" s="47" t="s">
        <v>3250</v>
      </c>
      <c r="L393" s="47" t="s">
        <v>3251</v>
      </c>
      <c r="M393" s="47" t="s">
        <v>3252</v>
      </c>
      <c r="N393" s="47" t="s">
        <v>3253</v>
      </c>
      <c r="O393" s="47" t="s">
        <v>4577</v>
      </c>
      <c r="P393" s="47" t="s">
        <v>4578</v>
      </c>
      <c r="Q393" s="47" t="s">
        <v>4579</v>
      </c>
      <c r="R393" s="47" t="s">
        <v>4580</v>
      </c>
      <c r="S393" s="47" t="s">
        <v>4581</v>
      </c>
      <c r="T393" s="47" t="s">
        <v>4582</v>
      </c>
    </row>
    <row r="394" spans="1:21" x14ac:dyDescent="0.2">
      <c r="A394" s="47" t="s">
        <v>29</v>
      </c>
    </row>
    <row r="395" spans="1:21" x14ac:dyDescent="0.2">
      <c r="A395" s="47" t="s">
        <v>29</v>
      </c>
      <c r="E395" s="47" t="s">
        <v>30</v>
      </c>
      <c r="F395" s="47" t="s">
        <v>30</v>
      </c>
      <c r="G395" s="47" t="s">
        <v>30</v>
      </c>
      <c r="J395" s="47" t="s">
        <v>30</v>
      </c>
      <c r="K395" s="47" t="s">
        <v>30</v>
      </c>
      <c r="L395" s="47" t="s">
        <v>30</v>
      </c>
      <c r="M395" s="47" t="s">
        <v>30</v>
      </c>
    </row>
    <row r="396" spans="1:21" x14ac:dyDescent="0.2">
      <c r="A396" s="47" t="s">
        <v>29</v>
      </c>
      <c r="D396" s="47" t="s">
        <v>9709</v>
      </c>
      <c r="E396" s="47" t="s">
        <v>4304</v>
      </c>
      <c r="F396" s="47" t="s">
        <v>9710</v>
      </c>
      <c r="H396" s="47" t="s">
        <v>9711</v>
      </c>
      <c r="O396" s="47" t="s">
        <v>9712</v>
      </c>
      <c r="P396" s="47" t="s">
        <v>9713</v>
      </c>
      <c r="Q396" s="47" t="s">
        <v>9714</v>
      </c>
      <c r="R396" s="47" t="s">
        <v>9715</v>
      </c>
      <c r="S396" s="47" t="s">
        <v>9716</v>
      </c>
      <c r="T396" s="47" t="s">
        <v>9717</v>
      </c>
      <c r="U396" s="47" t="s">
        <v>9718</v>
      </c>
    </row>
    <row r="397" spans="1:21" x14ac:dyDescent="0.2">
      <c r="A397" s="47" t="s">
        <v>29</v>
      </c>
      <c r="D397" s="47" t="s">
        <v>2605</v>
      </c>
      <c r="G397" s="47" t="s">
        <v>9719</v>
      </c>
      <c r="H397" s="47" t="s">
        <v>2606</v>
      </c>
      <c r="I397" s="47" t="s">
        <v>2607</v>
      </c>
      <c r="J397" s="47" t="s">
        <v>2608</v>
      </c>
      <c r="K397" s="47" t="s">
        <v>2609</v>
      </c>
      <c r="L397" s="47" t="s">
        <v>2610</v>
      </c>
      <c r="M397" s="47" t="s">
        <v>2611</v>
      </c>
      <c r="N397" s="47" t="s">
        <v>2612</v>
      </c>
      <c r="O397" s="47" t="s">
        <v>4833</v>
      </c>
      <c r="P397" s="47" t="s">
        <v>4834</v>
      </c>
      <c r="Q397" s="47" t="s">
        <v>4835</v>
      </c>
      <c r="R397" s="47" t="s">
        <v>4836</v>
      </c>
      <c r="S397" s="47" t="s">
        <v>4837</v>
      </c>
      <c r="T397" s="47" t="s">
        <v>4838</v>
      </c>
    </row>
    <row r="398" spans="1:21" x14ac:dyDescent="0.2">
      <c r="A398" s="47" t="s">
        <v>29</v>
      </c>
      <c r="D398" s="47" t="s">
        <v>2254</v>
      </c>
      <c r="G398" s="47" t="s">
        <v>8758</v>
      </c>
      <c r="H398" s="47" t="s">
        <v>2255</v>
      </c>
      <c r="I398" s="47" t="s">
        <v>2256</v>
      </c>
      <c r="J398" s="47" t="s">
        <v>2257</v>
      </c>
      <c r="K398" s="47" t="s">
        <v>2258</v>
      </c>
      <c r="L398" s="47" t="s">
        <v>2259</v>
      </c>
      <c r="M398" s="47" t="s">
        <v>2260</v>
      </c>
      <c r="N398" s="47" t="s">
        <v>2261</v>
      </c>
      <c r="O398" s="47" t="s">
        <v>4586</v>
      </c>
      <c r="P398" s="47" t="s">
        <v>4587</v>
      </c>
      <c r="Q398" s="47" t="s">
        <v>4588</v>
      </c>
      <c r="R398" s="47" t="s">
        <v>4589</v>
      </c>
      <c r="S398" s="47" t="s">
        <v>4590</v>
      </c>
      <c r="T398" s="47" t="s">
        <v>4591</v>
      </c>
    </row>
    <row r="399" spans="1:21" x14ac:dyDescent="0.2">
      <c r="A399" s="47" t="s">
        <v>29</v>
      </c>
    </row>
    <row r="400" spans="1:21" x14ac:dyDescent="0.2">
      <c r="A400" s="47" t="s">
        <v>29</v>
      </c>
      <c r="E400" s="47" t="s">
        <v>30</v>
      </c>
      <c r="F400" s="47" t="s">
        <v>30</v>
      </c>
      <c r="G400" s="47" t="s">
        <v>30</v>
      </c>
      <c r="J400" s="47" t="s">
        <v>30</v>
      </c>
      <c r="K400" s="47" t="s">
        <v>30</v>
      </c>
      <c r="L400" s="47" t="s">
        <v>30</v>
      </c>
      <c r="M400" s="47" t="s">
        <v>30</v>
      </c>
    </row>
    <row r="401" spans="1:21" x14ac:dyDescent="0.2">
      <c r="A401" s="47" t="s">
        <v>29</v>
      </c>
      <c r="D401" s="47" t="s">
        <v>4592</v>
      </c>
      <c r="E401" s="47" t="s">
        <v>4305</v>
      </c>
      <c r="F401" s="47" t="s">
        <v>4593</v>
      </c>
      <c r="H401" s="47" t="s">
        <v>4594</v>
      </c>
      <c r="O401" s="47" t="s">
        <v>9720</v>
      </c>
      <c r="P401" s="47" t="s">
        <v>9721</v>
      </c>
      <c r="Q401" s="47" t="s">
        <v>9722</v>
      </c>
      <c r="R401" s="47" t="s">
        <v>9723</v>
      </c>
      <c r="S401" s="47" t="s">
        <v>9724</v>
      </c>
      <c r="T401" s="47" t="s">
        <v>9725</v>
      </c>
      <c r="U401" s="47" t="s">
        <v>9726</v>
      </c>
    </row>
    <row r="402" spans="1:21" x14ac:dyDescent="0.2">
      <c r="A402" s="47" t="s">
        <v>29</v>
      </c>
      <c r="D402" s="47" t="s">
        <v>3263</v>
      </c>
      <c r="G402" s="47" t="s">
        <v>4595</v>
      </c>
      <c r="H402" s="47" t="s">
        <v>3264</v>
      </c>
      <c r="I402" s="47" t="s">
        <v>3265</v>
      </c>
      <c r="J402" s="47" t="s">
        <v>3266</v>
      </c>
      <c r="K402" s="47" t="s">
        <v>3267</v>
      </c>
      <c r="L402" s="47" t="s">
        <v>3268</v>
      </c>
      <c r="M402" s="47" t="s">
        <v>3269</v>
      </c>
      <c r="N402" s="47" t="s">
        <v>3270</v>
      </c>
      <c r="O402" s="47" t="s">
        <v>4596</v>
      </c>
      <c r="P402" s="47" t="s">
        <v>4597</v>
      </c>
      <c r="Q402" s="47" t="s">
        <v>4598</v>
      </c>
      <c r="R402" s="47" t="s">
        <v>4599</v>
      </c>
      <c r="S402" s="47" t="s">
        <v>4600</v>
      </c>
      <c r="T402" s="47" t="s">
        <v>4601</v>
      </c>
    </row>
    <row r="403" spans="1:21" x14ac:dyDescent="0.2">
      <c r="A403" s="47" t="s">
        <v>29</v>
      </c>
    </row>
    <row r="404" spans="1:21" x14ac:dyDescent="0.2">
      <c r="A404" s="47" t="s">
        <v>29</v>
      </c>
      <c r="E404" s="47" t="s">
        <v>30</v>
      </c>
      <c r="F404" s="47" t="s">
        <v>30</v>
      </c>
      <c r="G404" s="47" t="s">
        <v>30</v>
      </c>
      <c r="J404" s="47" t="s">
        <v>30</v>
      </c>
      <c r="K404" s="47" t="s">
        <v>30</v>
      </c>
      <c r="L404" s="47" t="s">
        <v>30</v>
      </c>
      <c r="M404" s="47" t="s">
        <v>30</v>
      </c>
    </row>
    <row r="405" spans="1:21" x14ac:dyDescent="0.2">
      <c r="A405" s="47" t="s">
        <v>29</v>
      </c>
      <c r="D405" s="47" t="s">
        <v>9338</v>
      </c>
      <c r="E405" s="47" t="s">
        <v>6533</v>
      </c>
      <c r="F405" s="47" t="s">
        <v>9339</v>
      </c>
      <c r="H405" s="47" t="s">
        <v>9340</v>
      </c>
      <c r="O405" s="47" t="s">
        <v>9727</v>
      </c>
      <c r="P405" s="47" t="s">
        <v>9728</v>
      </c>
      <c r="Q405" s="47" t="s">
        <v>9729</v>
      </c>
      <c r="R405" s="47" t="s">
        <v>9730</v>
      </c>
      <c r="S405" s="47" t="s">
        <v>9731</v>
      </c>
      <c r="T405" s="47" t="s">
        <v>9732</v>
      </c>
      <c r="U405" s="47" t="s">
        <v>9733</v>
      </c>
    </row>
    <row r="406" spans="1:21" x14ac:dyDescent="0.2">
      <c r="A406" s="47" t="s">
        <v>29</v>
      </c>
      <c r="D406" s="47" t="s">
        <v>6112</v>
      </c>
      <c r="G406" s="47" t="s">
        <v>9341</v>
      </c>
      <c r="H406" s="47" t="s">
        <v>6113</v>
      </c>
      <c r="I406" s="47" t="s">
        <v>6114</v>
      </c>
      <c r="J406" s="47" t="s">
        <v>6115</v>
      </c>
      <c r="K406" s="47" t="s">
        <v>6116</v>
      </c>
      <c r="L406" s="47" t="s">
        <v>6117</v>
      </c>
      <c r="M406" s="47" t="s">
        <v>6118</v>
      </c>
      <c r="N406" s="47" t="s">
        <v>6119</v>
      </c>
      <c r="O406" s="47" t="s">
        <v>6120</v>
      </c>
      <c r="P406" s="47" t="s">
        <v>6121</v>
      </c>
      <c r="Q406" s="47" t="s">
        <v>6122</v>
      </c>
      <c r="R406" s="47" t="s">
        <v>6123</v>
      </c>
      <c r="S406" s="47" t="s">
        <v>6124</v>
      </c>
      <c r="T406" s="47" t="s">
        <v>6125</v>
      </c>
    </row>
    <row r="407" spans="1:21" x14ac:dyDescent="0.2">
      <c r="A407" s="47" t="s">
        <v>29</v>
      </c>
      <c r="D407" s="47" t="s">
        <v>5364</v>
      </c>
      <c r="G407" s="47" t="s">
        <v>8764</v>
      </c>
      <c r="H407" s="47" t="s">
        <v>5729</v>
      </c>
      <c r="I407" s="47" t="s">
        <v>5731</v>
      </c>
      <c r="J407" s="47" t="s">
        <v>5745</v>
      </c>
      <c r="K407" s="47" t="s">
        <v>5747</v>
      </c>
      <c r="L407" s="47" t="s">
        <v>5365</v>
      </c>
      <c r="M407" s="47" t="s">
        <v>5366</v>
      </c>
      <c r="N407" s="47" t="s">
        <v>5367</v>
      </c>
      <c r="O407" s="47" t="s">
        <v>7821</v>
      </c>
      <c r="P407" s="47" t="s">
        <v>7822</v>
      </c>
      <c r="Q407" s="47" t="s">
        <v>7823</v>
      </c>
      <c r="R407" s="47" t="s">
        <v>7824</v>
      </c>
      <c r="S407" s="47" t="s">
        <v>7825</v>
      </c>
      <c r="T407" s="47" t="s">
        <v>7826</v>
      </c>
    </row>
    <row r="408" spans="1:21" x14ac:dyDescent="0.2">
      <c r="A408" s="47" t="s">
        <v>29</v>
      </c>
    </row>
    <row r="409" spans="1:21" x14ac:dyDescent="0.2">
      <c r="A409" s="47" t="s">
        <v>29</v>
      </c>
      <c r="E409" s="47" t="s">
        <v>30</v>
      </c>
      <c r="F409" s="47" t="s">
        <v>30</v>
      </c>
      <c r="G409" s="47" t="s">
        <v>30</v>
      </c>
      <c r="J409" s="47" t="s">
        <v>30</v>
      </c>
      <c r="K409" s="47" t="s">
        <v>30</v>
      </c>
      <c r="L409" s="47" t="s">
        <v>30</v>
      </c>
      <c r="M409" s="47" t="s">
        <v>30</v>
      </c>
    </row>
    <row r="410" spans="1:21" x14ac:dyDescent="0.2">
      <c r="A410" s="47" t="s">
        <v>29</v>
      </c>
      <c r="D410" s="47" t="s">
        <v>7568</v>
      </c>
      <c r="E410" s="47" t="s">
        <v>4306</v>
      </c>
      <c r="F410" s="47" t="s">
        <v>7569</v>
      </c>
      <c r="H410" s="47" t="s">
        <v>7570</v>
      </c>
      <c r="O410" s="47" t="s">
        <v>9734</v>
      </c>
      <c r="P410" s="47" t="s">
        <v>9735</v>
      </c>
      <c r="Q410" s="47" t="s">
        <v>9736</v>
      </c>
      <c r="R410" s="47" t="s">
        <v>9737</v>
      </c>
      <c r="S410" s="47" t="s">
        <v>9738</v>
      </c>
      <c r="T410" s="47" t="s">
        <v>9739</v>
      </c>
      <c r="U410" s="47" t="s">
        <v>9740</v>
      </c>
    </row>
    <row r="411" spans="1:21" x14ac:dyDescent="0.2">
      <c r="A411" s="47" t="s">
        <v>29</v>
      </c>
      <c r="D411" s="47" t="s">
        <v>1771</v>
      </c>
      <c r="G411" s="47" t="s">
        <v>7571</v>
      </c>
      <c r="H411" s="47" t="s">
        <v>1772</v>
      </c>
      <c r="I411" s="47" t="s">
        <v>1773</v>
      </c>
      <c r="J411" s="47" t="s">
        <v>1774</v>
      </c>
      <c r="K411" s="47" t="s">
        <v>1775</v>
      </c>
      <c r="L411" s="47" t="s">
        <v>1776</v>
      </c>
      <c r="M411" s="47" t="s">
        <v>1777</v>
      </c>
      <c r="N411" s="47" t="s">
        <v>1778</v>
      </c>
      <c r="O411" s="47" t="s">
        <v>7815</v>
      </c>
      <c r="P411" s="47" t="s">
        <v>7816</v>
      </c>
      <c r="Q411" s="47" t="s">
        <v>7817</v>
      </c>
      <c r="R411" s="47" t="s">
        <v>7818</v>
      </c>
      <c r="S411" s="47" t="s">
        <v>7819</v>
      </c>
      <c r="T411" s="47" t="s">
        <v>7820</v>
      </c>
    </row>
    <row r="412" spans="1:21" x14ac:dyDescent="0.2">
      <c r="A412" s="47" t="s">
        <v>29</v>
      </c>
    </row>
    <row r="413" spans="1:21" x14ac:dyDescent="0.2">
      <c r="A413" s="47" t="s">
        <v>29</v>
      </c>
      <c r="E413" s="47" t="s">
        <v>30</v>
      </c>
      <c r="F413" s="47" t="s">
        <v>30</v>
      </c>
      <c r="G413" s="47" t="s">
        <v>30</v>
      </c>
      <c r="J413" s="47" t="s">
        <v>30</v>
      </c>
      <c r="K413" s="47" t="s">
        <v>30</v>
      </c>
      <c r="L413" s="47" t="s">
        <v>30</v>
      </c>
      <c r="M413" s="47" t="s">
        <v>30</v>
      </c>
    </row>
    <row r="414" spans="1:21" x14ac:dyDescent="0.2">
      <c r="A414" s="47" t="s">
        <v>29</v>
      </c>
      <c r="D414" s="47" t="s">
        <v>9741</v>
      </c>
      <c r="E414" s="47" t="s">
        <v>4307</v>
      </c>
      <c r="F414" s="47" t="s">
        <v>9742</v>
      </c>
      <c r="H414" s="47" t="s">
        <v>9743</v>
      </c>
      <c r="O414" s="47" t="s">
        <v>9744</v>
      </c>
      <c r="P414" s="47" t="s">
        <v>9745</v>
      </c>
      <c r="Q414" s="47" t="s">
        <v>9746</v>
      </c>
      <c r="R414" s="47" t="s">
        <v>9747</v>
      </c>
      <c r="S414" s="47" t="s">
        <v>9748</v>
      </c>
      <c r="T414" s="47" t="s">
        <v>9749</v>
      </c>
      <c r="U414" s="47" t="s">
        <v>9750</v>
      </c>
    </row>
    <row r="415" spans="1:21" x14ac:dyDescent="0.2">
      <c r="A415" s="47" t="s">
        <v>29</v>
      </c>
      <c r="D415" s="47" t="s">
        <v>1130</v>
      </c>
      <c r="G415" s="47" t="s">
        <v>9751</v>
      </c>
      <c r="H415" s="47" t="s">
        <v>1131</v>
      </c>
      <c r="I415" s="47" t="s">
        <v>1132</v>
      </c>
      <c r="J415" s="47" t="s">
        <v>1133</v>
      </c>
      <c r="K415" s="47" t="s">
        <v>1134</v>
      </c>
      <c r="L415" s="47" t="s">
        <v>1135</v>
      </c>
      <c r="M415" s="47" t="s">
        <v>1136</v>
      </c>
      <c r="N415" s="47" t="s">
        <v>1137</v>
      </c>
      <c r="O415" s="47" t="s">
        <v>6126</v>
      </c>
      <c r="P415" s="47" t="s">
        <v>6127</v>
      </c>
      <c r="Q415" s="47" t="s">
        <v>6128</v>
      </c>
      <c r="R415" s="47" t="s">
        <v>6129</v>
      </c>
      <c r="S415" s="47" t="s">
        <v>6130</v>
      </c>
      <c r="T415" s="47" t="s">
        <v>6131</v>
      </c>
    </row>
    <row r="416" spans="1:21" x14ac:dyDescent="0.2">
      <c r="A416" s="47" t="s">
        <v>29</v>
      </c>
    </row>
    <row r="417" spans="1:21" x14ac:dyDescent="0.2">
      <c r="A417" s="47" t="s">
        <v>29</v>
      </c>
      <c r="E417" s="47" t="s">
        <v>30</v>
      </c>
      <c r="F417" s="47" t="s">
        <v>30</v>
      </c>
      <c r="G417" s="47" t="s">
        <v>30</v>
      </c>
      <c r="J417" s="47" t="s">
        <v>30</v>
      </c>
      <c r="K417" s="47" t="s">
        <v>30</v>
      </c>
      <c r="L417" s="47" t="s">
        <v>30</v>
      </c>
      <c r="M417" s="47" t="s">
        <v>30</v>
      </c>
    </row>
    <row r="418" spans="1:21" x14ac:dyDescent="0.2">
      <c r="A418" s="47" t="s">
        <v>29</v>
      </c>
      <c r="D418" s="47" t="s">
        <v>9752</v>
      </c>
      <c r="E418" s="47" t="s">
        <v>4308</v>
      </c>
      <c r="F418" s="47" t="s">
        <v>9753</v>
      </c>
      <c r="H418" s="47" t="s">
        <v>9754</v>
      </c>
      <c r="O418" s="47" t="s">
        <v>9755</v>
      </c>
      <c r="P418" s="47" t="s">
        <v>9756</v>
      </c>
      <c r="Q418" s="47" t="s">
        <v>9757</v>
      </c>
      <c r="R418" s="47" t="s">
        <v>9758</v>
      </c>
      <c r="S418" s="47" t="s">
        <v>9759</v>
      </c>
      <c r="T418" s="47" t="s">
        <v>9760</v>
      </c>
      <c r="U418" s="47" t="s">
        <v>9761</v>
      </c>
    </row>
    <row r="419" spans="1:21" x14ac:dyDescent="0.2">
      <c r="A419" s="47" t="s">
        <v>29</v>
      </c>
      <c r="D419" s="47" t="s">
        <v>6132</v>
      </c>
      <c r="G419" s="47" t="s">
        <v>9762</v>
      </c>
      <c r="H419" s="47" t="s">
        <v>6133</v>
      </c>
      <c r="I419" s="47" t="s">
        <v>6134</v>
      </c>
      <c r="J419" s="47" t="s">
        <v>6135</v>
      </c>
      <c r="K419" s="47" t="s">
        <v>6136</v>
      </c>
      <c r="L419" s="47" t="s">
        <v>6137</v>
      </c>
      <c r="M419" s="47" t="s">
        <v>6138</v>
      </c>
      <c r="N419" s="47" t="s">
        <v>6139</v>
      </c>
      <c r="O419" s="47" t="s">
        <v>6140</v>
      </c>
      <c r="P419" s="47" t="s">
        <v>6141</v>
      </c>
      <c r="Q419" s="47" t="s">
        <v>6142</v>
      </c>
      <c r="R419" s="47" t="s">
        <v>6143</v>
      </c>
      <c r="S419" s="47" t="s">
        <v>6144</v>
      </c>
      <c r="T419" s="47" t="s">
        <v>6145</v>
      </c>
    </row>
    <row r="420" spans="1:21" x14ac:dyDescent="0.2">
      <c r="A420" s="47" t="s">
        <v>29</v>
      </c>
    </row>
    <row r="421" spans="1:21" x14ac:dyDescent="0.2">
      <c r="A421" s="47" t="s">
        <v>29</v>
      </c>
      <c r="E421" s="47" t="s">
        <v>30</v>
      </c>
      <c r="F421" s="47" t="s">
        <v>30</v>
      </c>
      <c r="G421" s="47" t="s">
        <v>30</v>
      </c>
      <c r="J421" s="47" t="s">
        <v>30</v>
      </c>
      <c r="K421" s="47" t="s">
        <v>30</v>
      </c>
      <c r="L421" s="47" t="s">
        <v>30</v>
      </c>
      <c r="M421" s="47" t="s">
        <v>30</v>
      </c>
    </row>
    <row r="422" spans="1:21" x14ac:dyDescent="0.2">
      <c r="A422" s="47" t="s">
        <v>29</v>
      </c>
      <c r="D422" s="47" t="s">
        <v>6146</v>
      </c>
      <c r="E422" s="47" t="s">
        <v>4309</v>
      </c>
      <c r="F422" s="47" t="s">
        <v>6147</v>
      </c>
      <c r="H422" s="47" t="s">
        <v>6148</v>
      </c>
      <c r="O422" s="47" t="s">
        <v>9763</v>
      </c>
      <c r="P422" s="47" t="s">
        <v>9764</v>
      </c>
      <c r="Q422" s="47" t="s">
        <v>9765</v>
      </c>
      <c r="R422" s="47" t="s">
        <v>9766</v>
      </c>
      <c r="S422" s="47" t="s">
        <v>9767</v>
      </c>
      <c r="T422" s="47" t="s">
        <v>9768</v>
      </c>
      <c r="U422" s="47" t="s">
        <v>9769</v>
      </c>
    </row>
    <row r="423" spans="1:21" x14ac:dyDescent="0.2">
      <c r="A423" s="47" t="s">
        <v>29</v>
      </c>
      <c r="D423" s="47" t="s">
        <v>3315</v>
      </c>
      <c r="G423" s="47" t="s">
        <v>6149</v>
      </c>
      <c r="H423" s="47" t="s">
        <v>3316</v>
      </c>
      <c r="I423" s="47" t="s">
        <v>3317</v>
      </c>
      <c r="J423" s="47" t="s">
        <v>3318</v>
      </c>
      <c r="K423" s="47" t="s">
        <v>3319</v>
      </c>
      <c r="L423" s="47" t="s">
        <v>3320</v>
      </c>
      <c r="M423" s="47" t="s">
        <v>3321</v>
      </c>
      <c r="N423" s="47" t="s">
        <v>3322</v>
      </c>
      <c r="O423" s="47" t="s">
        <v>6150</v>
      </c>
      <c r="P423" s="47" t="s">
        <v>6151</v>
      </c>
      <c r="Q423" s="47" t="s">
        <v>6152</v>
      </c>
      <c r="R423" s="47" t="s">
        <v>6153</v>
      </c>
      <c r="S423" s="47" t="s">
        <v>6154</v>
      </c>
      <c r="T423" s="47" t="s">
        <v>6155</v>
      </c>
    </row>
    <row r="424" spans="1:21" x14ac:dyDescent="0.2">
      <c r="A424" s="47" t="s">
        <v>29</v>
      </c>
    </row>
    <row r="425" spans="1:21" x14ac:dyDescent="0.2">
      <c r="A425" s="47" t="s">
        <v>29</v>
      </c>
      <c r="E425" s="47" t="s">
        <v>30</v>
      </c>
      <c r="F425" s="47" t="s">
        <v>30</v>
      </c>
      <c r="G425" s="47" t="s">
        <v>30</v>
      </c>
      <c r="J425" s="47" t="s">
        <v>30</v>
      </c>
      <c r="K425" s="47" t="s">
        <v>30</v>
      </c>
      <c r="L425" s="47" t="s">
        <v>30</v>
      </c>
      <c r="M425" s="47" t="s">
        <v>30</v>
      </c>
    </row>
    <row r="426" spans="1:21" x14ac:dyDescent="0.2">
      <c r="A426" s="47" t="s">
        <v>29</v>
      </c>
      <c r="D426" s="47" t="s">
        <v>9770</v>
      </c>
      <c r="E426" s="47" t="s">
        <v>4310</v>
      </c>
      <c r="F426" s="47" t="s">
        <v>9771</v>
      </c>
      <c r="H426" s="47" t="s">
        <v>9772</v>
      </c>
      <c r="O426" s="47" t="s">
        <v>9773</v>
      </c>
      <c r="P426" s="47" t="s">
        <v>9774</v>
      </c>
      <c r="Q426" s="47" t="s">
        <v>9775</v>
      </c>
      <c r="R426" s="47" t="s">
        <v>9776</v>
      </c>
      <c r="S426" s="47" t="s">
        <v>9777</v>
      </c>
      <c r="T426" s="47" t="s">
        <v>9778</v>
      </c>
      <c r="U426" s="47" t="s">
        <v>9779</v>
      </c>
    </row>
    <row r="427" spans="1:21" x14ac:dyDescent="0.2">
      <c r="A427" s="47" t="s">
        <v>29</v>
      </c>
      <c r="D427" s="47" t="s">
        <v>1146</v>
      </c>
      <c r="G427" s="47" t="s">
        <v>9780</v>
      </c>
      <c r="H427" s="47" t="s">
        <v>1147</v>
      </c>
      <c r="I427" s="47" t="s">
        <v>1148</v>
      </c>
      <c r="J427" s="47" t="s">
        <v>1149</v>
      </c>
      <c r="K427" s="47" t="s">
        <v>1150</v>
      </c>
      <c r="L427" s="47" t="s">
        <v>1151</v>
      </c>
      <c r="M427" s="47" t="s">
        <v>1152</v>
      </c>
      <c r="N427" s="47" t="s">
        <v>1153</v>
      </c>
      <c r="O427" s="47" t="s">
        <v>4847</v>
      </c>
      <c r="P427" s="47" t="s">
        <v>4848</v>
      </c>
      <c r="Q427" s="47" t="s">
        <v>4849</v>
      </c>
      <c r="R427" s="47" t="s">
        <v>4850</v>
      </c>
      <c r="S427" s="47" t="s">
        <v>4851</v>
      </c>
      <c r="T427" s="47" t="s">
        <v>4852</v>
      </c>
    </row>
    <row r="428" spans="1:21" x14ac:dyDescent="0.2">
      <c r="A428" s="47" t="s">
        <v>29</v>
      </c>
    </row>
    <row r="429" spans="1:21" x14ac:dyDescent="0.2">
      <c r="A429" s="47" t="s">
        <v>29</v>
      </c>
      <c r="E429" s="47" t="s">
        <v>30</v>
      </c>
      <c r="F429" s="47" t="s">
        <v>30</v>
      </c>
      <c r="G429" s="47" t="s">
        <v>30</v>
      </c>
      <c r="J429" s="47" t="s">
        <v>30</v>
      </c>
      <c r="K429" s="47" t="s">
        <v>30</v>
      </c>
      <c r="L429" s="47" t="s">
        <v>30</v>
      </c>
      <c r="M429" s="47" t="s">
        <v>30</v>
      </c>
    </row>
    <row r="430" spans="1:21" x14ac:dyDescent="0.2">
      <c r="A430" s="47" t="s">
        <v>29</v>
      </c>
      <c r="D430" s="47" t="s">
        <v>9781</v>
      </c>
      <c r="E430" s="47" t="s">
        <v>4311</v>
      </c>
      <c r="F430" s="47" t="s">
        <v>9782</v>
      </c>
      <c r="H430" s="47" t="s">
        <v>9783</v>
      </c>
      <c r="O430" s="47" t="s">
        <v>9784</v>
      </c>
      <c r="P430" s="47" t="s">
        <v>9785</v>
      </c>
      <c r="Q430" s="47" t="s">
        <v>9786</v>
      </c>
      <c r="R430" s="47" t="s">
        <v>9787</v>
      </c>
      <c r="S430" s="47" t="s">
        <v>9788</v>
      </c>
      <c r="T430" s="47" t="s">
        <v>9789</v>
      </c>
      <c r="U430" s="47" t="s">
        <v>9790</v>
      </c>
    </row>
    <row r="431" spans="1:21" x14ac:dyDescent="0.2">
      <c r="A431" s="47" t="s">
        <v>29</v>
      </c>
      <c r="D431" s="47" t="s">
        <v>7572</v>
      </c>
      <c r="G431" s="47" t="s">
        <v>9791</v>
      </c>
      <c r="H431" s="47" t="s">
        <v>7805</v>
      </c>
      <c r="I431" s="47" t="s">
        <v>7806</v>
      </c>
      <c r="J431" s="47" t="s">
        <v>7813</v>
      </c>
      <c r="K431" s="47" t="s">
        <v>7814</v>
      </c>
      <c r="L431" s="47" t="s">
        <v>7573</v>
      </c>
      <c r="M431" s="47" t="s">
        <v>7574</v>
      </c>
      <c r="N431" s="47" t="s">
        <v>7575</v>
      </c>
      <c r="O431" s="47" t="s">
        <v>7807</v>
      </c>
      <c r="P431" s="47" t="s">
        <v>7808</v>
      </c>
      <c r="Q431" s="47" t="s">
        <v>7809</v>
      </c>
      <c r="R431" s="47" t="s">
        <v>7810</v>
      </c>
      <c r="S431" s="47" t="s">
        <v>7811</v>
      </c>
      <c r="T431" s="47" t="s">
        <v>7812</v>
      </c>
    </row>
    <row r="432" spans="1:21" x14ac:dyDescent="0.2">
      <c r="A432" s="47" t="s">
        <v>29</v>
      </c>
    </row>
    <row r="433" spans="1:21" x14ac:dyDescent="0.2">
      <c r="A433" s="47" t="s">
        <v>29</v>
      </c>
      <c r="E433" s="47" t="s">
        <v>30</v>
      </c>
      <c r="F433" s="47" t="s">
        <v>30</v>
      </c>
      <c r="G433" s="47" t="s">
        <v>30</v>
      </c>
      <c r="J433" s="47" t="s">
        <v>30</v>
      </c>
      <c r="K433" s="47" t="s">
        <v>30</v>
      </c>
      <c r="L433" s="47" t="s">
        <v>30</v>
      </c>
      <c r="M433" s="47" t="s">
        <v>30</v>
      </c>
    </row>
    <row r="434" spans="1:21" x14ac:dyDescent="0.2">
      <c r="A434" s="47" t="s">
        <v>29</v>
      </c>
      <c r="D434" s="47" t="s">
        <v>9342</v>
      </c>
      <c r="E434" s="47" t="s">
        <v>6534</v>
      </c>
      <c r="F434" s="47" t="s">
        <v>9343</v>
      </c>
      <c r="H434" s="47" t="s">
        <v>9344</v>
      </c>
      <c r="O434" s="47" t="s">
        <v>9792</v>
      </c>
      <c r="P434" s="47" t="s">
        <v>9793</v>
      </c>
      <c r="Q434" s="47" t="s">
        <v>9794</v>
      </c>
      <c r="R434" s="47" t="s">
        <v>9795</v>
      </c>
      <c r="S434" s="47" t="s">
        <v>9796</v>
      </c>
      <c r="T434" s="47" t="s">
        <v>9797</v>
      </c>
      <c r="U434" s="47" t="s">
        <v>9798</v>
      </c>
    </row>
    <row r="435" spans="1:21" x14ac:dyDescent="0.2">
      <c r="A435" s="47" t="s">
        <v>29</v>
      </c>
      <c r="D435" s="47" t="s">
        <v>3333</v>
      </c>
      <c r="G435" s="47" t="s">
        <v>9345</v>
      </c>
      <c r="H435" s="47" t="s">
        <v>3334</v>
      </c>
      <c r="I435" s="47" t="s">
        <v>3335</v>
      </c>
      <c r="J435" s="47" t="s">
        <v>3336</v>
      </c>
      <c r="K435" s="47" t="s">
        <v>3337</v>
      </c>
      <c r="L435" s="47" t="s">
        <v>3338</v>
      </c>
      <c r="M435" s="47" t="s">
        <v>3339</v>
      </c>
      <c r="N435" s="47" t="s">
        <v>3340</v>
      </c>
      <c r="O435" s="47" t="s">
        <v>8247</v>
      </c>
      <c r="P435" s="47" t="s">
        <v>8248</v>
      </c>
      <c r="Q435" s="47" t="s">
        <v>8249</v>
      </c>
      <c r="R435" s="47" t="s">
        <v>8250</v>
      </c>
      <c r="S435" s="47" t="s">
        <v>8251</v>
      </c>
      <c r="T435" s="47" t="s">
        <v>8252</v>
      </c>
    </row>
    <row r="436" spans="1:21" x14ac:dyDescent="0.2">
      <c r="A436" s="47" t="s">
        <v>29</v>
      </c>
    </row>
    <row r="437" spans="1:21" x14ac:dyDescent="0.2">
      <c r="A437" s="47" t="s">
        <v>29</v>
      </c>
      <c r="E437" s="47" t="s">
        <v>30</v>
      </c>
      <c r="F437" s="47" t="s">
        <v>30</v>
      </c>
      <c r="G437" s="47" t="s">
        <v>30</v>
      </c>
      <c r="J437" s="47" t="s">
        <v>30</v>
      </c>
      <c r="K437" s="47" t="s">
        <v>30</v>
      </c>
      <c r="L437" s="47" t="s">
        <v>30</v>
      </c>
      <c r="M437" s="47" t="s">
        <v>30</v>
      </c>
    </row>
    <row r="438" spans="1:21" x14ac:dyDescent="0.2">
      <c r="A438" s="47" t="s">
        <v>29</v>
      </c>
      <c r="D438" s="47" t="s">
        <v>5386</v>
      </c>
      <c r="E438" s="47" t="s">
        <v>4312</v>
      </c>
      <c r="F438" s="47" t="s">
        <v>5387</v>
      </c>
      <c r="H438" s="47" t="s">
        <v>5388</v>
      </c>
      <c r="O438" s="47" t="s">
        <v>9231</v>
      </c>
      <c r="P438" s="47" t="s">
        <v>9232</v>
      </c>
      <c r="Q438" s="47" t="s">
        <v>9233</v>
      </c>
      <c r="R438" s="47" t="s">
        <v>9234</v>
      </c>
      <c r="S438" s="47" t="s">
        <v>9235</v>
      </c>
      <c r="T438" s="47" t="s">
        <v>9236</v>
      </c>
      <c r="U438" s="47" t="s">
        <v>9237</v>
      </c>
    </row>
    <row r="439" spans="1:21" x14ac:dyDescent="0.2">
      <c r="A439" s="47" t="s">
        <v>29</v>
      </c>
      <c r="D439" s="47" t="s">
        <v>1162</v>
      </c>
      <c r="G439" s="47" t="s">
        <v>8135</v>
      </c>
      <c r="H439" s="47" t="s">
        <v>1163</v>
      </c>
      <c r="I439" s="47" t="s">
        <v>1164</v>
      </c>
      <c r="J439" s="47" t="s">
        <v>1165</v>
      </c>
      <c r="K439" s="47" t="s">
        <v>1166</v>
      </c>
      <c r="L439" s="47" t="s">
        <v>1167</v>
      </c>
      <c r="M439" s="47" t="s">
        <v>1168</v>
      </c>
      <c r="N439" s="47" t="s">
        <v>1169</v>
      </c>
      <c r="O439" s="47" t="s">
        <v>8241</v>
      </c>
      <c r="P439" s="47" t="s">
        <v>8242</v>
      </c>
      <c r="Q439" s="47" t="s">
        <v>8243</v>
      </c>
      <c r="R439" s="47" t="s">
        <v>8244</v>
      </c>
      <c r="S439" s="47" t="s">
        <v>8245</v>
      </c>
      <c r="T439" s="47" t="s">
        <v>8246</v>
      </c>
    </row>
    <row r="440" spans="1:21" x14ac:dyDescent="0.2">
      <c r="A440" s="47" t="s">
        <v>29</v>
      </c>
    </row>
    <row r="441" spans="1:21" x14ac:dyDescent="0.2">
      <c r="A441" s="47" t="s">
        <v>29</v>
      </c>
      <c r="E441" s="47" t="s">
        <v>30</v>
      </c>
      <c r="F441" s="47" t="s">
        <v>30</v>
      </c>
      <c r="G441" s="47" t="s">
        <v>30</v>
      </c>
      <c r="J441" s="47" t="s">
        <v>30</v>
      </c>
      <c r="K441" s="47" t="s">
        <v>30</v>
      </c>
      <c r="L441" s="47" t="s">
        <v>30</v>
      </c>
      <c r="M441" s="47" t="s">
        <v>30</v>
      </c>
    </row>
    <row r="442" spans="1:21" x14ac:dyDescent="0.2">
      <c r="A442" s="47" t="s">
        <v>29</v>
      </c>
      <c r="D442" s="47" t="s">
        <v>9238</v>
      </c>
      <c r="E442" s="47" t="s">
        <v>4313</v>
      </c>
      <c r="F442" s="47" t="s">
        <v>9239</v>
      </c>
      <c r="H442" s="47" t="s">
        <v>9240</v>
      </c>
      <c r="O442" s="47" t="s">
        <v>9799</v>
      </c>
      <c r="P442" s="47" t="s">
        <v>9800</v>
      </c>
      <c r="Q442" s="47" t="s">
        <v>9801</v>
      </c>
      <c r="R442" s="47" t="s">
        <v>9802</v>
      </c>
      <c r="S442" s="47" t="s">
        <v>9803</v>
      </c>
      <c r="T442" s="47" t="s">
        <v>9804</v>
      </c>
      <c r="U442" s="47" t="s">
        <v>9805</v>
      </c>
    </row>
    <row r="443" spans="1:21" x14ac:dyDescent="0.2">
      <c r="A443" s="47" t="s">
        <v>29</v>
      </c>
      <c r="D443" s="47" t="s">
        <v>6389</v>
      </c>
      <c r="G443" s="47" t="s">
        <v>9241</v>
      </c>
      <c r="H443" s="47" t="s">
        <v>6810</v>
      </c>
      <c r="I443" s="47" t="s">
        <v>6812</v>
      </c>
      <c r="J443" s="47" t="s">
        <v>6832</v>
      </c>
      <c r="K443" s="47" t="s">
        <v>6834</v>
      </c>
      <c r="L443" s="47" t="s">
        <v>6390</v>
      </c>
      <c r="M443" s="47" t="s">
        <v>6391</v>
      </c>
      <c r="N443" s="47" t="s">
        <v>6392</v>
      </c>
      <c r="O443" s="47" t="s">
        <v>7799</v>
      </c>
      <c r="P443" s="47" t="s">
        <v>7800</v>
      </c>
      <c r="Q443" s="47" t="s">
        <v>7801</v>
      </c>
      <c r="R443" s="47" t="s">
        <v>7802</v>
      </c>
      <c r="S443" s="47" t="s">
        <v>7803</v>
      </c>
      <c r="T443" s="47" t="s">
        <v>7804</v>
      </c>
    </row>
    <row r="444" spans="1:21" x14ac:dyDescent="0.2">
      <c r="A444" s="47" t="s">
        <v>29</v>
      </c>
    </row>
    <row r="445" spans="1:21" x14ac:dyDescent="0.2">
      <c r="A445" s="47" t="s">
        <v>29</v>
      </c>
      <c r="E445" s="47" t="s">
        <v>30</v>
      </c>
      <c r="F445" s="47" t="s">
        <v>30</v>
      </c>
      <c r="G445" s="47" t="s">
        <v>30</v>
      </c>
      <c r="J445" s="47" t="s">
        <v>30</v>
      </c>
      <c r="K445" s="47" t="s">
        <v>30</v>
      </c>
      <c r="L445" s="47" t="s">
        <v>30</v>
      </c>
      <c r="M445" s="47" t="s">
        <v>30</v>
      </c>
    </row>
    <row r="446" spans="1:21" x14ac:dyDescent="0.2">
      <c r="A446" s="47" t="s">
        <v>29</v>
      </c>
      <c r="D446" s="47" t="s">
        <v>7576</v>
      </c>
      <c r="E446" s="47" t="s">
        <v>4314</v>
      </c>
      <c r="F446" s="47" t="s">
        <v>7577</v>
      </c>
      <c r="H446" s="47" t="s">
        <v>7578</v>
      </c>
      <c r="O446" s="47" t="s">
        <v>7579</v>
      </c>
      <c r="P446" s="47" t="s">
        <v>7580</v>
      </c>
      <c r="Q446" s="47" t="s">
        <v>7581</v>
      </c>
      <c r="R446" s="47" t="s">
        <v>7582</v>
      </c>
      <c r="S446" s="47" t="s">
        <v>7583</v>
      </c>
      <c r="T446" s="47" t="s">
        <v>7584</v>
      </c>
      <c r="U446" s="47" t="s">
        <v>7585</v>
      </c>
    </row>
    <row r="447" spans="1:21" x14ac:dyDescent="0.2">
      <c r="A447" s="47" t="s">
        <v>29</v>
      </c>
      <c r="D447" s="47" t="s">
        <v>5409</v>
      </c>
      <c r="G447" s="47" t="s">
        <v>7586</v>
      </c>
      <c r="H447" s="47" t="s">
        <v>5410</v>
      </c>
      <c r="I447" s="47" t="s">
        <v>5411</v>
      </c>
      <c r="J447" s="47" t="s">
        <v>5412</v>
      </c>
      <c r="K447" s="47" t="s">
        <v>5413</v>
      </c>
      <c r="L447" s="47" t="s">
        <v>5414</v>
      </c>
      <c r="M447" s="47" t="s">
        <v>5415</v>
      </c>
      <c r="N447" s="47" t="s">
        <v>5416</v>
      </c>
      <c r="O447" s="47" t="s">
        <v>7587</v>
      </c>
      <c r="P447" s="47" t="s">
        <v>7588</v>
      </c>
      <c r="Q447" s="47" t="s">
        <v>7589</v>
      </c>
      <c r="R447" s="47" t="s">
        <v>7590</v>
      </c>
      <c r="S447" s="47" t="s">
        <v>7591</v>
      </c>
      <c r="T447" s="47" t="s">
        <v>7592</v>
      </c>
    </row>
    <row r="448" spans="1:21" x14ac:dyDescent="0.2">
      <c r="A448" s="47" t="s">
        <v>29</v>
      </c>
    </row>
    <row r="449" spans="1:21" x14ac:dyDescent="0.2">
      <c r="A449" s="47" t="s">
        <v>29</v>
      </c>
      <c r="E449" s="47" t="s">
        <v>30</v>
      </c>
      <c r="F449" s="47" t="s">
        <v>30</v>
      </c>
      <c r="G449" s="47" t="s">
        <v>30</v>
      </c>
      <c r="J449" s="47" t="s">
        <v>30</v>
      </c>
      <c r="K449" s="47" t="s">
        <v>30</v>
      </c>
      <c r="L449" s="47" t="s">
        <v>30</v>
      </c>
      <c r="M449" s="47" t="s">
        <v>30</v>
      </c>
    </row>
    <row r="450" spans="1:21" x14ac:dyDescent="0.2">
      <c r="A450" s="47" t="s">
        <v>29</v>
      </c>
      <c r="D450" s="47" t="s">
        <v>6393</v>
      </c>
      <c r="E450" s="47" t="s">
        <v>4315</v>
      </c>
      <c r="F450" s="47" t="s">
        <v>6394</v>
      </c>
      <c r="H450" s="47" t="s">
        <v>6395</v>
      </c>
      <c r="O450" s="47" t="s">
        <v>9806</v>
      </c>
      <c r="P450" s="47" t="s">
        <v>9807</v>
      </c>
      <c r="Q450" s="47" t="s">
        <v>9808</v>
      </c>
      <c r="R450" s="47" t="s">
        <v>9809</v>
      </c>
      <c r="S450" s="47" t="s">
        <v>9810</v>
      </c>
      <c r="T450" s="47" t="s">
        <v>9811</v>
      </c>
      <c r="U450" s="47" t="s">
        <v>9812</v>
      </c>
    </row>
    <row r="451" spans="1:21" x14ac:dyDescent="0.2">
      <c r="A451" s="47" t="s">
        <v>29</v>
      </c>
      <c r="D451" s="47" t="s">
        <v>6396</v>
      </c>
      <c r="G451" s="47" t="s">
        <v>7593</v>
      </c>
      <c r="H451" s="47" t="s">
        <v>6797</v>
      </c>
      <c r="I451" s="47" t="s">
        <v>6800</v>
      </c>
      <c r="J451" s="47" t="s">
        <v>6803</v>
      </c>
      <c r="K451" s="47" t="s">
        <v>6806</v>
      </c>
      <c r="L451" s="47" t="s">
        <v>6397</v>
      </c>
      <c r="M451" s="47" t="s">
        <v>6398</v>
      </c>
      <c r="N451" s="47" t="s">
        <v>6399</v>
      </c>
      <c r="O451" s="47" t="s">
        <v>7594</v>
      </c>
      <c r="P451" s="47" t="s">
        <v>7595</v>
      </c>
      <c r="Q451" s="47" t="s">
        <v>7596</v>
      </c>
      <c r="R451" s="47" t="s">
        <v>7597</v>
      </c>
      <c r="S451" s="47" t="s">
        <v>7598</v>
      </c>
      <c r="T451" s="47" t="s">
        <v>7599</v>
      </c>
    </row>
    <row r="452" spans="1:21" x14ac:dyDescent="0.2">
      <c r="A452" s="47" t="s">
        <v>29</v>
      </c>
    </row>
    <row r="453" spans="1:21" x14ac:dyDescent="0.2">
      <c r="A453" s="47" t="s">
        <v>29</v>
      </c>
      <c r="E453" s="47" t="s">
        <v>30</v>
      </c>
      <c r="F453" s="47" t="s">
        <v>30</v>
      </c>
      <c r="G453" s="47" t="s">
        <v>30</v>
      </c>
      <c r="J453" s="47" t="s">
        <v>30</v>
      </c>
      <c r="K453" s="47" t="s">
        <v>30</v>
      </c>
      <c r="L453" s="47" t="s">
        <v>30</v>
      </c>
      <c r="M453" s="47" t="s">
        <v>30</v>
      </c>
    </row>
    <row r="454" spans="1:21" x14ac:dyDescent="0.2">
      <c r="A454" s="47" t="s">
        <v>29</v>
      </c>
      <c r="D454" s="47" t="s">
        <v>9287</v>
      </c>
      <c r="E454" s="47" t="s">
        <v>4316</v>
      </c>
      <c r="F454" s="47" t="s">
        <v>9288</v>
      </c>
      <c r="H454" s="47" t="s">
        <v>9289</v>
      </c>
      <c r="O454" s="47" t="s">
        <v>9813</v>
      </c>
      <c r="P454" s="47" t="s">
        <v>9814</v>
      </c>
      <c r="Q454" s="47" t="s">
        <v>9815</v>
      </c>
      <c r="R454" s="47" t="s">
        <v>9816</v>
      </c>
      <c r="S454" s="47" t="s">
        <v>9817</v>
      </c>
      <c r="T454" s="47" t="s">
        <v>9818</v>
      </c>
      <c r="U454" s="47" t="s">
        <v>9819</v>
      </c>
    </row>
    <row r="455" spans="1:21" x14ac:dyDescent="0.2">
      <c r="A455" s="47" t="s">
        <v>29</v>
      </c>
      <c r="D455" s="47" t="s">
        <v>6400</v>
      </c>
      <c r="G455" s="47" t="s">
        <v>9290</v>
      </c>
      <c r="H455" s="47" t="s">
        <v>6798</v>
      </c>
      <c r="I455" s="47" t="s">
        <v>6801</v>
      </c>
      <c r="J455" s="47" t="s">
        <v>6804</v>
      </c>
      <c r="K455" s="47" t="s">
        <v>6807</v>
      </c>
      <c r="L455" s="47" t="s">
        <v>6401</v>
      </c>
      <c r="M455" s="47" t="s">
        <v>6402</v>
      </c>
      <c r="N455" s="47" t="s">
        <v>6403</v>
      </c>
      <c r="O455" s="47" t="s">
        <v>8235</v>
      </c>
      <c r="P455" s="47" t="s">
        <v>8236</v>
      </c>
      <c r="Q455" s="47" t="s">
        <v>8237</v>
      </c>
      <c r="R455" s="47" t="s">
        <v>8238</v>
      </c>
      <c r="S455" s="47" t="s">
        <v>8239</v>
      </c>
      <c r="T455" s="47" t="s">
        <v>8240</v>
      </c>
    </row>
    <row r="456" spans="1:21" x14ac:dyDescent="0.2">
      <c r="A456" s="47" t="s">
        <v>29</v>
      </c>
      <c r="D456" s="47" t="s">
        <v>6404</v>
      </c>
      <c r="G456" s="47" t="s">
        <v>8773</v>
      </c>
      <c r="H456" s="47" t="s">
        <v>6799</v>
      </c>
      <c r="I456" s="47" t="s">
        <v>6802</v>
      </c>
      <c r="J456" s="47" t="s">
        <v>6805</v>
      </c>
      <c r="K456" s="47" t="s">
        <v>6808</v>
      </c>
      <c r="L456" s="47" t="s">
        <v>6405</v>
      </c>
      <c r="M456" s="47" t="s">
        <v>6406</v>
      </c>
      <c r="N456" s="47" t="s">
        <v>6407</v>
      </c>
      <c r="O456" s="47" t="s">
        <v>7600</v>
      </c>
      <c r="P456" s="47" t="s">
        <v>7601</v>
      </c>
      <c r="Q456" s="47" t="s">
        <v>7602</v>
      </c>
      <c r="R456" s="47" t="s">
        <v>7603</v>
      </c>
      <c r="S456" s="47" t="s">
        <v>7604</v>
      </c>
      <c r="T456" s="47" t="s">
        <v>7605</v>
      </c>
    </row>
    <row r="457" spans="1:21" x14ac:dyDescent="0.2">
      <c r="A457" s="47" t="s">
        <v>29</v>
      </c>
    </row>
    <row r="458" spans="1:21" x14ac:dyDescent="0.2">
      <c r="A458" s="47" t="s">
        <v>29</v>
      </c>
      <c r="E458" s="47" t="s">
        <v>30</v>
      </c>
      <c r="F458" s="47" t="s">
        <v>30</v>
      </c>
      <c r="G458" s="47" t="s">
        <v>30</v>
      </c>
      <c r="J458" s="47" t="s">
        <v>30</v>
      </c>
      <c r="K458" s="47" t="s">
        <v>30</v>
      </c>
      <c r="L458" s="47" t="s">
        <v>30</v>
      </c>
      <c r="M458" s="47" t="s">
        <v>30</v>
      </c>
    </row>
    <row r="459" spans="1:21" x14ac:dyDescent="0.2">
      <c r="A459" s="47" t="s">
        <v>29</v>
      </c>
      <c r="D459" s="47" t="s">
        <v>7923</v>
      </c>
      <c r="E459" s="47" t="s">
        <v>4317</v>
      </c>
      <c r="F459" s="47" t="s">
        <v>7924</v>
      </c>
      <c r="H459" s="47" t="s">
        <v>7925</v>
      </c>
      <c r="O459" s="47" t="s">
        <v>7926</v>
      </c>
      <c r="P459" s="47" t="s">
        <v>7927</v>
      </c>
      <c r="Q459" s="47" t="s">
        <v>7928</v>
      </c>
      <c r="R459" s="47" t="s">
        <v>7929</v>
      </c>
      <c r="S459" s="47" t="s">
        <v>7930</v>
      </c>
      <c r="T459" s="47" t="s">
        <v>7931</v>
      </c>
      <c r="U459" s="47" t="s">
        <v>7932</v>
      </c>
    </row>
    <row r="460" spans="1:21" x14ac:dyDescent="0.2">
      <c r="A460" s="47" t="s">
        <v>29</v>
      </c>
      <c r="D460" s="47" t="s">
        <v>4869</v>
      </c>
      <c r="G460" s="47" t="s">
        <v>7933</v>
      </c>
      <c r="H460" s="47" t="s">
        <v>4870</v>
      </c>
      <c r="I460" s="47" t="s">
        <v>4871</v>
      </c>
      <c r="J460" s="47" t="s">
        <v>4872</v>
      </c>
      <c r="K460" s="47" t="s">
        <v>4873</v>
      </c>
      <c r="L460" s="47" t="s">
        <v>4874</v>
      </c>
      <c r="M460" s="47" t="s">
        <v>4875</v>
      </c>
      <c r="N460" s="47" t="s">
        <v>4876</v>
      </c>
      <c r="O460" s="47" t="s">
        <v>7934</v>
      </c>
      <c r="P460" s="47" t="s">
        <v>7935</v>
      </c>
      <c r="Q460" s="47" t="s">
        <v>7936</v>
      </c>
      <c r="R460" s="47" t="s">
        <v>7937</v>
      </c>
      <c r="S460" s="47" t="s">
        <v>7938</v>
      </c>
      <c r="T460" s="47" t="s">
        <v>7939</v>
      </c>
    </row>
    <row r="461" spans="1:21" x14ac:dyDescent="0.2">
      <c r="A461" s="47" t="s">
        <v>29</v>
      </c>
      <c r="D461" s="47" t="s">
        <v>4877</v>
      </c>
      <c r="G461" s="47" t="s">
        <v>8775</v>
      </c>
      <c r="H461" s="47" t="s">
        <v>4878</v>
      </c>
      <c r="I461" s="47" t="s">
        <v>4879</v>
      </c>
      <c r="J461" s="47" t="s">
        <v>4880</v>
      </c>
      <c r="K461" s="47" t="s">
        <v>4881</v>
      </c>
      <c r="L461" s="47" t="s">
        <v>4882</v>
      </c>
      <c r="M461" s="47" t="s">
        <v>4883</v>
      </c>
      <c r="N461" s="47" t="s">
        <v>4884</v>
      </c>
      <c r="O461" s="47" t="s">
        <v>7606</v>
      </c>
      <c r="P461" s="47" t="s">
        <v>7607</v>
      </c>
      <c r="Q461" s="47" t="s">
        <v>7608</v>
      </c>
      <c r="R461" s="47" t="s">
        <v>7609</v>
      </c>
      <c r="S461" s="47" t="s">
        <v>7610</v>
      </c>
      <c r="T461" s="47" t="s">
        <v>7611</v>
      </c>
    </row>
    <row r="462" spans="1:21" x14ac:dyDescent="0.2">
      <c r="A462" s="47" t="s">
        <v>29</v>
      </c>
    </row>
    <row r="463" spans="1:21" x14ac:dyDescent="0.2">
      <c r="A463" s="47" t="s">
        <v>29</v>
      </c>
      <c r="E463" s="47" t="s">
        <v>30</v>
      </c>
      <c r="F463" s="47" t="s">
        <v>30</v>
      </c>
      <c r="G463" s="47" t="s">
        <v>30</v>
      </c>
      <c r="J463" s="47" t="s">
        <v>30</v>
      </c>
      <c r="K463" s="47" t="s">
        <v>30</v>
      </c>
      <c r="L463" s="47" t="s">
        <v>30</v>
      </c>
      <c r="M463" s="47" t="s">
        <v>30</v>
      </c>
    </row>
    <row r="464" spans="1:21" x14ac:dyDescent="0.2">
      <c r="A464" s="47" t="s">
        <v>29</v>
      </c>
      <c r="D464" s="47" t="s">
        <v>7612</v>
      </c>
      <c r="E464" s="47" t="s">
        <v>4318</v>
      </c>
      <c r="F464" s="47" t="s">
        <v>7613</v>
      </c>
      <c r="H464" s="47" t="s">
        <v>7614</v>
      </c>
      <c r="O464" s="47" t="s">
        <v>7940</v>
      </c>
      <c r="P464" s="47" t="s">
        <v>7941</v>
      </c>
      <c r="Q464" s="47" t="s">
        <v>7942</v>
      </c>
      <c r="R464" s="47" t="s">
        <v>7943</v>
      </c>
      <c r="S464" s="47" t="s">
        <v>7944</v>
      </c>
      <c r="T464" s="47" t="s">
        <v>7945</v>
      </c>
      <c r="U464" s="47" t="s">
        <v>7946</v>
      </c>
    </row>
    <row r="465" spans="1:21" x14ac:dyDescent="0.2">
      <c r="A465" s="47" t="s">
        <v>29</v>
      </c>
      <c r="D465" s="47" t="s">
        <v>4885</v>
      </c>
      <c r="G465" s="47" t="s">
        <v>7615</v>
      </c>
      <c r="H465" s="47" t="s">
        <v>4886</v>
      </c>
      <c r="I465" s="47" t="s">
        <v>4887</v>
      </c>
      <c r="J465" s="47" t="s">
        <v>4888</v>
      </c>
      <c r="K465" s="47" t="s">
        <v>4889</v>
      </c>
      <c r="L465" s="47" t="s">
        <v>4890</v>
      </c>
      <c r="M465" s="47" t="s">
        <v>4891</v>
      </c>
      <c r="N465" s="47" t="s">
        <v>4892</v>
      </c>
      <c r="O465" s="47" t="s">
        <v>7793</v>
      </c>
      <c r="P465" s="47" t="s">
        <v>7794</v>
      </c>
      <c r="Q465" s="47" t="s">
        <v>7795</v>
      </c>
      <c r="R465" s="47" t="s">
        <v>7796</v>
      </c>
      <c r="S465" s="47" t="s">
        <v>7797</v>
      </c>
      <c r="T465" s="47" t="s">
        <v>7798</v>
      </c>
    </row>
    <row r="466" spans="1:21" x14ac:dyDescent="0.2">
      <c r="A466" s="47" t="s">
        <v>29</v>
      </c>
    </row>
    <row r="467" spans="1:21" x14ac:dyDescent="0.2">
      <c r="A467" s="47" t="s">
        <v>29</v>
      </c>
      <c r="E467" s="47" t="s">
        <v>30</v>
      </c>
      <c r="F467" s="47" t="s">
        <v>30</v>
      </c>
      <c r="G467" s="47" t="s">
        <v>30</v>
      </c>
      <c r="J467" s="47" t="s">
        <v>30</v>
      </c>
      <c r="K467" s="47" t="s">
        <v>30</v>
      </c>
      <c r="L467" s="47" t="s">
        <v>30</v>
      </c>
      <c r="M467" s="47" t="s">
        <v>30</v>
      </c>
    </row>
    <row r="468" spans="1:21" x14ac:dyDescent="0.2">
      <c r="A468" s="47" t="s">
        <v>29</v>
      </c>
      <c r="D468" s="47" t="s">
        <v>7947</v>
      </c>
      <c r="E468" s="47" t="s">
        <v>4319</v>
      </c>
      <c r="F468" s="47" t="s">
        <v>7948</v>
      </c>
      <c r="H468" s="47" t="s">
        <v>7949</v>
      </c>
      <c r="O468" s="47" t="s">
        <v>9820</v>
      </c>
      <c r="P468" s="47" t="s">
        <v>9821</v>
      </c>
      <c r="Q468" s="47" t="s">
        <v>9822</v>
      </c>
      <c r="R468" s="47" t="s">
        <v>9823</v>
      </c>
      <c r="S468" s="47" t="s">
        <v>9824</v>
      </c>
      <c r="T468" s="47" t="s">
        <v>9825</v>
      </c>
      <c r="U468" s="47" t="s">
        <v>9826</v>
      </c>
    </row>
    <row r="469" spans="1:21" x14ac:dyDescent="0.2">
      <c r="A469" s="47" t="s">
        <v>29</v>
      </c>
      <c r="D469" s="47" t="s">
        <v>3388</v>
      </c>
      <c r="G469" s="47" t="s">
        <v>7950</v>
      </c>
      <c r="H469" s="47" t="s">
        <v>3389</v>
      </c>
      <c r="I469" s="47" t="s">
        <v>3390</v>
      </c>
      <c r="J469" s="47" t="s">
        <v>3391</v>
      </c>
      <c r="K469" s="47" t="s">
        <v>3392</v>
      </c>
      <c r="L469" s="47" t="s">
        <v>3393</v>
      </c>
      <c r="M469" s="47" t="s">
        <v>3394</v>
      </c>
      <c r="N469" s="47" t="s">
        <v>3395</v>
      </c>
      <c r="O469" s="47" t="s">
        <v>8055</v>
      </c>
      <c r="P469" s="47" t="s">
        <v>8057</v>
      </c>
      <c r="Q469" s="47" t="s">
        <v>8059</v>
      </c>
      <c r="R469" s="47" t="s">
        <v>8061</v>
      </c>
      <c r="S469" s="47" t="s">
        <v>8063</v>
      </c>
      <c r="T469" s="47" t="s">
        <v>8065</v>
      </c>
    </row>
    <row r="470" spans="1:21" x14ac:dyDescent="0.2">
      <c r="A470" s="47" t="s">
        <v>29</v>
      </c>
      <c r="D470" s="47" t="s">
        <v>6408</v>
      </c>
      <c r="G470" s="47" t="s">
        <v>8780</v>
      </c>
      <c r="H470" s="47" t="s">
        <v>6755</v>
      </c>
      <c r="I470" s="47" t="s">
        <v>6761</v>
      </c>
      <c r="J470" s="47" t="s">
        <v>6785</v>
      </c>
      <c r="K470" s="47" t="s">
        <v>6791</v>
      </c>
      <c r="L470" s="47" t="s">
        <v>6409</v>
      </c>
      <c r="M470" s="47" t="s">
        <v>6410</v>
      </c>
      <c r="N470" s="47" t="s">
        <v>6411</v>
      </c>
      <c r="O470" s="47" t="s">
        <v>8056</v>
      </c>
      <c r="P470" s="47" t="s">
        <v>8058</v>
      </c>
      <c r="Q470" s="47" t="s">
        <v>8060</v>
      </c>
      <c r="R470" s="47" t="s">
        <v>8062</v>
      </c>
      <c r="S470" s="47" t="s">
        <v>8064</v>
      </c>
      <c r="T470" s="47" t="s">
        <v>8066</v>
      </c>
    </row>
    <row r="471" spans="1:21" x14ac:dyDescent="0.2">
      <c r="A471" s="47" t="s">
        <v>29</v>
      </c>
    </row>
    <row r="472" spans="1:21" x14ac:dyDescent="0.2">
      <c r="A472" s="47" t="s">
        <v>29</v>
      </c>
      <c r="E472" s="47" t="s">
        <v>30</v>
      </c>
      <c r="F472" s="47" t="s">
        <v>30</v>
      </c>
      <c r="G472" s="47" t="s">
        <v>30</v>
      </c>
      <c r="J472" s="47" t="s">
        <v>30</v>
      </c>
      <c r="K472" s="47" t="s">
        <v>30</v>
      </c>
      <c r="L472" s="47" t="s">
        <v>30</v>
      </c>
      <c r="M472" s="47" t="s">
        <v>30</v>
      </c>
    </row>
    <row r="473" spans="1:21" x14ac:dyDescent="0.2">
      <c r="A473" s="47" t="s">
        <v>29</v>
      </c>
      <c r="D473" s="47" t="s">
        <v>8342</v>
      </c>
      <c r="E473" s="47" t="s">
        <v>4320</v>
      </c>
      <c r="F473" s="47" t="s">
        <v>8343</v>
      </c>
      <c r="H473" s="47" t="s">
        <v>8344</v>
      </c>
      <c r="O473" s="47" t="s">
        <v>9827</v>
      </c>
      <c r="P473" s="47" t="s">
        <v>9828</v>
      </c>
      <c r="Q473" s="47" t="s">
        <v>9829</v>
      </c>
      <c r="R473" s="47" t="s">
        <v>9830</v>
      </c>
      <c r="S473" s="47" t="s">
        <v>9831</v>
      </c>
      <c r="T473" s="47" t="s">
        <v>9832</v>
      </c>
      <c r="U473" s="47" t="s">
        <v>9833</v>
      </c>
    </row>
    <row r="474" spans="1:21" x14ac:dyDescent="0.2">
      <c r="A474" s="47" t="s">
        <v>29</v>
      </c>
      <c r="D474" s="47" t="s">
        <v>4893</v>
      </c>
      <c r="G474" s="47" t="s">
        <v>8345</v>
      </c>
      <c r="H474" s="47" t="s">
        <v>4894</v>
      </c>
      <c r="I474" s="47" t="s">
        <v>4895</v>
      </c>
      <c r="J474" s="47" t="s">
        <v>4896</v>
      </c>
      <c r="K474" s="47" t="s">
        <v>4897</v>
      </c>
      <c r="L474" s="47" t="s">
        <v>4898</v>
      </c>
      <c r="M474" s="47" t="s">
        <v>4899</v>
      </c>
      <c r="N474" s="47" t="s">
        <v>4900</v>
      </c>
      <c r="O474" s="47" t="s">
        <v>8229</v>
      </c>
      <c r="P474" s="47" t="s">
        <v>8230</v>
      </c>
      <c r="Q474" s="47" t="s">
        <v>8231</v>
      </c>
      <c r="R474" s="47" t="s">
        <v>8232</v>
      </c>
      <c r="S474" s="47" t="s">
        <v>8233</v>
      </c>
      <c r="T474" s="47" t="s">
        <v>8234</v>
      </c>
    </row>
    <row r="475" spans="1:21" x14ac:dyDescent="0.2">
      <c r="A475" s="47" t="s">
        <v>29</v>
      </c>
      <c r="D475" s="47" t="s">
        <v>4901</v>
      </c>
      <c r="G475" s="47" t="s">
        <v>8783</v>
      </c>
      <c r="H475" s="47" t="s">
        <v>4902</v>
      </c>
      <c r="I475" s="47" t="s">
        <v>4903</v>
      </c>
      <c r="J475" s="47" t="s">
        <v>4904</v>
      </c>
      <c r="K475" s="47" t="s">
        <v>4905</v>
      </c>
      <c r="L475" s="47" t="s">
        <v>4906</v>
      </c>
      <c r="M475" s="47" t="s">
        <v>4907</v>
      </c>
      <c r="N475" s="47" t="s">
        <v>4908</v>
      </c>
      <c r="O475" s="47" t="s">
        <v>7787</v>
      </c>
      <c r="P475" s="47" t="s">
        <v>7788</v>
      </c>
      <c r="Q475" s="47" t="s">
        <v>7789</v>
      </c>
      <c r="R475" s="47" t="s">
        <v>7790</v>
      </c>
      <c r="S475" s="47" t="s">
        <v>7791</v>
      </c>
      <c r="T475" s="47" t="s">
        <v>7792</v>
      </c>
    </row>
    <row r="476" spans="1:21" x14ac:dyDescent="0.2">
      <c r="A476" s="47" t="s">
        <v>29</v>
      </c>
    </row>
    <row r="477" spans="1:21" x14ac:dyDescent="0.2">
      <c r="A477" s="47" t="s">
        <v>29</v>
      </c>
      <c r="E477" s="47" t="s">
        <v>30</v>
      </c>
      <c r="F477" s="47" t="s">
        <v>30</v>
      </c>
      <c r="G477" s="47" t="s">
        <v>30</v>
      </c>
      <c r="J477" s="47" t="s">
        <v>30</v>
      </c>
      <c r="K477" s="47" t="s">
        <v>30</v>
      </c>
      <c r="L477" s="47" t="s">
        <v>30</v>
      </c>
      <c r="M477" s="47" t="s">
        <v>30</v>
      </c>
    </row>
    <row r="478" spans="1:21" x14ac:dyDescent="0.2">
      <c r="A478" s="47" t="s">
        <v>29</v>
      </c>
      <c r="D478" s="47" t="s">
        <v>9242</v>
      </c>
      <c r="E478" s="47" t="s">
        <v>4321</v>
      </c>
      <c r="F478" s="47" t="s">
        <v>9243</v>
      </c>
      <c r="H478" s="47" t="s">
        <v>9244</v>
      </c>
      <c r="O478" s="47" t="s">
        <v>9834</v>
      </c>
      <c r="P478" s="47" t="s">
        <v>9835</v>
      </c>
      <c r="Q478" s="47" t="s">
        <v>9836</v>
      </c>
      <c r="R478" s="47" t="s">
        <v>9837</v>
      </c>
      <c r="S478" s="47" t="s">
        <v>9838</v>
      </c>
      <c r="T478" s="47" t="s">
        <v>9839</v>
      </c>
      <c r="U478" s="47" t="s">
        <v>9840</v>
      </c>
    </row>
    <row r="479" spans="1:21" x14ac:dyDescent="0.2">
      <c r="A479" s="47" t="s">
        <v>29</v>
      </c>
      <c r="D479" s="47" t="s">
        <v>6416</v>
      </c>
      <c r="G479" s="47" t="s">
        <v>9245</v>
      </c>
      <c r="H479" s="47" t="s">
        <v>6757</v>
      </c>
      <c r="I479" s="47" t="s">
        <v>6763</v>
      </c>
      <c r="J479" s="47" t="s">
        <v>6787</v>
      </c>
      <c r="K479" s="47" t="s">
        <v>6793</v>
      </c>
      <c r="L479" s="47" t="s">
        <v>6417</v>
      </c>
      <c r="M479" s="47" t="s">
        <v>6418</v>
      </c>
      <c r="N479" s="47" t="s">
        <v>6419</v>
      </c>
      <c r="O479" s="47" t="s">
        <v>8223</v>
      </c>
      <c r="P479" s="47" t="s">
        <v>8224</v>
      </c>
      <c r="Q479" s="47" t="s">
        <v>8225</v>
      </c>
      <c r="R479" s="47" t="s">
        <v>8226</v>
      </c>
      <c r="S479" s="47" t="s">
        <v>8227</v>
      </c>
      <c r="T479" s="47" t="s">
        <v>8228</v>
      </c>
    </row>
    <row r="480" spans="1:21" x14ac:dyDescent="0.2">
      <c r="A480" s="47" t="s">
        <v>29</v>
      </c>
    </row>
    <row r="481" spans="1:21" x14ac:dyDescent="0.2">
      <c r="A481" s="47" t="s">
        <v>29</v>
      </c>
      <c r="E481" s="47" t="s">
        <v>30</v>
      </c>
      <c r="F481" s="47" t="s">
        <v>30</v>
      </c>
      <c r="G481" s="47" t="s">
        <v>30</v>
      </c>
      <c r="J481" s="47" t="s">
        <v>30</v>
      </c>
      <c r="K481" s="47" t="s">
        <v>30</v>
      </c>
      <c r="L481" s="47" t="s">
        <v>30</v>
      </c>
      <c r="M481" s="47" t="s">
        <v>30</v>
      </c>
    </row>
    <row r="482" spans="1:21" x14ac:dyDescent="0.2">
      <c r="A482" s="47" t="s">
        <v>29</v>
      </c>
      <c r="D482" s="47" t="s">
        <v>9841</v>
      </c>
      <c r="E482" s="47" t="s">
        <v>4322</v>
      </c>
      <c r="F482" s="47" t="s">
        <v>9842</v>
      </c>
      <c r="H482" s="47" t="s">
        <v>9843</v>
      </c>
      <c r="O482" s="47" t="s">
        <v>9844</v>
      </c>
      <c r="P482" s="47" t="s">
        <v>9845</v>
      </c>
      <c r="Q482" s="47" t="s">
        <v>9846</v>
      </c>
      <c r="R482" s="47" t="s">
        <v>9847</v>
      </c>
      <c r="S482" s="47" t="s">
        <v>9848</v>
      </c>
      <c r="T482" s="47" t="s">
        <v>9849</v>
      </c>
      <c r="U482" s="47" t="s">
        <v>9850</v>
      </c>
    </row>
    <row r="483" spans="1:21" x14ac:dyDescent="0.2">
      <c r="A483" s="47" t="s">
        <v>29</v>
      </c>
      <c r="D483" s="47" t="s">
        <v>3457</v>
      </c>
      <c r="G483" s="47" t="s">
        <v>9851</v>
      </c>
      <c r="H483" s="47" t="s">
        <v>3458</v>
      </c>
      <c r="I483" s="47" t="s">
        <v>3459</v>
      </c>
      <c r="J483" s="47" t="s">
        <v>3460</v>
      </c>
      <c r="K483" s="47" t="s">
        <v>3461</v>
      </c>
      <c r="L483" s="47" t="s">
        <v>3462</v>
      </c>
      <c r="M483" s="47" t="s">
        <v>3463</v>
      </c>
      <c r="N483" s="47" t="s">
        <v>3464</v>
      </c>
      <c r="O483" s="47" t="s">
        <v>7781</v>
      </c>
      <c r="P483" s="47" t="s">
        <v>7782</v>
      </c>
      <c r="Q483" s="47" t="s">
        <v>7783</v>
      </c>
      <c r="R483" s="47" t="s">
        <v>7784</v>
      </c>
      <c r="S483" s="47" t="s">
        <v>7785</v>
      </c>
      <c r="T483" s="47" t="s">
        <v>7786</v>
      </c>
    </row>
    <row r="484" spans="1:21" x14ac:dyDescent="0.2">
      <c r="A484" s="47" t="s">
        <v>29</v>
      </c>
    </row>
    <row r="485" spans="1:21" x14ac:dyDescent="0.2">
      <c r="A485" s="47" t="s">
        <v>29</v>
      </c>
      <c r="E485" s="47" t="s">
        <v>30</v>
      </c>
      <c r="F485" s="47" t="s">
        <v>30</v>
      </c>
      <c r="G485" s="47" t="s">
        <v>30</v>
      </c>
      <c r="J485" s="47" t="s">
        <v>30</v>
      </c>
      <c r="K485" s="47" t="s">
        <v>30</v>
      </c>
      <c r="L485" s="47" t="s">
        <v>30</v>
      </c>
      <c r="M485" s="47" t="s">
        <v>30</v>
      </c>
    </row>
    <row r="486" spans="1:21" x14ac:dyDescent="0.2">
      <c r="A486" s="47" t="s">
        <v>29</v>
      </c>
      <c r="D486" s="47" t="s">
        <v>7636</v>
      </c>
      <c r="E486" s="47" t="s">
        <v>4323</v>
      </c>
      <c r="F486" s="47" t="s">
        <v>7637</v>
      </c>
      <c r="H486" s="47" t="s">
        <v>7638</v>
      </c>
      <c r="O486" s="47" t="s">
        <v>9852</v>
      </c>
      <c r="P486" s="47" t="s">
        <v>9853</v>
      </c>
      <c r="Q486" s="47" t="s">
        <v>9854</v>
      </c>
      <c r="R486" s="47" t="s">
        <v>9855</v>
      </c>
      <c r="S486" s="47" t="s">
        <v>9856</v>
      </c>
      <c r="T486" s="47" t="s">
        <v>9857</v>
      </c>
      <c r="U486" s="47" t="s">
        <v>9858</v>
      </c>
    </row>
    <row r="487" spans="1:21" x14ac:dyDescent="0.2">
      <c r="A487" s="47" t="s">
        <v>29</v>
      </c>
      <c r="D487" s="47" t="s">
        <v>6420</v>
      </c>
      <c r="G487" s="47" t="s">
        <v>7639</v>
      </c>
      <c r="H487" s="47" t="s">
        <v>6758</v>
      </c>
      <c r="I487" s="47" t="s">
        <v>6764</v>
      </c>
      <c r="J487" s="47" t="s">
        <v>6788</v>
      </c>
      <c r="K487" s="47" t="s">
        <v>6794</v>
      </c>
      <c r="L487" s="47" t="s">
        <v>6421</v>
      </c>
      <c r="M487" s="47" t="s">
        <v>6422</v>
      </c>
      <c r="N487" s="47" t="s">
        <v>6423</v>
      </c>
      <c r="O487" s="47" t="s">
        <v>7640</v>
      </c>
      <c r="P487" s="47" t="s">
        <v>7641</v>
      </c>
      <c r="Q487" s="47" t="s">
        <v>7642</v>
      </c>
      <c r="R487" s="47" t="s">
        <v>7643</v>
      </c>
      <c r="S487" s="47" t="s">
        <v>7644</v>
      </c>
      <c r="T487" s="47" t="s">
        <v>7645</v>
      </c>
    </row>
    <row r="488" spans="1:21" x14ac:dyDescent="0.2">
      <c r="A488" s="47" t="s">
        <v>29</v>
      </c>
      <c r="D488" s="47" t="s">
        <v>6424</v>
      </c>
      <c r="G488" s="47" t="s">
        <v>8787</v>
      </c>
      <c r="H488" s="47" t="s">
        <v>6759</v>
      </c>
      <c r="I488" s="47" t="s">
        <v>6765</v>
      </c>
      <c r="J488" s="47" t="s">
        <v>6789</v>
      </c>
      <c r="K488" s="47" t="s">
        <v>6795</v>
      </c>
      <c r="L488" s="47" t="s">
        <v>6425</v>
      </c>
      <c r="M488" s="47" t="s">
        <v>6426</v>
      </c>
      <c r="N488" s="47" t="s">
        <v>6427</v>
      </c>
      <c r="O488" s="47" t="s">
        <v>9859</v>
      </c>
      <c r="P488" s="47" t="s">
        <v>9860</v>
      </c>
      <c r="Q488" s="47" t="s">
        <v>9861</v>
      </c>
      <c r="R488" s="47" t="s">
        <v>9862</v>
      </c>
      <c r="S488" s="47" t="s">
        <v>9863</v>
      </c>
      <c r="T488" s="47" t="s">
        <v>9864</v>
      </c>
    </row>
    <row r="489" spans="1:21" x14ac:dyDescent="0.2">
      <c r="A489" s="47" t="s">
        <v>29</v>
      </c>
    </row>
    <row r="490" spans="1:21" x14ac:dyDescent="0.2">
      <c r="A490" s="47" t="s">
        <v>29</v>
      </c>
      <c r="E490" s="47" t="s">
        <v>30</v>
      </c>
      <c r="F490" s="47" t="s">
        <v>30</v>
      </c>
      <c r="G490" s="47" t="s">
        <v>30</v>
      </c>
      <c r="J490" s="47" t="s">
        <v>30</v>
      </c>
      <c r="K490" s="47" t="s">
        <v>30</v>
      </c>
      <c r="L490" s="47" t="s">
        <v>30</v>
      </c>
      <c r="M490" s="47" t="s">
        <v>30</v>
      </c>
    </row>
    <row r="491" spans="1:21" x14ac:dyDescent="0.2">
      <c r="A491" s="47" t="s">
        <v>29</v>
      </c>
      <c r="D491" s="47" t="s">
        <v>9865</v>
      </c>
      <c r="E491" s="47" t="s">
        <v>4324</v>
      </c>
      <c r="F491" s="47" t="s">
        <v>9866</v>
      </c>
      <c r="H491" s="47" t="s">
        <v>9867</v>
      </c>
      <c r="O491" s="47" t="s">
        <v>9868</v>
      </c>
      <c r="P491" s="47" t="s">
        <v>9869</v>
      </c>
      <c r="Q491" s="47" t="s">
        <v>9870</v>
      </c>
      <c r="R491" s="47" t="s">
        <v>9871</v>
      </c>
      <c r="S491" s="47" t="s">
        <v>9872</v>
      </c>
      <c r="T491" s="47" t="s">
        <v>9873</v>
      </c>
      <c r="U491" s="47" t="s">
        <v>9874</v>
      </c>
    </row>
    <row r="492" spans="1:21" x14ac:dyDescent="0.2">
      <c r="A492" s="47" t="s">
        <v>29</v>
      </c>
      <c r="D492" s="47" t="s">
        <v>5449</v>
      </c>
      <c r="G492" s="47" t="s">
        <v>9875</v>
      </c>
      <c r="H492" s="47" t="s">
        <v>5450</v>
      </c>
      <c r="I492" s="47" t="s">
        <v>5451</v>
      </c>
      <c r="J492" s="47" t="s">
        <v>5452</v>
      </c>
      <c r="K492" s="47" t="s">
        <v>5453</v>
      </c>
      <c r="L492" s="47" t="s">
        <v>5454</v>
      </c>
      <c r="M492" s="47" t="s">
        <v>5455</v>
      </c>
      <c r="N492" s="47" t="s">
        <v>5456</v>
      </c>
      <c r="O492" s="47" t="s">
        <v>7646</v>
      </c>
      <c r="P492" s="47" t="s">
        <v>7647</v>
      </c>
      <c r="Q492" s="47" t="s">
        <v>7648</v>
      </c>
      <c r="R492" s="47" t="s">
        <v>7649</v>
      </c>
      <c r="S492" s="47" t="s">
        <v>7650</v>
      </c>
      <c r="T492" s="47" t="s">
        <v>7651</v>
      </c>
    </row>
    <row r="493" spans="1:21" x14ac:dyDescent="0.2">
      <c r="A493" s="47" t="s">
        <v>29</v>
      </c>
    </row>
    <row r="494" spans="1:21" x14ac:dyDescent="0.2">
      <c r="A494" s="47" t="s">
        <v>29</v>
      </c>
      <c r="E494" s="47" t="s">
        <v>30</v>
      </c>
      <c r="F494" s="47" t="s">
        <v>30</v>
      </c>
      <c r="G494" s="47" t="s">
        <v>30</v>
      </c>
      <c r="J494" s="47" t="s">
        <v>30</v>
      </c>
      <c r="K494" s="47" t="s">
        <v>30</v>
      </c>
      <c r="L494" s="47" t="s">
        <v>30</v>
      </c>
      <c r="M494" s="47" t="s">
        <v>30</v>
      </c>
    </row>
    <row r="495" spans="1:21" x14ac:dyDescent="0.2">
      <c r="A495" s="47" t="s">
        <v>29</v>
      </c>
      <c r="D495" s="47" t="s">
        <v>7652</v>
      </c>
      <c r="E495" s="47" t="s">
        <v>4325</v>
      </c>
      <c r="F495" s="47" t="s">
        <v>7653</v>
      </c>
      <c r="H495" s="47" t="s">
        <v>7654</v>
      </c>
      <c r="O495" s="47" t="s">
        <v>8136</v>
      </c>
      <c r="P495" s="47" t="s">
        <v>8137</v>
      </c>
      <c r="Q495" s="47" t="s">
        <v>8138</v>
      </c>
      <c r="R495" s="47" t="s">
        <v>8139</v>
      </c>
      <c r="S495" s="47" t="s">
        <v>8140</v>
      </c>
      <c r="T495" s="47" t="s">
        <v>8141</v>
      </c>
      <c r="U495" s="47" t="s">
        <v>8142</v>
      </c>
    </row>
    <row r="496" spans="1:21" x14ac:dyDescent="0.2">
      <c r="A496" s="47" t="s">
        <v>29</v>
      </c>
      <c r="D496" s="47" t="s">
        <v>6432</v>
      </c>
      <c r="G496" s="47" t="s">
        <v>7655</v>
      </c>
      <c r="H496" s="47" t="s">
        <v>6727</v>
      </c>
      <c r="I496" s="47" t="s">
        <v>6731</v>
      </c>
      <c r="J496" s="47" t="s">
        <v>6747</v>
      </c>
      <c r="K496" s="47" t="s">
        <v>6751</v>
      </c>
      <c r="L496" s="47" t="s">
        <v>6433</v>
      </c>
      <c r="M496" s="47" t="s">
        <v>6434</v>
      </c>
      <c r="N496" s="47" t="s">
        <v>6435</v>
      </c>
      <c r="O496" s="47" t="s">
        <v>7656</v>
      </c>
      <c r="P496" s="47" t="s">
        <v>7657</v>
      </c>
      <c r="Q496" s="47" t="s">
        <v>7658</v>
      </c>
      <c r="R496" s="47" t="s">
        <v>7659</v>
      </c>
      <c r="S496" s="47" t="s">
        <v>7660</v>
      </c>
      <c r="T496" s="47" t="s">
        <v>7661</v>
      </c>
    </row>
    <row r="497" spans="1:21" x14ac:dyDescent="0.2">
      <c r="A497" s="47" t="s">
        <v>29</v>
      </c>
      <c r="D497" s="47" t="s">
        <v>3487</v>
      </c>
      <c r="G497" s="47" t="s">
        <v>8789</v>
      </c>
      <c r="H497" s="47" t="s">
        <v>3488</v>
      </c>
      <c r="I497" s="47" t="s">
        <v>3489</v>
      </c>
      <c r="J497" s="47" t="s">
        <v>3490</v>
      </c>
      <c r="K497" s="47" t="s">
        <v>3491</v>
      </c>
      <c r="L497" s="47" t="s">
        <v>3492</v>
      </c>
      <c r="M497" s="47" t="s">
        <v>3493</v>
      </c>
      <c r="N497" s="47" t="s">
        <v>3494</v>
      </c>
      <c r="O497" s="47" t="s">
        <v>8049</v>
      </c>
      <c r="P497" s="47" t="s">
        <v>8050</v>
      </c>
      <c r="Q497" s="47" t="s">
        <v>8051</v>
      </c>
      <c r="R497" s="47" t="s">
        <v>8052</v>
      </c>
      <c r="S497" s="47" t="s">
        <v>8053</v>
      </c>
      <c r="T497" s="47" t="s">
        <v>8054</v>
      </c>
    </row>
    <row r="498" spans="1:21" x14ac:dyDescent="0.2">
      <c r="A498" s="47" t="s">
        <v>29</v>
      </c>
    </row>
    <row r="499" spans="1:21" x14ac:dyDescent="0.2">
      <c r="A499" s="47" t="s">
        <v>29</v>
      </c>
      <c r="E499" s="47" t="s">
        <v>30</v>
      </c>
      <c r="F499" s="47" t="s">
        <v>30</v>
      </c>
      <c r="G499" s="47" t="s">
        <v>30</v>
      </c>
      <c r="J499" s="47" t="s">
        <v>30</v>
      </c>
      <c r="K499" s="47" t="s">
        <v>30</v>
      </c>
      <c r="L499" s="47" t="s">
        <v>30</v>
      </c>
      <c r="M499" s="47" t="s">
        <v>30</v>
      </c>
    </row>
    <row r="500" spans="1:21" x14ac:dyDescent="0.2">
      <c r="A500" s="47" t="s">
        <v>29</v>
      </c>
      <c r="D500" s="47" t="s">
        <v>7951</v>
      </c>
      <c r="E500" s="47" t="s">
        <v>4326</v>
      </c>
      <c r="F500" s="47" t="s">
        <v>7952</v>
      </c>
      <c r="H500" s="47" t="s">
        <v>7953</v>
      </c>
      <c r="O500" s="47" t="s">
        <v>8143</v>
      </c>
      <c r="P500" s="47" t="s">
        <v>8144</v>
      </c>
      <c r="Q500" s="47" t="s">
        <v>8145</v>
      </c>
      <c r="R500" s="47" t="s">
        <v>8146</v>
      </c>
      <c r="S500" s="47" t="s">
        <v>8147</v>
      </c>
      <c r="T500" s="47" t="s">
        <v>8148</v>
      </c>
      <c r="U500" s="47" t="s">
        <v>8149</v>
      </c>
    </row>
    <row r="501" spans="1:21" x14ac:dyDescent="0.2">
      <c r="A501" s="47" t="s">
        <v>29</v>
      </c>
      <c r="D501" s="47" t="s">
        <v>6436</v>
      </c>
      <c r="G501" s="47" t="s">
        <v>7954</v>
      </c>
      <c r="H501" s="47" t="s">
        <v>6728</v>
      </c>
      <c r="I501" s="47" t="s">
        <v>6732</v>
      </c>
      <c r="J501" s="47" t="s">
        <v>6748</v>
      </c>
      <c r="K501" s="47" t="s">
        <v>6752</v>
      </c>
      <c r="L501" s="47" t="s">
        <v>6437</v>
      </c>
      <c r="M501" s="47" t="s">
        <v>6438</v>
      </c>
      <c r="N501" s="47" t="s">
        <v>6439</v>
      </c>
      <c r="O501" s="47" t="s">
        <v>8043</v>
      </c>
      <c r="P501" s="47" t="s">
        <v>8044</v>
      </c>
      <c r="Q501" s="47" t="s">
        <v>8045</v>
      </c>
      <c r="R501" s="47" t="s">
        <v>8046</v>
      </c>
      <c r="S501" s="47" t="s">
        <v>8047</v>
      </c>
      <c r="T501" s="47" t="s">
        <v>8048</v>
      </c>
    </row>
    <row r="502" spans="1:21" x14ac:dyDescent="0.2">
      <c r="A502" s="47" t="s">
        <v>29</v>
      </c>
    </row>
    <row r="503" spans="1:21" x14ac:dyDescent="0.2">
      <c r="A503" s="47" t="s">
        <v>29</v>
      </c>
      <c r="E503" s="47" t="s">
        <v>30</v>
      </c>
      <c r="F503" s="47" t="s">
        <v>30</v>
      </c>
      <c r="G503" s="47" t="s">
        <v>30</v>
      </c>
      <c r="J503" s="47" t="s">
        <v>30</v>
      </c>
      <c r="K503" s="47" t="s">
        <v>30</v>
      </c>
      <c r="L503" s="47" t="s">
        <v>30</v>
      </c>
      <c r="M503" s="47" t="s">
        <v>30</v>
      </c>
    </row>
    <row r="504" spans="1:21" x14ac:dyDescent="0.2">
      <c r="A504" s="47" t="s">
        <v>29</v>
      </c>
      <c r="D504" s="47" t="s">
        <v>8150</v>
      </c>
      <c r="E504" s="47" t="s">
        <v>4327</v>
      </c>
      <c r="F504" s="47" t="s">
        <v>8151</v>
      </c>
      <c r="H504" s="47" t="s">
        <v>8152</v>
      </c>
      <c r="O504" s="47" t="s">
        <v>8153</v>
      </c>
      <c r="P504" s="47" t="s">
        <v>8154</v>
      </c>
      <c r="Q504" s="47" t="s">
        <v>8155</v>
      </c>
      <c r="R504" s="47" t="s">
        <v>8156</v>
      </c>
      <c r="S504" s="47" t="s">
        <v>8157</v>
      </c>
      <c r="T504" s="47" t="s">
        <v>8158</v>
      </c>
      <c r="U504" s="47" t="s">
        <v>8159</v>
      </c>
    </row>
    <row r="505" spans="1:21" x14ac:dyDescent="0.2">
      <c r="A505" s="47" t="s">
        <v>29</v>
      </c>
      <c r="D505" s="47" t="s">
        <v>3496</v>
      </c>
      <c r="G505" s="47" t="s">
        <v>8160</v>
      </c>
      <c r="H505" s="47" t="s">
        <v>3497</v>
      </c>
      <c r="I505" s="47" t="s">
        <v>3498</v>
      </c>
      <c r="J505" s="47" t="s">
        <v>3499</v>
      </c>
      <c r="K505" s="47" t="s">
        <v>3500</v>
      </c>
      <c r="L505" s="47" t="s">
        <v>3501</v>
      </c>
      <c r="M505" s="47" t="s">
        <v>3502</v>
      </c>
      <c r="N505" s="47" t="s">
        <v>3503</v>
      </c>
      <c r="O505" s="47" t="s">
        <v>7769</v>
      </c>
      <c r="P505" s="47" t="s">
        <v>7771</v>
      </c>
      <c r="Q505" s="47" t="s">
        <v>7773</v>
      </c>
      <c r="R505" s="47" t="s">
        <v>7775</v>
      </c>
      <c r="S505" s="47" t="s">
        <v>7777</v>
      </c>
      <c r="T505" s="47" t="s">
        <v>7779</v>
      </c>
    </row>
    <row r="506" spans="1:21" x14ac:dyDescent="0.2">
      <c r="A506" s="47" t="s">
        <v>29</v>
      </c>
      <c r="D506" s="47" t="s">
        <v>3504</v>
      </c>
      <c r="G506" s="47" t="s">
        <v>8792</v>
      </c>
      <c r="H506" s="47" t="s">
        <v>3505</v>
      </c>
      <c r="I506" s="47" t="s">
        <v>3506</v>
      </c>
      <c r="J506" s="47" t="s">
        <v>3507</v>
      </c>
      <c r="K506" s="47" t="s">
        <v>3508</v>
      </c>
      <c r="L506" s="47" t="s">
        <v>3509</v>
      </c>
      <c r="M506" s="47" t="s">
        <v>3510</v>
      </c>
      <c r="N506" s="47" t="s">
        <v>3511</v>
      </c>
      <c r="O506" s="47" t="s">
        <v>7770</v>
      </c>
      <c r="P506" s="47" t="s">
        <v>7772</v>
      </c>
      <c r="Q506" s="47" t="s">
        <v>7774</v>
      </c>
      <c r="R506" s="47" t="s">
        <v>7776</v>
      </c>
      <c r="S506" s="47" t="s">
        <v>7778</v>
      </c>
      <c r="T506" s="47" t="s">
        <v>7780</v>
      </c>
    </row>
    <row r="507" spans="1:21" x14ac:dyDescent="0.2">
      <c r="A507" s="47" t="s">
        <v>29</v>
      </c>
    </row>
    <row r="508" spans="1:21" x14ac:dyDescent="0.2">
      <c r="A508" s="47" t="s">
        <v>29</v>
      </c>
      <c r="E508" s="47" t="s">
        <v>30</v>
      </c>
      <c r="F508" s="47" t="s">
        <v>30</v>
      </c>
      <c r="G508" s="47" t="s">
        <v>30</v>
      </c>
      <c r="J508" s="47" t="s">
        <v>30</v>
      </c>
      <c r="K508" s="47" t="s">
        <v>30</v>
      </c>
      <c r="L508" s="47" t="s">
        <v>30</v>
      </c>
      <c r="M508" s="47" t="s">
        <v>30</v>
      </c>
    </row>
    <row r="509" spans="1:21" x14ac:dyDescent="0.2">
      <c r="A509" s="47" t="s">
        <v>29</v>
      </c>
      <c r="D509" s="47" t="s">
        <v>5471</v>
      </c>
      <c r="E509" s="47" t="s">
        <v>4328</v>
      </c>
      <c r="F509" s="47" t="s">
        <v>5472</v>
      </c>
      <c r="H509" s="47" t="s">
        <v>5473</v>
      </c>
      <c r="O509" s="47" t="s">
        <v>9876</v>
      </c>
      <c r="P509" s="47" t="s">
        <v>9877</v>
      </c>
      <c r="Q509" s="47" t="s">
        <v>9878</v>
      </c>
      <c r="R509" s="47" t="s">
        <v>9879</v>
      </c>
      <c r="S509" s="47" t="s">
        <v>9880</v>
      </c>
      <c r="T509" s="47" t="s">
        <v>9881</v>
      </c>
      <c r="U509" s="47" t="s">
        <v>9882</v>
      </c>
    </row>
    <row r="510" spans="1:21" x14ac:dyDescent="0.2">
      <c r="A510" s="47" t="s">
        <v>29</v>
      </c>
      <c r="D510" s="47" t="s">
        <v>3518</v>
      </c>
      <c r="G510" s="47" t="s">
        <v>7662</v>
      </c>
      <c r="H510" s="47" t="s">
        <v>3519</v>
      </c>
      <c r="I510" s="47" t="s">
        <v>3520</v>
      </c>
      <c r="J510" s="47" t="s">
        <v>3521</v>
      </c>
      <c r="K510" s="47" t="s">
        <v>3522</v>
      </c>
      <c r="L510" s="47" t="s">
        <v>3523</v>
      </c>
      <c r="M510" s="47" t="s">
        <v>3524</v>
      </c>
      <c r="N510" s="47" t="s">
        <v>3525</v>
      </c>
      <c r="O510" s="47" t="s">
        <v>7757</v>
      </c>
      <c r="P510" s="47" t="s">
        <v>7759</v>
      </c>
      <c r="Q510" s="47" t="s">
        <v>7761</v>
      </c>
      <c r="R510" s="47" t="s">
        <v>7763</v>
      </c>
      <c r="S510" s="47" t="s">
        <v>7765</v>
      </c>
      <c r="T510" s="47" t="s">
        <v>7767</v>
      </c>
    </row>
    <row r="511" spans="1:21" x14ac:dyDescent="0.2">
      <c r="A511" s="47" t="s">
        <v>29</v>
      </c>
      <c r="D511" s="47" t="s">
        <v>3526</v>
      </c>
      <c r="G511" s="47" t="s">
        <v>8793</v>
      </c>
      <c r="H511" s="47" t="s">
        <v>3527</v>
      </c>
      <c r="I511" s="47" t="s">
        <v>3528</v>
      </c>
      <c r="J511" s="47" t="s">
        <v>3529</v>
      </c>
      <c r="K511" s="47" t="s">
        <v>3530</v>
      </c>
      <c r="L511" s="47" t="s">
        <v>3531</v>
      </c>
      <c r="M511" s="47" t="s">
        <v>3532</v>
      </c>
      <c r="N511" s="47" t="s">
        <v>3533</v>
      </c>
      <c r="O511" s="47" t="s">
        <v>7758</v>
      </c>
      <c r="P511" s="47" t="s">
        <v>7760</v>
      </c>
      <c r="Q511" s="47" t="s">
        <v>7762</v>
      </c>
      <c r="R511" s="47" t="s">
        <v>7764</v>
      </c>
      <c r="S511" s="47" t="s">
        <v>7766</v>
      </c>
      <c r="T511" s="47" t="s">
        <v>7768</v>
      </c>
    </row>
    <row r="512" spans="1:21" x14ac:dyDescent="0.2">
      <c r="A512" s="47" t="s">
        <v>29</v>
      </c>
    </row>
    <row r="513" spans="1:21" x14ac:dyDescent="0.2">
      <c r="A513" s="47" t="s">
        <v>29</v>
      </c>
      <c r="E513" s="47" t="s">
        <v>30</v>
      </c>
      <c r="F513" s="47" t="s">
        <v>30</v>
      </c>
      <c r="G513" s="47" t="s">
        <v>30</v>
      </c>
      <c r="J513" s="47" t="s">
        <v>30</v>
      </c>
      <c r="K513" s="47" t="s">
        <v>30</v>
      </c>
      <c r="L513" s="47" t="s">
        <v>30</v>
      </c>
      <c r="M513" s="47" t="s">
        <v>30</v>
      </c>
    </row>
    <row r="514" spans="1:21" x14ac:dyDescent="0.2">
      <c r="A514" s="47" t="s">
        <v>29</v>
      </c>
      <c r="D514" s="47" t="s">
        <v>9346</v>
      </c>
      <c r="E514" s="47" t="s">
        <v>4329</v>
      </c>
      <c r="F514" s="47" t="s">
        <v>9347</v>
      </c>
      <c r="H514" s="47" t="s">
        <v>9348</v>
      </c>
      <c r="O514" s="47" t="s">
        <v>9349</v>
      </c>
      <c r="P514" s="47" t="s">
        <v>9350</v>
      </c>
      <c r="Q514" s="47" t="s">
        <v>9351</v>
      </c>
      <c r="R514" s="47" t="s">
        <v>9352</v>
      </c>
      <c r="S514" s="47" t="s">
        <v>9353</v>
      </c>
      <c r="T514" s="47" t="s">
        <v>9354</v>
      </c>
      <c r="U514" s="47" t="s">
        <v>9355</v>
      </c>
    </row>
    <row r="515" spans="1:21" x14ac:dyDescent="0.2">
      <c r="A515" s="47" t="s">
        <v>29</v>
      </c>
      <c r="D515" s="47" t="s">
        <v>7955</v>
      </c>
      <c r="G515" s="47" t="s">
        <v>9356</v>
      </c>
      <c r="H515" s="47" t="s">
        <v>8033</v>
      </c>
      <c r="I515" s="47" t="s">
        <v>8034</v>
      </c>
      <c r="J515" s="47" t="s">
        <v>8041</v>
      </c>
      <c r="K515" s="47" t="s">
        <v>8042</v>
      </c>
      <c r="L515" s="47" t="s">
        <v>7956</v>
      </c>
      <c r="M515" s="47" t="s">
        <v>7957</v>
      </c>
      <c r="N515" s="47" t="s">
        <v>7958</v>
      </c>
      <c r="O515" s="47" t="s">
        <v>8035</v>
      </c>
      <c r="P515" s="47" t="s">
        <v>8036</v>
      </c>
      <c r="Q515" s="47" t="s">
        <v>8037</v>
      </c>
      <c r="R515" s="47" t="s">
        <v>8038</v>
      </c>
      <c r="S515" s="47" t="s">
        <v>8039</v>
      </c>
      <c r="T515" s="47" t="s">
        <v>8040</v>
      </c>
    </row>
    <row r="516" spans="1:21" x14ac:dyDescent="0.2">
      <c r="A516" s="47" t="s">
        <v>29</v>
      </c>
      <c r="D516" s="47" t="s">
        <v>7673</v>
      </c>
      <c r="G516" s="47" t="s">
        <v>8794</v>
      </c>
      <c r="H516" s="47" t="s">
        <v>7674</v>
      </c>
      <c r="I516" s="47" t="s">
        <v>7675</v>
      </c>
      <c r="J516" s="47" t="s">
        <v>7676</v>
      </c>
      <c r="K516" s="47" t="s">
        <v>7677</v>
      </c>
      <c r="L516" s="47" t="s">
        <v>7678</v>
      </c>
      <c r="M516" s="47" t="s">
        <v>7679</v>
      </c>
      <c r="N516" s="47" t="s">
        <v>7680</v>
      </c>
      <c r="O516" s="47" t="s">
        <v>7681</v>
      </c>
      <c r="P516" s="47" t="s">
        <v>7682</v>
      </c>
      <c r="Q516" s="47" t="s">
        <v>7683</v>
      </c>
      <c r="R516" s="47" t="s">
        <v>7684</v>
      </c>
      <c r="S516" s="47" t="s">
        <v>7685</v>
      </c>
      <c r="T516" s="47" t="s">
        <v>7686</v>
      </c>
    </row>
    <row r="517" spans="1:21" x14ac:dyDescent="0.2">
      <c r="A517" s="47" t="s">
        <v>29</v>
      </c>
      <c r="D517" s="47" t="s">
        <v>6448</v>
      </c>
      <c r="G517" s="47" t="s">
        <v>8795</v>
      </c>
      <c r="H517" s="47" t="s">
        <v>6717</v>
      </c>
      <c r="I517" s="47" t="s">
        <v>6718</v>
      </c>
      <c r="J517" s="47" t="s">
        <v>6725</v>
      </c>
      <c r="K517" s="47" t="s">
        <v>6726</v>
      </c>
      <c r="L517" s="47" t="s">
        <v>6449</v>
      </c>
      <c r="M517" s="47" t="s">
        <v>6450</v>
      </c>
      <c r="N517" s="47" t="s">
        <v>6451</v>
      </c>
      <c r="O517" s="47" t="s">
        <v>7687</v>
      </c>
      <c r="P517" s="47" t="s">
        <v>7688</v>
      </c>
      <c r="Q517" s="47" t="s">
        <v>7689</v>
      </c>
      <c r="R517" s="47" t="s">
        <v>7690</v>
      </c>
      <c r="S517" s="47" t="s">
        <v>7691</v>
      </c>
      <c r="T517" s="47" t="s">
        <v>7692</v>
      </c>
    </row>
    <row r="518" spans="1:21" x14ac:dyDescent="0.2">
      <c r="A518" s="47" t="s">
        <v>29</v>
      </c>
    </row>
    <row r="519" spans="1:21" x14ac:dyDescent="0.2">
      <c r="A519" s="47" t="s">
        <v>29</v>
      </c>
      <c r="E519" s="47" t="s">
        <v>30</v>
      </c>
      <c r="F519" s="47" t="s">
        <v>30</v>
      </c>
      <c r="G519" s="47" t="s">
        <v>30</v>
      </c>
      <c r="J519" s="47" t="s">
        <v>30</v>
      </c>
      <c r="K519" s="47" t="s">
        <v>30</v>
      </c>
      <c r="L519" s="47" t="s">
        <v>30</v>
      </c>
      <c r="M519" s="47" t="s">
        <v>30</v>
      </c>
    </row>
    <row r="520" spans="1:21" x14ac:dyDescent="0.2">
      <c r="A520" s="47" t="s">
        <v>29</v>
      </c>
      <c r="D520" s="47" t="s">
        <v>7693</v>
      </c>
      <c r="E520" s="47" t="s">
        <v>4330</v>
      </c>
      <c r="F520" s="47" t="s">
        <v>7694</v>
      </c>
      <c r="H520" s="47" t="s">
        <v>7695</v>
      </c>
      <c r="O520" s="47" t="s">
        <v>9883</v>
      </c>
      <c r="P520" s="47" t="s">
        <v>9884</v>
      </c>
      <c r="Q520" s="47" t="s">
        <v>9885</v>
      </c>
      <c r="R520" s="47" t="s">
        <v>9886</v>
      </c>
      <c r="S520" s="47" t="s">
        <v>9887</v>
      </c>
      <c r="T520" s="47" t="s">
        <v>9888</v>
      </c>
      <c r="U520" s="47" t="s">
        <v>9889</v>
      </c>
    </row>
    <row r="521" spans="1:21" x14ac:dyDescent="0.2">
      <c r="A521" s="47" t="s">
        <v>29</v>
      </c>
      <c r="D521" s="47" t="s">
        <v>5474</v>
      </c>
      <c r="G521" s="47" t="s">
        <v>7696</v>
      </c>
      <c r="H521" s="47" t="s">
        <v>5673</v>
      </c>
      <c r="I521" s="47" t="s">
        <v>5675</v>
      </c>
      <c r="J521" s="47" t="s">
        <v>5689</v>
      </c>
      <c r="K521" s="47" t="s">
        <v>5691</v>
      </c>
      <c r="L521" s="47" t="s">
        <v>5475</v>
      </c>
      <c r="M521" s="47" t="s">
        <v>5476</v>
      </c>
      <c r="N521" s="47" t="s">
        <v>5477</v>
      </c>
      <c r="O521" s="47" t="s">
        <v>7751</v>
      </c>
      <c r="P521" s="47" t="s">
        <v>7752</v>
      </c>
      <c r="Q521" s="47" t="s">
        <v>7753</v>
      </c>
      <c r="R521" s="47" t="s">
        <v>7754</v>
      </c>
      <c r="S521" s="47" t="s">
        <v>7755</v>
      </c>
      <c r="T521" s="47" t="s">
        <v>7756</v>
      </c>
    </row>
    <row r="522" spans="1:21" x14ac:dyDescent="0.2">
      <c r="A522" s="47" t="s">
        <v>29</v>
      </c>
    </row>
    <row r="523" spans="1:21" x14ac:dyDescent="0.2">
      <c r="A523" s="47" t="s">
        <v>29</v>
      </c>
      <c r="E523" s="47" t="s">
        <v>30</v>
      </c>
      <c r="F523" s="47" t="s">
        <v>30</v>
      </c>
      <c r="G523" s="47" t="s">
        <v>30</v>
      </c>
      <c r="J523" s="47" t="s">
        <v>30</v>
      </c>
      <c r="K523" s="47" t="s">
        <v>30</v>
      </c>
      <c r="L523" s="47" t="s">
        <v>30</v>
      </c>
      <c r="M523" s="47" t="s">
        <v>30</v>
      </c>
    </row>
    <row r="524" spans="1:21" x14ac:dyDescent="0.2">
      <c r="A524" s="47" t="s">
        <v>29</v>
      </c>
      <c r="D524" s="47" t="s">
        <v>8161</v>
      </c>
      <c r="E524" s="47" t="s">
        <v>4331</v>
      </c>
      <c r="F524" s="47" t="s">
        <v>8162</v>
      </c>
      <c r="H524" s="47" t="s">
        <v>8163</v>
      </c>
      <c r="O524" s="47" t="s">
        <v>9890</v>
      </c>
      <c r="P524" s="47" t="s">
        <v>9891</v>
      </c>
      <c r="Q524" s="47" t="s">
        <v>9892</v>
      </c>
      <c r="R524" s="47" t="s">
        <v>9893</v>
      </c>
      <c r="S524" s="47" t="s">
        <v>9894</v>
      </c>
      <c r="T524" s="47" t="s">
        <v>9895</v>
      </c>
      <c r="U524" s="47" t="s">
        <v>9896</v>
      </c>
    </row>
    <row r="525" spans="1:21" x14ac:dyDescent="0.2">
      <c r="A525" s="47" t="s">
        <v>29</v>
      </c>
      <c r="D525" s="47" t="s">
        <v>3556</v>
      </c>
      <c r="G525" s="47" t="s">
        <v>8164</v>
      </c>
      <c r="H525" s="47" t="s">
        <v>3557</v>
      </c>
      <c r="I525" s="47" t="s">
        <v>3558</v>
      </c>
      <c r="J525" s="47" t="s">
        <v>3559</v>
      </c>
      <c r="K525" s="47" t="s">
        <v>3560</v>
      </c>
      <c r="L525" s="47" t="s">
        <v>3561</v>
      </c>
      <c r="M525" s="47" t="s">
        <v>3562</v>
      </c>
      <c r="N525" s="47" t="s">
        <v>3563</v>
      </c>
      <c r="O525" s="47" t="s">
        <v>8211</v>
      </c>
      <c r="P525" s="47" t="s">
        <v>8213</v>
      </c>
      <c r="Q525" s="47" t="s">
        <v>8215</v>
      </c>
      <c r="R525" s="47" t="s">
        <v>8217</v>
      </c>
      <c r="S525" s="47" t="s">
        <v>8219</v>
      </c>
      <c r="T525" s="47" t="s">
        <v>8221</v>
      </c>
    </row>
    <row r="526" spans="1:21" x14ac:dyDescent="0.2">
      <c r="A526" s="47" t="s">
        <v>29</v>
      </c>
      <c r="D526" s="47" t="s">
        <v>3564</v>
      </c>
      <c r="G526" s="47" t="s">
        <v>8800</v>
      </c>
      <c r="H526" s="47" t="s">
        <v>3565</v>
      </c>
      <c r="I526" s="47" t="s">
        <v>3566</v>
      </c>
      <c r="J526" s="47" t="s">
        <v>3567</v>
      </c>
      <c r="K526" s="47" t="s">
        <v>3568</v>
      </c>
      <c r="L526" s="47" t="s">
        <v>3569</v>
      </c>
      <c r="M526" s="47" t="s">
        <v>3570</v>
      </c>
      <c r="N526" s="47" t="s">
        <v>3571</v>
      </c>
      <c r="O526" s="47" t="s">
        <v>8212</v>
      </c>
      <c r="P526" s="47" t="s">
        <v>8214</v>
      </c>
      <c r="Q526" s="47" t="s">
        <v>8216</v>
      </c>
      <c r="R526" s="47" t="s">
        <v>8218</v>
      </c>
      <c r="S526" s="47" t="s">
        <v>8220</v>
      </c>
      <c r="T526" s="47" t="s">
        <v>8222</v>
      </c>
    </row>
    <row r="527" spans="1:21" x14ac:dyDescent="0.2">
      <c r="A527" s="47" t="s">
        <v>29</v>
      </c>
      <c r="D527" s="47" t="s">
        <v>3572</v>
      </c>
      <c r="G527" s="47" t="s">
        <v>8803</v>
      </c>
      <c r="H527" s="47" t="s">
        <v>3573</v>
      </c>
      <c r="I527" s="47" t="s">
        <v>3574</v>
      </c>
      <c r="J527" s="47" t="s">
        <v>3575</v>
      </c>
      <c r="K527" s="47" t="s">
        <v>3576</v>
      </c>
      <c r="L527" s="47" t="s">
        <v>3577</v>
      </c>
      <c r="M527" s="47" t="s">
        <v>3578</v>
      </c>
      <c r="N527" s="47" t="s">
        <v>3579</v>
      </c>
      <c r="O527" s="47" t="s">
        <v>7745</v>
      </c>
      <c r="P527" s="47" t="s">
        <v>7746</v>
      </c>
      <c r="Q527" s="47" t="s">
        <v>7747</v>
      </c>
      <c r="R527" s="47" t="s">
        <v>7748</v>
      </c>
      <c r="S527" s="47" t="s">
        <v>7749</v>
      </c>
      <c r="T527" s="47" t="s">
        <v>7750</v>
      </c>
    </row>
    <row r="528" spans="1:21" x14ac:dyDescent="0.2">
      <c r="A528" s="47" t="s">
        <v>29</v>
      </c>
    </row>
    <row r="529" spans="1:21" x14ac:dyDescent="0.2">
      <c r="A529" s="47" t="s">
        <v>29</v>
      </c>
      <c r="E529" s="47" t="s">
        <v>30</v>
      </c>
      <c r="F529" s="47" t="s">
        <v>30</v>
      </c>
      <c r="G529" s="47" t="s">
        <v>30</v>
      </c>
      <c r="J529" s="47" t="s">
        <v>30</v>
      </c>
      <c r="K529" s="47" t="s">
        <v>30</v>
      </c>
      <c r="L529" s="47" t="s">
        <v>30</v>
      </c>
      <c r="M529" s="47" t="s">
        <v>30</v>
      </c>
    </row>
    <row r="530" spans="1:21" x14ac:dyDescent="0.2">
      <c r="A530" s="47" t="s">
        <v>29</v>
      </c>
      <c r="D530" s="47" t="s">
        <v>5482</v>
      </c>
      <c r="E530" s="47" t="s">
        <v>4332</v>
      </c>
      <c r="F530" s="47" t="s">
        <v>5483</v>
      </c>
      <c r="H530" s="47" t="s">
        <v>5484</v>
      </c>
      <c r="O530" s="47" t="s">
        <v>9897</v>
      </c>
      <c r="P530" s="47" t="s">
        <v>9898</v>
      </c>
      <c r="Q530" s="47" t="s">
        <v>9899</v>
      </c>
      <c r="R530" s="47" t="s">
        <v>9900</v>
      </c>
      <c r="S530" s="47" t="s">
        <v>9901</v>
      </c>
      <c r="T530" s="47" t="s">
        <v>9902</v>
      </c>
      <c r="U530" s="47" t="s">
        <v>9903</v>
      </c>
    </row>
    <row r="531" spans="1:21" x14ac:dyDescent="0.2">
      <c r="A531" s="47" t="s">
        <v>29</v>
      </c>
      <c r="D531" s="47" t="s">
        <v>5485</v>
      </c>
      <c r="G531" s="47" t="s">
        <v>8353</v>
      </c>
      <c r="H531" s="47" t="s">
        <v>5645</v>
      </c>
      <c r="I531" s="47" t="s">
        <v>5649</v>
      </c>
      <c r="J531" s="47" t="s">
        <v>5665</v>
      </c>
      <c r="K531" s="47" t="s">
        <v>5669</v>
      </c>
      <c r="L531" s="47" t="s">
        <v>5486</v>
      </c>
      <c r="M531" s="47" t="s">
        <v>5487</v>
      </c>
      <c r="N531" s="47" t="s">
        <v>5488</v>
      </c>
      <c r="O531" s="47" t="s">
        <v>8354</v>
      </c>
      <c r="P531" s="47" t="s">
        <v>8355</v>
      </c>
      <c r="Q531" s="47" t="s">
        <v>8356</v>
      </c>
      <c r="R531" s="47" t="s">
        <v>8357</v>
      </c>
      <c r="S531" s="47" t="s">
        <v>8358</v>
      </c>
      <c r="T531" s="47" t="s">
        <v>8359</v>
      </c>
    </row>
    <row r="532" spans="1:21" x14ac:dyDescent="0.2">
      <c r="A532" s="47" t="s">
        <v>29</v>
      </c>
      <c r="D532" s="47" t="s">
        <v>5489</v>
      </c>
      <c r="G532" s="47" t="s">
        <v>8805</v>
      </c>
      <c r="H532" s="47" t="s">
        <v>5646</v>
      </c>
      <c r="I532" s="47" t="s">
        <v>5650</v>
      </c>
      <c r="J532" s="47" t="s">
        <v>5666</v>
      </c>
      <c r="K532" s="47" t="s">
        <v>5670</v>
      </c>
      <c r="L532" s="47" t="s">
        <v>5490</v>
      </c>
      <c r="M532" s="47" t="s">
        <v>5491</v>
      </c>
      <c r="N532" s="47" t="s">
        <v>5492</v>
      </c>
      <c r="O532" s="47" t="s">
        <v>8360</v>
      </c>
      <c r="P532" s="47" t="s">
        <v>8361</v>
      </c>
      <c r="Q532" s="47" t="s">
        <v>8362</v>
      </c>
      <c r="R532" s="47" t="s">
        <v>8363</v>
      </c>
      <c r="S532" s="47" t="s">
        <v>8364</v>
      </c>
      <c r="T532" s="47" t="s">
        <v>8365</v>
      </c>
    </row>
    <row r="533" spans="1:21" x14ac:dyDescent="0.2">
      <c r="A533" s="47" t="s">
        <v>29</v>
      </c>
      <c r="D533" s="47" t="s">
        <v>3581</v>
      </c>
      <c r="G533" s="47" t="s">
        <v>8807</v>
      </c>
      <c r="H533" s="47" t="s">
        <v>3582</v>
      </c>
      <c r="I533" s="47" t="s">
        <v>3583</v>
      </c>
      <c r="J533" s="47" t="s">
        <v>3584</v>
      </c>
      <c r="K533" s="47" t="s">
        <v>3585</v>
      </c>
      <c r="L533" s="47" t="s">
        <v>3586</v>
      </c>
      <c r="M533" s="47" t="s">
        <v>3587</v>
      </c>
      <c r="N533" s="47" t="s">
        <v>3588</v>
      </c>
      <c r="O533" s="47" t="s">
        <v>8165</v>
      </c>
      <c r="P533" s="47" t="s">
        <v>8166</v>
      </c>
      <c r="Q533" s="47" t="s">
        <v>8167</v>
      </c>
      <c r="R533" s="47" t="s">
        <v>8168</v>
      </c>
      <c r="S533" s="47" t="s">
        <v>8169</v>
      </c>
      <c r="T533" s="47" t="s">
        <v>8170</v>
      </c>
    </row>
    <row r="534" spans="1:21" x14ac:dyDescent="0.2">
      <c r="A534" s="47" t="s">
        <v>29</v>
      </c>
    </row>
    <row r="535" spans="1:21" x14ac:dyDescent="0.2">
      <c r="A535" s="47" t="s">
        <v>29</v>
      </c>
      <c r="E535" s="47" t="s">
        <v>30</v>
      </c>
      <c r="F535" s="47" t="s">
        <v>30</v>
      </c>
      <c r="G535" s="47" t="s">
        <v>30</v>
      </c>
      <c r="J535" s="47" t="s">
        <v>30</v>
      </c>
      <c r="K535" s="47" t="s">
        <v>30</v>
      </c>
      <c r="L535" s="47" t="s">
        <v>30</v>
      </c>
      <c r="M535" s="47" t="s">
        <v>30</v>
      </c>
    </row>
    <row r="536" spans="1:21" x14ac:dyDescent="0.2">
      <c r="A536" s="47" t="s">
        <v>29</v>
      </c>
      <c r="D536" s="47" t="s">
        <v>9291</v>
      </c>
      <c r="E536" s="47" t="s">
        <v>4333</v>
      </c>
      <c r="F536" s="47" t="s">
        <v>9292</v>
      </c>
      <c r="H536" s="47" t="s">
        <v>9293</v>
      </c>
      <c r="O536" s="47" t="s">
        <v>9904</v>
      </c>
      <c r="P536" s="47" t="s">
        <v>9905</v>
      </c>
      <c r="Q536" s="47" t="s">
        <v>9906</v>
      </c>
      <c r="R536" s="47" t="s">
        <v>9907</v>
      </c>
      <c r="S536" s="47" t="s">
        <v>9908</v>
      </c>
      <c r="T536" s="47" t="s">
        <v>9909</v>
      </c>
      <c r="U536" s="47" t="s">
        <v>9910</v>
      </c>
    </row>
    <row r="537" spans="1:21" x14ac:dyDescent="0.2">
      <c r="A537" s="47" t="s">
        <v>29</v>
      </c>
      <c r="D537" s="47" t="s">
        <v>5493</v>
      </c>
      <c r="G537" s="47" t="s">
        <v>9294</v>
      </c>
      <c r="H537" s="47" t="s">
        <v>5647</v>
      </c>
      <c r="I537" s="47" t="s">
        <v>5651</v>
      </c>
      <c r="J537" s="47" t="s">
        <v>5667</v>
      </c>
      <c r="K537" s="47" t="s">
        <v>5671</v>
      </c>
      <c r="L537" s="47" t="s">
        <v>5494</v>
      </c>
      <c r="M537" s="47" t="s">
        <v>5495</v>
      </c>
      <c r="N537" s="47" t="s">
        <v>5496</v>
      </c>
      <c r="O537" s="47" t="s">
        <v>8021</v>
      </c>
      <c r="P537" s="47" t="s">
        <v>8023</v>
      </c>
      <c r="Q537" s="47" t="s">
        <v>8025</v>
      </c>
      <c r="R537" s="47" t="s">
        <v>8027</v>
      </c>
      <c r="S537" s="47" t="s">
        <v>8029</v>
      </c>
      <c r="T537" s="47" t="s">
        <v>8031</v>
      </c>
    </row>
    <row r="538" spans="1:21" x14ac:dyDescent="0.2">
      <c r="A538" s="47" t="s">
        <v>29</v>
      </c>
      <c r="D538" s="47" t="s">
        <v>5497</v>
      </c>
      <c r="G538" s="47" t="s">
        <v>8810</v>
      </c>
      <c r="H538" s="47" t="s">
        <v>5648</v>
      </c>
      <c r="I538" s="47" t="s">
        <v>5652</v>
      </c>
      <c r="J538" s="47" t="s">
        <v>5668</v>
      </c>
      <c r="K538" s="47" t="s">
        <v>5672</v>
      </c>
      <c r="L538" s="47" t="s">
        <v>5498</v>
      </c>
      <c r="M538" s="47" t="s">
        <v>5499</v>
      </c>
      <c r="N538" s="47" t="s">
        <v>5500</v>
      </c>
      <c r="O538" s="47" t="s">
        <v>8022</v>
      </c>
      <c r="P538" s="47" t="s">
        <v>8024</v>
      </c>
      <c r="Q538" s="47" t="s">
        <v>8026</v>
      </c>
      <c r="R538" s="47" t="s">
        <v>8028</v>
      </c>
      <c r="S538" s="47" t="s">
        <v>8030</v>
      </c>
      <c r="T538" s="47" t="s">
        <v>8032</v>
      </c>
    </row>
    <row r="539" spans="1:21" x14ac:dyDescent="0.2">
      <c r="A539" s="47" t="s">
        <v>29</v>
      </c>
    </row>
    <row r="540" spans="1:21" x14ac:dyDescent="0.2">
      <c r="A540" s="47" t="s">
        <v>29</v>
      </c>
      <c r="E540" s="47" t="s">
        <v>30</v>
      </c>
      <c r="F540" s="47" t="s">
        <v>30</v>
      </c>
      <c r="G540" s="47" t="s">
        <v>30</v>
      </c>
      <c r="J540" s="47" t="s">
        <v>30</v>
      </c>
      <c r="K540" s="47" t="s">
        <v>30</v>
      </c>
      <c r="L540" s="47" t="s">
        <v>30</v>
      </c>
      <c r="M540" s="47" t="s">
        <v>30</v>
      </c>
    </row>
    <row r="541" spans="1:21" x14ac:dyDescent="0.2">
      <c r="A541" s="47" t="s">
        <v>29</v>
      </c>
      <c r="D541" s="47" t="s">
        <v>7959</v>
      </c>
      <c r="E541" s="47" t="s">
        <v>4334</v>
      </c>
      <c r="F541" s="47" t="s">
        <v>7960</v>
      </c>
      <c r="H541" s="47" t="s">
        <v>7961</v>
      </c>
      <c r="O541" s="47" t="s">
        <v>9911</v>
      </c>
      <c r="P541" s="47" t="s">
        <v>9912</v>
      </c>
      <c r="Q541" s="47" t="s">
        <v>9913</v>
      </c>
      <c r="R541" s="47" t="s">
        <v>9914</v>
      </c>
      <c r="S541" s="47" t="s">
        <v>9915</v>
      </c>
      <c r="T541" s="47" t="s">
        <v>9916</v>
      </c>
      <c r="U541" s="47" t="s">
        <v>9917</v>
      </c>
    </row>
    <row r="542" spans="1:21" x14ac:dyDescent="0.2">
      <c r="A542" s="47" t="s">
        <v>29</v>
      </c>
      <c r="D542" s="47" t="s">
        <v>6460</v>
      </c>
      <c r="G542" s="47" t="s">
        <v>7962</v>
      </c>
      <c r="H542" s="47" t="s">
        <v>6695</v>
      </c>
      <c r="I542" s="47" t="s">
        <v>6698</v>
      </c>
      <c r="J542" s="47" t="s">
        <v>6713</v>
      </c>
      <c r="K542" s="47" t="s">
        <v>6716</v>
      </c>
      <c r="L542" s="47" t="s">
        <v>6461</v>
      </c>
      <c r="M542" s="47" t="s">
        <v>6462</v>
      </c>
      <c r="N542" s="47" t="s">
        <v>6463</v>
      </c>
      <c r="O542" s="47" t="s">
        <v>7739</v>
      </c>
      <c r="P542" s="47" t="s">
        <v>7740</v>
      </c>
      <c r="Q542" s="47" t="s">
        <v>7741</v>
      </c>
      <c r="R542" s="47" t="s">
        <v>7742</v>
      </c>
      <c r="S542" s="47" t="s">
        <v>7743</v>
      </c>
      <c r="T542" s="47" t="s">
        <v>7744</v>
      </c>
    </row>
    <row r="543" spans="1:21" x14ac:dyDescent="0.2">
      <c r="A543" s="47" t="s">
        <v>29</v>
      </c>
    </row>
    <row r="544" spans="1:21" x14ac:dyDescent="0.2">
      <c r="A544" s="47" t="s">
        <v>29</v>
      </c>
      <c r="E544" s="47" t="s">
        <v>30</v>
      </c>
      <c r="F544" s="47" t="s">
        <v>30</v>
      </c>
      <c r="G544" s="47" t="s">
        <v>30</v>
      </c>
      <c r="J544" s="47" t="s">
        <v>30</v>
      </c>
      <c r="K544" s="47" t="s">
        <v>30</v>
      </c>
      <c r="L544" s="47" t="s">
        <v>30</v>
      </c>
      <c r="M544" s="47" t="s">
        <v>30</v>
      </c>
    </row>
    <row r="545" spans="1:21" x14ac:dyDescent="0.2">
      <c r="A545" s="47" t="s">
        <v>29</v>
      </c>
      <c r="D545" s="47" t="s">
        <v>9918</v>
      </c>
      <c r="E545" s="47" t="s">
        <v>4335</v>
      </c>
      <c r="F545" s="47" t="s">
        <v>9919</v>
      </c>
      <c r="H545" s="47" t="s">
        <v>9920</v>
      </c>
      <c r="O545" s="47" t="s">
        <v>9921</v>
      </c>
      <c r="P545" s="47" t="s">
        <v>9922</v>
      </c>
      <c r="Q545" s="47" t="s">
        <v>9923</v>
      </c>
      <c r="R545" s="47" t="s">
        <v>9924</v>
      </c>
      <c r="S545" s="47" t="s">
        <v>9925</v>
      </c>
      <c r="T545" s="47" t="s">
        <v>9926</v>
      </c>
      <c r="U545" s="47" t="s">
        <v>9927</v>
      </c>
    </row>
    <row r="546" spans="1:21" x14ac:dyDescent="0.2">
      <c r="A546" s="47" t="s">
        <v>29</v>
      </c>
      <c r="D546" s="47" t="s">
        <v>5505</v>
      </c>
      <c r="G546" s="47" t="s">
        <v>9928</v>
      </c>
      <c r="H546" s="47" t="s">
        <v>5616</v>
      </c>
      <c r="I546" s="47" t="s">
        <v>5619</v>
      </c>
      <c r="J546" s="47" t="s">
        <v>5640</v>
      </c>
      <c r="K546" s="47" t="s">
        <v>5643</v>
      </c>
      <c r="L546" s="47" t="s">
        <v>5506</v>
      </c>
      <c r="M546" s="47" t="s">
        <v>5507</v>
      </c>
      <c r="N546" s="47" t="s">
        <v>5508</v>
      </c>
      <c r="O546" s="47" t="s">
        <v>8386</v>
      </c>
      <c r="P546" s="47" t="s">
        <v>8387</v>
      </c>
      <c r="Q546" s="47" t="s">
        <v>8388</v>
      </c>
      <c r="R546" s="47" t="s">
        <v>8389</v>
      </c>
      <c r="S546" s="47" t="s">
        <v>8390</v>
      </c>
      <c r="T546" s="47" t="s">
        <v>8391</v>
      </c>
    </row>
    <row r="547" spans="1:21" x14ac:dyDescent="0.2">
      <c r="A547" s="47" t="s">
        <v>29</v>
      </c>
    </row>
    <row r="548" spans="1:21" x14ac:dyDescent="0.2">
      <c r="A548" s="47" t="s">
        <v>29</v>
      </c>
      <c r="E548" s="47" t="s">
        <v>30</v>
      </c>
      <c r="F548" s="47" t="s">
        <v>30</v>
      </c>
      <c r="G548" s="47" t="s">
        <v>30</v>
      </c>
      <c r="J548" s="47" t="s">
        <v>30</v>
      </c>
      <c r="K548" s="47" t="s">
        <v>30</v>
      </c>
      <c r="L548" s="47" t="s">
        <v>30</v>
      </c>
      <c r="M548" s="47" t="s">
        <v>30</v>
      </c>
    </row>
    <row r="549" spans="1:21" x14ac:dyDescent="0.2">
      <c r="A549" s="47" t="s">
        <v>29</v>
      </c>
      <c r="D549" s="47" t="s">
        <v>8392</v>
      </c>
      <c r="E549" s="47" t="s">
        <v>4336</v>
      </c>
      <c r="F549" s="47" t="s">
        <v>8393</v>
      </c>
      <c r="H549" s="47" t="s">
        <v>8394</v>
      </c>
      <c r="O549" s="47" t="s">
        <v>9929</v>
      </c>
      <c r="P549" s="47" t="s">
        <v>9930</v>
      </c>
      <c r="Q549" s="47" t="s">
        <v>9931</v>
      </c>
      <c r="R549" s="47" t="s">
        <v>9932</v>
      </c>
      <c r="S549" s="47" t="s">
        <v>9933</v>
      </c>
      <c r="T549" s="47" t="s">
        <v>9934</v>
      </c>
      <c r="U549" s="47" t="s">
        <v>9935</v>
      </c>
    </row>
    <row r="550" spans="1:21" x14ac:dyDescent="0.2">
      <c r="A550" s="47" t="s">
        <v>29</v>
      </c>
      <c r="D550" s="47" t="s">
        <v>3619</v>
      </c>
      <c r="G550" s="47" t="s">
        <v>8395</v>
      </c>
      <c r="H550" s="47" t="s">
        <v>3620</v>
      </c>
      <c r="I550" s="47" t="s">
        <v>3621</v>
      </c>
      <c r="J550" s="47" t="s">
        <v>3622</v>
      </c>
      <c r="K550" s="47" t="s">
        <v>3623</v>
      </c>
      <c r="L550" s="47" t="s">
        <v>3624</v>
      </c>
      <c r="M550" s="47" t="s">
        <v>3625</v>
      </c>
      <c r="N550" s="47" t="s">
        <v>3626</v>
      </c>
      <c r="O550" s="47" t="s">
        <v>8205</v>
      </c>
      <c r="P550" s="47" t="s">
        <v>8206</v>
      </c>
      <c r="Q550" s="47" t="s">
        <v>8207</v>
      </c>
      <c r="R550" s="47" t="s">
        <v>8208</v>
      </c>
      <c r="S550" s="47" t="s">
        <v>8209</v>
      </c>
      <c r="T550" s="47" t="s">
        <v>8210</v>
      </c>
    </row>
    <row r="551" spans="1:21" x14ac:dyDescent="0.2">
      <c r="A551" s="47" t="s">
        <v>29</v>
      </c>
    </row>
    <row r="552" spans="1:21" x14ac:dyDescent="0.2">
      <c r="A552" s="47" t="s">
        <v>29</v>
      </c>
      <c r="E552" s="47" t="s">
        <v>30</v>
      </c>
      <c r="F552" s="47" t="s">
        <v>30</v>
      </c>
      <c r="G552" s="47" t="s">
        <v>30</v>
      </c>
      <c r="J552" s="47" t="s">
        <v>30</v>
      </c>
      <c r="K552" s="47" t="s">
        <v>30</v>
      </c>
      <c r="L552" s="47" t="s">
        <v>30</v>
      </c>
      <c r="M552" s="47" t="s">
        <v>30</v>
      </c>
    </row>
    <row r="553" spans="1:21" x14ac:dyDescent="0.2">
      <c r="A553" s="47" t="s">
        <v>29</v>
      </c>
      <c r="D553" s="47" t="s">
        <v>5513</v>
      </c>
      <c r="E553" s="47" t="s">
        <v>4337</v>
      </c>
      <c r="F553" s="47" t="s">
        <v>5514</v>
      </c>
      <c r="H553" s="47" t="s">
        <v>5515</v>
      </c>
      <c r="O553" s="47" t="s">
        <v>9936</v>
      </c>
      <c r="P553" s="47" t="s">
        <v>9937</v>
      </c>
      <c r="Q553" s="47" t="s">
        <v>9938</v>
      </c>
      <c r="R553" s="47" t="s">
        <v>9939</v>
      </c>
      <c r="S553" s="47" t="s">
        <v>9940</v>
      </c>
      <c r="T553" s="47" t="s">
        <v>9941</v>
      </c>
      <c r="U553" s="47" t="s">
        <v>9942</v>
      </c>
    </row>
    <row r="554" spans="1:21" x14ac:dyDescent="0.2">
      <c r="A554" s="47" t="s">
        <v>29</v>
      </c>
      <c r="D554" s="47" t="s">
        <v>5516</v>
      </c>
      <c r="G554" s="47" t="s">
        <v>9357</v>
      </c>
      <c r="H554" s="47" t="s">
        <v>5597</v>
      </c>
      <c r="I554" s="47" t="s">
        <v>5600</v>
      </c>
      <c r="J554" s="47" t="s">
        <v>5609</v>
      </c>
      <c r="K554" s="47" t="s">
        <v>5612</v>
      </c>
      <c r="L554" s="47" t="s">
        <v>5517</v>
      </c>
      <c r="M554" s="47" t="s">
        <v>5518</v>
      </c>
      <c r="N554" s="47" t="s">
        <v>5519</v>
      </c>
      <c r="O554" s="47" t="s">
        <v>8013</v>
      </c>
      <c r="P554" s="47" t="s">
        <v>8014</v>
      </c>
      <c r="Q554" s="47" t="s">
        <v>8015</v>
      </c>
      <c r="R554" s="47" t="s">
        <v>8016</v>
      </c>
      <c r="S554" s="47" t="s">
        <v>8017</v>
      </c>
      <c r="T554" s="47" t="s">
        <v>8018</v>
      </c>
    </row>
    <row r="555" spans="1:21" x14ac:dyDescent="0.2">
      <c r="A555" s="47" t="s">
        <v>29</v>
      </c>
    </row>
    <row r="556" spans="1:21" x14ac:dyDescent="0.2">
      <c r="A556" s="47" t="s">
        <v>29</v>
      </c>
      <c r="E556" s="47" t="s">
        <v>30</v>
      </c>
      <c r="F556" s="47" t="s">
        <v>30</v>
      </c>
      <c r="G556" s="47" t="s">
        <v>30</v>
      </c>
      <c r="J556" s="47" t="s">
        <v>30</v>
      </c>
      <c r="K556" s="47" t="s">
        <v>30</v>
      </c>
      <c r="L556" s="47" t="s">
        <v>30</v>
      </c>
      <c r="M556" s="47" t="s">
        <v>30</v>
      </c>
    </row>
    <row r="557" spans="1:21" x14ac:dyDescent="0.2">
      <c r="A557" s="47" t="s">
        <v>29</v>
      </c>
      <c r="D557" s="47" t="s">
        <v>9246</v>
      </c>
      <c r="E557" s="47" t="s">
        <v>6536</v>
      </c>
      <c r="F557" s="47" t="s">
        <v>9247</v>
      </c>
      <c r="H557" s="47" t="s">
        <v>9248</v>
      </c>
      <c r="O557" s="47" t="s">
        <v>9943</v>
      </c>
      <c r="P557" s="47" t="s">
        <v>9944</v>
      </c>
      <c r="Q557" s="47" t="s">
        <v>9945</v>
      </c>
      <c r="R557" s="47" t="s">
        <v>9946</v>
      </c>
      <c r="S557" s="47" t="s">
        <v>9947</v>
      </c>
      <c r="T557" s="47" t="s">
        <v>9948</v>
      </c>
      <c r="U557" s="47" t="s">
        <v>9949</v>
      </c>
    </row>
    <row r="558" spans="1:21" x14ac:dyDescent="0.2">
      <c r="A558" s="47" t="s">
        <v>29</v>
      </c>
      <c r="D558" s="47" t="s">
        <v>3642</v>
      </c>
      <c r="G558" s="47" t="s">
        <v>9249</v>
      </c>
      <c r="H558" s="47" t="s">
        <v>3643</v>
      </c>
      <c r="I558" s="47" t="s">
        <v>3644</v>
      </c>
      <c r="J558" s="47" t="s">
        <v>3645</v>
      </c>
      <c r="K558" s="47" t="s">
        <v>3646</v>
      </c>
      <c r="L558" s="47" t="s">
        <v>3647</v>
      </c>
      <c r="M558" s="47" t="s">
        <v>3648</v>
      </c>
      <c r="N558" s="47" t="s">
        <v>3649</v>
      </c>
      <c r="O558" s="47" t="s">
        <v>7733</v>
      </c>
      <c r="P558" s="47" t="s">
        <v>7734</v>
      </c>
      <c r="Q558" s="47" t="s">
        <v>7735</v>
      </c>
      <c r="R558" s="47" t="s">
        <v>7736</v>
      </c>
      <c r="S558" s="47" t="s">
        <v>7737</v>
      </c>
      <c r="T558" s="47" t="s">
        <v>7738</v>
      </c>
    </row>
    <row r="559" spans="1:21" x14ac:dyDescent="0.2">
      <c r="A559" s="47" t="s">
        <v>29</v>
      </c>
    </row>
    <row r="560" spans="1:21" x14ac:dyDescent="0.2">
      <c r="A560" s="47" t="s">
        <v>29</v>
      </c>
      <c r="E560" s="47" t="s">
        <v>30</v>
      </c>
      <c r="F560" s="47" t="s">
        <v>30</v>
      </c>
      <c r="G560" s="47" t="s">
        <v>30</v>
      </c>
      <c r="J560" s="47" t="s">
        <v>30</v>
      </c>
      <c r="K560" s="47" t="s">
        <v>30</v>
      </c>
      <c r="L560" s="47" t="s">
        <v>30</v>
      </c>
      <c r="M560" s="47" t="s">
        <v>30</v>
      </c>
    </row>
    <row r="561" spans="1:21" x14ac:dyDescent="0.2">
      <c r="A561" s="47" t="s">
        <v>29</v>
      </c>
      <c r="D561" s="47" t="s">
        <v>9950</v>
      </c>
      <c r="E561" s="47" t="s">
        <v>6538</v>
      </c>
      <c r="F561" s="47" t="s">
        <v>9951</v>
      </c>
      <c r="H561" s="47" t="s">
        <v>9952</v>
      </c>
      <c r="O561" s="47" t="s">
        <v>9953</v>
      </c>
      <c r="P561" s="47" t="s">
        <v>9954</v>
      </c>
      <c r="Q561" s="47" t="s">
        <v>9955</v>
      </c>
      <c r="R561" s="47" t="s">
        <v>9956</v>
      </c>
      <c r="S561" s="47" t="s">
        <v>9957</v>
      </c>
      <c r="T561" s="47" t="s">
        <v>9958</v>
      </c>
      <c r="U561" s="47" t="s">
        <v>9959</v>
      </c>
    </row>
    <row r="562" spans="1:21" x14ac:dyDescent="0.2">
      <c r="A562" s="47" t="s">
        <v>29</v>
      </c>
      <c r="D562" s="47" t="s">
        <v>5524</v>
      </c>
      <c r="G562" s="47" t="s">
        <v>9960</v>
      </c>
      <c r="H562" s="47" t="s">
        <v>5599</v>
      </c>
      <c r="I562" s="47" t="s">
        <v>5602</v>
      </c>
      <c r="J562" s="47" t="s">
        <v>5611</v>
      </c>
      <c r="K562" s="47" t="s">
        <v>5614</v>
      </c>
      <c r="L562" s="47" t="s">
        <v>5525</v>
      </c>
      <c r="M562" s="47" t="s">
        <v>5526</v>
      </c>
      <c r="N562" s="47" t="s">
        <v>5527</v>
      </c>
      <c r="O562" s="47" t="s">
        <v>8003</v>
      </c>
      <c r="P562" s="47" t="s">
        <v>8004</v>
      </c>
      <c r="Q562" s="47" t="s">
        <v>8005</v>
      </c>
      <c r="R562" s="47" t="s">
        <v>8006</v>
      </c>
      <c r="S562" s="47" t="s">
        <v>8007</v>
      </c>
      <c r="T562" s="47" t="s">
        <v>8008</v>
      </c>
    </row>
    <row r="563" spans="1:21" x14ac:dyDescent="0.2">
      <c r="A563" s="47" t="s">
        <v>29</v>
      </c>
    </row>
    <row r="564" spans="1:21" x14ac:dyDescent="0.2">
      <c r="A564" s="47" t="s">
        <v>29</v>
      </c>
      <c r="E564" s="47" t="s">
        <v>30</v>
      </c>
      <c r="F564" s="47" t="s">
        <v>30</v>
      </c>
      <c r="G564" s="47" t="s">
        <v>30</v>
      </c>
      <c r="J564" s="47" t="s">
        <v>30</v>
      </c>
      <c r="K564" s="47" t="s">
        <v>30</v>
      </c>
      <c r="L564" s="47" t="s">
        <v>30</v>
      </c>
      <c r="M564" s="47" t="s">
        <v>30</v>
      </c>
    </row>
    <row r="565" spans="1:21" x14ac:dyDescent="0.2">
      <c r="A565" s="47" t="s">
        <v>29</v>
      </c>
      <c r="D565" s="47" t="s">
        <v>8396</v>
      </c>
      <c r="E565" s="47" t="s">
        <v>6539</v>
      </c>
      <c r="F565" s="47" t="s">
        <v>8397</v>
      </c>
      <c r="H565" s="47" t="s">
        <v>8398</v>
      </c>
      <c r="O565" s="47" t="s">
        <v>9961</v>
      </c>
      <c r="P565" s="47" t="s">
        <v>9962</v>
      </c>
      <c r="Q565" s="47" t="s">
        <v>9963</v>
      </c>
      <c r="R565" s="47" t="s">
        <v>9964</v>
      </c>
      <c r="S565" s="47" t="s">
        <v>9965</v>
      </c>
      <c r="T565" s="47" t="s">
        <v>9966</v>
      </c>
      <c r="U565" s="47" t="s">
        <v>9967</v>
      </c>
    </row>
    <row r="566" spans="1:21" x14ac:dyDescent="0.2">
      <c r="A566" s="47" t="s">
        <v>29</v>
      </c>
      <c r="D566" s="47" t="s">
        <v>6468</v>
      </c>
      <c r="G566" s="47" t="s">
        <v>8399</v>
      </c>
      <c r="H566" s="47" t="s">
        <v>6674</v>
      </c>
      <c r="I566" s="47" t="s">
        <v>6676</v>
      </c>
      <c r="J566" s="47" t="s">
        <v>6690</v>
      </c>
      <c r="K566" s="47" t="s">
        <v>6692</v>
      </c>
      <c r="L566" s="47" t="s">
        <v>6469</v>
      </c>
      <c r="M566" s="47" t="s">
        <v>6470</v>
      </c>
      <c r="N566" s="47" t="s">
        <v>6471</v>
      </c>
      <c r="O566" s="47" t="s">
        <v>8410</v>
      </c>
      <c r="P566" s="47" t="s">
        <v>8411</v>
      </c>
      <c r="Q566" s="47" t="s">
        <v>8412</v>
      </c>
      <c r="R566" s="47" t="s">
        <v>8413</v>
      </c>
      <c r="S566" s="47" t="s">
        <v>8414</v>
      </c>
      <c r="T566" s="47" t="s">
        <v>8415</v>
      </c>
    </row>
    <row r="567" spans="1:21" x14ac:dyDescent="0.2">
      <c r="A567" s="47" t="s">
        <v>29</v>
      </c>
    </row>
    <row r="568" spans="1:21" x14ac:dyDescent="0.2">
      <c r="A568" s="47" t="s">
        <v>29</v>
      </c>
      <c r="E568" s="47" t="s">
        <v>30</v>
      </c>
      <c r="F568" s="47" t="s">
        <v>30</v>
      </c>
      <c r="G568" s="47" t="s">
        <v>30</v>
      </c>
      <c r="J568" s="47" t="s">
        <v>30</v>
      </c>
      <c r="K568" s="47" t="s">
        <v>30</v>
      </c>
      <c r="L568" s="47" t="s">
        <v>30</v>
      </c>
      <c r="M568" s="47" t="s">
        <v>30</v>
      </c>
    </row>
    <row r="569" spans="1:21" x14ac:dyDescent="0.2">
      <c r="A569" s="47" t="s">
        <v>29</v>
      </c>
      <c r="D569" s="47" t="s">
        <v>9250</v>
      </c>
      <c r="E569" s="47" t="s">
        <v>6542</v>
      </c>
      <c r="F569" s="47" t="s">
        <v>9251</v>
      </c>
      <c r="H569" s="47" t="s">
        <v>9252</v>
      </c>
      <c r="O569" s="47" t="s">
        <v>9253</v>
      </c>
      <c r="P569" s="47" t="s">
        <v>9254</v>
      </c>
      <c r="Q569" s="47" t="s">
        <v>9255</v>
      </c>
      <c r="R569" s="47" t="s">
        <v>9256</v>
      </c>
      <c r="S569" s="47" t="s">
        <v>9257</v>
      </c>
      <c r="T569" s="47" t="s">
        <v>9258</v>
      </c>
      <c r="U569" s="47" t="s">
        <v>9259</v>
      </c>
    </row>
    <row r="570" spans="1:21" x14ac:dyDescent="0.2">
      <c r="A570" s="47" t="s">
        <v>29</v>
      </c>
      <c r="D570" s="47" t="s">
        <v>3685</v>
      </c>
      <c r="G570" s="47" t="s">
        <v>9260</v>
      </c>
      <c r="H570" s="47" t="s">
        <v>3686</v>
      </c>
      <c r="I570" s="47" t="s">
        <v>3687</v>
      </c>
      <c r="J570" s="47" t="s">
        <v>3688</v>
      </c>
      <c r="K570" s="47" t="s">
        <v>3689</v>
      </c>
      <c r="L570" s="47" t="s">
        <v>3690</v>
      </c>
      <c r="M570" s="47" t="s">
        <v>3691</v>
      </c>
      <c r="N570" s="47" t="s">
        <v>3692</v>
      </c>
      <c r="O570" s="47" t="s">
        <v>7995</v>
      </c>
      <c r="P570" s="47" t="s">
        <v>7996</v>
      </c>
      <c r="Q570" s="47" t="s">
        <v>7997</v>
      </c>
      <c r="R570" s="47" t="s">
        <v>7998</v>
      </c>
      <c r="S570" s="47" t="s">
        <v>7999</v>
      </c>
      <c r="T570" s="47" t="s">
        <v>8000</v>
      </c>
    </row>
    <row r="571" spans="1:21" x14ac:dyDescent="0.2">
      <c r="A571" s="47" t="s">
        <v>29</v>
      </c>
    </row>
    <row r="572" spans="1:21" x14ac:dyDescent="0.2">
      <c r="A572" s="47" t="s">
        <v>29</v>
      </c>
      <c r="E572" s="47" t="s">
        <v>30</v>
      </c>
      <c r="F572" s="47" t="s">
        <v>30</v>
      </c>
      <c r="G572" s="47" t="s">
        <v>30</v>
      </c>
      <c r="J572" s="47" t="s">
        <v>30</v>
      </c>
      <c r="K572" s="47" t="s">
        <v>30</v>
      </c>
      <c r="L572" s="47" t="s">
        <v>30</v>
      </c>
      <c r="M572" s="47" t="s">
        <v>30</v>
      </c>
    </row>
    <row r="573" spans="1:21" x14ac:dyDescent="0.2">
      <c r="A573" s="47" t="s">
        <v>29</v>
      </c>
      <c r="D573" s="47" t="s">
        <v>7971</v>
      </c>
      <c r="E573" s="47" t="s">
        <v>6544</v>
      </c>
      <c r="F573" s="47" t="s">
        <v>7972</v>
      </c>
      <c r="H573" s="47" t="s">
        <v>7973</v>
      </c>
      <c r="O573" s="47" t="s">
        <v>9968</v>
      </c>
      <c r="P573" s="47" t="s">
        <v>9969</v>
      </c>
      <c r="Q573" s="47" t="s">
        <v>9970</v>
      </c>
      <c r="R573" s="47" t="s">
        <v>9971</v>
      </c>
      <c r="S573" s="47" t="s">
        <v>9972</v>
      </c>
      <c r="T573" s="47" t="s">
        <v>9973</v>
      </c>
      <c r="U573" s="47" t="s">
        <v>9974</v>
      </c>
    </row>
    <row r="574" spans="1:21" x14ac:dyDescent="0.2">
      <c r="A574" s="47" t="s">
        <v>29</v>
      </c>
      <c r="D574" s="47" t="s">
        <v>5528</v>
      </c>
      <c r="G574" s="47" t="s">
        <v>7974</v>
      </c>
      <c r="H574" s="47" t="s">
        <v>5593</v>
      </c>
      <c r="I574" s="47" t="s">
        <v>5594</v>
      </c>
      <c r="J574" s="47" t="s">
        <v>5595</v>
      </c>
      <c r="K574" s="47" t="s">
        <v>5596</v>
      </c>
      <c r="L574" s="47" t="s">
        <v>5529</v>
      </c>
      <c r="M574" s="47" t="s">
        <v>5530</v>
      </c>
      <c r="N574" s="47" t="s">
        <v>5531</v>
      </c>
      <c r="O574" s="47" t="s">
        <v>7981</v>
      </c>
      <c r="P574" s="47" t="s">
        <v>7983</v>
      </c>
      <c r="Q574" s="47" t="s">
        <v>7985</v>
      </c>
      <c r="R574" s="47" t="s">
        <v>7987</v>
      </c>
      <c r="S574" s="47" t="s">
        <v>7989</v>
      </c>
      <c r="T574" s="47" t="s">
        <v>7991</v>
      </c>
    </row>
    <row r="575" spans="1:21" x14ac:dyDescent="0.2">
      <c r="A575" s="47" t="s">
        <v>29</v>
      </c>
    </row>
    <row r="576" spans="1:21" x14ac:dyDescent="0.2">
      <c r="A576" s="47" t="s">
        <v>29</v>
      </c>
      <c r="E576" s="47" t="s">
        <v>30</v>
      </c>
      <c r="F576" s="47" t="s">
        <v>30</v>
      </c>
      <c r="G576" s="47" t="s">
        <v>30</v>
      </c>
      <c r="J576" s="47" t="s">
        <v>30</v>
      </c>
      <c r="K576" s="47" t="s">
        <v>30</v>
      </c>
      <c r="L576" s="47" t="s">
        <v>30</v>
      </c>
      <c r="M576" s="47" t="s">
        <v>30</v>
      </c>
    </row>
    <row r="577" spans="1:21" x14ac:dyDescent="0.2">
      <c r="A577" s="47" t="s">
        <v>29</v>
      </c>
      <c r="D577" s="47" t="s">
        <v>9975</v>
      </c>
      <c r="E577" s="47" t="s">
        <v>6545</v>
      </c>
      <c r="F577" s="47" t="s">
        <v>9976</v>
      </c>
      <c r="H577" s="47" t="s">
        <v>9977</v>
      </c>
      <c r="O577" s="47" t="s">
        <v>9978</v>
      </c>
      <c r="P577" s="47" t="s">
        <v>9979</v>
      </c>
      <c r="Q577" s="47" t="s">
        <v>9980</v>
      </c>
      <c r="R577" s="47" t="s">
        <v>9981</v>
      </c>
      <c r="S577" s="47" t="s">
        <v>9982</v>
      </c>
      <c r="T577" s="47" t="s">
        <v>9983</v>
      </c>
      <c r="U577" s="47" t="s">
        <v>9984</v>
      </c>
    </row>
    <row r="578" spans="1:21" x14ac:dyDescent="0.2">
      <c r="A578" s="47" t="s">
        <v>29</v>
      </c>
      <c r="D578" s="47" t="s">
        <v>7975</v>
      </c>
      <c r="G578" s="47" t="s">
        <v>9985</v>
      </c>
      <c r="H578" s="47" t="s">
        <v>7979</v>
      </c>
      <c r="I578" s="47" t="s">
        <v>7980</v>
      </c>
      <c r="J578" s="47" t="s">
        <v>7993</v>
      </c>
      <c r="K578" s="47" t="s">
        <v>7994</v>
      </c>
      <c r="L578" s="47" t="s">
        <v>7976</v>
      </c>
      <c r="M578" s="47" t="s">
        <v>7977</v>
      </c>
      <c r="N578" s="47" t="s">
        <v>7978</v>
      </c>
      <c r="O578" s="47" t="s">
        <v>7982</v>
      </c>
      <c r="P578" s="47" t="s">
        <v>7984</v>
      </c>
      <c r="Q578" s="47" t="s">
        <v>7986</v>
      </c>
      <c r="R578" s="47" t="s">
        <v>7988</v>
      </c>
      <c r="S578" s="47" t="s">
        <v>7990</v>
      </c>
      <c r="T578" s="47" t="s">
        <v>7992</v>
      </c>
    </row>
    <row r="579" spans="1:21" x14ac:dyDescent="0.2">
      <c r="A579" s="47" t="s">
        <v>29</v>
      </c>
    </row>
    <row r="580" spans="1:21" x14ac:dyDescent="0.2">
      <c r="A580" s="47" t="s">
        <v>29</v>
      </c>
      <c r="E580" s="47" t="s">
        <v>30</v>
      </c>
      <c r="F580" s="47" t="s">
        <v>30</v>
      </c>
      <c r="G580" s="47" t="s">
        <v>30</v>
      </c>
      <c r="J580" s="47" t="s">
        <v>30</v>
      </c>
      <c r="K580" s="47" t="s">
        <v>30</v>
      </c>
      <c r="L580" s="47" t="s">
        <v>30</v>
      </c>
      <c r="M580" s="47" t="s">
        <v>30</v>
      </c>
    </row>
    <row r="582" spans="1:21" x14ac:dyDescent="0.2">
      <c r="N582" s="47" t="s">
        <v>31</v>
      </c>
      <c r="O582" s="47" t="s">
        <v>9986</v>
      </c>
      <c r="P582" s="47" t="s">
        <v>9987</v>
      </c>
      <c r="Q582" s="47" t="s">
        <v>9988</v>
      </c>
      <c r="R582" s="47" t="s">
        <v>9989</v>
      </c>
      <c r="S582" s="47" t="s">
        <v>9990</v>
      </c>
      <c r="T582" s="47" t="s">
        <v>9991</v>
      </c>
      <c r="U582" s="47" t="s">
        <v>9992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624CA-34FF-4661-835E-0564E3AD2820}">
  <dimension ref="A1:U344"/>
  <sheetViews>
    <sheetView workbookViewId="0"/>
  </sheetViews>
  <sheetFormatPr defaultRowHeight="12.75" x14ac:dyDescent="0.2"/>
  <sheetData>
    <row r="1" spans="1:21" x14ac:dyDescent="0.2">
      <c r="A1" s="47" t="s">
        <v>10895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7</v>
      </c>
      <c r="K5" s="47" t="s">
        <v>5</v>
      </c>
      <c r="L5" s="47" t="s">
        <v>35</v>
      </c>
    </row>
    <row r="6" spans="1:21" x14ac:dyDescent="0.2">
      <c r="E6" s="47" t="s">
        <v>5269</v>
      </c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2078</v>
      </c>
      <c r="F12" s="47" t="s">
        <v>2046</v>
      </c>
      <c r="H12" s="47" t="s">
        <v>2047</v>
      </c>
      <c r="O12" s="47" t="s">
        <v>2048</v>
      </c>
      <c r="P12" s="47" t="s">
        <v>2049</v>
      </c>
      <c r="Q12" s="47" t="s">
        <v>2050</v>
      </c>
      <c r="R12" s="47" t="s">
        <v>2051</v>
      </c>
      <c r="S12" s="47" t="s">
        <v>2052</v>
      </c>
      <c r="T12" s="47" t="s">
        <v>2053</v>
      </c>
      <c r="U12" s="47" t="s">
        <v>2054</v>
      </c>
    </row>
    <row r="13" spans="1:21" x14ac:dyDescent="0.2">
      <c r="D13" s="47" t="s">
        <v>2055</v>
      </c>
      <c r="G13" s="47" t="s">
        <v>2079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2080</v>
      </c>
      <c r="P13" s="47" t="s">
        <v>2081</v>
      </c>
      <c r="Q13" s="47" t="s">
        <v>2082</v>
      </c>
      <c r="R13" s="47" t="s">
        <v>2083</v>
      </c>
      <c r="S13" s="47" t="s">
        <v>2084</v>
      </c>
      <c r="T13" s="47" t="s">
        <v>2085</v>
      </c>
    </row>
    <row r="15" spans="1:21" x14ac:dyDescent="0.2">
      <c r="E15" s="47" t="s">
        <v>30</v>
      </c>
      <c r="F15" s="47" t="s">
        <v>30</v>
      </c>
      <c r="G15" s="47" t="s">
        <v>30</v>
      </c>
      <c r="J15" s="47" t="s">
        <v>30</v>
      </c>
      <c r="K15" s="47" t="s">
        <v>30</v>
      </c>
      <c r="L15" s="47" t="s">
        <v>30</v>
      </c>
      <c r="M15" s="47" t="s">
        <v>30</v>
      </c>
    </row>
    <row r="16" spans="1:21" x14ac:dyDescent="0.2">
      <c r="A16" s="47" t="s">
        <v>29</v>
      </c>
      <c r="D16" s="47" t="s">
        <v>2274</v>
      </c>
      <c r="E16" s="47" t="s">
        <v>3001</v>
      </c>
      <c r="F16" s="47" t="s">
        <v>2275</v>
      </c>
      <c r="H16" s="47" t="s">
        <v>2276</v>
      </c>
      <c r="O16" s="47" t="s">
        <v>4338</v>
      </c>
      <c r="P16" s="47" t="s">
        <v>4339</v>
      </c>
      <c r="Q16" s="47" t="s">
        <v>4340</v>
      </c>
      <c r="R16" s="47" t="s">
        <v>4341</v>
      </c>
      <c r="S16" s="47" t="s">
        <v>4342</v>
      </c>
      <c r="T16" s="47" t="s">
        <v>4343</v>
      </c>
      <c r="U16" s="47" t="s">
        <v>4344</v>
      </c>
    </row>
    <row r="17" spans="1:21" x14ac:dyDescent="0.2">
      <c r="A17" s="47" t="s">
        <v>29</v>
      </c>
      <c r="D17" s="47" t="s">
        <v>1627</v>
      </c>
      <c r="G17" s="47" t="s">
        <v>2277</v>
      </c>
      <c r="H17" s="47" t="s">
        <v>1628</v>
      </c>
      <c r="I17" s="47" t="s">
        <v>1629</v>
      </c>
      <c r="J17" s="47" t="s">
        <v>1630</v>
      </c>
      <c r="K17" s="47" t="s">
        <v>1631</v>
      </c>
      <c r="L17" s="47" t="s">
        <v>1632</v>
      </c>
      <c r="M17" s="47" t="s">
        <v>1633</v>
      </c>
      <c r="N17" s="47" t="s">
        <v>1634</v>
      </c>
      <c r="O17" s="47" t="s">
        <v>2278</v>
      </c>
      <c r="P17" s="47" t="s">
        <v>2279</v>
      </c>
      <c r="Q17" s="47" t="s">
        <v>2280</v>
      </c>
      <c r="R17" s="47" t="s">
        <v>2281</v>
      </c>
      <c r="S17" s="47" t="s">
        <v>2282</v>
      </c>
      <c r="T17" s="47" t="s">
        <v>2283</v>
      </c>
    </row>
    <row r="18" spans="1:21" x14ac:dyDescent="0.2">
      <c r="A18" s="47" t="s">
        <v>29</v>
      </c>
      <c r="D18" s="47" t="s">
        <v>2426</v>
      </c>
      <c r="G18" s="47" t="s">
        <v>8614</v>
      </c>
      <c r="H18" s="47" t="s">
        <v>2428</v>
      </c>
      <c r="I18" s="47" t="s">
        <v>2429</v>
      </c>
      <c r="J18" s="47" t="s">
        <v>2430</v>
      </c>
      <c r="K18" s="47" t="s">
        <v>2431</v>
      </c>
      <c r="L18" s="47" t="s">
        <v>2432</v>
      </c>
      <c r="M18" s="47" t="s">
        <v>2433</v>
      </c>
      <c r="N18" s="47" t="s">
        <v>2434</v>
      </c>
      <c r="O18" s="47" t="s">
        <v>2435</v>
      </c>
      <c r="P18" s="47" t="s">
        <v>2436</v>
      </c>
      <c r="Q18" s="47" t="s">
        <v>2437</v>
      </c>
      <c r="R18" s="47" t="s">
        <v>2438</v>
      </c>
      <c r="S18" s="47" t="s">
        <v>2439</v>
      </c>
      <c r="T18" s="47" t="s">
        <v>2440</v>
      </c>
    </row>
    <row r="19" spans="1:21" x14ac:dyDescent="0.2">
      <c r="A19" s="47" t="s">
        <v>29</v>
      </c>
    </row>
    <row r="20" spans="1:21" x14ac:dyDescent="0.2">
      <c r="A20" s="47" t="s">
        <v>29</v>
      </c>
      <c r="E20" s="47" t="s">
        <v>30</v>
      </c>
      <c r="F20" s="47" t="s">
        <v>30</v>
      </c>
      <c r="G20" s="47" t="s">
        <v>30</v>
      </c>
      <c r="J20" s="47" t="s">
        <v>30</v>
      </c>
      <c r="K20" s="47" t="s">
        <v>30</v>
      </c>
      <c r="L20" s="47" t="s">
        <v>30</v>
      </c>
      <c r="M20" s="47" t="s">
        <v>30</v>
      </c>
    </row>
    <row r="21" spans="1:21" x14ac:dyDescent="0.2">
      <c r="A21" s="47" t="s">
        <v>29</v>
      </c>
      <c r="D21" s="47" t="s">
        <v>4345</v>
      </c>
      <c r="E21" s="47" t="s">
        <v>3002</v>
      </c>
      <c r="F21" s="47" t="s">
        <v>4346</v>
      </c>
      <c r="H21" s="47" t="s">
        <v>4347</v>
      </c>
      <c r="O21" s="47" t="s">
        <v>4348</v>
      </c>
      <c r="P21" s="47" t="s">
        <v>4349</v>
      </c>
      <c r="Q21" s="47" t="s">
        <v>4350</v>
      </c>
      <c r="R21" s="47" t="s">
        <v>4351</v>
      </c>
      <c r="S21" s="47" t="s">
        <v>4352</v>
      </c>
      <c r="T21" s="47" t="s">
        <v>4353</v>
      </c>
      <c r="U21" s="47" t="s">
        <v>4354</v>
      </c>
    </row>
    <row r="22" spans="1:21" x14ac:dyDescent="0.2">
      <c r="A22" s="47" t="s">
        <v>29</v>
      </c>
      <c r="D22" s="47" t="s">
        <v>1868</v>
      </c>
      <c r="G22" s="47" t="s">
        <v>4355</v>
      </c>
      <c r="H22" s="47" t="s">
        <v>1869</v>
      </c>
      <c r="I22" s="47" t="s">
        <v>1870</v>
      </c>
      <c r="J22" s="47" t="s">
        <v>1871</v>
      </c>
      <c r="K22" s="47" t="s">
        <v>1872</v>
      </c>
      <c r="L22" s="47" t="s">
        <v>1873</v>
      </c>
      <c r="M22" s="47" t="s">
        <v>1874</v>
      </c>
      <c r="N22" s="47" t="s">
        <v>1875</v>
      </c>
      <c r="O22" s="47" t="s">
        <v>2441</v>
      </c>
      <c r="P22" s="47" t="s">
        <v>2442</v>
      </c>
      <c r="Q22" s="47" t="s">
        <v>2443</v>
      </c>
      <c r="R22" s="47" t="s">
        <v>2444</v>
      </c>
      <c r="S22" s="47" t="s">
        <v>2445</v>
      </c>
      <c r="T22" s="47" t="s">
        <v>2446</v>
      </c>
    </row>
    <row r="23" spans="1:21" x14ac:dyDescent="0.2">
      <c r="A23" s="47" t="s">
        <v>29</v>
      </c>
      <c r="D23" s="47" t="s">
        <v>1181</v>
      </c>
      <c r="G23" s="47" t="s">
        <v>8617</v>
      </c>
      <c r="H23" s="47" t="s">
        <v>1182</v>
      </c>
      <c r="I23" s="47" t="s">
        <v>1183</v>
      </c>
      <c r="J23" s="47" t="s">
        <v>1184</v>
      </c>
      <c r="K23" s="47" t="s">
        <v>1185</v>
      </c>
      <c r="L23" s="47" t="s">
        <v>1186</v>
      </c>
      <c r="M23" s="47" t="s">
        <v>1187</v>
      </c>
      <c r="N23" s="47" t="s">
        <v>1188</v>
      </c>
      <c r="O23" s="47" t="s">
        <v>2447</v>
      </c>
      <c r="P23" s="47" t="s">
        <v>2448</v>
      </c>
      <c r="Q23" s="47" t="s">
        <v>2449</v>
      </c>
      <c r="R23" s="47" t="s">
        <v>2450</v>
      </c>
      <c r="S23" s="47" t="s">
        <v>2451</v>
      </c>
      <c r="T23" s="47" t="s">
        <v>2452</v>
      </c>
    </row>
    <row r="24" spans="1:21" x14ac:dyDescent="0.2">
      <c r="A24" s="47" t="s">
        <v>29</v>
      </c>
    </row>
    <row r="25" spans="1:21" x14ac:dyDescent="0.2">
      <c r="A25" s="47" t="s">
        <v>29</v>
      </c>
      <c r="E25" s="47" t="s">
        <v>30</v>
      </c>
      <c r="F25" s="47" t="s">
        <v>30</v>
      </c>
      <c r="G25" s="47" t="s">
        <v>30</v>
      </c>
      <c r="J25" s="47" t="s">
        <v>30</v>
      </c>
      <c r="K25" s="47" t="s">
        <v>30</v>
      </c>
      <c r="L25" s="47" t="s">
        <v>30</v>
      </c>
      <c r="M25" s="47" t="s">
        <v>30</v>
      </c>
    </row>
    <row r="26" spans="1:21" x14ac:dyDescent="0.2">
      <c r="A26" s="47" t="s">
        <v>29</v>
      </c>
      <c r="D26" s="47" t="s">
        <v>1189</v>
      </c>
      <c r="E26" s="47" t="s">
        <v>6325</v>
      </c>
      <c r="F26" s="47" t="s">
        <v>1190</v>
      </c>
      <c r="H26" s="47" t="s">
        <v>1191</v>
      </c>
      <c r="O26" s="47" t="s">
        <v>4917</v>
      </c>
      <c r="P26" s="47" t="s">
        <v>4918</v>
      </c>
      <c r="Q26" s="47" t="s">
        <v>4919</v>
      </c>
      <c r="R26" s="47" t="s">
        <v>4920</v>
      </c>
      <c r="S26" s="47" t="s">
        <v>4921</v>
      </c>
      <c r="T26" s="47" t="s">
        <v>4922</v>
      </c>
      <c r="U26" s="47" t="s">
        <v>4923</v>
      </c>
    </row>
    <row r="27" spans="1:21" x14ac:dyDescent="0.2">
      <c r="A27" s="47" t="s">
        <v>29</v>
      </c>
      <c r="D27" s="47" t="s">
        <v>54</v>
      </c>
      <c r="G27" s="47" t="s">
        <v>2998</v>
      </c>
      <c r="H27" s="47" t="s">
        <v>55</v>
      </c>
      <c r="I27" s="47" t="s">
        <v>56</v>
      </c>
      <c r="J27" s="47" t="s">
        <v>57</v>
      </c>
      <c r="K27" s="47" t="s">
        <v>58</v>
      </c>
      <c r="L27" s="47" t="s">
        <v>59</v>
      </c>
      <c r="M27" s="47" t="s">
        <v>60</v>
      </c>
      <c r="N27" s="47" t="s">
        <v>61</v>
      </c>
      <c r="O27" s="47" t="s">
        <v>2633</v>
      </c>
      <c r="P27" s="47" t="s">
        <v>2634</v>
      </c>
      <c r="Q27" s="47" t="s">
        <v>2635</v>
      </c>
      <c r="R27" s="47" t="s">
        <v>2636</v>
      </c>
      <c r="S27" s="47" t="s">
        <v>2637</v>
      </c>
      <c r="T27" s="47" t="s">
        <v>2638</v>
      </c>
    </row>
    <row r="28" spans="1:21" x14ac:dyDescent="0.2">
      <c r="A28" s="47" t="s">
        <v>29</v>
      </c>
    </row>
    <row r="29" spans="1:21" x14ac:dyDescent="0.2">
      <c r="A29" s="47" t="s">
        <v>29</v>
      </c>
      <c r="E29" s="47" t="s">
        <v>30</v>
      </c>
      <c r="F29" s="47" t="s">
        <v>30</v>
      </c>
      <c r="G29" s="47" t="s">
        <v>30</v>
      </c>
      <c r="J29" s="47" t="s">
        <v>30</v>
      </c>
      <c r="K29" s="47" t="s">
        <v>30</v>
      </c>
      <c r="L29" s="47" t="s">
        <v>30</v>
      </c>
      <c r="M29" s="47" t="s">
        <v>30</v>
      </c>
    </row>
    <row r="30" spans="1:21" x14ac:dyDescent="0.2">
      <c r="A30" s="47" t="s">
        <v>29</v>
      </c>
      <c r="D30" s="47" t="s">
        <v>4924</v>
      </c>
      <c r="E30" s="47" t="s">
        <v>3061</v>
      </c>
      <c r="F30" s="47" t="s">
        <v>4925</v>
      </c>
      <c r="H30" s="47" t="s">
        <v>4926</v>
      </c>
      <c r="O30" s="47" t="s">
        <v>4927</v>
      </c>
      <c r="P30" s="47" t="s">
        <v>4928</v>
      </c>
      <c r="Q30" s="47" t="s">
        <v>4929</v>
      </c>
      <c r="R30" s="47" t="s">
        <v>4930</v>
      </c>
      <c r="S30" s="47" t="s">
        <v>4931</v>
      </c>
      <c r="T30" s="47" t="s">
        <v>4932</v>
      </c>
      <c r="U30" s="47" t="s">
        <v>4933</v>
      </c>
    </row>
    <row r="31" spans="1:21" x14ac:dyDescent="0.2">
      <c r="A31" s="47" t="s">
        <v>29</v>
      </c>
      <c r="D31" s="47" t="s">
        <v>1192</v>
      </c>
      <c r="G31" s="47" t="s">
        <v>4934</v>
      </c>
      <c r="H31" s="47" t="s">
        <v>1193</v>
      </c>
      <c r="I31" s="47" t="s">
        <v>1194</v>
      </c>
      <c r="J31" s="47" t="s">
        <v>1195</v>
      </c>
      <c r="K31" s="47" t="s">
        <v>1196</v>
      </c>
      <c r="L31" s="47" t="s">
        <v>1197</v>
      </c>
      <c r="M31" s="47" t="s">
        <v>1198</v>
      </c>
      <c r="N31" s="47" t="s">
        <v>1199</v>
      </c>
      <c r="O31" s="47" t="s">
        <v>2284</v>
      </c>
      <c r="P31" s="47" t="s">
        <v>2285</v>
      </c>
      <c r="Q31" s="47" t="s">
        <v>2286</v>
      </c>
      <c r="R31" s="47" t="s">
        <v>2287</v>
      </c>
      <c r="S31" s="47" t="s">
        <v>2288</v>
      </c>
      <c r="T31" s="47" t="s">
        <v>2289</v>
      </c>
    </row>
    <row r="32" spans="1:21" x14ac:dyDescent="0.2">
      <c r="A32" s="47" t="s">
        <v>29</v>
      </c>
      <c r="D32" s="47" t="s">
        <v>1278</v>
      </c>
      <c r="G32" s="47" t="s">
        <v>8634</v>
      </c>
      <c r="H32" s="47" t="s">
        <v>1279</v>
      </c>
      <c r="I32" s="47" t="s">
        <v>1280</v>
      </c>
      <c r="J32" s="47" t="s">
        <v>1281</v>
      </c>
      <c r="K32" s="47" t="s">
        <v>1282</v>
      </c>
      <c r="L32" s="47" t="s">
        <v>1283</v>
      </c>
      <c r="M32" s="47" t="s">
        <v>1284</v>
      </c>
      <c r="N32" s="47" t="s">
        <v>1285</v>
      </c>
      <c r="O32" s="47" t="s">
        <v>2639</v>
      </c>
      <c r="P32" s="47" t="s">
        <v>2640</v>
      </c>
      <c r="Q32" s="47" t="s">
        <v>2641</v>
      </c>
      <c r="R32" s="47" t="s">
        <v>2642</v>
      </c>
      <c r="S32" s="47" t="s">
        <v>2643</v>
      </c>
      <c r="T32" s="47" t="s">
        <v>2644</v>
      </c>
    </row>
    <row r="33" spans="1:21" x14ac:dyDescent="0.2">
      <c r="A33" s="47" t="s">
        <v>29</v>
      </c>
    </row>
    <row r="34" spans="1:21" x14ac:dyDescent="0.2">
      <c r="A34" s="47" t="s">
        <v>29</v>
      </c>
      <c r="E34" s="47" t="s">
        <v>30</v>
      </c>
      <c r="F34" s="47" t="s">
        <v>30</v>
      </c>
      <c r="G34" s="47" t="s">
        <v>30</v>
      </c>
      <c r="J34" s="47" t="s">
        <v>30</v>
      </c>
      <c r="K34" s="47" t="s">
        <v>30</v>
      </c>
      <c r="L34" s="47" t="s">
        <v>30</v>
      </c>
      <c r="M34" s="47" t="s">
        <v>30</v>
      </c>
    </row>
    <row r="35" spans="1:21" x14ac:dyDescent="0.2">
      <c r="A35" s="47" t="s">
        <v>29</v>
      </c>
      <c r="D35" s="47" t="s">
        <v>1286</v>
      </c>
      <c r="E35" s="47" t="s">
        <v>3062</v>
      </c>
      <c r="F35" s="47" t="s">
        <v>1287</v>
      </c>
      <c r="H35" s="47" t="s">
        <v>1288</v>
      </c>
      <c r="O35" s="47" t="s">
        <v>8416</v>
      </c>
      <c r="P35" s="47" t="s">
        <v>8417</v>
      </c>
      <c r="Q35" s="47" t="s">
        <v>8418</v>
      </c>
      <c r="R35" s="47" t="s">
        <v>8419</v>
      </c>
      <c r="S35" s="47" t="s">
        <v>8420</v>
      </c>
      <c r="T35" s="47" t="s">
        <v>8421</v>
      </c>
      <c r="U35" s="47" t="s">
        <v>8422</v>
      </c>
    </row>
    <row r="36" spans="1:21" x14ac:dyDescent="0.2">
      <c r="A36" s="47" t="s">
        <v>29</v>
      </c>
      <c r="D36" s="47" t="s">
        <v>105</v>
      </c>
      <c r="G36" s="47" t="s">
        <v>2645</v>
      </c>
      <c r="H36" s="47" t="s">
        <v>106</v>
      </c>
      <c r="I36" s="47" t="s">
        <v>107</v>
      </c>
      <c r="J36" s="47" t="s">
        <v>108</v>
      </c>
      <c r="K36" s="47" t="s">
        <v>109</v>
      </c>
      <c r="L36" s="47" t="s">
        <v>110</v>
      </c>
      <c r="M36" s="47" t="s">
        <v>111</v>
      </c>
      <c r="N36" s="47" t="s">
        <v>112</v>
      </c>
      <c r="O36" s="47" t="s">
        <v>2290</v>
      </c>
      <c r="P36" s="47" t="s">
        <v>2291</v>
      </c>
      <c r="Q36" s="47" t="s">
        <v>2292</v>
      </c>
      <c r="R36" s="47" t="s">
        <v>2293</v>
      </c>
      <c r="S36" s="47" t="s">
        <v>2294</v>
      </c>
      <c r="T36" s="47" t="s">
        <v>2295</v>
      </c>
    </row>
    <row r="37" spans="1:21" x14ac:dyDescent="0.2">
      <c r="A37" s="47" t="s">
        <v>29</v>
      </c>
      <c r="D37" s="47" t="s">
        <v>113</v>
      </c>
      <c r="G37" s="47" t="s">
        <v>8637</v>
      </c>
      <c r="H37" s="47" t="s">
        <v>114</v>
      </c>
      <c r="I37" s="47" t="s">
        <v>115</v>
      </c>
      <c r="J37" s="47" t="s">
        <v>116</v>
      </c>
      <c r="K37" s="47" t="s">
        <v>117</v>
      </c>
      <c r="L37" s="47" t="s">
        <v>118</v>
      </c>
      <c r="M37" s="47" t="s">
        <v>119</v>
      </c>
      <c r="N37" s="47" t="s">
        <v>120</v>
      </c>
      <c r="O37" s="47" t="s">
        <v>2296</v>
      </c>
      <c r="P37" s="47" t="s">
        <v>2297</v>
      </c>
      <c r="Q37" s="47" t="s">
        <v>2298</v>
      </c>
      <c r="R37" s="47" t="s">
        <v>2299</v>
      </c>
      <c r="S37" s="47" t="s">
        <v>2300</v>
      </c>
      <c r="T37" s="47" t="s">
        <v>2301</v>
      </c>
    </row>
    <row r="38" spans="1:21" x14ac:dyDescent="0.2">
      <c r="A38" s="47" t="s">
        <v>29</v>
      </c>
      <c r="D38" s="47" t="s">
        <v>121</v>
      </c>
      <c r="G38" s="47" t="s">
        <v>8638</v>
      </c>
      <c r="H38" s="47" t="s">
        <v>122</v>
      </c>
      <c r="I38" s="47" t="s">
        <v>123</v>
      </c>
      <c r="J38" s="47" t="s">
        <v>124</v>
      </c>
      <c r="K38" s="47" t="s">
        <v>125</v>
      </c>
      <c r="L38" s="47" t="s">
        <v>126</v>
      </c>
      <c r="M38" s="47" t="s">
        <v>127</v>
      </c>
      <c r="N38" s="47" t="s">
        <v>128</v>
      </c>
      <c r="O38" s="47" t="s">
        <v>2613</v>
      </c>
      <c r="P38" s="47" t="s">
        <v>2614</v>
      </c>
      <c r="Q38" s="47" t="s">
        <v>2615</v>
      </c>
      <c r="R38" s="47" t="s">
        <v>2616</v>
      </c>
      <c r="S38" s="47" t="s">
        <v>2617</v>
      </c>
      <c r="T38" s="47" t="s">
        <v>2618</v>
      </c>
    </row>
    <row r="39" spans="1:21" x14ac:dyDescent="0.2">
      <c r="A39" s="47" t="s">
        <v>29</v>
      </c>
    </row>
    <row r="40" spans="1:21" x14ac:dyDescent="0.2">
      <c r="A40" s="47" t="s">
        <v>29</v>
      </c>
      <c r="E40" s="47" t="s">
        <v>30</v>
      </c>
      <c r="F40" s="47" t="s">
        <v>30</v>
      </c>
      <c r="G40" s="47" t="s">
        <v>30</v>
      </c>
      <c r="J40" s="47" t="s">
        <v>30</v>
      </c>
      <c r="K40" s="47" t="s">
        <v>30</v>
      </c>
      <c r="L40" s="47" t="s">
        <v>30</v>
      </c>
      <c r="M40" s="47" t="s">
        <v>30</v>
      </c>
    </row>
    <row r="41" spans="1:21" x14ac:dyDescent="0.2">
      <c r="A41" s="47" t="s">
        <v>29</v>
      </c>
      <c r="D41" s="47" t="s">
        <v>129</v>
      </c>
      <c r="E41" s="47" t="s">
        <v>3072</v>
      </c>
      <c r="F41" s="47" t="s">
        <v>130</v>
      </c>
      <c r="H41" s="47" t="s">
        <v>131</v>
      </c>
      <c r="O41" s="47" t="s">
        <v>6051</v>
      </c>
      <c r="P41" s="47" t="s">
        <v>6052</v>
      </c>
      <c r="Q41" s="47" t="s">
        <v>6053</v>
      </c>
      <c r="R41" s="47" t="s">
        <v>6054</v>
      </c>
      <c r="S41" s="47" t="s">
        <v>6055</v>
      </c>
      <c r="T41" s="47" t="s">
        <v>6056</v>
      </c>
      <c r="U41" s="47" t="s">
        <v>6057</v>
      </c>
    </row>
    <row r="42" spans="1:21" x14ac:dyDescent="0.2">
      <c r="A42" s="47" t="s">
        <v>29</v>
      </c>
      <c r="D42" s="47" t="s">
        <v>132</v>
      </c>
      <c r="G42" s="47" t="s">
        <v>2619</v>
      </c>
      <c r="H42" s="47" t="s">
        <v>133</v>
      </c>
      <c r="I42" s="47" t="s">
        <v>134</v>
      </c>
      <c r="J42" s="47" t="s">
        <v>135</v>
      </c>
      <c r="K42" s="47" t="s">
        <v>136</v>
      </c>
      <c r="L42" s="47" t="s">
        <v>137</v>
      </c>
      <c r="M42" s="47" t="s">
        <v>138</v>
      </c>
      <c r="N42" s="47" t="s">
        <v>139</v>
      </c>
      <c r="O42" s="47" t="s">
        <v>2453</v>
      </c>
      <c r="P42" s="47" t="s">
        <v>2454</v>
      </c>
      <c r="Q42" s="47" t="s">
        <v>2455</v>
      </c>
      <c r="R42" s="47" t="s">
        <v>2456</v>
      </c>
      <c r="S42" s="47" t="s">
        <v>2457</v>
      </c>
      <c r="T42" s="47" t="s">
        <v>2458</v>
      </c>
    </row>
    <row r="43" spans="1:21" x14ac:dyDescent="0.2">
      <c r="A43" s="47" t="s">
        <v>29</v>
      </c>
      <c r="D43" s="47" t="s">
        <v>140</v>
      </c>
      <c r="G43" s="47" t="s">
        <v>8645</v>
      </c>
      <c r="H43" s="47" t="s">
        <v>141</v>
      </c>
      <c r="I43" s="47" t="s">
        <v>142</v>
      </c>
      <c r="J43" s="47" t="s">
        <v>143</v>
      </c>
      <c r="K43" s="47" t="s">
        <v>144</v>
      </c>
      <c r="L43" s="47" t="s">
        <v>145</v>
      </c>
      <c r="M43" s="47" t="s">
        <v>146</v>
      </c>
      <c r="N43" s="47" t="s">
        <v>147</v>
      </c>
      <c r="O43" s="47" t="s">
        <v>2459</v>
      </c>
      <c r="P43" s="47" t="s">
        <v>2460</v>
      </c>
      <c r="Q43" s="47" t="s">
        <v>2461</v>
      </c>
      <c r="R43" s="47" t="s">
        <v>2462</v>
      </c>
      <c r="S43" s="47" t="s">
        <v>2463</v>
      </c>
      <c r="T43" s="47" t="s">
        <v>2464</v>
      </c>
    </row>
    <row r="44" spans="1:21" x14ac:dyDescent="0.2">
      <c r="A44" s="47" t="s">
        <v>29</v>
      </c>
    </row>
    <row r="45" spans="1:21" x14ac:dyDescent="0.2">
      <c r="A45" s="47" t="s">
        <v>29</v>
      </c>
      <c r="E45" s="47" t="s">
        <v>30</v>
      </c>
      <c r="F45" s="47" t="s">
        <v>30</v>
      </c>
      <c r="G45" s="47" t="s">
        <v>30</v>
      </c>
      <c r="J45" s="47" t="s">
        <v>30</v>
      </c>
      <c r="K45" s="47" t="s">
        <v>30</v>
      </c>
      <c r="L45" s="47" t="s">
        <v>30</v>
      </c>
      <c r="M45" s="47" t="s">
        <v>30</v>
      </c>
    </row>
    <row r="46" spans="1:21" x14ac:dyDescent="0.2">
      <c r="A46" s="47" t="s">
        <v>29</v>
      </c>
      <c r="D46" s="47" t="s">
        <v>5216</v>
      </c>
      <c r="E46" s="47" t="s">
        <v>3081</v>
      </c>
      <c r="F46" s="47" t="s">
        <v>5217</v>
      </c>
      <c r="H46" s="47" t="s">
        <v>5218</v>
      </c>
      <c r="O46" s="47" t="s">
        <v>5219</v>
      </c>
      <c r="P46" s="47" t="s">
        <v>5220</v>
      </c>
      <c r="Q46" s="47" t="s">
        <v>5221</v>
      </c>
      <c r="R46" s="47" t="s">
        <v>5222</v>
      </c>
      <c r="S46" s="47" t="s">
        <v>5223</v>
      </c>
      <c r="T46" s="47" t="s">
        <v>5224</v>
      </c>
      <c r="U46" s="47" t="s">
        <v>5225</v>
      </c>
    </row>
    <row r="47" spans="1:21" x14ac:dyDescent="0.2">
      <c r="A47" s="47" t="s">
        <v>29</v>
      </c>
      <c r="D47" s="47" t="s">
        <v>148</v>
      </c>
      <c r="G47" s="47" t="s">
        <v>5226</v>
      </c>
      <c r="H47" s="47" t="s">
        <v>149</v>
      </c>
      <c r="I47" s="47" t="s">
        <v>150</v>
      </c>
      <c r="J47" s="47" t="s">
        <v>151</v>
      </c>
      <c r="K47" s="47" t="s">
        <v>152</v>
      </c>
      <c r="L47" s="47" t="s">
        <v>153</v>
      </c>
      <c r="M47" s="47" t="s">
        <v>154</v>
      </c>
      <c r="N47" s="47" t="s">
        <v>155</v>
      </c>
      <c r="O47" s="47" t="s">
        <v>2734</v>
      </c>
      <c r="P47" s="47" t="s">
        <v>2735</v>
      </c>
      <c r="Q47" s="47" t="s">
        <v>2736</v>
      </c>
      <c r="R47" s="47" t="s">
        <v>2737</v>
      </c>
      <c r="S47" s="47" t="s">
        <v>2738</v>
      </c>
      <c r="T47" s="47" t="s">
        <v>2739</v>
      </c>
    </row>
    <row r="48" spans="1:21" x14ac:dyDescent="0.2">
      <c r="A48" s="47" t="s">
        <v>29</v>
      </c>
      <c r="D48" s="47" t="s">
        <v>156</v>
      </c>
      <c r="G48" s="47" t="s">
        <v>8647</v>
      </c>
      <c r="H48" s="47" t="s">
        <v>157</v>
      </c>
      <c r="I48" s="47" t="s">
        <v>158</v>
      </c>
      <c r="J48" s="47" t="s">
        <v>159</v>
      </c>
      <c r="K48" s="47" t="s">
        <v>160</v>
      </c>
      <c r="L48" s="47" t="s">
        <v>161</v>
      </c>
      <c r="M48" s="47" t="s">
        <v>162</v>
      </c>
      <c r="N48" s="47" t="s">
        <v>163</v>
      </c>
      <c r="O48" s="47" t="s">
        <v>2471</v>
      </c>
      <c r="P48" s="47" t="s">
        <v>2472</v>
      </c>
      <c r="Q48" s="47" t="s">
        <v>2473</v>
      </c>
      <c r="R48" s="47" t="s">
        <v>2474</v>
      </c>
      <c r="S48" s="47" t="s">
        <v>2475</v>
      </c>
      <c r="T48" s="47" t="s">
        <v>2476</v>
      </c>
    </row>
    <row r="49" spans="1:21" x14ac:dyDescent="0.2">
      <c r="A49" s="47" t="s">
        <v>29</v>
      </c>
    </row>
    <row r="50" spans="1:21" x14ac:dyDescent="0.2">
      <c r="A50" s="47" t="s">
        <v>29</v>
      </c>
      <c r="E50" s="47" t="s">
        <v>30</v>
      </c>
      <c r="F50" s="47" t="s">
        <v>30</v>
      </c>
      <c r="G50" s="47" t="s">
        <v>30</v>
      </c>
      <c r="J50" s="47" t="s">
        <v>30</v>
      </c>
      <c r="K50" s="47" t="s">
        <v>30</v>
      </c>
      <c r="L50" s="47" t="s">
        <v>30</v>
      </c>
      <c r="M50" s="47" t="s">
        <v>30</v>
      </c>
    </row>
    <row r="51" spans="1:21" x14ac:dyDescent="0.2">
      <c r="A51" s="47" t="s">
        <v>29</v>
      </c>
      <c r="D51" s="47" t="s">
        <v>1594</v>
      </c>
      <c r="E51" s="47" t="s">
        <v>3083</v>
      </c>
      <c r="F51" s="47" t="s">
        <v>1595</v>
      </c>
      <c r="H51" s="47" t="s">
        <v>1596</v>
      </c>
      <c r="O51" s="47" t="s">
        <v>8266</v>
      </c>
      <c r="P51" s="47" t="s">
        <v>8267</v>
      </c>
      <c r="Q51" s="47" t="s">
        <v>8268</v>
      </c>
      <c r="R51" s="47" t="s">
        <v>8269</v>
      </c>
      <c r="S51" s="47" t="s">
        <v>8270</v>
      </c>
      <c r="T51" s="47" t="s">
        <v>8271</v>
      </c>
      <c r="U51" s="47" t="s">
        <v>8272</v>
      </c>
    </row>
    <row r="52" spans="1:21" x14ac:dyDescent="0.2">
      <c r="A52" s="47" t="s">
        <v>29</v>
      </c>
      <c r="D52" s="47" t="s">
        <v>1597</v>
      </c>
      <c r="G52" s="47" t="s">
        <v>2709</v>
      </c>
      <c r="H52" s="47" t="s">
        <v>1598</v>
      </c>
      <c r="I52" s="47" t="s">
        <v>1599</v>
      </c>
      <c r="J52" s="47" t="s">
        <v>1600</v>
      </c>
      <c r="K52" s="47" t="s">
        <v>1601</v>
      </c>
      <c r="L52" s="47" t="s">
        <v>1602</v>
      </c>
      <c r="M52" s="47" t="s">
        <v>1603</v>
      </c>
      <c r="N52" s="47" t="s">
        <v>1604</v>
      </c>
      <c r="O52" s="47" t="s">
        <v>2710</v>
      </c>
      <c r="P52" s="47" t="s">
        <v>2711</v>
      </c>
      <c r="Q52" s="47" t="s">
        <v>2712</v>
      </c>
      <c r="R52" s="47" t="s">
        <v>2713</v>
      </c>
      <c r="S52" s="47" t="s">
        <v>2714</v>
      </c>
      <c r="T52" s="47" t="s">
        <v>2715</v>
      </c>
    </row>
    <row r="53" spans="1:21" x14ac:dyDescent="0.2">
      <c r="A53" s="47" t="s">
        <v>29</v>
      </c>
    </row>
    <row r="54" spans="1:21" x14ac:dyDescent="0.2">
      <c r="A54" s="47" t="s">
        <v>29</v>
      </c>
      <c r="E54" s="47" t="s">
        <v>30</v>
      </c>
      <c r="F54" s="47" t="s">
        <v>30</v>
      </c>
      <c r="G54" s="47" t="s">
        <v>30</v>
      </c>
      <c r="J54" s="47" t="s">
        <v>30</v>
      </c>
      <c r="K54" s="47" t="s">
        <v>30</v>
      </c>
      <c r="L54" s="47" t="s">
        <v>30</v>
      </c>
      <c r="M54" s="47" t="s">
        <v>30</v>
      </c>
    </row>
    <row r="55" spans="1:21" x14ac:dyDescent="0.2">
      <c r="A55" s="47" t="s">
        <v>29</v>
      </c>
      <c r="D55" s="47" t="s">
        <v>7845</v>
      </c>
      <c r="E55" s="47" t="s">
        <v>3087</v>
      </c>
      <c r="F55" s="47" t="s">
        <v>7846</v>
      </c>
      <c r="H55" s="47" t="s">
        <v>7847</v>
      </c>
      <c r="O55" s="47" t="s">
        <v>8423</v>
      </c>
      <c r="P55" s="47" t="s">
        <v>8424</v>
      </c>
      <c r="Q55" s="47" t="s">
        <v>8425</v>
      </c>
      <c r="R55" s="47" t="s">
        <v>8426</v>
      </c>
      <c r="S55" s="47" t="s">
        <v>8427</v>
      </c>
      <c r="T55" s="47" t="s">
        <v>8428</v>
      </c>
      <c r="U55" s="47" t="s">
        <v>8429</v>
      </c>
    </row>
    <row r="56" spans="1:21" x14ac:dyDescent="0.2">
      <c r="A56" s="47" t="s">
        <v>29</v>
      </c>
      <c r="D56" s="47" t="s">
        <v>180</v>
      </c>
      <c r="G56" s="47" t="s">
        <v>7848</v>
      </c>
      <c r="H56" s="47" t="s">
        <v>181</v>
      </c>
      <c r="I56" s="47" t="s">
        <v>182</v>
      </c>
      <c r="J56" s="47" t="s">
        <v>183</v>
      </c>
      <c r="K56" s="47" t="s">
        <v>184</v>
      </c>
      <c r="L56" s="47" t="s">
        <v>185</v>
      </c>
      <c r="M56" s="47" t="s">
        <v>186</v>
      </c>
      <c r="N56" s="47" t="s">
        <v>187</v>
      </c>
      <c r="O56" s="47" t="s">
        <v>2881</v>
      </c>
      <c r="P56" s="47" t="s">
        <v>2882</v>
      </c>
      <c r="Q56" s="47" t="s">
        <v>2883</v>
      </c>
      <c r="R56" s="47" t="s">
        <v>2884</v>
      </c>
      <c r="S56" s="47" t="s">
        <v>2885</v>
      </c>
      <c r="T56" s="47" t="s">
        <v>2886</v>
      </c>
    </row>
    <row r="57" spans="1:21" x14ac:dyDescent="0.2">
      <c r="A57" s="47" t="s">
        <v>29</v>
      </c>
      <c r="D57" s="47" t="s">
        <v>188</v>
      </c>
      <c r="G57" s="47" t="s">
        <v>8651</v>
      </c>
      <c r="H57" s="47" t="s">
        <v>189</v>
      </c>
      <c r="I57" s="47" t="s">
        <v>190</v>
      </c>
      <c r="J57" s="47" t="s">
        <v>191</v>
      </c>
      <c r="K57" s="47" t="s">
        <v>192</v>
      </c>
      <c r="L57" s="47" t="s">
        <v>193</v>
      </c>
      <c r="M57" s="47" t="s">
        <v>194</v>
      </c>
      <c r="N57" s="47" t="s">
        <v>195</v>
      </c>
      <c r="O57" s="47" t="s">
        <v>2322</v>
      </c>
      <c r="P57" s="47" t="s">
        <v>2323</v>
      </c>
      <c r="Q57" s="47" t="s">
        <v>2324</v>
      </c>
      <c r="R57" s="47" t="s">
        <v>2325</v>
      </c>
      <c r="S57" s="47" t="s">
        <v>2326</v>
      </c>
      <c r="T57" s="47" t="s">
        <v>2327</v>
      </c>
    </row>
    <row r="58" spans="1:21" x14ac:dyDescent="0.2">
      <c r="A58" s="47" t="s">
        <v>29</v>
      </c>
      <c r="D58" s="47" t="s">
        <v>196</v>
      </c>
      <c r="G58" s="47" t="s">
        <v>8653</v>
      </c>
      <c r="H58" s="47" t="s">
        <v>197</v>
      </c>
      <c r="I58" s="47" t="s">
        <v>198</v>
      </c>
      <c r="J58" s="47" t="s">
        <v>199</v>
      </c>
      <c r="K58" s="47" t="s">
        <v>200</v>
      </c>
      <c r="L58" s="47" t="s">
        <v>201</v>
      </c>
      <c r="M58" s="47" t="s">
        <v>202</v>
      </c>
      <c r="N58" s="47" t="s">
        <v>203</v>
      </c>
      <c r="O58" s="47" t="s">
        <v>2477</v>
      </c>
      <c r="P58" s="47" t="s">
        <v>2478</v>
      </c>
      <c r="Q58" s="47" t="s">
        <v>2479</v>
      </c>
      <c r="R58" s="47" t="s">
        <v>2480</v>
      </c>
      <c r="S58" s="47" t="s">
        <v>2481</v>
      </c>
      <c r="T58" s="47" t="s">
        <v>2482</v>
      </c>
    </row>
    <row r="59" spans="1:21" x14ac:dyDescent="0.2">
      <c r="A59" s="47" t="s">
        <v>29</v>
      </c>
    </row>
    <row r="60" spans="1:21" x14ac:dyDescent="0.2">
      <c r="A60" s="47" t="s">
        <v>29</v>
      </c>
      <c r="E60" s="47" t="s">
        <v>30</v>
      </c>
      <c r="F60" s="47" t="s">
        <v>30</v>
      </c>
      <c r="G60" s="47" t="s">
        <v>30</v>
      </c>
      <c r="J60" s="47" t="s">
        <v>30</v>
      </c>
      <c r="K60" s="47" t="s">
        <v>30</v>
      </c>
      <c r="L60" s="47" t="s">
        <v>30</v>
      </c>
      <c r="M60" s="47" t="s">
        <v>30</v>
      </c>
    </row>
    <row r="61" spans="1:21" x14ac:dyDescent="0.2">
      <c r="A61" s="47" t="s">
        <v>29</v>
      </c>
      <c r="D61" s="47" t="s">
        <v>204</v>
      </c>
      <c r="E61" s="47" t="s">
        <v>3127</v>
      </c>
      <c r="F61" s="47" t="s">
        <v>205</v>
      </c>
      <c r="H61" s="47" t="s">
        <v>206</v>
      </c>
      <c r="O61" s="47" t="s">
        <v>5069</v>
      </c>
      <c r="P61" s="47" t="s">
        <v>5070</v>
      </c>
      <c r="Q61" s="47" t="s">
        <v>5071</v>
      </c>
      <c r="R61" s="47" t="s">
        <v>5072</v>
      </c>
      <c r="S61" s="47" t="s">
        <v>5073</v>
      </c>
      <c r="T61" s="47" t="s">
        <v>5074</v>
      </c>
      <c r="U61" s="47" t="s">
        <v>5075</v>
      </c>
    </row>
    <row r="62" spans="1:21" x14ac:dyDescent="0.2">
      <c r="A62" s="47" t="s">
        <v>29</v>
      </c>
      <c r="D62" s="47" t="s">
        <v>207</v>
      </c>
      <c r="G62" s="47" t="s">
        <v>2620</v>
      </c>
      <c r="H62" s="47" t="s">
        <v>208</v>
      </c>
      <c r="I62" s="47" t="s">
        <v>209</v>
      </c>
      <c r="J62" s="47" t="s">
        <v>210</v>
      </c>
      <c r="K62" s="47" t="s">
        <v>211</v>
      </c>
      <c r="L62" s="47" t="s">
        <v>212</v>
      </c>
      <c r="M62" s="47" t="s">
        <v>213</v>
      </c>
      <c r="N62" s="47" t="s">
        <v>214</v>
      </c>
      <c r="O62" s="47" t="s">
        <v>2621</v>
      </c>
      <c r="P62" s="47" t="s">
        <v>2622</v>
      </c>
      <c r="Q62" s="47" t="s">
        <v>2623</v>
      </c>
      <c r="R62" s="47" t="s">
        <v>2624</v>
      </c>
      <c r="S62" s="47" t="s">
        <v>2625</v>
      </c>
      <c r="T62" s="47" t="s">
        <v>2626</v>
      </c>
    </row>
    <row r="63" spans="1:21" x14ac:dyDescent="0.2">
      <c r="A63" s="47" t="s">
        <v>29</v>
      </c>
      <c r="D63" s="47" t="s">
        <v>215</v>
      </c>
      <c r="G63" s="47" t="s">
        <v>8670</v>
      </c>
      <c r="H63" s="47" t="s">
        <v>216</v>
      </c>
      <c r="I63" s="47" t="s">
        <v>217</v>
      </c>
      <c r="J63" s="47" t="s">
        <v>218</v>
      </c>
      <c r="K63" s="47" t="s">
        <v>219</v>
      </c>
      <c r="L63" s="47" t="s">
        <v>220</v>
      </c>
      <c r="M63" s="47" t="s">
        <v>221</v>
      </c>
      <c r="N63" s="47" t="s">
        <v>222</v>
      </c>
      <c r="O63" s="47" t="s">
        <v>2740</v>
      </c>
      <c r="P63" s="47" t="s">
        <v>2741</v>
      </c>
      <c r="Q63" s="47" t="s">
        <v>2742</v>
      </c>
      <c r="R63" s="47" t="s">
        <v>2743</v>
      </c>
      <c r="S63" s="47" t="s">
        <v>2744</v>
      </c>
      <c r="T63" s="47" t="s">
        <v>2745</v>
      </c>
    </row>
    <row r="64" spans="1:21" x14ac:dyDescent="0.2">
      <c r="A64" s="47" t="s">
        <v>29</v>
      </c>
    </row>
    <row r="65" spans="1:21" x14ac:dyDescent="0.2">
      <c r="A65" s="47" t="s">
        <v>29</v>
      </c>
      <c r="E65" s="47" t="s">
        <v>30</v>
      </c>
      <c r="F65" s="47" t="s">
        <v>30</v>
      </c>
      <c r="G65" s="47" t="s">
        <v>30</v>
      </c>
      <c r="J65" s="47" t="s">
        <v>30</v>
      </c>
      <c r="K65" s="47" t="s">
        <v>30</v>
      </c>
      <c r="L65" s="47" t="s">
        <v>30</v>
      </c>
      <c r="M65" s="47" t="s">
        <v>30</v>
      </c>
    </row>
    <row r="66" spans="1:21" x14ac:dyDescent="0.2">
      <c r="A66" s="47" t="s">
        <v>29</v>
      </c>
      <c r="D66" s="47" t="s">
        <v>4935</v>
      </c>
      <c r="E66" s="47" t="s">
        <v>3153</v>
      </c>
      <c r="F66" s="47" t="s">
        <v>4936</v>
      </c>
      <c r="H66" s="47" t="s">
        <v>4937</v>
      </c>
      <c r="O66" s="47" t="s">
        <v>8430</v>
      </c>
      <c r="P66" s="47" t="s">
        <v>8431</v>
      </c>
      <c r="Q66" s="47" t="s">
        <v>8432</v>
      </c>
      <c r="R66" s="47" t="s">
        <v>8433</v>
      </c>
      <c r="S66" s="47" t="s">
        <v>8434</v>
      </c>
      <c r="T66" s="47" t="s">
        <v>8435</v>
      </c>
      <c r="U66" s="47" t="s">
        <v>8436</v>
      </c>
    </row>
    <row r="67" spans="1:21" x14ac:dyDescent="0.2">
      <c r="A67" s="47" t="s">
        <v>29</v>
      </c>
      <c r="D67" s="47" t="s">
        <v>1200</v>
      </c>
      <c r="G67" s="47" t="s">
        <v>4938</v>
      </c>
      <c r="H67" s="47" t="s">
        <v>1201</v>
      </c>
      <c r="I67" s="47" t="s">
        <v>1202</v>
      </c>
      <c r="J67" s="47" t="s">
        <v>1203</v>
      </c>
      <c r="K67" s="47" t="s">
        <v>1204</v>
      </c>
      <c r="L67" s="47" t="s">
        <v>1205</v>
      </c>
      <c r="M67" s="47" t="s">
        <v>1206</v>
      </c>
      <c r="N67" s="47" t="s">
        <v>1207</v>
      </c>
      <c r="O67" s="47" t="s">
        <v>2646</v>
      </c>
      <c r="P67" s="47" t="s">
        <v>2647</v>
      </c>
      <c r="Q67" s="47" t="s">
        <v>2648</v>
      </c>
      <c r="R67" s="47" t="s">
        <v>2649</v>
      </c>
      <c r="S67" s="47" t="s">
        <v>2650</v>
      </c>
      <c r="T67" s="47" t="s">
        <v>2651</v>
      </c>
    </row>
    <row r="68" spans="1:21" x14ac:dyDescent="0.2">
      <c r="A68" s="47" t="s">
        <v>29</v>
      </c>
      <c r="D68" s="47" t="s">
        <v>223</v>
      </c>
      <c r="G68" s="47" t="s">
        <v>8673</v>
      </c>
      <c r="H68" s="47" t="s">
        <v>224</v>
      </c>
      <c r="I68" s="47" t="s">
        <v>225</v>
      </c>
      <c r="J68" s="47" t="s">
        <v>226</v>
      </c>
      <c r="K68" s="47" t="s">
        <v>227</v>
      </c>
      <c r="L68" s="47" t="s">
        <v>228</v>
      </c>
      <c r="M68" s="47" t="s">
        <v>229</v>
      </c>
      <c r="N68" s="47" t="s">
        <v>230</v>
      </c>
      <c r="O68" s="47" t="s">
        <v>2483</v>
      </c>
      <c r="P68" s="47" t="s">
        <v>2484</v>
      </c>
      <c r="Q68" s="47" t="s">
        <v>2485</v>
      </c>
      <c r="R68" s="47" t="s">
        <v>2486</v>
      </c>
      <c r="S68" s="47" t="s">
        <v>2487</v>
      </c>
      <c r="T68" s="47" t="s">
        <v>2488</v>
      </c>
    </row>
    <row r="69" spans="1:21" x14ac:dyDescent="0.2">
      <c r="A69" s="47" t="s">
        <v>29</v>
      </c>
      <c r="D69" s="47" t="s">
        <v>1316</v>
      </c>
      <c r="G69" s="47" t="s">
        <v>8674</v>
      </c>
      <c r="H69" s="47" t="s">
        <v>1317</v>
      </c>
      <c r="I69" s="47" t="s">
        <v>1318</v>
      </c>
      <c r="J69" s="47" t="s">
        <v>1319</v>
      </c>
      <c r="K69" s="47" t="s">
        <v>1320</v>
      </c>
      <c r="L69" s="47" t="s">
        <v>1321</v>
      </c>
      <c r="M69" s="47" t="s">
        <v>1322</v>
      </c>
      <c r="N69" s="47" t="s">
        <v>1323</v>
      </c>
      <c r="O69" s="47" t="s">
        <v>5899</v>
      </c>
      <c r="P69" s="47" t="s">
        <v>5900</v>
      </c>
      <c r="Q69" s="47" t="s">
        <v>5901</v>
      </c>
      <c r="R69" s="47" t="s">
        <v>5902</v>
      </c>
      <c r="S69" s="47" t="s">
        <v>5903</v>
      </c>
      <c r="T69" s="47" t="s">
        <v>5904</v>
      </c>
    </row>
    <row r="70" spans="1:21" x14ac:dyDescent="0.2">
      <c r="A70" s="47" t="s">
        <v>29</v>
      </c>
    </row>
    <row r="71" spans="1:21" x14ac:dyDescent="0.2">
      <c r="A71" s="47" t="s">
        <v>29</v>
      </c>
      <c r="E71" s="47" t="s">
        <v>30</v>
      </c>
      <c r="F71" s="47" t="s">
        <v>30</v>
      </c>
      <c r="G71" s="47" t="s">
        <v>30</v>
      </c>
      <c r="J71" s="47" t="s">
        <v>30</v>
      </c>
      <c r="K71" s="47" t="s">
        <v>30</v>
      </c>
      <c r="L71" s="47" t="s">
        <v>30</v>
      </c>
      <c r="M71" s="47" t="s">
        <v>30</v>
      </c>
    </row>
    <row r="72" spans="1:21" x14ac:dyDescent="0.2">
      <c r="A72" s="47" t="s">
        <v>29</v>
      </c>
      <c r="D72" s="47" t="s">
        <v>5905</v>
      </c>
      <c r="E72" s="47" t="s">
        <v>3245</v>
      </c>
      <c r="F72" s="47" t="s">
        <v>5906</v>
      </c>
      <c r="H72" s="47" t="s">
        <v>5907</v>
      </c>
      <c r="O72" s="47" t="s">
        <v>5908</v>
      </c>
      <c r="P72" s="47" t="s">
        <v>5909</v>
      </c>
      <c r="Q72" s="47" t="s">
        <v>5910</v>
      </c>
      <c r="R72" s="47" t="s">
        <v>5911</v>
      </c>
      <c r="S72" s="47" t="s">
        <v>5912</v>
      </c>
      <c r="T72" s="47" t="s">
        <v>5913</v>
      </c>
      <c r="U72" s="47" t="s">
        <v>5914</v>
      </c>
    </row>
    <row r="73" spans="1:21" x14ac:dyDescent="0.2">
      <c r="A73" s="47" t="s">
        <v>29</v>
      </c>
      <c r="D73" s="47" t="s">
        <v>1324</v>
      </c>
      <c r="G73" s="47" t="s">
        <v>5915</v>
      </c>
      <c r="H73" s="47" t="s">
        <v>1325</v>
      </c>
      <c r="I73" s="47" t="s">
        <v>1326</v>
      </c>
      <c r="J73" s="47" t="s">
        <v>1327</v>
      </c>
      <c r="K73" s="47" t="s">
        <v>1328</v>
      </c>
      <c r="L73" s="47" t="s">
        <v>1329</v>
      </c>
      <c r="M73" s="47" t="s">
        <v>1330</v>
      </c>
      <c r="N73" s="47" t="s">
        <v>1331</v>
      </c>
      <c r="O73" s="47" t="s">
        <v>2335</v>
      </c>
      <c r="P73" s="47" t="s">
        <v>2336</v>
      </c>
      <c r="Q73" s="47" t="s">
        <v>2337</v>
      </c>
      <c r="R73" s="47" t="s">
        <v>2338</v>
      </c>
      <c r="S73" s="47" t="s">
        <v>2339</v>
      </c>
      <c r="T73" s="47" t="s">
        <v>2340</v>
      </c>
    </row>
    <row r="74" spans="1:21" x14ac:dyDescent="0.2">
      <c r="A74" s="47" t="s">
        <v>29</v>
      </c>
    </row>
    <row r="75" spans="1:21" x14ac:dyDescent="0.2">
      <c r="A75" s="47" t="s">
        <v>29</v>
      </c>
      <c r="E75" s="47" t="s">
        <v>30</v>
      </c>
      <c r="F75" s="47" t="s">
        <v>30</v>
      </c>
      <c r="G75" s="47" t="s">
        <v>30</v>
      </c>
      <c r="J75" s="47" t="s">
        <v>30</v>
      </c>
      <c r="K75" s="47" t="s">
        <v>30</v>
      </c>
      <c r="L75" s="47" t="s">
        <v>30</v>
      </c>
      <c r="M75" s="47" t="s">
        <v>30</v>
      </c>
    </row>
    <row r="76" spans="1:21" x14ac:dyDescent="0.2">
      <c r="A76" s="47" t="s">
        <v>29</v>
      </c>
      <c r="D76" s="47" t="s">
        <v>5916</v>
      </c>
      <c r="E76" s="47" t="s">
        <v>3379</v>
      </c>
      <c r="F76" s="47" t="s">
        <v>5917</v>
      </c>
      <c r="H76" s="47" t="s">
        <v>5918</v>
      </c>
      <c r="O76" s="47" t="s">
        <v>5919</v>
      </c>
      <c r="P76" s="47" t="s">
        <v>5920</v>
      </c>
      <c r="Q76" s="47" t="s">
        <v>5921</v>
      </c>
      <c r="R76" s="47" t="s">
        <v>5922</v>
      </c>
      <c r="S76" s="47" t="s">
        <v>5923</v>
      </c>
      <c r="T76" s="47" t="s">
        <v>5924</v>
      </c>
      <c r="U76" s="47" t="s">
        <v>5925</v>
      </c>
    </row>
    <row r="77" spans="1:21" x14ac:dyDescent="0.2">
      <c r="A77" s="47" t="s">
        <v>29</v>
      </c>
      <c r="D77" s="47" t="s">
        <v>5926</v>
      </c>
      <c r="G77" s="47" t="s">
        <v>5927</v>
      </c>
      <c r="H77" s="47" t="s">
        <v>5928</v>
      </c>
      <c r="I77" s="47" t="s">
        <v>5929</v>
      </c>
      <c r="J77" s="47" t="s">
        <v>5930</v>
      </c>
      <c r="K77" s="47" t="s">
        <v>5931</v>
      </c>
      <c r="L77" s="47" t="s">
        <v>5932</v>
      </c>
      <c r="M77" s="47" t="s">
        <v>5933</v>
      </c>
      <c r="N77" s="47" t="s">
        <v>5934</v>
      </c>
      <c r="O77" s="47" t="s">
        <v>5935</v>
      </c>
      <c r="P77" s="47" t="s">
        <v>5936</v>
      </c>
      <c r="Q77" s="47" t="s">
        <v>5937</v>
      </c>
      <c r="R77" s="47" t="s">
        <v>5938</v>
      </c>
      <c r="S77" s="47" t="s">
        <v>5939</v>
      </c>
      <c r="T77" s="47" t="s">
        <v>5940</v>
      </c>
    </row>
    <row r="78" spans="1:21" x14ac:dyDescent="0.2">
      <c r="A78" s="47" t="s">
        <v>29</v>
      </c>
    </row>
    <row r="79" spans="1:21" x14ac:dyDescent="0.2">
      <c r="A79" s="47" t="s">
        <v>29</v>
      </c>
      <c r="E79" s="47" t="s">
        <v>30</v>
      </c>
      <c r="F79" s="47" t="s">
        <v>30</v>
      </c>
      <c r="G79" s="47" t="s">
        <v>30</v>
      </c>
      <c r="J79" s="47" t="s">
        <v>30</v>
      </c>
      <c r="K79" s="47" t="s">
        <v>30</v>
      </c>
      <c r="L79" s="47" t="s">
        <v>30</v>
      </c>
      <c r="M79" s="47" t="s">
        <v>30</v>
      </c>
    </row>
    <row r="80" spans="1:21" x14ac:dyDescent="0.2">
      <c r="A80" s="47" t="s">
        <v>29</v>
      </c>
      <c r="D80" s="47" t="s">
        <v>5941</v>
      </c>
      <c r="E80" s="47" t="s">
        <v>3396</v>
      </c>
      <c r="F80" s="47" t="s">
        <v>5942</v>
      </c>
      <c r="H80" s="47" t="s">
        <v>5943</v>
      </c>
      <c r="O80" s="47" t="s">
        <v>8437</v>
      </c>
      <c r="P80" s="47" t="s">
        <v>8438</v>
      </c>
      <c r="Q80" s="47" t="s">
        <v>8439</v>
      </c>
      <c r="R80" s="47" t="s">
        <v>8440</v>
      </c>
      <c r="S80" s="47" t="s">
        <v>8441</v>
      </c>
      <c r="T80" s="47" t="s">
        <v>8442</v>
      </c>
      <c r="U80" s="47" t="s">
        <v>8443</v>
      </c>
    </row>
    <row r="81" spans="1:21" x14ac:dyDescent="0.2">
      <c r="A81" s="47" t="s">
        <v>29</v>
      </c>
      <c r="D81" s="47" t="s">
        <v>1340</v>
      </c>
      <c r="G81" s="47" t="s">
        <v>5944</v>
      </c>
      <c r="H81" s="47" t="s">
        <v>1341</v>
      </c>
      <c r="I81" s="47" t="s">
        <v>1342</v>
      </c>
      <c r="J81" s="47" t="s">
        <v>1343</v>
      </c>
      <c r="K81" s="47" t="s">
        <v>1344</v>
      </c>
      <c r="L81" s="47" t="s">
        <v>1345</v>
      </c>
      <c r="M81" s="47" t="s">
        <v>1346</v>
      </c>
      <c r="N81" s="47" t="s">
        <v>1347</v>
      </c>
      <c r="O81" s="47" t="s">
        <v>2341</v>
      </c>
      <c r="P81" s="47" t="s">
        <v>2342</v>
      </c>
      <c r="Q81" s="47" t="s">
        <v>2343</v>
      </c>
      <c r="R81" s="47" t="s">
        <v>2344</v>
      </c>
      <c r="S81" s="47" t="s">
        <v>2345</v>
      </c>
      <c r="T81" s="47" t="s">
        <v>2346</v>
      </c>
    </row>
    <row r="82" spans="1:21" x14ac:dyDescent="0.2">
      <c r="A82" s="47" t="s">
        <v>29</v>
      </c>
      <c r="D82" s="47" t="s">
        <v>247</v>
      </c>
      <c r="G82" s="47" t="s">
        <v>8699</v>
      </c>
      <c r="H82" s="47" t="s">
        <v>248</v>
      </c>
      <c r="I82" s="47" t="s">
        <v>249</v>
      </c>
      <c r="J82" s="47" t="s">
        <v>250</v>
      </c>
      <c r="K82" s="47" t="s">
        <v>251</v>
      </c>
      <c r="L82" s="47" t="s">
        <v>252</v>
      </c>
      <c r="M82" s="47" t="s">
        <v>253</v>
      </c>
      <c r="N82" s="47" t="s">
        <v>254</v>
      </c>
      <c r="O82" s="47" t="s">
        <v>2489</v>
      </c>
      <c r="P82" s="47" t="s">
        <v>2490</v>
      </c>
      <c r="Q82" s="47" t="s">
        <v>2491</v>
      </c>
      <c r="R82" s="47" t="s">
        <v>2492</v>
      </c>
      <c r="S82" s="47" t="s">
        <v>2493</v>
      </c>
      <c r="T82" s="47" t="s">
        <v>2494</v>
      </c>
    </row>
    <row r="83" spans="1:21" x14ac:dyDescent="0.2">
      <c r="A83" s="47" t="s">
        <v>29</v>
      </c>
    </row>
    <row r="84" spans="1:21" x14ac:dyDescent="0.2">
      <c r="A84" s="47" t="s">
        <v>29</v>
      </c>
      <c r="E84" s="47" t="s">
        <v>30</v>
      </c>
      <c r="F84" s="47" t="s">
        <v>30</v>
      </c>
      <c r="G84" s="47" t="s">
        <v>30</v>
      </c>
      <c r="J84" s="47" t="s">
        <v>30</v>
      </c>
      <c r="K84" s="47" t="s">
        <v>30</v>
      </c>
      <c r="L84" s="47" t="s">
        <v>30</v>
      </c>
      <c r="M84" s="47" t="s">
        <v>30</v>
      </c>
    </row>
    <row r="85" spans="1:21" x14ac:dyDescent="0.2">
      <c r="A85" s="47" t="s">
        <v>29</v>
      </c>
      <c r="D85" s="47" t="s">
        <v>1790</v>
      </c>
      <c r="E85" s="47" t="s">
        <v>3426</v>
      </c>
      <c r="F85" s="47" t="s">
        <v>1791</v>
      </c>
      <c r="H85" s="47" t="s">
        <v>1792</v>
      </c>
      <c r="O85" s="47" t="s">
        <v>5270</v>
      </c>
      <c r="P85" s="47" t="s">
        <v>5271</v>
      </c>
      <c r="Q85" s="47" t="s">
        <v>5272</v>
      </c>
      <c r="R85" s="47" t="s">
        <v>5273</v>
      </c>
      <c r="S85" s="47" t="s">
        <v>5274</v>
      </c>
      <c r="T85" s="47" t="s">
        <v>5275</v>
      </c>
      <c r="U85" s="47" t="s">
        <v>5276</v>
      </c>
    </row>
    <row r="86" spans="1:21" x14ac:dyDescent="0.2">
      <c r="A86" s="47" t="s">
        <v>29</v>
      </c>
      <c r="D86" s="47" t="s">
        <v>1643</v>
      </c>
      <c r="G86" s="47" t="s">
        <v>2758</v>
      </c>
      <c r="H86" s="47" t="s">
        <v>1644</v>
      </c>
      <c r="I86" s="47" t="s">
        <v>1645</v>
      </c>
      <c r="J86" s="47" t="s">
        <v>1646</v>
      </c>
      <c r="K86" s="47" t="s">
        <v>1647</v>
      </c>
      <c r="L86" s="47" t="s">
        <v>1648</v>
      </c>
      <c r="M86" s="47" t="s">
        <v>1649</v>
      </c>
      <c r="N86" s="47" t="s">
        <v>1650</v>
      </c>
      <c r="O86" s="47" t="s">
        <v>2759</v>
      </c>
      <c r="P86" s="47" t="s">
        <v>2760</v>
      </c>
      <c r="Q86" s="47" t="s">
        <v>2761</v>
      </c>
      <c r="R86" s="47" t="s">
        <v>2762</v>
      </c>
      <c r="S86" s="47" t="s">
        <v>2763</v>
      </c>
      <c r="T86" s="47" t="s">
        <v>2764</v>
      </c>
    </row>
    <row r="87" spans="1:21" x14ac:dyDescent="0.2">
      <c r="A87" s="47" t="s">
        <v>29</v>
      </c>
    </row>
    <row r="88" spans="1:21" x14ac:dyDescent="0.2">
      <c r="A88" s="47" t="s">
        <v>29</v>
      </c>
      <c r="E88" s="47" t="s">
        <v>30</v>
      </c>
      <c r="F88" s="47" t="s">
        <v>30</v>
      </c>
      <c r="G88" s="47" t="s">
        <v>30</v>
      </c>
      <c r="J88" s="47" t="s">
        <v>30</v>
      </c>
      <c r="K88" s="47" t="s">
        <v>30</v>
      </c>
      <c r="L88" s="47" t="s">
        <v>30</v>
      </c>
      <c r="M88" s="47" t="s">
        <v>30</v>
      </c>
    </row>
    <row r="89" spans="1:21" x14ac:dyDescent="0.2">
      <c r="A89" s="47" t="s">
        <v>29</v>
      </c>
      <c r="D89" s="47" t="s">
        <v>5201</v>
      </c>
      <c r="E89" s="47" t="s">
        <v>3486</v>
      </c>
      <c r="F89" s="47" t="s">
        <v>5202</v>
      </c>
      <c r="H89" s="47" t="s">
        <v>5203</v>
      </c>
      <c r="O89" s="47" t="s">
        <v>5227</v>
      </c>
      <c r="P89" s="47" t="s">
        <v>5228</v>
      </c>
      <c r="Q89" s="47" t="s">
        <v>5229</v>
      </c>
      <c r="R89" s="47" t="s">
        <v>5230</v>
      </c>
      <c r="S89" s="47" t="s">
        <v>5231</v>
      </c>
      <c r="T89" s="47" t="s">
        <v>5232</v>
      </c>
      <c r="U89" s="47" t="s">
        <v>5233</v>
      </c>
    </row>
    <row r="90" spans="1:21" x14ac:dyDescent="0.2">
      <c r="A90" s="47" t="s">
        <v>29</v>
      </c>
      <c r="D90" s="47" t="s">
        <v>255</v>
      </c>
      <c r="G90" s="47" t="s">
        <v>5204</v>
      </c>
      <c r="H90" s="47" t="s">
        <v>256</v>
      </c>
      <c r="I90" s="47" t="s">
        <v>257</v>
      </c>
      <c r="J90" s="47" t="s">
        <v>258</v>
      </c>
      <c r="K90" s="47" t="s">
        <v>259</v>
      </c>
      <c r="L90" s="47" t="s">
        <v>260</v>
      </c>
      <c r="M90" s="47" t="s">
        <v>261</v>
      </c>
      <c r="N90" s="47" t="s">
        <v>262</v>
      </c>
      <c r="O90" s="47" t="s">
        <v>2765</v>
      </c>
      <c r="P90" s="47" t="s">
        <v>2766</v>
      </c>
      <c r="Q90" s="47" t="s">
        <v>2767</v>
      </c>
      <c r="R90" s="47" t="s">
        <v>2768</v>
      </c>
      <c r="S90" s="47" t="s">
        <v>2769</v>
      </c>
      <c r="T90" s="47" t="s">
        <v>2770</v>
      </c>
    </row>
    <row r="91" spans="1:21" x14ac:dyDescent="0.2">
      <c r="A91" s="47" t="s">
        <v>29</v>
      </c>
      <c r="D91" s="47" t="s">
        <v>263</v>
      </c>
      <c r="G91" s="47" t="s">
        <v>8702</v>
      </c>
      <c r="H91" s="47" t="s">
        <v>264</v>
      </c>
      <c r="I91" s="47" t="s">
        <v>265</v>
      </c>
      <c r="J91" s="47" t="s">
        <v>266</v>
      </c>
      <c r="K91" s="47" t="s">
        <v>267</v>
      </c>
      <c r="L91" s="47" t="s">
        <v>268</v>
      </c>
      <c r="M91" s="47" t="s">
        <v>269</v>
      </c>
      <c r="N91" s="47" t="s">
        <v>270</v>
      </c>
      <c r="O91" s="47" t="s">
        <v>2501</v>
      </c>
      <c r="P91" s="47" t="s">
        <v>2502</v>
      </c>
      <c r="Q91" s="47" t="s">
        <v>2503</v>
      </c>
      <c r="R91" s="47" t="s">
        <v>2504</v>
      </c>
      <c r="S91" s="47" t="s">
        <v>2505</v>
      </c>
      <c r="T91" s="47" t="s">
        <v>2506</v>
      </c>
    </row>
    <row r="92" spans="1:21" x14ac:dyDescent="0.2">
      <c r="A92" s="47" t="s">
        <v>29</v>
      </c>
    </row>
    <row r="93" spans="1:21" x14ac:dyDescent="0.2">
      <c r="A93" s="47" t="s">
        <v>29</v>
      </c>
      <c r="E93" s="47" t="s">
        <v>30</v>
      </c>
      <c r="F93" s="47" t="s">
        <v>30</v>
      </c>
      <c r="G93" s="47" t="s">
        <v>30</v>
      </c>
      <c r="J93" s="47" t="s">
        <v>30</v>
      </c>
      <c r="K93" s="47" t="s">
        <v>30</v>
      </c>
      <c r="L93" s="47" t="s">
        <v>30</v>
      </c>
      <c r="M93" s="47" t="s">
        <v>30</v>
      </c>
    </row>
    <row r="94" spans="1:21" x14ac:dyDescent="0.2">
      <c r="A94" s="47" t="s">
        <v>29</v>
      </c>
      <c r="D94" s="47" t="s">
        <v>4602</v>
      </c>
      <c r="E94" s="47" t="s">
        <v>3495</v>
      </c>
      <c r="F94" s="47" t="s">
        <v>4603</v>
      </c>
      <c r="H94" s="47" t="s">
        <v>4604</v>
      </c>
      <c r="O94" s="47" t="s">
        <v>8444</v>
      </c>
      <c r="P94" s="47" t="s">
        <v>8445</v>
      </c>
      <c r="Q94" s="47" t="s">
        <v>8446</v>
      </c>
      <c r="R94" s="47" t="s">
        <v>8447</v>
      </c>
      <c r="S94" s="47" t="s">
        <v>8448</v>
      </c>
      <c r="T94" s="47" t="s">
        <v>8449</v>
      </c>
      <c r="U94" s="47" t="s">
        <v>8450</v>
      </c>
    </row>
    <row r="95" spans="1:21" x14ac:dyDescent="0.2">
      <c r="A95" s="47" t="s">
        <v>29</v>
      </c>
      <c r="D95" s="47" t="s">
        <v>4605</v>
      </c>
      <c r="G95" s="47" t="s">
        <v>4606</v>
      </c>
      <c r="H95" s="47" t="s">
        <v>4607</v>
      </c>
      <c r="I95" s="47" t="s">
        <v>4608</v>
      </c>
      <c r="J95" s="47" t="s">
        <v>4609</v>
      </c>
      <c r="K95" s="47" t="s">
        <v>4610</v>
      </c>
      <c r="L95" s="47" t="s">
        <v>4611</v>
      </c>
      <c r="M95" s="47" t="s">
        <v>4612</v>
      </c>
      <c r="N95" s="47" t="s">
        <v>4613</v>
      </c>
      <c r="O95" s="47" t="s">
        <v>4614</v>
      </c>
      <c r="P95" s="47" t="s">
        <v>4615</v>
      </c>
      <c r="Q95" s="47" t="s">
        <v>4616</v>
      </c>
      <c r="R95" s="47" t="s">
        <v>4617</v>
      </c>
      <c r="S95" s="47" t="s">
        <v>4618</v>
      </c>
      <c r="T95" s="47" t="s">
        <v>4619</v>
      </c>
    </row>
    <row r="96" spans="1:21" x14ac:dyDescent="0.2">
      <c r="A96" s="47" t="s">
        <v>29</v>
      </c>
      <c r="D96" s="47" t="s">
        <v>271</v>
      </c>
      <c r="G96" s="47" t="s">
        <v>8704</v>
      </c>
      <c r="H96" s="47" t="s">
        <v>272</v>
      </c>
      <c r="I96" s="47" t="s">
        <v>273</v>
      </c>
      <c r="J96" s="47" t="s">
        <v>274</v>
      </c>
      <c r="K96" s="47" t="s">
        <v>275</v>
      </c>
      <c r="L96" s="47" t="s">
        <v>276</v>
      </c>
      <c r="M96" s="47" t="s">
        <v>277</v>
      </c>
      <c r="N96" s="47" t="s">
        <v>278</v>
      </c>
      <c r="O96" s="47" t="s">
        <v>2507</v>
      </c>
      <c r="P96" s="47" t="s">
        <v>2508</v>
      </c>
      <c r="Q96" s="47" t="s">
        <v>2509</v>
      </c>
      <c r="R96" s="47" t="s">
        <v>2510</v>
      </c>
      <c r="S96" s="47" t="s">
        <v>2511</v>
      </c>
      <c r="T96" s="47" t="s">
        <v>2512</v>
      </c>
    </row>
    <row r="97" spans="1:21" x14ac:dyDescent="0.2">
      <c r="A97" s="47" t="s">
        <v>29</v>
      </c>
      <c r="D97" s="47" t="s">
        <v>279</v>
      </c>
      <c r="G97" s="47" t="s">
        <v>8706</v>
      </c>
      <c r="H97" s="47" t="s">
        <v>280</v>
      </c>
      <c r="I97" s="47" t="s">
        <v>281</v>
      </c>
      <c r="J97" s="47" t="s">
        <v>282</v>
      </c>
      <c r="K97" s="47" t="s">
        <v>283</v>
      </c>
      <c r="L97" s="47" t="s">
        <v>284</v>
      </c>
      <c r="M97" s="47" t="s">
        <v>285</v>
      </c>
      <c r="N97" s="47" t="s">
        <v>286</v>
      </c>
      <c r="O97" s="47" t="s">
        <v>2353</v>
      </c>
      <c r="P97" s="47" t="s">
        <v>2354</v>
      </c>
      <c r="Q97" s="47" t="s">
        <v>2355</v>
      </c>
      <c r="R97" s="47" t="s">
        <v>2356</v>
      </c>
      <c r="S97" s="47" t="s">
        <v>2357</v>
      </c>
      <c r="T97" s="47" t="s">
        <v>2358</v>
      </c>
    </row>
    <row r="98" spans="1:21" x14ac:dyDescent="0.2">
      <c r="A98" s="47" t="s">
        <v>29</v>
      </c>
    </row>
    <row r="99" spans="1:21" x14ac:dyDescent="0.2">
      <c r="A99" s="47" t="s">
        <v>29</v>
      </c>
      <c r="E99" s="47" t="s">
        <v>30</v>
      </c>
      <c r="F99" s="47" t="s">
        <v>30</v>
      </c>
      <c r="G99" s="47" t="s">
        <v>30</v>
      </c>
      <c r="J99" s="47" t="s">
        <v>30</v>
      </c>
      <c r="K99" s="47" t="s">
        <v>30</v>
      </c>
      <c r="L99" s="47" t="s">
        <v>30</v>
      </c>
      <c r="M99" s="47" t="s">
        <v>30</v>
      </c>
    </row>
    <row r="100" spans="1:21" x14ac:dyDescent="0.2">
      <c r="A100" s="47" t="s">
        <v>29</v>
      </c>
      <c r="D100" s="47" t="s">
        <v>1224</v>
      </c>
      <c r="E100" s="47" t="s">
        <v>3580</v>
      </c>
      <c r="F100" s="47" t="s">
        <v>1225</v>
      </c>
      <c r="H100" s="47" t="s">
        <v>1226</v>
      </c>
      <c r="O100" s="47" t="s">
        <v>6159</v>
      </c>
      <c r="P100" s="47" t="s">
        <v>6160</v>
      </c>
      <c r="Q100" s="47" t="s">
        <v>6161</v>
      </c>
      <c r="R100" s="47" t="s">
        <v>6162</v>
      </c>
      <c r="S100" s="47" t="s">
        <v>6163</v>
      </c>
      <c r="T100" s="47" t="s">
        <v>6164</v>
      </c>
      <c r="U100" s="47" t="s">
        <v>6165</v>
      </c>
    </row>
    <row r="101" spans="1:21" x14ac:dyDescent="0.2">
      <c r="A101" s="47" t="s">
        <v>29</v>
      </c>
      <c r="D101" s="47" t="s">
        <v>1227</v>
      </c>
      <c r="G101" s="47" t="s">
        <v>2359</v>
      </c>
      <c r="H101" s="47" t="s">
        <v>1228</v>
      </c>
      <c r="I101" s="47" t="s">
        <v>1229</v>
      </c>
      <c r="J101" s="47" t="s">
        <v>1230</v>
      </c>
      <c r="K101" s="47" t="s">
        <v>1231</v>
      </c>
      <c r="L101" s="47" t="s">
        <v>1232</v>
      </c>
      <c r="M101" s="47" t="s">
        <v>1233</v>
      </c>
      <c r="N101" s="47" t="s">
        <v>1234</v>
      </c>
      <c r="O101" s="47" t="s">
        <v>2360</v>
      </c>
      <c r="P101" s="47" t="s">
        <v>2361</v>
      </c>
      <c r="Q101" s="47" t="s">
        <v>2362</v>
      </c>
      <c r="R101" s="47" t="s">
        <v>2363</v>
      </c>
      <c r="S101" s="47" t="s">
        <v>2364</v>
      </c>
      <c r="T101" s="47" t="s">
        <v>2365</v>
      </c>
    </row>
    <row r="102" spans="1:21" x14ac:dyDescent="0.2">
      <c r="A102" s="47" t="s">
        <v>29</v>
      </c>
    </row>
    <row r="103" spans="1:21" x14ac:dyDescent="0.2">
      <c r="A103" s="47" t="s">
        <v>29</v>
      </c>
      <c r="E103" s="47" t="s">
        <v>30</v>
      </c>
      <c r="F103" s="47" t="s">
        <v>30</v>
      </c>
      <c r="G103" s="47" t="s">
        <v>30</v>
      </c>
      <c r="J103" s="47" t="s">
        <v>30</v>
      </c>
      <c r="K103" s="47" t="s">
        <v>30</v>
      </c>
      <c r="L103" s="47" t="s">
        <v>30</v>
      </c>
      <c r="M103" s="47" t="s">
        <v>30</v>
      </c>
    </row>
    <row r="104" spans="1:21" x14ac:dyDescent="0.2">
      <c r="A104" s="47" t="s">
        <v>29</v>
      </c>
      <c r="D104" s="47" t="s">
        <v>1356</v>
      </c>
      <c r="E104" s="47" t="s">
        <v>3603</v>
      </c>
      <c r="F104" s="47" t="s">
        <v>1357</v>
      </c>
      <c r="H104" s="47" t="s">
        <v>1358</v>
      </c>
      <c r="O104" s="47" t="s">
        <v>8273</v>
      </c>
      <c r="P104" s="47" t="s">
        <v>8274</v>
      </c>
      <c r="Q104" s="47" t="s">
        <v>8275</v>
      </c>
      <c r="R104" s="47" t="s">
        <v>8276</v>
      </c>
      <c r="S104" s="47" t="s">
        <v>8277</v>
      </c>
      <c r="T104" s="47" t="s">
        <v>8278</v>
      </c>
      <c r="U104" s="47" t="s">
        <v>8279</v>
      </c>
    </row>
    <row r="105" spans="1:21" x14ac:dyDescent="0.2">
      <c r="A105" s="47" t="s">
        <v>29</v>
      </c>
      <c r="D105" s="47" t="s">
        <v>1359</v>
      </c>
      <c r="G105" s="47" t="s">
        <v>2366</v>
      </c>
      <c r="H105" s="47" t="s">
        <v>1360</v>
      </c>
      <c r="I105" s="47" t="s">
        <v>1361</v>
      </c>
      <c r="J105" s="47" t="s">
        <v>1362</v>
      </c>
      <c r="K105" s="47" t="s">
        <v>1363</v>
      </c>
      <c r="L105" s="47" t="s">
        <v>1364</v>
      </c>
      <c r="M105" s="47" t="s">
        <v>1365</v>
      </c>
      <c r="N105" s="47" t="s">
        <v>1366</v>
      </c>
      <c r="O105" s="47" t="s">
        <v>2367</v>
      </c>
      <c r="P105" s="47" t="s">
        <v>2368</v>
      </c>
      <c r="Q105" s="47" t="s">
        <v>2369</v>
      </c>
      <c r="R105" s="47" t="s">
        <v>2370</v>
      </c>
      <c r="S105" s="47" t="s">
        <v>2371</v>
      </c>
      <c r="T105" s="47" t="s">
        <v>2372</v>
      </c>
    </row>
    <row r="106" spans="1:21" x14ac:dyDescent="0.2">
      <c r="A106" s="47" t="s">
        <v>29</v>
      </c>
      <c r="D106" s="47" t="s">
        <v>1367</v>
      </c>
      <c r="G106" s="47" t="s">
        <v>8708</v>
      </c>
      <c r="H106" s="47" t="s">
        <v>1368</v>
      </c>
      <c r="I106" s="47" t="s">
        <v>1369</v>
      </c>
      <c r="J106" s="47" t="s">
        <v>1370</v>
      </c>
      <c r="K106" s="47" t="s">
        <v>1371</v>
      </c>
      <c r="L106" s="47" t="s">
        <v>1372</v>
      </c>
      <c r="M106" s="47" t="s">
        <v>1373</v>
      </c>
      <c r="N106" s="47" t="s">
        <v>1374</v>
      </c>
      <c r="O106" s="47" t="s">
        <v>2652</v>
      </c>
      <c r="P106" s="47" t="s">
        <v>2653</v>
      </c>
      <c r="Q106" s="47" t="s">
        <v>2654</v>
      </c>
      <c r="R106" s="47" t="s">
        <v>2655</v>
      </c>
      <c r="S106" s="47" t="s">
        <v>2656</v>
      </c>
      <c r="T106" s="47" t="s">
        <v>2657</v>
      </c>
    </row>
    <row r="107" spans="1:21" x14ac:dyDescent="0.2">
      <c r="A107" s="47" t="s">
        <v>29</v>
      </c>
    </row>
    <row r="108" spans="1:21" x14ac:dyDescent="0.2">
      <c r="A108" s="47" t="s">
        <v>29</v>
      </c>
      <c r="E108" s="47" t="s">
        <v>30</v>
      </c>
      <c r="F108" s="47" t="s">
        <v>30</v>
      </c>
      <c r="G108" s="47" t="s">
        <v>30</v>
      </c>
      <c r="J108" s="47" t="s">
        <v>30</v>
      </c>
      <c r="K108" s="47" t="s">
        <v>30</v>
      </c>
      <c r="L108" s="47" t="s">
        <v>30</v>
      </c>
      <c r="M108" s="47" t="s">
        <v>30</v>
      </c>
    </row>
    <row r="109" spans="1:21" x14ac:dyDescent="0.2">
      <c r="A109" s="47" t="s">
        <v>29</v>
      </c>
      <c r="D109" s="47" t="s">
        <v>4943</v>
      </c>
      <c r="E109" s="47" t="s">
        <v>3604</v>
      </c>
      <c r="F109" s="47" t="s">
        <v>4944</v>
      </c>
      <c r="H109" s="47" t="s">
        <v>4945</v>
      </c>
      <c r="O109" s="47" t="s">
        <v>8451</v>
      </c>
      <c r="P109" s="47" t="s">
        <v>8452</v>
      </c>
      <c r="Q109" s="47" t="s">
        <v>8453</v>
      </c>
      <c r="R109" s="47" t="s">
        <v>8454</v>
      </c>
      <c r="S109" s="47" t="s">
        <v>8455</v>
      </c>
      <c r="T109" s="47" t="s">
        <v>8456</v>
      </c>
      <c r="U109" s="47" t="s">
        <v>8457</v>
      </c>
    </row>
    <row r="110" spans="1:21" x14ac:dyDescent="0.2">
      <c r="A110" s="47" t="s">
        <v>29</v>
      </c>
      <c r="D110" s="47" t="s">
        <v>1375</v>
      </c>
      <c r="G110" s="47" t="s">
        <v>4946</v>
      </c>
      <c r="H110" s="47" t="s">
        <v>1376</v>
      </c>
      <c r="I110" s="47" t="s">
        <v>1377</v>
      </c>
      <c r="J110" s="47" t="s">
        <v>1378</v>
      </c>
      <c r="K110" s="47" t="s">
        <v>1379</v>
      </c>
      <c r="L110" s="47" t="s">
        <v>1380</v>
      </c>
      <c r="M110" s="47" t="s">
        <v>1381</v>
      </c>
      <c r="N110" s="47" t="s">
        <v>1382</v>
      </c>
      <c r="O110" s="47" t="s">
        <v>2519</v>
      </c>
      <c r="P110" s="47" t="s">
        <v>2520</v>
      </c>
      <c r="Q110" s="47" t="s">
        <v>2521</v>
      </c>
      <c r="R110" s="47" t="s">
        <v>2522</v>
      </c>
      <c r="S110" s="47" t="s">
        <v>2523</v>
      </c>
      <c r="T110" s="47" t="s">
        <v>2524</v>
      </c>
    </row>
    <row r="111" spans="1:21" x14ac:dyDescent="0.2">
      <c r="A111" s="47" t="s">
        <v>29</v>
      </c>
      <c r="D111" s="47" t="s">
        <v>1801</v>
      </c>
      <c r="G111" s="47" t="s">
        <v>8710</v>
      </c>
      <c r="H111" s="47" t="s">
        <v>1802</v>
      </c>
      <c r="I111" s="47" t="s">
        <v>1803</v>
      </c>
      <c r="J111" s="47" t="s">
        <v>1804</v>
      </c>
      <c r="K111" s="47" t="s">
        <v>1805</v>
      </c>
      <c r="L111" s="47" t="s">
        <v>1806</v>
      </c>
      <c r="M111" s="47" t="s">
        <v>1807</v>
      </c>
      <c r="N111" s="47" t="s">
        <v>1808</v>
      </c>
      <c r="O111" s="47" t="s">
        <v>2658</v>
      </c>
      <c r="P111" s="47" t="s">
        <v>2659</v>
      </c>
      <c r="Q111" s="47" t="s">
        <v>2660</v>
      </c>
      <c r="R111" s="47" t="s">
        <v>2661</v>
      </c>
      <c r="S111" s="47" t="s">
        <v>2662</v>
      </c>
      <c r="T111" s="47" t="s">
        <v>2663</v>
      </c>
    </row>
    <row r="112" spans="1:21" x14ac:dyDescent="0.2">
      <c r="A112" s="47" t="s">
        <v>29</v>
      </c>
      <c r="D112" s="47" t="s">
        <v>311</v>
      </c>
      <c r="G112" s="47" t="s">
        <v>8711</v>
      </c>
      <c r="H112" s="47" t="s">
        <v>312</v>
      </c>
      <c r="I112" s="47" t="s">
        <v>313</v>
      </c>
      <c r="J112" s="47" t="s">
        <v>314</v>
      </c>
      <c r="K112" s="47" t="s">
        <v>315</v>
      </c>
      <c r="L112" s="47" t="s">
        <v>316</v>
      </c>
      <c r="M112" s="47" t="s">
        <v>317</v>
      </c>
      <c r="N112" s="47" t="s">
        <v>318</v>
      </c>
      <c r="O112" s="47" t="s">
        <v>2664</v>
      </c>
      <c r="P112" s="47" t="s">
        <v>2665</v>
      </c>
      <c r="Q112" s="47" t="s">
        <v>2666</v>
      </c>
      <c r="R112" s="47" t="s">
        <v>2667</v>
      </c>
      <c r="S112" s="47" t="s">
        <v>2668</v>
      </c>
      <c r="T112" s="47" t="s">
        <v>2669</v>
      </c>
    </row>
    <row r="113" spans="1:21" x14ac:dyDescent="0.2">
      <c r="A113" s="47" t="s">
        <v>29</v>
      </c>
    </row>
    <row r="114" spans="1:21" x14ac:dyDescent="0.2">
      <c r="A114" s="47" t="s">
        <v>29</v>
      </c>
      <c r="E114" s="47" t="s">
        <v>30</v>
      </c>
      <c r="F114" s="47" t="s">
        <v>30</v>
      </c>
      <c r="G114" s="47" t="s">
        <v>30</v>
      </c>
      <c r="J114" s="47" t="s">
        <v>30</v>
      </c>
      <c r="K114" s="47" t="s">
        <v>30</v>
      </c>
      <c r="L114" s="47" t="s">
        <v>30</v>
      </c>
      <c r="M114" s="47" t="s">
        <v>30</v>
      </c>
    </row>
    <row r="115" spans="1:21" x14ac:dyDescent="0.2">
      <c r="A115" s="47" t="s">
        <v>29</v>
      </c>
      <c r="D115" s="47" t="s">
        <v>2008</v>
      </c>
      <c r="E115" s="47" t="s">
        <v>3670</v>
      </c>
      <c r="F115" s="47" t="s">
        <v>2009</v>
      </c>
      <c r="H115" s="47" t="s">
        <v>2010</v>
      </c>
      <c r="O115" s="47" t="s">
        <v>8458</v>
      </c>
      <c r="P115" s="47" t="s">
        <v>8459</v>
      </c>
      <c r="Q115" s="47" t="s">
        <v>8460</v>
      </c>
      <c r="R115" s="47" t="s">
        <v>8461</v>
      </c>
      <c r="S115" s="47" t="s">
        <v>8462</v>
      </c>
      <c r="T115" s="47" t="s">
        <v>8463</v>
      </c>
      <c r="U115" s="47" t="s">
        <v>8464</v>
      </c>
    </row>
    <row r="116" spans="1:21" x14ac:dyDescent="0.2">
      <c r="A116" s="47" t="s">
        <v>29</v>
      </c>
      <c r="D116" s="47" t="s">
        <v>1978</v>
      </c>
      <c r="G116" s="47" t="s">
        <v>2670</v>
      </c>
      <c r="H116" s="47" t="s">
        <v>1979</v>
      </c>
      <c r="I116" s="47" t="s">
        <v>1980</v>
      </c>
      <c r="J116" s="47" t="s">
        <v>1981</v>
      </c>
      <c r="K116" s="47" t="s">
        <v>1982</v>
      </c>
      <c r="L116" s="47" t="s">
        <v>1983</v>
      </c>
      <c r="M116" s="47" t="s">
        <v>1984</v>
      </c>
      <c r="N116" s="47" t="s">
        <v>1985</v>
      </c>
      <c r="O116" s="47" t="s">
        <v>2531</v>
      </c>
      <c r="P116" s="47" t="s">
        <v>2532</v>
      </c>
      <c r="Q116" s="47" t="s">
        <v>2533</v>
      </c>
      <c r="R116" s="47" t="s">
        <v>2534</v>
      </c>
      <c r="S116" s="47" t="s">
        <v>2535</v>
      </c>
      <c r="T116" s="47" t="s">
        <v>2536</v>
      </c>
    </row>
    <row r="117" spans="1:21" x14ac:dyDescent="0.2">
      <c r="A117" s="47" t="s">
        <v>29</v>
      </c>
      <c r="D117" s="47" t="s">
        <v>1235</v>
      </c>
      <c r="G117" s="47" t="s">
        <v>8713</v>
      </c>
      <c r="H117" s="47" t="s">
        <v>1236</v>
      </c>
      <c r="I117" s="47" t="s">
        <v>1237</v>
      </c>
      <c r="J117" s="47" t="s">
        <v>1238</v>
      </c>
      <c r="K117" s="47" t="s">
        <v>1239</v>
      </c>
      <c r="L117" s="47" t="s">
        <v>1240</v>
      </c>
      <c r="M117" s="47" t="s">
        <v>1241</v>
      </c>
      <c r="N117" s="47" t="s">
        <v>1242</v>
      </c>
      <c r="O117" s="47" t="s">
        <v>2671</v>
      </c>
      <c r="P117" s="47" t="s">
        <v>2672</v>
      </c>
      <c r="Q117" s="47" t="s">
        <v>2673</v>
      </c>
      <c r="R117" s="47" t="s">
        <v>2674</v>
      </c>
      <c r="S117" s="47" t="s">
        <v>2675</v>
      </c>
      <c r="T117" s="47" t="s">
        <v>2676</v>
      </c>
    </row>
    <row r="118" spans="1:21" x14ac:dyDescent="0.2">
      <c r="A118" s="47" t="s">
        <v>29</v>
      </c>
      <c r="D118" s="47" t="s">
        <v>1383</v>
      </c>
      <c r="G118" s="47" t="s">
        <v>8714</v>
      </c>
      <c r="H118" s="47" t="s">
        <v>1384</v>
      </c>
      <c r="I118" s="47" t="s">
        <v>1385</v>
      </c>
      <c r="J118" s="47" t="s">
        <v>1386</v>
      </c>
      <c r="K118" s="47" t="s">
        <v>1387</v>
      </c>
      <c r="L118" s="47" t="s">
        <v>1388</v>
      </c>
      <c r="M118" s="47" t="s">
        <v>1389</v>
      </c>
      <c r="N118" s="47" t="s">
        <v>1390</v>
      </c>
      <c r="O118" s="47" t="s">
        <v>6166</v>
      </c>
      <c r="P118" s="47" t="s">
        <v>6167</v>
      </c>
      <c r="Q118" s="47" t="s">
        <v>6168</v>
      </c>
      <c r="R118" s="47" t="s">
        <v>6169</v>
      </c>
      <c r="S118" s="47" t="s">
        <v>6170</v>
      </c>
      <c r="T118" s="47" t="s">
        <v>6171</v>
      </c>
    </row>
    <row r="119" spans="1:21" x14ac:dyDescent="0.2">
      <c r="A119" s="47" t="s">
        <v>29</v>
      </c>
    </row>
    <row r="120" spans="1:21" x14ac:dyDescent="0.2">
      <c r="A120" s="47" t="s">
        <v>29</v>
      </c>
      <c r="E120" s="47" t="s">
        <v>30</v>
      </c>
      <c r="F120" s="47" t="s">
        <v>30</v>
      </c>
      <c r="G120" s="47" t="s">
        <v>30</v>
      </c>
      <c r="J120" s="47" t="s">
        <v>30</v>
      </c>
      <c r="K120" s="47" t="s">
        <v>30</v>
      </c>
      <c r="L120" s="47" t="s">
        <v>30</v>
      </c>
      <c r="M120" s="47" t="s">
        <v>30</v>
      </c>
    </row>
    <row r="121" spans="1:21" x14ac:dyDescent="0.2">
      <c r="A121" s="47" t="s">
        <v>29</v>
      </c>
      <c r="D121" s="47" t="s">
        <v>1391</v>
      </c>
      <c r="E121" s="47" t="s">
        <v>3735</v>
      </c>
      <c r="F121" s="47" t="s">
        <v>1392</v>
      </c>
      <c r="H121" s="47" t="s">
        <v>1393</v>
      </c>
      <c r="O121" s="47" t="s">
        <v>6213</v>
      </c>
      <c r="P121" s="47" t="s">
        <v>6214</v>
      </c>
      <c r="Q121" s="47" t="s">
        <v>6215</v>
      </c>
      <c r="R121" s="47" t="s">
        <v>6216</v>
      </c>
      <c r="S121" s="47" t="s">
        <v>6217</v>
      </c>
      <c r="T121" s="47" t="s">
        <v>6218</v>
      </c>
      <c r="U121" s="47" t="s">
        <v>6219</v>
      </c>
    </row>
    <row r="122" spans="1:21" x14ac:dyDescent="0.2">
      <c r="A122" s="47" t="s">
        <v>29</v>
      </c>
      <c r="D122" s="47" t="s">
        <v>359</v>
      </c>
      <c r="G122" s="47" t="s">
        <v>6220</v>
      </c>
      <c r="H122" s="47" t="s">
        <v>360</v>
      </c>
      <c r="I122" s="47" t="s">
        <v>361</v>
      </c>
      <c r="J122" s="47" t="s">
        <v>362</v>
      </c>
      <c r="K122" s="47" t="s">
        <v>363</v>
      </c>
      <c r="L122" s="47" t="s">
        <v>364</v>
      </c>
      <c r="M122" s="47" t="s">
        <v>365</v>
      </c>
      <c r="N122" s="47" t="s">
        <v>366</v>
      </c>
      <c r="O122" s="47" t="s">
        <v>2379</v>
      </c>
      <c r="P122" s="47" t="s">
        <v>2380</v>
      </c>
      <c r="Q122" s="47" t="s">
        <v>2381</v>
      </c>
      <c r="R122" s="47" t="s">
        <v>2382</v>
      </c>
      <c r="S122" s="47" t="s">
        <v>2383</v>
      </c>
      <c r="T122" s="47" t="s">
        <v>2384</v>
      </c>
    </row>
    <row r="123" spans="1:21" x14ac:dyDescent="0.2">
      <c r="A123" s="47" t="s">
        <v>29</v>
      </c>
    </row>
    <row r="124" spans="1:21" x14ac:dyDescent="0.2">
      <c r="A124" s="47" t="s">
        <v>29</v>
      </c>
      <c r="E124" s="47" t="s">
        <v>30</v>
      </c>
      <c r="F124" s="47" t="s">
        <v>30</v>
      </c>
      <c r="G124" s="47" t="s">
        <v>30</v>
      </c>
      <c r="J124" s="47" t="s">
        <v>30</v>
      </c>
      <c r="K124" s="47" t="s">
        <v>30</v>
      </c>
      <c r="L124" s="47" t="s">
        <v>30</v>
      </c>
      <c r="M124" s="47" t="s">
        <v>30</v>
      </c>
    </row>
    <row r="125" spans="1:21" x14ac:dyDescent="0.2">
      <c r="A125" s="47" t="s">
        <v>29</v>
      </c>
      <c r="D125" s="47" t="s">
        <v>6075</v>
      </c>
      <c r="E125" s="47" t="s">
        <v>3778</v>
      </c>
      <c r="F125" s="47" t="s">
        <v>6076</v>
      </c>
      <c r="H125" s="47" t="s">
        <v>6077</v>
      </c>
      <c r="O125" s="47" t="s">
        <v>8465</v>
      </c>
      <c r="P125" s="47" t="s">
        <v>8466</v>
      </c>
      <c r="Q125" s="47" t="s">
        <v>8467</v>
      </c>
      <c r="R125" s="47" t="s">
        <v>8468</v>
      </c>
      <c r="S125" s="47" t="s">
        <v>8469</v>
      </c>
      <c r="T125" s="47" t="s">
        <v>8470</v>
      </c>
      <c r="U125" s="47" t="s">
        <v>8471</v>
      </c>
    </row>
    <row r="126" spans="1:21" x14ac:dyDescent="0.2">
      <c r="A126" s="47" t="s">
        <v>29</v>
      </c>
      <c r="D126" s="47" t="s">
        <v>1394</v>
      </c>
      <c r="G126" s="47" t="s">
        <v>6078</v>
      </c>
      <c r="H126" s="47" t="s">
        <v>1395</v>
      </c>
      <c r="I126" s="47" t="s">
        <v>1396</v>
      </c>
      <c r="J126" s="47" t="s">
        <v>1397</v>
      </c>
      <c r="K126" s="47" t="s">
        <v>1398</v>
      </c>
      <c r="L126" s="47" t="s">
        <v>1399</v>
      </c>
      <c r="M126" s="47" t="s">
        <v>1400</v>
      </c>
      <c r="N126" s="47" t="s">
        <v>1401</v>
      </c>
      <c r="O126" s="47" t="s">
        <v>6079</v>
      </c>
      <c r="P126" s="47" t="s">
        <v>6080</v>
      </c>
      <c r="Q126" s="47" t="s">
        <v>6081</v>
      </c>
      <c r="R126" s="47" t="s">
        <v>6082</v>
      </c>
      <c r="S126" s="47" t="s">
        <v>6083</v>
      </c>
      <c r="T126" s="47" t="s">
        <v>6084</v>
      </c>
    </row>
    <row r="127" spans="1:21" x14ac:dyDescent="0.2">
      <c r="A127" s="47" t="s">
        <v>29</v>
      </c>
      <c r="D127" s="47" t="s">
        <v>1402</v>
      </c>
      <c r="G127" s="47" t="s">
        <v>8717</v>
      </c>
      <c r="H127" s="47" t="s">
        <v>1403</v>
      </c>
      <c r="I127" s="47" t="s">
        <v>1404</v>
      </c>
      <c r="J127" s="47" t="s">
        <v>1405</v>
      </c>
      <c r="K127" s="47" t="s">
        <v>1406</v>
      </c>
      <c r="L127" s="47" t="s">
        <v>1407</v>
      </c>
      <c r="M127" s="47" t="s">
        <v>1408</v>
      </c>
      <c r="N127" s="47" t="s">
        <v>1409</v>
      </c>
      <c r="O127" s="47" t="s">
        <v>2385</v>
      </c>
      <c r="P127" s="47" t="s">
        <v>2386</v>
      </c>
      <c r="Q127" s="47" t="s">
        <v>2387</v>
      </c>
      <c r="R127" s="47" t="s">
        <v>2388</v>
      </c>
      <c r="S127" s="47" t="s">
        <v>2389</v>
      </c>
      <c r="T127" s="47" t="s">
        <v>2390</v>
      </c>
    </row>
    <row r="128" spans="1:21" x14ac:dyDescent="0.2">
      <c r="A128" s="47" t="s">
        <v>29</v>
      </c>
    </row>
    <row r="129" spans="1:21" x14ac:dyDescent="0.2">
      <c r="A129" s="47" t="s">
        <v>29</v>
      </c>
      <c r="E129" s="47" t="s">
        <v>30</v>
      </c>
      <c r="F129" s="47" t="s">
        <v>30</v>
      </c>
      <c r="G129" s="47" t="s">
        <v>30</v>
      </c>
      <c r="J129" s="47" t="s">
        <v>30</v>
      </c>
      <c r="K129" s="47" t="s">
        <v>30</v>
      </c>
      <c r="L129" s="47" t="s">
        <v>30</v>
      </c>
      <c r="M129" s="47" t="s">
        <v>30</v>
      </c>
    </row>
    <row r="130" spans="1:21" x14ac:dyDescent="0.2">
      <c r="A130" s="47" t="s">
        <v>29</v>
      </c>
      <c r="D130" s="47" t="s">
        <v>1809</v>
      </c>
      <c r="E130" s="47" t="s">
        <v>3807</v>
      </c>
      <c r="F130" s="47" t="s">
        <v>1810</v>
      </c>
      <c r="H130" s="47" t="s">
        <v>1811</v>
      </c>
      <c r="O130" s="47" t="s">
        <v>7875</v>
      </c>
      <c r="P130" s="47" t="s">
        <v>7876</v>
      </c>
      <c r="Q130" s="47" t="s">
        <v>7877</v>
      </c>
      <c r="R130" s="47" t="s">
        <v>7878</v>
      </c>
      <c r="S130" s="47" t="s">
        <v>7879</v>
      </c>
      <c r="T130" s="47" t="s">
        <v>7880</v>
      </c>
      <c r="U130" s="47" t="s">
        <v>7881</v>
      </c>
    </row>
    <row r="131" spans="1:21" x14ac:dyDescent="0.2">
      <c r="A131" s="47" t="s">
        <v>29</v>
      </c>
      <c r="D131" s="47" t="s">
        <v>399</v>
      </c>
      <c r="G131" s="47" t="s">
        <v>2391</v>
      </c>
      <c r="H131" s="47" t="s">
        <v>400</v>
      </c>
      <c r="I131" s="47" t="s">
        <v>401</v>
      </c>
      <c r="J131" s="47" t="s">
        <v>402</v>
      </c>
      <c r="K131" s="47" t="s">
        <v>403</v>
      </c>
      <c r="L131" s="47" t="s">
        <v>404</v>
      </c>
      <c r="M131" s="47" t="s">
        <v>405</v>
      </c>
      <c r="N131" s="47" t="s">
        <v>406</v>
      </c>
      <c r="O131" s="47" t="s">
        <v>2392</v>
      </c>
      <c r="P131" s="47" t="s">
        <v>2393</v>
      </c>
      <c r="Q131" s="47" t="s">
        <v>2394</v>
      </c>
      <c r="R131" s="47" t="s">
        <v>2395</v>
      </c>
      <c r="S131" s="47" t="s">
        <v>2396</v>
      </c>
      <c r="T131" s="47" t="s">
        <v>2397</v>
      </c>
    </row>
    <row r="132" spans="1:21" x14ac:dyDescent="0.2">
      <c r="A132" s="47" t="s">
        <v>29</v>
      </c>
      <c r="D132" s="47" t="s">
        <v>407</v>
      </c>
      <c r="G132" s="47" t="s">
        <v>8720</v>
      </c>
      <c r="H132" s="47" t="s">
        <v>408</v>
      </c>
      <c r="I132" s="47" t="s">
        <v>409</v>
      </c>
      <c r="J132" s="47" t="s">
        <v>410</v>
      </c>
      <c r="K132" s="47" t="s">
        <v>411</v>
      </c>
      <c r="L132" s="47" t="s">
        <v>412</v>
      </c>
      <c r="M132" s="47" t="s">
        <v>413</v>
      </c>
      <c r="N132" s="47" t="s">
        <v>414</v>
      </c>
      <c r="O132" s="47" t="s">
        <v>2398</v>
      </c>
      <c r="P132" s="47" t="s">
        <v>2399</v>
      </c>
      <c r="Q132" s="47" t="s">
        <v>2400</v>
      </c>
      <c r="R132" s="47" t="s">
        <v>2401</v>
      </c>
      <c r="S132" s="47" t="s">
        <v>2402</v>
      </c>
      <c r="T132" s="47" t="s">
        <v>2403</v>
      </c>
    </row>
    <row r="133" spans="1:21" x14ac:dyDescent="0.2">
      <c r="A133" s="47" t="s">
        <v>29</v>
      </c>
      <c r="D133" s="47" t="s">
        <v>1243</v>
      </c>
      <c r="G133" s="47" t="s">
        <v>8721</v>
      </c>
      <c r="H133" s="47" t="s">
        <v>1244</v>
      </c>
      <c r="I133" s="47" t="s">
        <v>1245</v>
      </c>
      <c r="J133" s="47" t="s">
        <v>1246</v>
      </c>
      <c r="K133" s="47" t="s">
        <v>1247</v>
      </c>
      <c r="L133" s="47" t="s">
        <v>1248</v>
      </c>
      <c r="M133" s="47" t="s">
        <v>1249</v>
      </c>
      <c r="N133" s="47" t="s">
        <v>1250</v>
      </c>
      <c r="O133" s="47" t="s">
        <v>2555</v>
      </c>
      <c r="P133" s="47" t="s">
        <v>2556</v>
      </c>
      <c r="Q133" s="47" t="s">
        <v>2557</v>
      </c>
      <c r="R133" s="47" t="s">
        <v>2558</v>
      </c>
      <c r="S133" s="47" t="s">
        <v>2559</v>
      </c>
      <c r="T133" s="47" t="s">
        <v>2560</v>
      </c>
    </row>
    <row r="134" spans="1:21" x14ac:dyDescent="0.2">
      <c r="A134" s="47" t="s">
        <v>29</v>
      </c>
      <c r="D134" s="47" t="s">
        <v>1879</v>
      </c>
      <c r="G134" s="47" t="s">
        <v>8722</v>
      </c>
      <c r="H134" s="47" t="s">
        <v>1880</v>
      </c>
      <c r="I134" s="47" t="s">
        <v>1881</v>
      </c>
      <c r="J134" s="47" t="s">
        <v>1882</v>
      </c>
      <c r="K134" s="47" t="s">
        <v>1883</v>
      </c>
      <c r="L134" s="47" t="s">
        <v>1884</v>
      </c>
      <c r="M134" s="47" t="s">
        <v>1885</v>
      </c>
      <c r="N134" s="47" t="s">
        <v>1886</v>
      </c>
      <c r="O134" s="47" t="s">
        <v>2561</v>
      </c>
      <c r="P134" s="47" t="s">
        <v>2562</v>
      </c>
      <c r="Q134" s="47" t="s">
        <v>2563</v>
      </c>
      <c r="R134" s="47" t="s">
        <v>2564</v>
      </c>
      <c r="S134" s="47" t="s">
        <v>2565</v>
      </c>
      <c r="T134" s="47" t="s">
        <v>2566</v>
      </c>
    </row>
    <row r="135" spans="1:21" x14ac:dyDescent="0.2">
      <c r="A135" s="47" t="s">
        <v>29</v>
      </c>
    </row>
    <row r="136" spans="1:21" x14ac:dyDescent="0.2">
      <c r="A136" s="47" t="s">
        <v>29</v>
      </c>
      <c r="E136" s="47" t="s">
        <v>30</v>
      </c>
      <c r="F136" s="47" t="s">
        <v>30</v>
      </c>
      <c r="G136" s="47" t="s">
        <v>30</v>
      </c>
      <c r="J136" s="47" t="s">
        <v>30</v>
      </c>
      <c r="K136" s="47" t="s">
        <v>30</v>
      </c>
      <c r="L136" s="47" t="s">
        <v>30</v>
      </c>
      <c r="M136" s="47" t="s">
        <v>30</v>
      </c>
    </row>
    <row r="137" spans="1:21" x14ac:dyDescent="0.2">
      <c r="A137" s="47" t="s">
        <v>29</v>
      </c>
      <c r="D137" s="47" t="s">
        <v>1989</v>
      </c>
      <c r="E137" s="47" t="s">
        <v>3937</v>
      </c>
      <c r="F137" s="47" t="s">
        <v>1990</v>
      </c>
      <c r="H137" s="47" t="s">
        <v>1991</v>
      </c>
      <c r="O137" s="47" t="s">
        <v>8294</v>
      </c>
      <c r="P137" s="47" t="s">
        <v>8295</v>
      </c>
      <c r="Q137" s="47" t="s">
        <v>8296</v>
      </c>
      <c r="R137" s="47" t="s">
        <v>8297</v>
      </c>
      <c r="S137" s="47" t="s">
        <v>8298</v>
      </c>
      <c r="T137" s="47" t="s">
        <v>8299</v>
      </c>
      <c r="U137" s="47" t="s">
        <v>8300</v>
      </c>
    </row>
    <row r="138" spans="1:21" x14ac:dyDescent="0.2">
      <c r="A138" s="47" t="s">
        <v>29</v>
      </c>
      <c r="D138" s="47" t="s">
        <v>431</v>
      </c>
      <c r="G138" s="47" t="s">
        <v>2683</v>
      </c>
      <c r="H138" s="47" t="s">
        <v>432</v>
      </c>
      <c r="I138" s="47" t="s">
        <v>433</v>
      </c>
      <c r="J138" s="47" t="s">
        <v>434</v>
      </c>
      <c r="K138" s="47" t="s">
        <v>435</v>
      </c>
      <c r="L138" s="47" t="s">
        <v>436</v>
      </c>
      <c r="M138" s="47" t="s">
        <v>437</v>
      </c>
      <c r="N138" s="47" t="s">
        <v>438</v>
      </c>
      <c r="O138" s="47" t="s">
        <v>2684</v>
      </c>
      <c r="P138" s="47" t="s">
        <v>2685</v>
      </c>
      <c r="Q138" s="47" t="s">
        <v>2686</v>
      </c>
      <c r="R138" s="47" t="s">
        <v>2687</v>
      </c>
      <c r="S138" s="47" t="s">
        <v>2688</v>
      </c>
      <c r="T138" s="47" t="s">
        <v>2689</v>
      </c>
    </row>
    <row r="139" spans="1:21" x14ac:dyDescent="0.2">
      <c r="A139" s="47" t="s">
        <v>29</v>
      </c>
    </row>
    <row r="140" spans="1:21" x14ac:dyDescent="0.2">
      <c r="A140" s="47" t="s">
        <v>29</v>
      </c>
      <c r="E140" s="47" t="s">
        <v>30</v>
      </c>
      <c r="F140" s="47" t="s">
        <v>30</v>
      </c>
      <c r="G140" s="47" t="s">
        <v>30</v>
      </c>
      <c r="J140" s="47" t="s">
        <v>30</v>
      </c>
      <c r="K140" s="47" t="s">
        <v>30</v>
      </c>
      <c r="L140" s="47" t="s">
        <v>30</v>
      </c>
      <c r="M140" s="47" t="s">
        <v>30</v>
      </c>
    </row>
    <row r="141" spans="1:21" x14ac:dyDescent="0.2">
      <c r="A141" s="47" t="s">
        <v>29</v>
      </c>
      <c r="D141" s="47" t="s">
        <v>5245</v>
      </c>
      <c r="E141" s="47" t="s">
        <v>4022</v>
      </c>
      <c r="F141" s="47" t="s">
        <v>5246</v>
      </c>
      <c r="H141" s="47" t="s">
        <v>5247</v>
      </c>
      <c r="O141" s="47" t="s">
        <v>7281</v>
      </c>
      <c r="P141" s="47" t="s">
        <v>7282</v>
      </c>
      <c r="Q141" s="47" t="s">
        <v>7283</v>
      </c>
      <c r="R141" s="47" t="s">
        <v>7284</v>
      </c>
      <c r="S141" s="47" t="s">
        <v>7285</v>
      </c>
      <c r="T141" s="47" t="s">
        <v>7286</v>
      </c>
      <c r="U141" s="47" t="s">
        <v>7287</v>
      </c>
    </row>
    <row r="142" spans="1:21" x14ac:dyDescent="0.2">
      <c r="A142" s="47" t="s">
        <v>29</v>
      </c>
      <c r="D142" s="47" t="s">
        <v>1251</v>
      </c>
      <c r="G142" s="47" t="s">
        <v>5248</v>
      </c>
      <c r="H142" s="47" t="s">
        <v>1252</v>
      </c>
      <c r="I142" s="47" t="s">
        <v>1253</v>
      </c>
      <c r="J142" s="47" t="s">
        <v>1254</v>
      </c>
      <c r="K142" s="47" t="s">
        <v>1255</v>
      </c>
      <c r="L142" s="47" t="s">
        <v>1256</v>
      </c>
      <c r="M142" s="47" t="s">
        <v>1257</v>
      </c>
      <c r="N142" s="47" t="s">
        <v>1258</v>
      </c>
      <c r="O142" s="47" t="s">
        <v>2690</v>
      </c>
      <c r="P142" s="47" t="s">
        <v>2691</v>
      </c>
      <c r="Q142" s="47" t="s">
        <v>2692</v>
      </c>
      <c r="R142" s="47" t="s">
        <v>2693</v>
      </c>
      <c r="S142" s="47" t="s">
        <v>2694</v>
      </c>
      <c r="T142" s="47" t="s">
        <v>2695</v>
      </c>
    </row>
    <row r="143" spans="1:21" x14ac:dyDescent="0.2">
      <c r="A143" s="47" t="s">
        <v>29</v>
      </c>
      <c r="D143" s="47" t="s">
        <v>1667</v>
      </c>
      <c r="G143" s="47" t="s">
        <v>8727</v>
      </c>
      <c r="H143" s="47" t="s">
        <v>1668</v>
      </c>
      <c r="I143" s="47" t="s">
        <v>1669</v>
      </c>
      <c r="J143" s="47" t="s">
        <v>1670</v>
      </c>
      <c r="K143" s="47" t="s">
        <v>1671</v>
      </c>
      <c r="L143" s="47" t="s">
        <v>1672</v>
      </c>
      <c r="M143" s="47" t="s">
        <v>1673</v>
      </c>
      <c r="N143" s="47" t="s">
        <v>1674</v>
      </c>
      <c r="O143" s="47" t="s">
        <v>2941</v>
      </c>
      <c r="P143" s="47" t="s">
        <v>2942</v>
      </c>
      <c r="Q143" s="47" t="s">
        <v>2943</v>
      </c>
      <c r="R143" s="47" t="s">
        <v>2944</v>
      </c>
      <c r="S143" s="47" t="s">
        <v>2945</v>
      </c>
      <c r="T143" s="47" t="s">
        <v>2946</v>
      </c>
    </row>
    <row r="144" spans="1:21" x14ac:dyDescent="0.2">
      <c r="A144" s="47" t="s">
        <v>29</v>
      </c>
    </row>
    <row r="145" spans="1:21" x14ac:dyDescent="0.2">
      <c r="A145" s="47" t="s">
        <v>29</v>
      </c>
      <c r="E145" s="47" t="s">
        <v>30</v>
      </c>
      <c r="F145" s="47" t="s">
        <v>30</v>
      </c>
      <c r="G145" s="47" t="s">
        <v>30</v>
      </c>
      <c r="J145" s="47" t="s">
        <v>30</v>
      </c>
      <c r="K145" s="47" t="s">
        <v>30</v>
      </c>
      <c r="L145" s="47" t="s">
        <v>30</v>
      </c>
      <c r="M145" s="47" t="s">
        <v>30</v>
      </c>
    </row>
    <row r="146" spans="1:21" x14ac:dyDescent="0.2">
      <c r="A146" s="47" t="s">
        <v>29</v>
      </c>
      <c r="D146" s="47" t="s">
        <v>7288</v>
      </c>
      <c r="E146" s="47" t="s">
        <v>4146</v>
      </c>
      <c r="F146" s="47" t="s">
        <v>7289</v>
      </c>
      <c r="H146" s="47" t="s">
        <v>7290</v>
      </c>
      <c r="O146" s="47" t="s">
        <v>8472</v>
      </c>
      <c r="P146" s="47" t="s">
        <v>8473</v>
      </c>
      <c r="Q146" s="47" t="s">
        <v>8474</v>
      </c>
      <c r="R146" s="47" t="s">
        <v>8475</v>
      </c>
      <c r="S146" s="47" t="s">
        <v>8476</v>
      </c>
      <c r="T146" s="47" t="s">
        <v>8477</v>
      </c>
      <c r="U146" s="47" t="s">
        <v>8478</v>
      </c>
    </row>
    <row r="147" spans="1:21" x14ac:dyDescent="0.2">
      <c r="A147" s="47" t="s">
        <v>29</v>
      </c>
      <c r="D147" s="47" t="s">
        <v>6313</v>
      </c>
      <c r="G147" s="47" t="s">
        <v>7298</v>
      </c>
      <c r="H147" s="47" t="s">
        <v>7137</v>
      </c>
      <c r="I147" s="47" t="s">
        <v>7138</v>
      </c>
      <c r="J147" s="47" t="s">
        <v>7151</v>
      </c>
      <c r="K147" s="47" t="s">
        <v>7152</v>
      </c>
      <c r="L147" s="47" t="s">
        <v>6314</v>
      </c>
      <c r="M147" s="47" t="s">
        <v>6315</v>
      </c>
      <c r="N147" s="47" t="s">
        <v>6316</v>
      </c>
      <c r="O147" s="47" t="s">
        <v>7299</v>
      </c>
      <c r="P147" s="47" t="s">
        <v>7300</v>
      </c>
      <c r="Q147" s="47" t="s">
        <v>7301</v>
      </c>
      <c r="R147" s="47" t="s">
        <v>7302</v>
      </c>
      <c r="S147" s="47" t="s">
        <v>7303</v>
      </c>
      <c r="T147" s="47" t="s">
        <v>7304</v>
      </c>
    </row>
    <row r="148" spans="1:21" x14ac:dyDescent="0.2">
      <c r="A148" s="47" t="s">
        <v>29</v>
      </c>
      <c r="D148" s="47" t="s">
        <v>455</v>
      </c>
      <c r="G148" s="47" t="s">
        <v>8730</v>
      </c>
      <c r="H148" s="47" t="s">
        <v>456</v>
      </c>
      <c r="I148" s="47" t="s">
        <v>457</v>
      </c>
      <c r="J148" s="47" t="s">
        <v>458</v>
      </c>
      <c r="K148" s="47" t="s">
        <v>459</v>
      </c>
      <c r="L148" s="47" t="s">
        <v>460</v>
      </c>
      <c r="M148" s="47" t="s">
        <v>461</v>
      </c>
      <c r="N148" s="47" t="s">
        <v>462</v>
      </c>
      <c r="O148" s="47" t="s">
        <v>6172</v>
      </c>
      <c r="P148" s="47" t="s">
        <v>6173</v>
      </c>
      <c r="Q148" s="47" t="s">
        <v>6174</v>
      </c>
      <c r="R148" s="47" t="s">
        <v>6175</v>
      </c>
      <c r="S148" s="47" t="s">
        <v>6176</v>
      </c>
      <c r="T148" s="47" t="s">
        <v>6177</v>
      </c>
    </row>
    <row r="149" spans="1:21" x14ac:dyDescent="0.2">
      <c r="A149" s="47" t="s">
        <v>29</v>
      </c>
      <c r="D149" s="47" t="s">
        <v>463</v>
      </c>
      <c r="G149" s="47" t="s">
        <v>8731</v>
      </c>
      <c r="H149" s="47" t="s">
        <v>464</v>
      </c>
      <c r="I149" s="47" t="s">
        <v>465</v>
      </c>
      <c r="J149" s="47" t="s">
        <v>466</v>
      </c>
      <c r="K149" s="47" t="s">
        <v>467</v>
      </c>
      <c r="L149" s="47" t="s">
        <v>468</v>
      </c>
      <c r="M149" s="47" t="s">
        <v>469</v>
      </c>
      <c r="N149" s="47" t="s">
        <v>470</v>
      </c>
      <c r="O149" s="47" t="s">
        <v>2947</v>
      </c>
      <c r="P149" s="47" t="s">
        <v>2948</v>
      </c>
      <c r="Q149" s="47" t="s">
        <v>2949</v>
      </c>
      <c r="R149" s="47" t="s">
        <v>2950</v>
      </c>
      <c r="S149" s="47" t="s">
        <v>2951</v>
      </c>
      <c r="T149" s="47" t="s">
        <v>2952</v>
      </c>
    </row>
    <row r="150" spans="1:21" x14ac:dyDescent="0.2">
      <c r="A150" s="47" t="s">
        <v>29</v>
      </c>
      <c r="D150" s="47" t="s">
        <v>471</v>
      </c>
      <c r="G150" s="47" t="s">
        <v>8732</v>
      </c>
      <c r="H150" s="47" t="s">
        <v>472</v>
      </c>
      <c r="I150" s="47" t="s">
        <v>473</v>
      </c>
      <c r="J150" s="47" t="s">
        <v>474</v>
      </c>
      <c r="K150" s="47" t="s">
        <v>475</v>
      </c>
      <c r="L150" s="47" t="s">
        <v>476</v>
      </c>
      <c r="M150" s="47" t="s">
        <v>477</v>
      </c>
      <c r="N150" s="47" t="s">
        <v>478</v>
      </c>
      <c r="O150" s="47" t="s">
        <v>2573</v>
      </c>
      <c r="P150" s="47" t="s">
        <v>2574</v>
      </c>
      <c r="Q150" s="47" t="s">
        <v>2575</v>
      </c>
      <c r="R150" s="47" t="s">
        <v>2576</v>
      </c>
      <c r="S150" s="47" t="s">
        <v>2577</v>
      </c>
      <c r="T150" s="47" t="s">
        <v>2578</v>
      </c>
    </row>
    <row r="151" spans="1:21" x14ac:dyDescent="0.2">
      <c r="A151" s="47" t="s">
        <v>29</v>
      </c>
    </row>
    <row r="152" spans="1:21" x14ac:dyDescent="0.2">
      <c r="A152" s="47" t="s">
        <v>29</v>
      </c>
      <c r="E152" s="47" t="s">
        <v>30</v>
      </c>
      <c r="F152" s="47" t="s">
        <v>30</v>
      </c>
      <c r="G152" s="47" t="s">
        <v>30</v>
      </c>
      <c r="J152" s="47" t="s">
        <v>30</v>
      </c>
      <c r="K152" s="47" t="s">
        <v>30</v>
      </c>
      <c r="L152" s="47" t="s">
        <v>30</v>
      </c>
      <c r="M152" s="47" t="s">
        <v>30</v>
      </c>
    </row>
    <row r="153" spans="1:21" x14ac:dyDescent="0.2">
      <c r="A153" s="47" t="s">
        <v>29</v>
      </c>
      <c r="D153" s="47" t="s">
        <v>4951</v>
      </c>
      <c r="E153" s="47" t="s">
        <v>4183</v>
      </c>
      <c r="F153" s="47" t="s">
        <v>4952</v>
      </c>
      <c r="H153" s="47" t="s">
        <v>4953</v>
      </c>
      <c r="O153" s="47" t="s">
        <v>8479</v>
      </c>
      <c r="P153" s="47" t="s">
        <v>8480</v>
      </c>
      <c r="Q153" s="47" t="s">
        <v>8481</v>
      </c>
      <c r="R153" s="47" t="s">
        <v>8482</v>
      </c>
      <c r="S153" s="47" t="s">
        <v>8483</v>
      </c>
      <c r="T153" s="47" t="s">
        <v>8484</v>
      </c>
      <c r="U153" s="47" t="s">
        <v>8485</v>
      </c>
    </row>
    <row r="154" spans="1:21" x14ac:dyDescent="0.2">
      <c r="A154" s="47" t="s">
        <v>29</v>
      </c>
      <c r="D154" s="47" t="s">
        <v>503</v>
      </c>
      <c r="G154" s="47" t="s">
        <v>4954</v>
      </c>
      <c r="H154" s="47" t="s">
        <v>504</v>
      </c>
      <c r="I154" s="47" t="s">
        <v>505</v>
      </c>
      <c r="J154" s="47" t="s">
        <v>506</v>
      </c>
      <c r="K154" s="47" t="s">
        <v>507</v>
      </c>
      <c r="L154" s="47" t="s">
        <v>508</v>
      </c>
      <c r="M154" s="47" t="s">
        <v>509</v>
      </c>
      <c r="N154" s="47" t="s">
        <v>510</v>
      </c>
      <c r="O154" s="47" t="s">
        <v>2579</v>
      </c>
      <c r="P154" s="47" t="s">
        <v>2580</v>
      </c>
      <c r="Q154" s="47" t="s">
        <v>2581</v>
      </c>
      <c r="R154" s="47" t="s">
        <v>2582</v>
      </c>
      <c r="S154" s="47" t="s">
        <v>2583</v>
      </c>
      <c r="T154" s="47" t="s">
        <v>2584</v>
      </c>
    </row>
    <row r="155" spans="1:21" x14ac:dyDescent="0.2">
      <c r="A155" s="47" t="s">
        <v>29</v>
      </c>
      <c r="D155" s="47" t="s">
        <v>511</v>
      </c>
      <c r="G155" s="47" t="s">
        <v>8734</v>
      </c>
      <c r="H155" s="47" t="s">
        <v>512</v>
      </c>
      <c r="I155" s="47" t="s">
        <v>513</v>
      </c>
      <c r="J155" s="47" t="s">
        <v>514</v>
      </c>
      <c r="K155" s="47" t="s">
        <v>515</v>
      </c>
      <c r="L155" s="47" t="s">
        <v>516</v>
      </c>
      <c r="M155" s="47" t="s">
        <v>517</v>
      </c>
      <c r="N155" s="47" t="s">
        <v>518</v>
      </c>
      <c r="O155" s="47" t="s">
        <v>2696</v>
      </c>
      <c r="P155" s="47" t="s">
        <v>2697</v>
      </c>
      <c r="Q155" s="47" t="s">
        <v>2698</v>
      </c>
      <c r="R155" s="47" t="s">
        <v>2699</v>
      </c>
      <c r="S155" s="47" t="s">
        <v>2700</v>
      </c>
      <c r="T155" s="47" t="s">
        <v>2701</v>
      </c>
    </row>
    <row r="156" spans="1:21" x14ac:dyDescent="0.2">
      <c r="A156" s="47" t="s">
        <v>29</v>
      </c>
      <c r="D156" s="47" t="s">
        <v>6317</v>
      </c>
      <c r="G156" s="47" t="s">
        <v>8736</v>
      </c>
      <c r="H156" s="47" t="s">
        <v>7121</v>
      </c>
      <c r="I156" s="47" t="s">
        <v>7122</v>
      </c>
      <c r="J156" s="47" t="s">
        <v>7135</v>
      </c>
      <c r="K156" s="47" t="s">
        <v>7136</v>
      </c>
      <c r="L156" s="47" t="s">
        <v>6318</v>
      </c>
      <c r="M156" s="47" t="s">
        <v>6319</v>
      </c>
      <c r="N156" s="47" t="s">
        <v>6320</v>
      </c>
      <c r="O156" s="47" t="s">
        <v>7308</v>
      </c>
      <c r="P156" s="47" t="s">
        <v>7309</v>
      </c>
      <c r="Q156" s="47" t="s">
        <v>7310</v>
      </c>
      <c r="R156" s="47" t="s">
        <v>7311</v>
      </c>
      <c r="S156" s="47" t="s">
        <v>7312</v>
      </c>
      <c r="T156" s="47" t="s">
        <v>7313</v>
      </c>
    </row>
    <row r="157" spans="1:21" x14ac:dyDescent="0.2">
      <c r="A157" s="47" t="s">
        <v>29</v>
      </c>
    </row>
    <row r="158" spans="1:21" x14ac:dyDescent="0.2">
      <c r="A158" s="47" t="s">
        <v>29</v>
      </c>
      <c r="E158" s="47" t="s">
        <v>30</v>
      </c>
      <c r="F158" s="47" t="s">
        <v>30</v>
      </c>
      <c r="G158" s="47" t="s">
        <v>30</v>
      </c>
      <c r="J158" s="47" t="s">
        <v>30</v>
      </c>
      <c r="K158" s="47" t="s">
        <v>30</v>
      </c>
      <c r="L158" s="47" t="s">
        <v>30</v>
      </c>
      <c r="M158" s="47" t="s">
        <v>30</v>
      </c>
    </row>
    <row r="159" spans="1:21" x14ac:dyDescent="0.2">
      <c r="A159" s="47" t="s">
        <v>29</v>
      </c>
      <c r="D159" s="47" t="s">
        <v>7314</v>
      </c>
      <c r="E159" s="47" t="s">
        <v>4220</v>
      </c>
      <c r="F159" s="47" t="s">
        <v>7315</v>
      </c>
      <c r="H159" s="47" t="s">
        <v>7316</v>
      </c>
      <c r="O159" s="47" t="s">
        <v>7317</v>
      </c>
      <c r="P159" s="47" t="s">
        <v>7318</v>
      </c>
      <c r="Q159" s="47" t="s">
        <v>7319</v>
      </c>
      <c r="R159" s="47" t="s">
        <v>7320</v>
      </c>
      <c r="S159" s="47" t="s">
        <v>7321</v>
      </c>
      <c r="T159" s="47" t="s">
        <v>7322</v>
      </c>
      <c r="U159" s="47" t="s">
        <v>7323</v>
      </c>
    </row>
    <row r="160" spans="1:21" x14ac:dyDescent="0.2">
      <c r="A160" s="47" t="s">
        <v>29</v>
      </c>
      <c r="D160" s="47" t="s">
        <v>530</v>
      </c>
      <c r="G160" s="47" t="s">
        <v>7324</v>
      </c>
      <c r="H160" s="47" t="s">
        <v>531</v>
      </c>
      <c r="I160" s="47" t="s">
        <v>532</v>
      </c>
      <c r="J160" s="47" t="s">
        <v>533</v>
      </c>
      <c r="K160" s="47" t="s">
        <v>534</v>
      </c>
      <c r="L160" s="47" t="s">
        <v>535</v>
      </c>
      <c r="M160" s="47" t="s">
        <v>536</v>
      </c>
      <c r="N160" s="47" t="s">
        <v>537</v>
      </c>
      <c r="O160" s="47" t="s">
        <v>4385</v>
      </c>
      <c r="P160" s="47" t="s">
        <v>4386</v>
      </c>
      <c r="Q160" s="47" t="s">
        <v>4387</v>
      </c>
      <c r="R160" s="47" t="s">
        <v>4388</v>
      </c>
      <c r="S160" s="47" t="s">
        <v>4389</v>
      </c>
      <c r="T160" s="47" t="s">
        <v>4390</v>
      </c>
    </row>
    <row r="161" spans="1:21" x14ac:dyDescent="0.2">
      <c r="A161" s="47" t="s">
        <v>29</v>
      </c>
      <c r="D161" s="47" t="s">
        <v>538</v>
      </c>
      <c r="G161" s="47" t="s">
        <v>8740</v>
      </c>
      <c r="H161" s="47" t="s">
        <v>539</v>
      </c>
      <c r="I161" s="47" t="s">
        <v>540</v>
      </c>
      <c r="J161" s="47" t="s">
        <v>541</v>
      </c>
      <c r="K161" s="47" t="s">
        <v>542</v>
      </c>
      <c r="L161" s="47" t="s">
        <v>543</v>
      </c>
      <c r="M161" s="47" t="s">
        <v>544</v>
      </c>
      <c r="N161" s="47" t="s">
        <v>545</v>
      </c>
      <c r="O161" s="47" t="s">
        <v>2591</v>
      </c>
      <c r="P161" s="47" t="s">
        <v>2592</v>
      </c>
      <c r="Q161" s="47" t="s">
        <v>2593</v>
      </c>
      <c r="R161" s="47" t="s">
        <v>2594</v>
      </c>
      <c r="S161" s="47" t="s">
        <v>2595</v>
      </c>
      <c r="T161" s="47" t="s">
        <v>2596</v>
      </c>
    </row>
    <row r="162" spans="1:21" x14ac:dyDescent="0.2">
      <c r="A162" s="47" t="s">
        <v>29</v>
      </c>
    </row>
    <row r="163" spans="1:21" x14ac:dyDescent="0.2">
      <c r="A163" s="47" t="s">
        <v>29</v>
      </c>
      <c r="E163" s="47" t="s">
        <v>30</v>
      </c>
      <c r="F163" s="47" t="s">
        <v>30</v>
      </c>
      <c r="G163" s="47" t="s">
        <v>30</v>
      </c>
      <c r="J163" s="47" t="s">
        <v>30</v>
      </c>
      <c r="K163" s="47" t="s">
        <v>30</v>
      </c>
      <c r="L163" s="47" t="s">
        <v>30</v>
      </c>
      <c r="M163" s="47" t="s">
        <v>30</v>
      </c>
    </row>
    <row r="164" spans="1:21" x14ac:dyDescent="0.2">
      <c r="A164" s="47" t="s">
        <v>29</v>
      </c>
      <c r="D164" s="47" t="s">
        <v>2953</v>
      </c>
      <c r="E164" s="47" t="s">
        <v>4293</v>
      </c>
      <c r="F164" s="47" t="s">
        <v>2954</v>
      </c>
      <c r="H164" s="47" t="s">
        <v>2955</v>
      </c>
      <c r="O164" s="47" t="s">
        <v>2956</v>
      </c>
      <c r="P164" s="47" t="s">
        <v>2957</v>
      </c>
      <c r="Q164" s="47" t="s">
        <v>2958</v>
      </c>
      <c r="R164" s="47" t="s">
        <v>2959</v>
      </c>
      <c r="S164" s="47" t="s">
        <v>2960</v>
      </c>
      <c r="T164" s="47" t="s">
        <v>2961</v>
      </c>
      <c r="U164" s="47" t="s">
        <v>2962</v>
      </c>
    </row>
    <row r="165" spans="1:21" x14ac:dyDescent="0.2">
      <c r="A165" s="47" t="s">
        <v>29</v>
      </c>
      <c r="D165" s="47" t="s">
        <v>2022</v>
      </c>
      <c r="G165" s="47" t="s">
        <v>2963</v>
      </c>
      <c r="H165" s="47" t="s">
        <v>2023</v>
      </c>
      <c r="I165" s="47" t="s">
        <v>2024</v>
      </c>
      <c r="J165" s="47" t="s">
        <v>2025</v>
      </c>
      <c r="K165" s="47" t="s">
        <v>2026</v>
      </c>
      <c r="L165" s="47" t="s">
        <v>2027</v>
      </c>
      <c r="M165" s="47" t="s">
        <v>2028</v>
      </c>
      <c r="N165" s="47" t="s">
        <v>2029</v>
      </c>
      <c r="O165" s="47" t="s">
        <v>2703</v>
      </c>
      <c r="P165" s="47" t="s">
        <v>2704</v>
      </c>
      <c r="Q165" s="47" t="s">
        <v>2705</v>
      </c>
      <c r="R165" s="47" t="s">
        <v>2706</v>
      </c>
      <c r="S165" s="47" t="s">
        <v>2707</v>
      </c>
      <c r="T165" s="47" t="s">
        <v>2708</v>
      </c>
    </row>
    <row r="166" spans="1:21" x14ac:dyDescent="0.2">
      <c r="A166" s="47" t="s">
        <v>29</v>
      </c>
    </row>
    <row r="167" spans="1:21" x14ac:dyDescent="0.2">
      <c r="A167" s="47" t="s">
        <v>29</v>
      </c>
      <c r="E167" s="47" t="s">
        <v>30</v>
      </c>
      <c r="F167" s="47" t="s">
        <v>30</v>
      </c>
      <c r="G167" s="47" t="s">
        <v>30</v>
      </c>
      <c r="J167" s="47" t="s">
        <v>30</v>
      </c>
      <c r="K167" s="47" t="s">
        <v>30</v>
      </c>
      <c r="L167" s="47" t="s">
        <v>30</v>
      </c>
      <c r="M167" s="47" t="s">
        <v>30</v>
      </c>
    </row>
    <row r="168" spans="1:21" x14ac:dyDescent="0.2">
      <c r="A168" s="47" t="s">
        <v>29</v>
      </c>
      <c r="D168" s="47" t="s">
        <v>2030</v>
      </c>
      <c r="E168" s="47" t="s">
        <v>4295</v>
      </c>
      <c r="F168" s="47" t="s">
        <v>2031</v>
      </c>
      <c r="H168" s="47" t="s">
        <v>2032</v>
      </c>
      <c r="O168" s="47" t="s">
        <v>2033</v>
      </c>
      <c r="P168" s="47" t="s">
        <v>2034</v>
      </c>
      <c r="Q168" s="47" t="s">
        <v>2035</v>
      </c>
      <c r="R168" s="47" t="s">
        <v>2036</v>
      </c>
      <c r="S168" s="47" t="s">
        <v>2037</v>
      </c>
      <c r="T168" s="47" t="s">
        <v>2038</v>
      </c>
      <c r="U168" s="47" t="s">
        <v>2039</v>
      </c>
    </row>
    <row r="169" spans="1:21" x14ac:dyDescent="0.2">
      <c r="A169" s="47" t="s">
        <v>29</v>
      </c>
      <c r="D169" s="47" t="s">
        <v>554</v>
      </c>
      <c r="G169" s="47" t="s">
        <v>2964</v>
      </c>
      <c r="H169" s="47" t="s">
        <v>555</v>
      </c>
      <c r="I169" s="47" t="s">
        <v>556</v>
      </c>
      <c r="J169" s="47" t="s">
        <v>557</v>
      </c>
      <c r="K169" s="47" t="s">
        <v>558</v>
      </c>
      <c r="L169" s="47" t="s">
        <v>559</v>
      </c>
      <c r="M169" s="47" t="s">
        <v>560</v>
      </c>
      <c r="N169" s="47" t="s">
        <v>561</v>
      </c>
      <c r="O169" s="47" t="s">
        <v>2965</v>
      </c>
      <c r="P169" s="47" t="s">
        <v>2966</v>
      </c>
      <c r="Q169" s="47" t="s">
        <v>2967</v>
      </c>
      <c r="R169" s="47" t="s">
        <v>2968</v>
      </c>
      <c r="S169" s="47" t="s">
        <v>2969</v>
      </c>
      <c r="T169" s="47" t="s">
        <v>2970</v>
      </c>
    </row>
    <row r="170" spans="1:21" x14ac:dyDescent="0.2">
      <c r="A170" s="47" t="s">
        <v>29</v>
      </c>
    </row>
    <row r="171" spans="1:21" x14ac:dyDescent="0.2">
      <c r="A171" s="47" t="s">
        <v>29</v>
      </c>
      <c r="E171" s="47" t="s">
        <v>30</v>
      </c>
      <c r="F171" s="47" t="s">
        <v>30</v>
      </c>
      <c r="G171" s="47" t="s">
        <v>30</v>
      </c>
      <c r="J171" s="47" t="s">
        <v>30</v>
      </c>
      <c r="K171" s="47" t="s">
        <v>30</v>
      </c>
      <c r="L171" s="47" t="s">
        <v>30</v>
      </c>
      <c r="M171" s="47" t="s">
        <v>30</v>
      </c>
    </row>
    <row r="172" spans="1:21" x14ac:dyDescent="0.2">
      <c r="A172" s="47" t="s">
        <v>29</v>
      </c>
      <c r="D172" s="47" t="s">
        <v>2040</v>
      </c>
      <c r="E172" s="47" t="s">
        <v>4296</v>
      </c>
      <c r="F172" s="47" t="s">
        <v>2041</v>
      </c>
      <c r="H172" s="47" t="s">
        <v>2042</v>
      </c>
      <c r="O172" s="47" t="s">
        <v>7325</v>
      </c>
      <c r="P172" s="47" t="s">
        <v>7326</v>
      </c>
      <c r="Q172" s="47" t="s">
        <v>7327</v>
      </c>
      <c r="R172" s="47" t="s">
        <v>7328</v>
      </c>
      <c r="S172" s="47" t="s">
        <v>7329</v>
      </c>
      <c r="T172" s="47" t="s">
        <v>7330</v>
      </c>
      <c r="U172" s="47" t="s">
        <v>7331</v>
      </c>
    </row>
    <row r="173" spans="1:21" x14ac:dyDescent="0.2">
      <c r="A173" s="47" t="s">
        <v>29</v>
      </c>
      <c r="D173" s="47" t="s">
        <v>1895</v>
      </c>
      <c r="G173" s="47" t="s">
        <v>2971</v>
      </c>
      <c r="H173" s="47" t="s">
        <v>1896</v>
      </c>
      <c r="I173" s="47" t="s">
        <v>1897</v>
      </c>
      <c r="J173" s="47" t="s">
        <v>1898</v>
      </c>
      <c r="K173" s="47" t="s">
        <v>1899</v>
      </c>
      <c r="L173" s="47" t="s">
        <v>1900</v>
      </c>
      <c r="M173" s="47" t="s">
        <v>1901</v>
      </c>
      <c r="N173" s="47" t="s">
        <v>1902</v>
      </c>
      <c r="O173" s="47" t="s">
        <v>2972</v>
      </c>
      <c r="P173" s="47" t="s">
        <v>2973</v>
      </c>
      <c r="Q173" s="47" t="s">
        <v>2974</v>
      </c>
      <c r="R173" s="47" t="s">
        <v>2975</v>
      </c>
      <c r="S173" s="47" t="s">
        <v>2976</v>
      </c>
      <c r="T173" s="47" t="s">
        <v>2977</v>
      </c>
    </row>
    <row r="174" spans="1:21" x14ac:dyDescent="0.2">
      <c r="A174" s="47" t="s">
        <v>29</v>
      </c>
    </row>
    <row r="175" spans="1:21" x14ac:dyDescent="0.2">
      <c r="A175" s="47" t="s">
        <v>29</v>
      </c>
      <c r="E175" s="47" t="s">
        <v>30</v>
      </c>
      <c r="F175" s="47" t="s">
        <v>30</v>
      </c>
      <c r="G175" s="47" t="s">
        <v>30</v>
      </c>
      <c r="J175" s="47" t="s">
        <v>30</v>
      </c>
      <c r="K175" s="47" t="s">
        <v>30</v>
      </c>
      <c r="L175" s="47" t="s">
        <v>30</v>
      </c>
      <c r="M175" s="47" t="s">
        <v>30</v>
      </c>
    </row>
    <row r="176" spans="1:21" x14ac:dyDescent="0.2">
      <c r="A176" s="47" t="s">
        <v>29</v>
      </c>
      <c r="D176" s="47" t="s">
        <v>6321</v>
      </c>
      <c r="E176" s="47" t="s">
        <v>4297</v>
      </c>
      <c r="F176" s="47" t="s">
        <v>6322</v>
      </c>
      <c r="H176" s="47" t="s">
        <v>6323</v>
      </c>
      <c r="O176" s="47" t="s">
        <v>8486</v>
      </c>
      <c r="P176" s="47" t="s">
        <v>8487</v>
      </c>
      <c r="Q176" s="47" t="s">
        <v>8488</v>
      </c>
      <c r="R176" s="47" t="s">
        <v>8489</v>
      </c>
      <c r="S176" s="47" t="s">
        <v>8490</v>
      </c>
      <c r="T176" s="47" t="s">
        <v>8491</v>
      </c>
      <c r="U176" s="47" t="s">
        <v>8492</v>
      </c>
    </row>
    <row r="177" spans="1:21" x14ac:dyDescent="0.2">
      <c r="A177" s="47" t="s">
        <v>29</v>
      </c>
      <c r="D177" s="47" t="s">
        <v>578</v>
      </c>
      <c r="G177" s="47" t="s">
        <v>7332</v>
      </c>
      <c r="H177" s="47" t="s">
        <v>579</v>
      </c>
      <c r="I177" s="47" t="s">
        <v>580</v>
      </c>
      <c r="J177" s="47" t="s">
        <v>581</v>
      </c>
      <c r="K177" s="47" t="s">
        <v>582</v>
      </c>
      <c r="L177" s="47" t="s">
        <v>583</v>
      </c>
      <c r="M177" s="47" t="s">
        <v>584</v>
      </c>
      <c r="N177" s="47" t="s">
        <v>585</v>
      </c>
      <c r="O177" s="47" t="s">
        <v>7333</v>
      </c>
      <c r="P177" s="47" t="s">
        <v>7334</v>
      </c>
      <c r="Q177" s="47" t="s">
        <v>7335</v>
      </c>
      <c r="R177" s="47" t="s">
        <v>7336</v>
      </c>
      <c r="S177" s="47" t="s">
        <v>7337</v>
      </c>
      <c r="T177" s="47" t="s">
        <v>7338</v>
      </c>
    </row>
    <row r="178" spans="1:21" x14ac:dyDescent="0.2">
      <c r="A178" s="47" t="s">
        <v>29</v>
      </c>
      <c r="D178" s="47" t="s">
        <v>586</v>
      </c>
      <c r="G178" s="47" t="s">
        <v>8752</v>
      </c>
      <c r="H178" s="47" t="s">
        <v>587</v>
      </c>
      <c r="I178" s="47" t="s">
        <v>588</v>
      </c>
      <c r="J178" s="47" t="s">
        <v>589</v>
      </c>
      <c r="K178" s="47" t="s">
        <v>590</v>
      </c>
      <c r="L178" s="47" t="s">
        <v>591</v>
      </c>
      <c r="M178" s="47" t="s">
        <v>592</v>
      </c>
      <c r="N178" s="47" t="s">
        <v>593</v>
      </c>
      <c r="O178" s="47" t="s">
        <v>5090</v>
      </c>
      <c r="P178" s="47" t="s">
        <v>5091</v>
      </c>
      <c r="Q178" s="47" t="s">
        <v>5092</v>
      </c>
      <c r="R178" s="47" t="s">
        <v>5093</v>
      </c>
      <c r="S178" s="47" t="s">
        <v>5094</v>
      </c>
      <c r="T178" s="47" t="s">
        <v>5095</v>
      </c>
    </row>
    <row r="179" spans="1:21" x14ac:dyDescent="0.2">
      <c r="A179" s="47" t="s">
        <v>29</v>
      </c>
      <c r="D179" s="47" t="s">
        <v>594</v>
      </c>
      <c r="G179" s="47" t="s">
        <v>8753</v>
      </c>
      <c r="H179" s="47" t="s">
        <v>595</v>
      </c>
      <c r="I179" s="47" t="s">
        <v>596</v>
      </c>
      <c r="J179" s="47" t="s">
        <v>597</v>
      </c>
      <c r="K179" s="47" t="s">
        <v>598</v>
      </c>
      <c r="L179" s="47" t="s">
        <v>599</v>
      </c>
      <c r="M179" s="47" t="s">
        <v>600</v>
      </c>
      <c r="N179" s="47" t="s">
        <v>601</v>
      </c>
      <c r="O179" s="47" t="s">
        <v>2978</v>
      </c>
      <c r="P179" s="47" t="s">
        <v>2979</v>
      </c>
      <c r="Q179" s="47" t="s">
        <v>2980</v>
      </c>
      <c r="R179" s="47" t="s">
        <v>2981</v>
      </c>
      <c r="S179" s="47" t="s">
        <v>2982</v>
      </c>
      <c r="T179" s="47" t="s">
        <v>2983</v>
      </c>
    </row>
    <row r="180" spans="1:21" x14ac:dyDescent="0.2">
      <c r="A180" s="47" t="s">
        <v>29</v>
      </c>
    </row>
    <row r="181" spans="1:21" x14ac:dyDescent="0.2">
      <c r="A181" s="47" t="s">
        <v>29</v>
      </c>
      <c r="E181" s="47" t="s">
        <v>30</v>
      </c>
      <c r="F181" s="47" t="s">
        <v>30</v>
      </c>
      <c r="G181" s="47" t="s">
        <v>30</v>
      </c>
      <c r="J181" s="47" t="s">
        <v>30</v>
      </c>
      <c r="K181" s="47" t="s">
        <v>30</v>
      </c>
      <c r="L181" s="47" t="s">
        <v>30</v>
      </c>
      <c r="M181" s="47" t="s">
        <v>30</v>
      </c>
    </row>
    <row r="182" spans="1:21" x14ac:dyDescent="0.2">
      <c r="A182" s="47" t="s">
        <v>29</v>
      </c>
      <c r="D182" s="47" t="s">
        <v>1267</v>
      </c>
      <c r="E182" s="47" t="s">
        <v>4298</v>
      </c>
      <c r="F182" s="47" t="s">
        <v>1268</v>
      </c>
      <c r="H182" s="47" t="s">
        <v>1269</v>
      </c>
      <c r="O182" s="47" t="s">
        <v>5961</v>
      </c>
      <c r="P182" s="47" t="s">
        <v>5962</v>
      </c>
      <c r="Q182" s="47" t="s">
        <v>5963</v>
      </c>
      <c r="R182" s="47" t="s">
        <v>5964</v>
      </c>
      <c r="S182" s="47" t="s">
        <v>5965</v>
      </c>
      <c r="T182" s="47" t="s">
        <v>5966</v>
      </c>
      <c r="U182" s="47" t="s">
        <v>5967</v>
      </c>
    </row>
    <row r="183" spans="1:21" x14ac:dyDescent="0.2">
      <c r="A183" s="47" t="s">
        <v>29</v>
      </c>
      <c r="D183" s="47" t="s">
        <v>618</v>
      </c>
      <c r="G183" s="47" t="s">
        <v>2984</v>
      </c>
      <c r="H183" s="47" t="s">
        <v>619</v>
      </c>
      <c r="I183" s="47" t="s">
        <v>620</v>
      </c>
      <c r="J183" s="47" t="s">
        <v>621</v>
      </c>
      <c r="K183" s="47" t="s">
        <v>622</v>
      </c>
      <c r="L183" s="47" t="s">
        <v>623</v>
      </c>
      <c r="M183" s="47" t="s">
        <v>624</v>
      </c>
      <c r="N183" s="47" t="s">
        <v>625</v>
      </c>
      <c r="O183" s="47" t="s">
        <v>2985</v>
      </c>
      <c r="P183" s="47" t="s">
        <v>2986</v>
      </c>
      <c r="Q183" s="47" t="s">
        <v>2987</v>
      </c>
      <c r="R183" s="47" t="s">
        <v>2988</v>
      </c>
      <c r="S183" s="47" t="s">
        <v>2989</v>
      </c>
      <c r="T183" s="47" t="s">
        <v>2990</v>
      </c>
    </row>
    <row r="184" spans="1:21" x14ac:dyDescent="0.2">
      <c r="A184" s="47" t="s">
        <v>29</v>
      </c>
    </row>
    <row r="185" spans="1:21" x14ac:dyDescent="0.2">
      <c r="A185" s="47" t="s">
        <v>29</v>
      </c>
      <c r="E185" s="47" t="s">
        <v>30</v>
      </c>
      <c r="F185" s="47" t="s">
        <v>30</v>
      </c>
      <c r="G185" s="47" t="s">
        <v>30</v>
      </c>
      <c r="J185" s="47" t="s">
        <v>30</v>
      </c>
      <c r="K185" s="47" t="s">
        <v>30</v>
      </c>
      <c r="L185" s="47" t="s">
        <v>30</v>
      </c>
      <c r="M185" s="47" t="s">
        <v>30</v>
      </c>
    </row>
    <row r="186" spans="1:21" x14ac:dyDescent="0.2">
      <c r="A186" s="47" t="s">
        <v>29</v>
      </c>
      <c r="D186" s="47" t="s">
        <v>5968</v>
      </c>
      <c r="E186" s="47" t="s">
        <v>4299</v>
      </c>
      <c r="F186" s="47" t="s">
        <v>5969</v>
      </c>
      <c r="H186" s="47" t="s">
        <v>5970</v>
      </c>
      <c r="O186" s="47" t="s">
        <v>6272</v>
      </c>
      <c r="P186" s="47" t="s">
        <v>6273</v>
      </c>
      <c r="Q186" s="47" t="s">
        <v>6274</v>
      </c>
      <c r="R186" s="47" t="s">
        <v>6275</v>
      </c>
      <c r="S186" s="47" t="s">
        <v>6276</v>
      </c>
      <c r="T186" s="47" t="s">
        <v>6277</v>
      </c>
      <c r="U186" s="47" t="s">
        <v>6278</v>
      </c>
    </row>
    <row r="187" spans="1:21" x14ac:dyDescent="0.2">
      <c r="A187" s="47" t="s">
        <v>29</v>
      </c>
      <c r="D187" s="47" t="s">
        <v>1270</v>
      </c>
      <c r="G187" s="47" t="s">
        <v>5971</v>
      </c>
      <c r="H187" s="47" t="s">
        <v>1271</v>
      </c>
      <c r="I187" s="47" t="s">
        <v>1272</v>
      </c>
      <c r="J187" s="47" t="s">
        <v>1273</v>
      </c>
      <c r="K187" s="47" t="s">
        <v>1274</v>
      </c>
      <c r="L187" s="47" t="s">
        <v>1275</v>
      </c>
      <c r="M187" s="47" t="s">
        <v>1276</v>
      </c>
      <c r="N187" s="47" t="s">
        <v>1277</v>
      </c>
      <c r="O187" s="47" t="s">
        <v>2991</v>
      </c>
      <c r="P187" s="47" t="s">
        <v>2992</v>
      </c>
      <c r="Q187" s="47" t="s">
        <v>2993</v>
      </c>
      <c r="R187" s="47" t="s">
        <v>2994</v>
      </c>
      <c r="S187" s="47" t="s">
        <v>2995</v>
      </c>
      <c r="T187" s="47" t="s">
        <v>2996</v>
      </c>
    </row>
    <row r="188" spans="1:21" x14ac:dyDescent="0.2">
      <c r="A188" s="47" t="s">
        <v>29</v>
      </c>
      <c r="D188" s="47" t="s">
        <v>626</v>
      </c>
      <c r="G188" s="47" t="s">
        <v>8756</v>
      </c>
      <c r="H188" s="47" t="s">
        <v>627</v>
      </c>
      <c r="I188" s="47" t="s">
        <v>628</v>
      </c>
      <c r="J188" s="47" t="s">
        <v>629</v>
      </c>
      <c r="K188" s="47" t="s">
        <v>630</v>
      </c>
      <c r="L188" s="47" t="s">
        <v>631</v>
      </c>
      <c r="M188" s="47" t="s">
        <v>632</v>
      </c>
      <c r="N188" s="47" t="s">
        <v>633</v>
      </c>
      <c r="O188" s="47" t="s">
        <v>4994</v>
      </c>
      <c r="P188" s="47" t="s">
        <v>4995</v>
      </c>
      <c r="Q188" s="47" t="s">
        <v>4996</v>
      </c>
      <c r="R188" s="47" t="s">
        <v>4997</v>
      </c>
      <c r="S188" s="47" t="s">
        <v>4998</v>
      </c>
      <c r="T188" s="47" t="s">
        <v>4999</v>
      </c>
    </row>
    <row r="189" spans="1:21" x14ac:dyDescent="0.2">
      <c r="A189" s="47" t="s">
        <v>29</v>
      </c>
    </row>
    <row r="190" spans="1:21" x14ac:dyDescent="0.2">
      <c r="A190" s="47" t="s">
        <v>29</v>
      </c>
      <c r="E190" s="47" t="s">
        <v>30</v>
      </c>
      <c r="F190" s="47" t="s">
        <v>30</v>
      </c>
      <c r="G190" s="47" t="s">
        <v>30</v>
      </c>
      <c r="J190" s="47" t="s">
        <v>30</v>
      </c>
      <c r="K190" s="47" t="s">
        <v>30</v>
      </c>
      <c r="L190" s="47" t="s">
        <v>30</v>
      </c>
      <c r="M190" s="47" t="s">
        <v>30</v>
      </c>
    </row>
    <row r="191" spans="1:21" x14ac:dyDescent="0.2">
      <c r="A191" s="47" t="s">
        <v>29</v>
      </c>
      <c r="D191" s="47" t="s">
        <v>5000</v>
      </c>
      <c r="E191" s="47" t="s">
        <v>4302</v>
      </c>
      <c r="F191" s="47" t="s">
        <v>5001</v>
      </c>
      <c r="H191" s="47" t="s">
        <v>5002</v>
      </c>
      <c r="O191" s="47" t="s">
        <v>6178</v>
      </c>
      <c r="P191" s="47" t="s">
        <v>6179</v>
      </c>
      <c r="Q191" s="47" t="s">
        <v>6180</v>
      </c>
      <c r="R191" s="47" t="s">
        <v>6181</v>
      </c>
      <c r="S191" s="47" t="s">
        <v>6182</v>
      </c>
      <c r="T191" s="47" t="s">
        <v>6183</v>
      </c>
      <c r="U191" s="47" t="s">
        <v>6184</v>
      </c>
    </row>
    <row r="192" spans="1:21" x14ac:dyDescent="0.2">
      <c r="A192" s="47" t="s">
        <v>29</v>
      </c>
      <c r="D192" s="47" t="s">
        <v>634</v>
      </c>
      <c r="G192" s="47" t="s">
        <v>5003</v>
      </c>
      <c r="H192" s="47" t="s">
        <v>635</v>
      </c>
      <c r="I192" s="47" t="s">
        <v>636</v>
      </c>
      <c r="J192" s="47" t="s">
        <v>637</v>
      </c>
      <c r="K192" s="47" t="s">
        <v>638</v>
      </c>
      <c r="L192" s="47" t="s">
        <v>639</v>
      </c>
      <c r="M192" s="47" t="s">
        <v>640</v>
      </c>
      <c r="N192" s="47" t="s">
        <v>641</v>
      </c>
      <c r="O192" s="47" t="s">
        <v>4642</v>
      </c>
      <c r="P192" s="47" t="s">
        <v>4643</v>
      </c>
      <c r="Q192" s="47" t="s">
        <v>4644</v>
      </c>
      <c r="R192" s="47" t="s">
        <v>4645</v>
      </c>
      <c r="S192" s="47" t="s">
        <v>4646</v>
      </c>
      <c r="T192" s="47" t="s">
        <v>4647</v>
      </c>
    </row>
    <row r="193" spans="1:21" x14ac:dyDescent="0.2">
      <c r="A193" s="47" t="s">
        <v>29</v>
      </c>
    </row>
    <row r="194" spans="1:21" x14ac:dyDescent="0.2">
      <c r="A194" s="47" t="s">
        <v>29</v>
      </c>
      <c r="E194" s="47" t="s">
        <v>30</v>
      </c>
      <c r="F194" s="47" t="s">
        <v>30</v>
      </c>
      <c r="G194" s="47" t="s">
        <v>30</v>
      </c>
      <c r="J194" s="47" t="s">
        <v>30</v>
      </c>
      <c r="K194" s="47" t="s">
        <v>30</v>
      </c>
      <c r="L194" s="47" t="s">
        <v>30</v>
      </c>
      <c r="M194" s="47" t="s">
        <v>30</v>
      </c>
    </row>
    <row r="195" spans="1:21" x14ac:dyDescent="0.2">
      <c r="A195" s="47" t="s">
        <v>29</v>
      </c>
      <c r="D195" s="47" t="s">
        <v>5106</v>
      </c>
      <c r="E195" s="47" t="s">
        <v>4304</v>
      </c>
      <c r="F195" s="47" t="s">
        <v>5107</v>
      </c>
      <c r="H195" s="47" t="s">
        <v>5108</v>
      </c>
      <c r="O195" s="47" t="s">
        <v>5972</v>
      </c>
      <c r="P195" s="47" t="s">
        <v>5973</v>
      </c>
      <c r="Q195" s="47" t="s">
        <v>5974</v>
      </c>
      <c r="R195" s="47" t="s">
        <v>5975</v>
      </c>
      <c r="S195" s="47" t="s">
        <v>5976</v>
      </c>
      <c r="T195" s="47" t="s">
        <v>5977</v>
      </c>
      <c r="U195" s="47" t="s">
        <v>5978</v>
      </c>
    </row>
    <row r="196" spans="1:21" x14ac:dyDescent="0.2">
      <c r="A196" s="47" t="s">
        <v>29</v>
      </c>
      <c r="D196" s="47" t="s">
        <v>642</v>
      </c>
      <c r="G196" s="47" t="s">
        <v>5109</v>
      </c>
      <c r="H196" s="47" t="s">
        <v>643</v>
      </c>
      <c r="I196" s="47" t="s">
        <v>644</v>
      </c>
      <c r="J196" s="47" t="s">
        <v>645</v>
      </c>
      <c r="K196" s="47" t="s">
        <v>646</v>
      </c>
      <c r="L196" s="47" t="s">
        <v>647</v>
      </c>
      <c r="M196" s="47" t="s">
        <v>648</v>
      </c>
      <c r="N196" s="47" t="s">
        <v>649</v>
      </c>
      <c r="O196" s="47" t="s">
        <v>5110</v>
      </c>
      <c r="P196" s="47" t="s">
        <v>5111</v>
      </c>
      <c r="Q196" s="47" t="s">
        <v>5112</v>
      </c>
      <c r="R196" s="47" t="s">
        <v>5113</v>
      </c>
      <c r="S196" s="47" t="s">
        <v>5114</v>
      </c>
      <c r="T196" s="47" t="s">
        <v>5115</v>
      </c>
    </row>
    <row r="197" spans="1:21" x14ac:dyDescent="0.2">
      <c r="A197" s="47" t="s">
        <v>29</v>
      </c>
    </row>
    <row r="198" spans="1:21" x14ac:dyDescent="0.2">
      <c r="A198" s="47" t="s">
        <v>29</v>
      </c>
      <c r="E198" s="47" t="s">
        <v>30</v>
      </c>
      <c r="F198" s="47" t="s">
        <v>30</v>
      </c>
      <c r="G198" s="47" t="s">
        <v>30</v>
      </c>
      <c r="J198" s="47" t="s">
        <v>30</v>
      </c>
      <c r="K198" s="47" t="s">
        <v>30</v>
      </c>
      <c r="L198" s="47" t="s">
        <v>30</v>
      </c>
      <c r="M198" s="47" t="s">
        <v>30</v>
      </c>
    </row>
    <row r="199" spans="1:21" x14ac:dyDescent="0.2">
      <c r="A199" s="47" t="s">
        <v>29</v>
      </c>
      <c r="D199" s="47" t="s">
        <v>5979</v>
      </c>
      <c r="E199" s="47" t="s">
        <v>4305</v>
      </c>
      <c r="F199" s="47" t="s">
        <v>5980</v>
      </c>
      <c r="H199" s="47" t="s">
        <v>5981</v>
      </c>
      <c r="O199" s="47" t="s">
        <v>6185</v>
      </c>
      <c r="P199" s="47" t="s">
        <v>6186</v>
      </c>
      <c r="Q199" s="47" t="s">
        <v>6187</v>
      </c>
      <c r="R199" s="47" t="s">
        <v>6188</v>
      </c>
      <c r="S199" s="47" t="s">
        <v>6189</v>
      </c>
      <c r="T199" s="47" t="s">
        <v>6190</v>
      </c>
      <c r="U199" s="47" t="s">
        <v>6191</v>
      </c>
    </row>
    <row r="200" spans="1:21" x14ac:dyDescent="0.2">
      <c r="A200" s="47" t="s">
        <v>29</v>
      </c>
      <c r="D200" s="47" t="s">
        <v>1450</v>
      </c>
      <c r="G200" s="47" t="s">
        <v>5982</v>
      </c>
      <c r="H200" s="47" t="s">
        <v>1451</v>
      </c>
      <c r="I200" s="47" t="s">
        <v>1452</v>
      </c>
      <c r="J200" s="47" t="s">
        <v>1453</v>
      </c>
      <c r="K200" s="47" t="s">
        <v>1454</v>
      </c>
      <c r="L200" s="47" t="s">
        <v>1455</v>
      </c>
      <c r="M200" s="47" t="s">
        <v>1456</v>
      </c>
      <c r="N200" s="47" t="s">
        <v>1457</v>
      </c>
      <c r="O200" s="47" t="s">
        <v>5983</v>
      </c>
      <c r="P200" s="47" t="s">
        <v>5984</v>
      </c>
      <c r="Q200" s="47" t="s">
        <v>5985</v>
      </c>
      <c r="R200" s="47" t="s">
        <v>5986</v>
      </c>
      <c r="S200" s="47" t="s">
        <v>5987</v>
      </c>
      <c r="T200" s="47" t="s">
        <v>5988</v>
      </c>
    </row>
    <row r="201" spans="1:21" x14ac:dyDescent="0.2">
      <c r="A201" s="47" t="s">
        <v>29</v>
      </c>
      <c r="D201" s="47" t="s">
        <v>1458</v>
      </c>
      <c r="G201" s="47" t="s">
        <v>8761</v>
      </c>
      <c r="H201" s="47" t="s">
        <v>1459</v>
      </c>
      <c r="I201" s="47" t="s">
        <v>1460</v>
      </c>
      <c r="J201" s="47" t="s">
        <v>1461</v>
      </c>
      <c r="K201" s="47" t="s">
        <v>1462</v>
      </c>
      <c r="L201" s="47" t="s">
        <v>1463</v>
      </c>
      <c r="M201" s="47" t="s">
        <v>1464</v>
      </c>
      <c r="N201" s="47" t="s">
        <v>1465</v>
      </c>
      <c r="O201" s="47" t="s">
        <v>4657</v>
      </c>
      <c r="P201" s="47" t="s">
        <v>4658</v>
      </c>
      <c r="Q201" s="47" t="s">
        <v>4659</v>
      </c>
      <c r="R201" s="47" t="s">
        <v>4660</v>
      </c>
      <c r="S201" s="47" t="s">
        <v>4661</v>
      </c>
      <c r="T201" s="47" t="s">
        <v>4662</v>
      </c>
    </row>
    <row r="202" spans="1:21" x14ac:dyDescent="0.2">
      <c r="A202" s="47" t="s">
        <v>29</v>
      </c>
      <c r="D202" s="47" t="s">
        <v>666</v>
      </c>
      <c r="G202" s="47" t="s">
        <v>8762</v>
      </c>
      <c r="H202" s="47" t="s">
        <v>667</v>
      </c>
      <c r="I202" s="47" t="s">
        <v>668</v>
      </c>
      <c r="J202" s="47" t="s">
        <v>669</v>
      </c>
      <c r="K202" s="47" t="s">
        <v>670</v>
      </c>
      <c r="L202" s="47" t="s">
        <v>671</v>
      </c>
      <c r="M202" s="47" t="s">
        <v>672</v>
      </c>
      <c r="N202" s="47" t="s">
        <v>673</v>
      </c>
      <c r="O202" s="47" t="s">
        <v>4394</v>
      </c>
      <c r="P202" s="47" t="s">
        <v>4395</v>
      </c>
      <c r="Q202" s="47" t="s">
        <v>4396</v>
      </c>
      <c r="R202" s="47" t="s">
        <v>4397</v>
      </c>
      <c r="S202" s="47" t="s">
        <v>4398</v>
      </c>
      <c r="T202" s="47" t="s">
        <v>4399</v>
      </c>
    </row>
    <row r="203" spans="1:21" x14ac:dyDescent="0.2">
      <c r="A203" s="47" t="s">
        <v>29</v>
      </c>
    </row>
    <row r="204" spans="1:21" x14ac:dyDescent="0.2">
      <c r="A204" s="47" t="s">
        <v>29</v>
      </c>
      <c r="E204" s="47" t="s">
        <v>30</v>
      </c>
      <c r="F204" s="47" t="s">
        <v>30</v>
      </c>
      <c r="G204" s="47" t="s">
        <v>30</v>
      </c>
      <c r="J204" s="47" t="s">
        <v>30</v>
      </c>
      <c r="K204" s="47" t="s">
        <v>30</v>
      </c>
      <c r="L204" s="47" t="s">
        <v>30</v>
      </c>
      <c r="M204" s="47" t="s">
        <v>30</v>
      </c>
    </row>
    <row r="205" spans="1:21" x14ac:dyDescent="0.2">
      <c r="A205" s="47" t="s">
        <v>29</v>
      </c>
      <c r="D205" s="47" t="s">
        <v>5004</v>
      </c>
      <c r="E205" s="47" t="s">
        <v>6533</v>
      </c>
      <c r="F205" s="47" t="s">
        <v>5005</v>
      </c>
      <c r="H205" s="47" t="s">
        <v>5006</v>
      </c>
      <c r="O205" s="47" t="s">
        <v>6192</v>
      </c>
      <c r="P205" s="47" t="s">
        <v>6193</v>
      </c>
      <c r="Q205" s="47" t="s">
        <v>6194</v>
      </c>
      <c r="R205" s="47" t="s">
        <v>6195</v>
      </c>
      <c r="S205" s="47" t="s">
        <v>6196</v>
      </c>
      <c r="T205" s="47" t="s">
        <v>6197</v>
      </c>
      <c r="U205" s="47" t="s">
        <v>6198</v>
      </c>
    </row>
    <row r="206" spans="1:21" x14ac:dyDescent="0.2">
      <c r="A206" s="47" t="s">
        <v>29</v>
      </c>
      <c r="D206" s="47" t="s">
        <v>690</v>
      </c>
      <c r="G206" s="47" t="s">
        <v>5007</v>
      </c>
      <c r="H206" s="47" t="s">
        <v>691</v>
      </c>
      <c r="I206" s="47" t="s">
        <v>692</v>
      </c>
      <c r="J206" s="47" t="s">
        <v>693</v>
      </c>
      <c r="K206" s="47" t="s">
        <v>694</v>
      </c>
      <c r="L206" s="47" t="s">
        <v>695</v>
      </c>
      <c r="M206" s="47" t="s">
        <v>696</v>
      </c>
      <c r="N206" s="47" t="s">
        <v>697</v>
      </c>
      <c r="O206" s="47" t="s">
        <v>5008</v>
      </c>
      <c r="P206" s="47" t="s">
        <v>5009</v>
      </c>
      <c r="Q206" s="47" t="s">
        <v>5010</v>
      </c>
      <c r="R206" s="47" t="s">
        <v>5011</v>
      </c>
      <c r="S206" s="47" t="s">
        <v>5012</v>
      </c>
      <c r="T206" s="47" t="s">
        <v>5013</v>
      </c>
    </row>
    <row r="207" spans="1:21" x14ac:dyDescent="0.2">
      <c r="A207" s="47" t="s">
        <v>29</v>
      </c>
    </row>
    <row r="208" spans="1:21" x14ac:dyDescent="0.2">
      <c r="A208" s="47" t="s">
        <v>29</v>
      </c>
      <c r="E208" s="47" t="s">
        <v>30</v>
      </c>
      <c r="F208" s="47" t="s">
        <v>30</v>
      </c>
      <c r="G208" s="47" t="s">
        <v>30</v>
      </c>
      <c r="J208" s="47" t="s">
        <v>30</v>
      </c>
      <c r="K208" s="47" t="s">
        <v>30</v>
      </c>
      <c r="L208" s="47" t="s">
        <v>30</v>
      </c>
      <c r="M208" s="47" t="s">
        <v>30</v>
      </c>
    </row>
    <row r="209" spans="1:21" x14ac:dyDescent="0.2">
      <c r="A209" s="47" t="s">
        <v>29</v>
      </c>
      <c r="D209" s="47" t="s">
        <v>3086</v>
      </c>
      <c r="E209" s="47" t="s">
        <v>4309</v>
      </c>
      <c r="F209" s="47" t="s">
        <v>3088</v>
      </c>
      <c r="H209" s="47" t="s">
        <v>3089</v>
      </c>
      <c r="O209" s="47" t="s">
        <v>5989</v>
      </c>
      <c r="P209" s="47" t="s">
        <v>5990</v>
      </c>
      <c r="Q209" s="47" t="s">
        <v>5991</v>
      </c>
      <c r="R209" s="47" t="s">
        <v>5992</v>
      </c>
      <c r="S209" s="47" t="s">
        <v>5993</v>
      </c>
      <c r="T209" s="47" t="s">
        <v>5994</v>
      </c>
      <c r="U209" s="47" t="s">
        <v>5995</v>
      </c>
    </row>
    <row r="210" spans="1:21" x14ac:dyDescent="0.2">
      <c r="A210" s="47" t="s">
        <v>29</v>
      </c>
      <c r="D210" s="47" t="s">
        <v>1466</v>
      </c>
      <c r="G210" s="47" t="s">
        <v>5996</v>
      </c>
      <c r="H210" s="47" t="s">
        <v>1467</v>
      </c>
      <c r="I210" s="47" t="s">
        <v>1468</v>
      </c>
      <c r="J210" s="47" t="s">
        <v>1469</v>
      </c>
      <c r="K210" s="47" t="s">
        <v>1470</v>
      </c>
      <c r="L210" s="47" t="s">
        <v>1471</v>
      </c>
      <c r="M210" s="47" t="s">
        <v>1472</v>
      </c>
      <c r="N210" s="47" t="s">
        <v>1473</v>
      </c>
      <c r="O210" s="47" t="s">
        <v>5116</v>
      </c>
      <c r="P210" s="47" t="s">
        <v>5117</v>
      </c>
      <c r="Q210" s="47" t="s">
        <v>5118</v>
      </c>
      <c r="R210" s="47" t="s">
        <v>5119</v>
      </c>
      <c r="S210" s="47" t="s">
        <v>5120</v>
      </c>
      <c r="T210" s="47" t="s">
        <v>5121</v>
      </c>
    </row>
    <row r="211" spans="1:21" x14ac:dyDescent="0.2">
      <c r="A211" s="47" t="s">
        <v>29</v>
      </c>
    </row>
    <row r="212" spans="1:21" x14ac:dyDescent="0.2">
      <c r="A212" s="47" t="s">
        <v>29</v>
      </c>
      <c r="E212" s="47" t="s">
        <v>30</v>
      </c>
      <c r="F212" s="47" t="s">
        <v>30</v>
      </c>
      <c r="G212" s="47" t="s">
        <v>30</v>
      </c>
      <c r="J212" s="47" t="s">
        <v>30</v>
      </c>
      <c r="K212" s="47" t="s">
        <v>30</v>
      </c>
      <c r="L212" s="47" t="s">
        <v>30</v>
      </c>
      <c r="M212" s="47" t="s">
        <v>30</v>
      </c>
    </row>
    <row r="213" spans="1:21" x14ac:dyDescent="0.2">
      <c r="A213" s="47" t="s">
        <v>29</v>
      </c>
      <c r="D213" s="47" t="s">
        <v>5122</v>
      </c>
      <c r="E213" s="47" t="s">
        <v>4310</v>
      </c>
      <c r="F213" s="47" t="s">
        <v>5123</v>
      </c>
      <c r="H213" s="47" t="s">
        <v>5124</v>
      </c>
      <c r="O213" s="47" t="s">
        <v>5997</v>
      </c>
      <c r="P213" s="47" t="s">
        <v>5998</v>
      </c>
      <c r="Q213" s="47" t="s">
        <v>5999</v>
      </c>
      <c r="R213" s="47" t="s">
        <v>6000</v>
      </c>
      <c r="S213" s="47" t="s">
        <v>6001</v>
      </c>
      <c r="T213" s="47" t="s">
        <v>6002</v>
      </c>
      <c r="U213" s="47" t="s">
        <v>6003</v>
      </c>
    </row>
    <row r="214" spans="1:21" x14ac:dyDescent="0.2">
      <c r="A214" s="47" t="s">
        <v>29</v>
      </c>
      <c r="D214" s="47" t="s">
        <v>706</v>
      </c>
      <c r="G214" s="47" t="s">
        <v>5125</v>
      </c>
      <c r="H214" s="47" t="s">
        <v>707</v>
      </c>
      <c r="I214" s="47" t="s">
        <v>708</v>
      </c>
      <c r="J214" s="47" t="s">
        <v>709</v>
      </c>
      <c r="K214" s="47" t="s">
        <v>710</v>
      </c>
      <c r="L214" s="47" t="s">
        <v>711</v>
      </c>
      <c r="M214" s="47" t="s">
        <v>712</v>
      </c>
      <c r="N214" s="47" t="s">
        <v>713</v>
      </c>
      <c r="O214" s="47" t="s">
        <v>5126</v>
      </c>
      <c r="P214" s="47" t="s">
        <v>5127</v>
      </c>
      <c r="Q214" s="47" t="s">
        <v>5128</v>
      </c>
      <c r="R214" s="47" t="s">
        <v>5129</v>
      </c>
      <c r="S214" s="47" t="s">
        <v>5130</v>
      </c>
      <c r="T214" s="47" t="s">
        <v>5131</v>
      </c>
    </row>
    <row r="215" spans="1:21" x14ac:dyDescent="0.2">
      <c r="A215" s="47" t="s">
        <v>29</v>
      </c>
    </row>
    <row r="216" spans="1:21" x14ac:dyDescent="0.2">
      <c r="A216" s="47" t="s">
        <v>29</v>
      </c>
      <c r="E216" s="47" t="s">
        <v>30</v>
      </c>
      <c r="F216" s="47" t="s">
        <v>30</v>
      </c>
      <c r="G216" s="47" t="s">
        <v>30</v>
      </c>
      <c r="J216" s="47" t="s">
        <v>30</v>
      </c>
      <c r="K216" s="47" t="s">
        <v>30</v>
      </c>
      <c r="L216" s="47" t="s">
        <v>30</v>
      </c>
      <c r="M216" s="47" t="s">
        <v>30</v>
      </c>
    </row>
    <row r="217" spans="1:21" x14ac:dyDescent="0.2">
      <c r="A217" s="47" t="s">
        <v>29</v>
      </c>
      <c r="D217" s="47" t="s">
        <v>6004</v>
      </c>
      <c r="E217" s="47" t="s">
        <v>4311</v>
      </c>
      <c r="F217" s="47" t="s">
        <v>6005</v>
      </c>
      <c r="H217" s="47" t="s">
        <v>6006</v>
      </c>
      <c r="O217" s="47" t="s">
        <v>6007</v>
      </c>
      <c r="P217" s="47" t="s">
        <v>6008</v>
      </c>
      <c r="Q217" s="47" t="s">
        <v>6009</v>
      </c>
      <c r="R217" s="47" t="s">
        <v>6010</v>
      </c>
      <c r="S217" s="47" t="s">
        <v>6011</v>
      </c>
      <c r="T217" s="47" t="s">
        <v>6012</v>
      </c>
      <c r="U217" s="47" t="s">
        <v>6013</v>
      </c>
    </row>
    <row r="218" spans="1:21" x14ac:dyDescent="0.2">
      <c r="A218" s="47" t="s">
        <v>29</v>
      </c>
      <c r="D218" s="47" t="s">
        <v>722</v>
      </c>
      <c r="G218" s="47" t="s">
        <v>6014</v>
      </c>
      <c r="H218" s="47" t="s">
        <v>723</v>
      </c>
      <c r="I218" s="47" t="s">
        <v>724</v>
      </c>
      <c r="J218" s="47" t="s">
        <v>725</v>
      </c>
      <c r="K218" s="47" t="s">
        <v>726</v>
      </c>
      <c r="L218" s="47" t="s">
        <v>727</v>
      </c>
      <c r="M218" s="47" t="s">
        <v>728</v>
      </c>
      <c r="N218" s="47" t="s">
        <v>729</v>
      </c>
      <c r="O218" s="47" t="s">
        <v>4670</v>
      </c>
      <c r="P218" s="47" t="s">
        <v>4671</v>
      </c>
      <c r="Q218" s="47" t="s">
        <v>4672</v>
      </c>
      <c r="R218" s="47" t="s">
        <v>4673</v>
      </c>
      <c r="S218" s="47" t="s">
        <v>4674</v>
      </c>
      <c r="T218" s="47" t="s">
        <v>4675</v>
      </c>
    </row>
    <row r="219" spans="1:21" x14ac:dyDescent="0.2">
      <c r="A219" s="47" t="s">
        <v>29</v>
      </c>
    </row>
    <row r="220" spans="1:21" x14ac:dyDescent="0.2">
      <c r="A220" s="47" t="s">
        <v>29</v>
      </c>
      <c r="E220" s="47" t="s">
        <v>30</v>
      </c>
      <c r="F220" s="47" t="s">
        <v>30</v>
      </c>
      <c r="G220" s="47" t="s">
        <v>30</v>
      </c>
      <c r="J220" s="47" t="s">
        <v>30</v>
      </c>
      <c r="K220" s="47" t="s">
        <v>30</v>
      </c>
      <c r="L220" s="47" t="s">
        <v>30</v>
      </c>
      <c r="M220" s="47" t="s">
        <v>30</v>
      </c>
    </row>
    <row r="221" spans="1:21" x14ac:dyDescent="0.2">
      <c r="A221" s="47" t="s">
        <v>29</v>
      </c>
      <c r="D221" s="47" t="s">
        <v>4676</v>
      </c>
      <c r="E221" s="47" t="s">
        <v>6534</v>
      </c>
      <c r="F221" s="47" t="s">
        <v>4677</v>
      </c>
      <c r="H221" s="47" t="s">
        <v>4678</v>
      </c>
      <c r="O221" s="47" t="s">
        <v>6015</v>
      </c>
      <c r="P221" s="47" t="s">
        <v>6016</v>
      </c>
      <c r="Q221" s="47" t="s">
        <v>6017</v>
      </c>
      <c r="R221" s="47" t="s">
        <v>6018</v>
      </c>
      <c r="S221" s="47" t="s">
        <v>6019</v>
      </c>
      <c r="T221" s="47" t="s">
        <v>6020</v>
      </c>
      <c r="U221" s="47" t="s">
        <v>6021</v>
      </c>
    </row>
    <row r="222" spans="1:21" x14ac:dyDescent="0.2">
      <c r="A222" s="47" t="s">
        <v>29</v>
      </c>
      <c r="D222" s="47" t="s">
        <v>4679</v>
      </c>
      <c r="G222" s="47" t="s">
        <v>4680</v>
      </c>
      <c r="H222" s="47" t="s">
        <v>4681</v>
      </c>
      <c r="I222" s="47" t="s">
        <v>4682</v>
      </c>
      <c r="J222" s="47" t="s">
        <v>4683</v>
      </c>
      <c r="K222" s="47" t="s">
        <v>4684</v>
      </c>
      <c r="L222" s="47" t="s">
        <v>4685</v>
      </c>
      <c r="M222" s="47" t="s">
        <v>4686</v>
      </c>
      <c r="N222" s="47" t="s">
        <v>4687</v>
      </c>
      <c r="O222" s="47" t="s">
        <v>4688</v>
      </c>
      <c r="P222" s="47" t="s">
        <v>4689</v>
      </c>
      <c r="Q222" s="47" t="s">
        <v>4690</v>
      </c>
      <c r="R222" s="47" t="s">
        <v>4691</v>
      </c>
      <c r="S222" s="47" t="s">
        <v>4692</v>
      </c>
      <c r="T222" s="47" t="s">
        <v>4693</v>
      </c>
    </row>
    <row r="223" spans="1:21" x14ac:dyDescent="0.2">
      <c r="A223" s="47" t="s">
        <v>29</v>
      </c>
    </row>
    <row r="224" spans="1:21" x14ac:dyDescent="0.2">
      <c r="A224" s="47" t="s">
        <v>29</v>
      </c>
      <c r="E224" s="47" t="s">
        <v>30</v>
      </c>
      <c r="F224" s="47" t="s">
        <v>30</v>
      </c>
      <c r="G224" s="47" t="s">
        <v>30</v>
      </c>
      <c r="J224" s="47" t="s">
        <v>30</v>
      </c>
      <c r="K224" s="47" t="s">
        <v>30</v>
      </c>
      <c r="L224" s="47" t="s">
        <v>30</v>
      </c>
      <c r="M224" s="47" t="s">
        <v>30</v>
      </c>
    </row>
    <row r="225" spans="1:21" x14ac:dyDescent="0.2">
      <c r="A225" s="47" t="s">
        <v>29</v>
      </c>
      <c r="D225" s="47" t="s">
        <v>5305</v>
      </c>
      <c r="E225" s="47" t="s">
        <v>4312</v>
      </c>
      <c r="F225" s="47" t="s">
        <v>5306</v>
      </c>
      <c r="H225" s="47" t="s">
        <v>5307</v>
      </c>
      <c r="O225" s="47" t="s">
        <v>8493</v>
      </c>
      <c r="P225" s="47" t="s">
        <v>8494</v>
      </c>
      <c r="Q225" s="47" t="s">
        <v>8495</v>
      </c>
      <c r="R225" s="47" t="s">
        <v>8496</v>
      </c>
      <c r="S225" s="47" t="s">
        <v>8497</v>
      </c>
      <c r="T225" s="47" t="s">
        <v>8498</v>
      </c>
      <c r="U225" s="47" t="s">
        <v>8499</v>
      </c>
    </row>
    <row r="226" spans="1:21" x14ac:dyDescent="0.2">
      <c r="A226" s="47" t="s">
        <v>29</v>
      </c>
      <c r="D226" s="47" t="s">
        <v>3091</v>
      </c>
      <c r="G226" s="47" t="s">
        <v>6022</v>
      </c>
      <c r="H226" s="47" t="s">
        <v>3092</v>
      </c>
      <c r="I226" s="47" t="s">
        <v>3093</v>
      </c>
      <c r="J226" s="47" t="s">
        <v>3094</v>
      </c>
      <c r="K226" s="47" t="s">
        <v>3095</v>
      </c>
      <c r="L226" s="47" t="s">
        <v>3096</v>
      </c>
      <c r="M226" s="47" t="s">
        <v>3097</v>
      </c>
      <c r="N226" s="47" t="s">
        <v>3098</v>
      </c>
      <c r="O226" s="47" t="s">
        <v>5138</v>
      </c>
      <c r="P226" s="47" t="s">
        <v>5139</v>
      </c>
      <c r="Q226" s="47" t="s">
        <v>5140</v>
      </c>
      <c r="R226" s="47" t="s">
        <v>5141</v>
      </c>
      <c r="S226" s="47" t="s">
        <v>5142</v>
      </c>
      <c r="T226" s="47" t="s">
        <v>5143</v>
      </c>
    </row>
    <row r="227" spans="1:21" x14ac:dyDescent="0.2">
      <c r="A227" s="47" t="s">
        <v>29</v>
      </c>
    </row>
    <row r="228" spans="1:21" x14ac:dyDescent="0.2">
      <c r="A228" s="47" t="s">
        <v>29</v>
      </c>
      <c r="E228" s="47" t="s">
        <v>30</v>
      </c>
      <c r="F228" s="47" t="s">
        <v>30</v>
      </c>
      <c r="G228" s="47" t="s">
        <v>30</v>
      </c>
      <c r="J228" s="47" t="s">
        <v>30</v>
      </c>
      <c r="K228" s="47" t="s">
        <v>30</v>
      </c>
      <c r="L228" s="47" t="s">
        <v>30</v>
      </c>
      <c r="M228" s="47" t="s">
        <v>30</v>
      </c>
    </row>
    <row r="229" spans="1:21" x14ac:dyDescent="0.2">
      <c r="A229" s="47" t="s">
        <v>29</v>
      </c>
      <c r="D229" s="47" t="s">
        <v>6279</v>
      </c>
      <c r="E229" s="47" t="s">
        <v>4313</v>
      </c>
      <c r="F229" s="47" t="s">
        <v>6280</v>
      </c>
      <c r="H229" s="47" t="s">
        <v>6281</v>
      </c>
      <c r="O229" s="47" t="s">
        <v>6282</v>
      </c>
      <c r="P229" s="47" t="s">
        <v>6283</v>
      </c>
      <c r="Q229" s="47" t="s">
        <v>6284</v>
      </c>
      <c r="R229" s="47" t="s">
        <v>6285</v>
      </c>
      <c r="S229" s="47" t="s">
        <v>6286</v>
      </c>
      <c r="T229" s="47" t="s">
        <v>6287</v>
      </c>
      <c r="U229" s="47" t="s">
        <v>6288</v>
      </c>
    </row>
    <row r="230" spans="1:21" x14ac:dyDescent="0.2">
      <c r="A230" s="47" t="s">
        <v>29</v>
      </c>
      <c r="D230" s="47" t="s">
        <v>754</v>
      </c>
      <c r="G230" s="47" t="s">
        <v>6289</v>
      </c>
      <c r="H230" s="47" t="s">
        <v>755</v>
      </c>
      <c r="I230" s="47" t="s">
        <v>756</v>
      </c>
      <c r="J230" s="47" t="s">
        <v>757</v>
      </c>
      <c r="K230" s="47" t="s">
        <v>758</v>
      </c>
      <c r="L230" s="47" t="s">
        <v>759</v>
      </c>
      <c r="M230" s="47" t="s">
        <v>760</v>
      </c>
      <c r="N230" s="47" t="s">
        <v>761</v>
      </c>
      <c r="O230" s="47" t="s">
        <v>6290</v>
      </c>
      <c r="P230" s="47" t="s">
        <v>6291</v>
      </c>
      <c r="Q230" s="47" t="s">
        <v>6292</v>
      </c>
      <c r="R230" s="47" t="s">
        <v>6293</v>
      </c>
      <c r="S230" s="47" t="s">
        <v>6294</v>
      </c>
      <c r="T230" s="47" t="s">
        <v>6295</v>
      </c>
    </row>
    <row r="231" spans="1:21" x14ac:dyDescent="0.2">
      <c r="A231" s="47" t="s">
        <v>29</v>
      </c>
    </row>
    <row r="232" spans="1:21" x14ac:dyDescent="0.2">
      <c r="A232" s="47" t="s">
        <v>29</v>
      </c>
      <c r="E232" s="47" t="s">
        <v>30</v>
      </c>
      <c r="F232" s="47" t="s">
        <v>30</v>
      </c>
      <c r="G232" s="47" t="s">
        <v>30</v>
      </c>
      <c r="J232" s="47" t="s">
        <v>30</v>
      </c>
      <c r="K232" s="47" t="s">
        <v>30</v>
      </c>
      <c r="L232" s="47" t="s">
        <v>30</v>
      </c>
      <c r="M232" s="47" t="s">
        <v>30</v>
      </c>
    </row>
    <row r="233" spans="1:21" x14ac:dyDescent="0.2">
      <c r="A233" s="47" t="s">
        <v>29</v>
      </c>
      <c r="D233" s="47" t="s">
        <v>6296</v>
      </c>
      <c r="E233" s="47" t="s">
        <v>4315</v>
      </c>
      <c r="F233" s="47" t="s">
        <v>6297</v>
      </c>
      <c r="H233" s="47" t="s">
        <v>6298</v>
      </c>
      <c r="O233" s="47" t="s">
        <v>6299</v>
      </c>
      <c r="P233" s="47" t="s">
        <v>6300</v>
      </c>
      <c r="Q233" s="47" t="s">
        <v>6301</v>
      </c>
      <c r="R233" s="47" t="s">
        <v>6302</v>
      </c>
      <c r="S233" s="47" t="s">
        <v>6303</v>
      </c>
      <c r="T233" s="47" t="s">
        <v>6304</v>
      </c>
      <c r="U233" s="47" t="s">
        <v>6305</v>
      </c>
    </row>
    <row r="234" spans="1:21" x14ac:dyDescent="0.2">
      <c r="A234" s="47" t="s">
        <v>29</v>
      </c>
      <c r="D234" s="47" t="s">
        <v>762</v>
      </c>
      <c r="G234" s="47" t="s">
        <v>6306</v>
      </c>
      <c r="H234" s="47" t="s">
        <v>763</v>
      </c>
      <c r="I234" s="47" t="s">
        <v>764</v>
      </c>
      <c r="J234" s="47" t="s">
        <v>765</v>
      </c>
      <c r="K234" s="47" t="s">
        <v>766</v>
      </c>
      <c r="L234" s="47" t="s">
        <v>767</v>
      </c>
      <c r="M234" s="47" t="s">
        <v>768</v>
      </c>
      <c r="N234" s="47" t="s">
        <v>769</v>
      </c>
      <c r="O234" s="47" t="s">
        <v>5022</v>
      </c>
      <c r="P234" s="47" t="s">
        <v>5023</v>
      </c>
      <c r="Q234" s="47" t="s">
        <v>5024</v>
      </c>
      <c r="R234" s="47" t="s">
        <v>5025</v>
      </c>
      <c r="S234" s="47" t="s">
        <v>5026</v>
      </c>
      <c r="T234" s="47" t="s">
        <v>5027</v>
      </c>
    </row>
    <row r="235" spans="1:21" x14ac:dyDescent="0.2">
      <c r="A235" s="47" t="s">
        <v>29</v>
      </c>
    </row>
    <row r="236" spans="1:21" x14ac:dyDescent="0.2">
      <c r="A236" s="47" t="s">
        <v>29</v>
      </c>
      <c r="E236" s="47" t="s">
        <v>30</v>
      </c>
      <c r="F236" s="47" t="s">
        <v>30</v>
      </c>
      <c r="G236" s="47" t="s">
        <v>30</v>
      </c>
      <c r="J236" s="47" t="s">
        <v>30</v>
      </c>
      <c r="K236" s="47" t="s">
        <v>30</v>
      </c>
      <c r="L236" s="47" t="s">
        <v>30</v>
      </c>
      <c r="M236" s="47" t="s">
        <v>30</v>
      </c>
    </row>
    <row r="237" spans="1:21" x14ac:dyDescent="0.2">
      <c r="A237" s="47" t="s">
        <v>29</v>
      </c>
      <c r="D237" s="47" t="s">
        <v>5028</v>
      </c>
      <c r="E237" s="47" t="s">
        <v>4316</v>
      </c>
      <c r="F237" s="47" t="s">
        <v>5029</v>
      </c>
      <c r="H237" s="47" t="s">
        <v>5030</v>
      </c>
      <c r="O237" s="47" t="s">
        <v>7522</v>
      </c>
      <c r="P237" s="47" t="s">
        <v>7523</v>
      </c>
      <c r="Q237" s="47" t="s">
        <v>7524</v>
      </c>
      <c r="R237" s="47" t="s">
        <v>7525</v>
      </c>
      <c r="S237" s="47" t="s">
        <v>7526</v>
      </c>
      <c r="T237" s="47" t="s">
        <v>7527</v>
      </c>
      <c r="U237" s="47" t="s">
        <v>7528</v>
      </c>
    </row>
    <row r="238" spans="1:21" x14ac:dyDescent="0.2">
      <c r="A238" s="47" t="s">
        <v>29</v>
      </c>
      <c r="D238" s="47" t="s">
        <v>1683</v>
      </c>
      <c r="G238" s="47" t="s">
        <v>5031</v>
      </c>
      <c r="H238" s="47" t="s">
        <v>1684</v>
      </c>
      <c r="I238" s="47" t="s">
        <v>1685</v>
      </c>
      <c r="J238" s="47" t="s">
        <v>1686</v>
      </c>
      <c r="K238" s="47" t="s">
        <v>1687</v>
      </c>
      <c r="L238" s="47" t="s">
        <v>1688</v>
      </c>
      <c r="M238" s="47" t="s">
        <v>1689</v>
      </c>
      <c r="N238" s="47" t="s">
        <v>1690</v>
      </c>
      <c r="O238" s="47" t="s">
        <v>4408</v>
      </c>
      <c r="P238" s="47" t="s">
        <v>4409</v>
      </c>
      <c r="Q238" s="47" t="s">
        <v>4410</v>
      </c>
      <c r="R238" s="47" t="s">
        <v>4411</v>
      </c>
      <c r="S238" s="47" t="s">
        <v>4412</v>
      </c>
      <c r="T238" s="47" t="s">
        <v>4413</v>
      </c>
    </row>
    <row r="239" spans="1:21" x14ac:dyDescent="0.2">
      <c r="A239" s="47" t="s">
        <v>29</v>
      </c>
      <c r="D239" s="47" t="s">
        <v>770</v>
      </c>
      <c r="G239" s="47" t="s">
        <v>8774</v>
      </c>
      <c r="H239" s="47" t="s">
        <v>771</v>
      </c>
      <c r="I239" s="47" t="s">
        <v>772</v>
      </c>
      <c r="J239" s="47" t="s">
        <v>773</v>
      </c>
      <c r="K239" s="47" t="s">
        <v>774</v>
      </c>
      <c r="L239" s="47" t="s">
        <v>775</v>
      </c>
      <c r="M239" s="47" t="s">
        <v>776</v>
      </c>
      <c r="N239" s="47" t="s">
        <v>777</v>
      </c>
      <c r="O239" s="47" t="s">
        <v>4700</v>
      </c>
      <c r="P239" s="47" t="s">
        <v>4701</v>
      </c>
      <c r="Q239" s="47" t="s">
        <v>4702</v>
      </c>
      <c r="R239" s="47" t="s">
        <v>4703</v>
      </c>
      <c r="S239" s="47" t="s">
        <v>4704</v>
      </c>
      <c r="T239" s="47" t="s">
        <v>4705</v>
      </c>
    </row>
    <row r="240" spans="1:21" x14ac:dyDescent="0.2">
      <c r="A240" s="47" t="s">
        <v>29</v>
      </c>
    </row>
    <row r="241" spans="1:21" x14ac:dyDescent="0.2">
      <c r="A241" s="47" t="s">
        <v>29</v>
      </c>
      <c r="E241" s="47" t="s">
        <v>30</v>
      </c>
      <c r="F241" s="47" t="s">
        <v>30</v>
      </c>
      <c r="G241" s="47" t="s">
        <v>30</v>
      </c>
      <c r="J241" s="47" t="s">
        <v>30</v>
      </c>
      <c r="K241" s="47" t="s">
        <v>30</v>
      </c>
      <c r="L241" s="47" t="s">
        <v>30</v>
      </c>
      <c r="M241" s="47" t="s">
        <v>30</v>
      </c>
    </row>
    <row r="242" spans="1:21" x14ac:dyDescent="0.2">
      <c r="A242" s="47" t="s">
        <v>29</v>
      </c>
      <c r="D242" s="47" t="s">
        <v>7529</v>
      </c>
      <c r="E242" s="47" t="s">
        <v>4318</v>
      </c>
      <c r="F242" s="47" t="s">
        <v>7530</v>
      </c>
      <c r="H242" s="47" t="s">
        <v>7531</v>
      </c>
      <c r="O242" s="47" t="s">
        <v>8500</v>
      </c>
      <c r="P242" s="47" t="s">
        <v>8501</v>
      </c>
      <c r="Q242" s="47" t="s">
        <v>8502</v>
      </c>
      <c r="R242" s="47" t="s">
        <v>8503</v>
      </c>
      <c r="S242" s="47" t="s">
        <v>8504</v>
      </c>
      <c r="T242" s="47" t="s">
        <v>8505</v>
      </c>
      <c r="U242" s="47" t="s">
        <v>8506</v>
      </c>
    </row>
    <row r="243" spans="1:21" x14ac:dyDescent="0.2">
      <c r="A243" s="47" t="s">
        <v>29</v>
      </c>
      <c r="D243" s="47" t="s">
        <v>778</v>
      </c>
      <c r="G243" s="47" t="s">
        <v>7532</v>
      </c>
      <c r="H243" s="47" t="s">
        <v>779</v>
      </c>
      <c r="I243" s="47" t="s">
        <v>780</v>
      </c>
      <c r="J243" s="47" t="s">
        <v>781</v>
      </c>
      <c r="K243" s="47" t="s">
        <v>782</v>
      </c>
      <c r="L243" s="47" t="s">
        <v>783</v>
      </c>
      <c r="M243" s="47" t="s">
        <v>784</v>
      </c>
      <c r="N243" s="47" t="s">
        <v>785</v>
      </c>
      <c r="O243" s="47" t="s">
        <v>4414</v>
      </c>
      <c r="P243" s="47" t="s">
        <v>4415</v>
      </c>
      <c r="Q243" s="47" t="s">
        <v>4416</v>
      </c>
      <c r="R243" s="47" t="s">
        <v>4417</v>
      </c>
      <c r="S243" s="47" t="s">
        <v>4418</v>
      </c>
      <c r="T243" s="47" t="s">
        <v>4419</v>
      </c>
    </row>
    <row r="244" spans="1:21" x14ac:dyDescent="0.2">
      <c r="A244" s="47" t="s">
        <v>29</v>
      </c>
      <c r="D244" s="47" t="s">
        <v>1691</v>
      </c>
      <c r="G244" s="47" t="s">
        <v>8777</v>
      </c>
      <c r="H244" s="47" t="s">
        <v>1692</v>
      </c>
      <c r="I244" s="47" t="s">
        <v>1693</v>
      </c>
      <c r="J244" s="47" t="s">
        <v>1694</v>
      </c>
      <c r="K244" s="47" t="s">
        <v>1695</v>
      </c>
      <c r="L244" s="47" t="s">
        <v>1696</v>
      </c>
      <c r="M244" s="47" t="s">
        <v>1697</v>
      </c>
      <c r="N244" s="47" t="s">
        <v>1698</v>
      </c>
      <c r="O244" s="47" t="s">
        <v>4706</v>
      </c>
      <c r="P244" s="47" t="s">
        <v>4707</v>
      </c>
      <c r="Q244" s="47" t="s">
        <v>4708</v>
      </c>
      <c r="R244" s="47" t="s">
        <v>4709</v>
      </c>
      <c r="S244" s="47" t="s">
        <v>4710</v>
      </c>
      <c r="T244" s="47" t="s">
        <v>4711</v>
      </c>
    </row>
    <row r="245" spans="1:21" x14ac:dyDescent="0.2">
      <c r="A245" s="47" t="s">
        <v>29</v>
      </c>
      <c r="D245" s="47" t="s">
        <v>1490</v>
      </c>
      <c r="G245" s="47" t="s">
        <v>8778</v>
      </c>
      <c r="H245" s="47" t="s">
        <v>1491</v>
      </c>
      <c r="I245" s="47" t="s">
        <v>1492</v>
      </c>
      <c r="J245" s="47" t="s">
        <v>1493</v>
      </c>
      <c r="K245" s="47" t="s">
        <v>1494</v>
      </c>
      <c r="L245" s="47" t="s">
        <v>1495</v>
      </c>
      <c r="M245" s="47" t="s">
        <v>1496</v>
      </c>
      <c r="N245" s="47" t="s">
        <v>1497</v>
      </c>
      <c r="O245" s="47" t="s">
        <v>4712</v>
      </c>
      <c r="P245" s="47" t="s">
        <v>4713</v>
      </c>
      <c r="Q245" s="47" t="s">
        <v>4714</v>
      </c>
      <c r="R245" s="47" t="s">
        <v>4715</v>
      </c>
      <c r="S245" s="47" t="s">
        <v>4716</v>
      </c>
      <c r="T245" s="47" t="s">
        <v>4717</v>
      </c>
    </row>
    <row r="246" spans="1:21" x14ac:dyDescent="0.2">
      <c r="A246" s="47" t="s">
        <v>29</v>
      </c>
    </row>
    <row r="247" spans="1:21" x14ac:dyDescent="0.2">
      <c r="A247" s="47" t="s">
        <v>29</v>
      </c>
      <c r="E247" s="47" t="s">
        <v>30</v>
      </c>
      <c r="F247" s="47" t="s">
        <v>30</v>
      </c>
      <c r="G247" s="47" t="s">
        <v>30</v>
      </c>
      <c r="J247" s="47" t="s">
        <v>30</v>
      </c>
      <c r="K247" s="47" t="s">
        <v>30</v>
      </c>
      <c r="L247" s="47" t="s">
        <v>30</v>
      </c>
      <c r="M247" s="47" t="s">
        <v>30</v>
      </c>
    </row>
    <row r="248" spans="1:21" x14ac:dyDescent="0.2">
      <c r="A248" s="47" t="s">
        <v>29</v>
      </c>
      <c r="D248" s="47" t="s">
        <v>3108</v>
      </c>
      <c r="E248" s="47" t="s">
        <v>4319</v>
      </c>
      <c r="F248" s="47" t="s">
        <v>3110</v>
      </c>
      <c r="H248" s="47" t="s">
        <v>3111</v>
      </c>
      <c r="O248" s="47" t="s">
        <v>4718</v>
      </c>
      <c r="P248" s="47" t="s">
        <v>4719</v>
      </c>
      <c r="Q248" s="47" t="s">
        <v>4720</v>
      </c>
      <c r="R248" s="47" t="s">
        <v>4721</v>
      </c>
      <c r="S248" s="47" t="s">
        <v>4722</v>
      </c>
      <c r="T248" s="47" t="s">
        <v>4723</v>
      </c>
      <c r="U248" s="47" t="s">
        <v>4724</v>
      </c>
    </row>
    <row r="249" spans="1:21" x14ac:dyDescent="0.2">
      <c r="A249" s="47" t="s">
        <v>29</v>
      </c>
      <c r="D249" s="47" t="s">
        <v>1498</v>
      </c>
      <c r="G249" s="47" t="s">
        <v>4725</v>
      </c>
      <c r="H249" s="47" t="s">
        <v>1499</v>
      </c>
      <c r="I249" s="47" t="s">
        <v>1500</v>
      </c>
      <c r="J249" s="47" t="s">
        <v>1501</v>
      </c>
      <c r="K249" s="47" t="s">
        <v>1502</v>
      </c>
      <c r="L249" s="47" t="s">
        <v>1503</v>
      </c>
      <c r="M249" s="47" t="s">
        <v>1504</v>
      </c>
      <c r="N249" s="47" t="s">
        <v>1505</v>
      </c>
      <c r="O249" s="47" t="s">
        <v>4726</v>
      </c>
      <c r="P249" s="47" t="s">
        <v>4727</v>
      </c>
      <c r="Q249" s="47" t="s">
        <v>4728</v>
      </c>
      <c r="R249" s="47" t="s">
        <v>4729</v>
      </c>
      <c r="S249" s="47" t="s">
        <v>4730</v>
      </c>
      <c r="T249" s="47" t="s">
        <v>4731</v>
      </c>
    </row>
    <row r="250" spans="1:21" x14ac:dyDescent="0.2">
      <c r="A250" s="47" t="s">
        <v>29</v>
      </c>
      <c r="D250" s="47" t="s">
        <v>1506</v>
      </c>
      <c r="G250" s="47" t="s">
        <v>8781</v>
      </c>
      <c r="H250" s="47" t="s">
        <v>1507</v>
      </c>
      <c r="I250" s="47" t="s">
        <v>1508</v>
      </c>
      <c r="J250" s="47" t="s">
        <v>1509</v>
      </c>
      <c r="K250" s="47" t="s">
        <v>1510</v>
      </c>
      <c r="L250" s="47" t="s">
        <v>1511</v>
      </c>
      <c r="M250" s="47" t="s">
        <v>1512</v>
      </c>
      <c r="N250" s="47" t="s">
        <v>1513</v>
      </c>
      <c r="O250" s="47" t="s">
        <v>4732</v>
      </c>
      <c r="P250" s="47" t="s">
        <v>4733</v>
      </c>
      <c r="Q250" s="47" t="s">
        <v>4734</v>
      </c>
      <c r="R250" s="47" t="s">
        <v>4735</v>
      </c>
      <c r="S250" s="47" t="s">
        <v>4736</v>
      </c>
      <c r="T250" s="47" t="s">
        <v>4737</v>
      </c>
    </row>
    <row r="251" spans="1:21" x14ac:dyDescent="0.2">
      <c r="A251" s="47" t="s">
        <v>29</v>
      </c>
    </row>
    <row r="252" spans="1:21" x14ac:dyDescent="0.2">
      <c r="A252" s="47" t="s">
        <v>29</v>
      </c>
      <c r="E252" s="47" t="s">
        <v>30</v>
      </c>
      <c r="F252" s="47" t="s">
        <v>30</v>
      </c>
      <c r="G252" s="47" t="s">
        <v>30</v>
      </c>
      <c r="J252" s="47" t="s">
        <v>30</v>
      </c>
      <c r="K252" s="47" t="s">
        <v>30</v>
      </c>
      <c r="L252" s="47" t="s">
        <v>30</v>
      </c>
      <c r="M252" s="47" t="s">
        <v>30</v>
      </c>
    </row>
    <row r="253" spans="1:21" x14ac:dyDescent="0.2">
      <c r="A253" s="47" t="s">
        <v>29</v>
      </c>
      <c r="D253" s="47" t="s">
        <v>4738</v>
      </c>
      <c r="E253" s="47" t="s">
        <v>4320</v>
      </c>
      <c r="F253" s="47" t="s">
        <v>4739</v>
      </c>
      <c r="H253" s="47" t="s">
        <v>4740</v>
      </c>
      <c r="O253" s="47" t="s">
        <v>4741</v>
      </c>
      <c r="P253" s="47" t="s">
        <v>4742</v>
      </c>
      <c r="Q253" s="47" t="s">
        <v>4743</v>
      </c>
      <c r="R253" s="47" t="s">
        <v>4744</v>
      </c>
      <c r="S253" s="47" t="s">
        <v>4745</v>
      </c>
      <c r="T253" s="47" t="s">
        <v>4746</v>
      </c>
      <c r="U253" s="47" t="s">
        <v>4747</v>
      </c>
    </row>
    <row r="254" spans="1:21" x14ac:dyDescent="0.2">
      <c r="A254" s="47" t="s">
        <v>29</v>
      </c>
      <c r="D254" s="47" t="s">
        <v>1828</v>
      </c>
      <c r="G254" s="47" t="s">
        <v>4748</v>
      </c>
      <c r="H254" s="47" t="s">
        <v>1829</v>
      </c>
      <c r="I254" s="47" t="s">
        <v>1830</v>
      </c>
      <c r="J254" s="47" t="s">
        <v>1831</v>
      </c>
      <c r="K254" s="47" t="s">
        <v>1832</v>
      </c>
      <c r="L254" s="47" t="s">
        <v>1833</v>
      </c>
      <c r="M254" s="47" t="s">
        <v>1834</v>
      </c>
      <c r="N254" s="47" t="s">
        <v>1835</v>
      </c>
      <c r="O254" s="47" t="s">
        <v>4749</v>
      </c>
      <c r="P254" s="47" t="s">
        <v>4750</v>
      </c>
      <c r="Q254" s="47" t="s">
        <v>4751</v>
      </c>
      <c r="R254" s="47" t="s">
        <v>4752</v>
      </c>
      <c r="S254" s="47" t="s">
        <v>4753</v>
      </c>
      <c r="T254" s="47" t="s">
        <v>4754</v>
      </c>
    </row>
    <row r="255" spans="1:21" x14ac:dyDescent="0.2">
      <c r="A255" s="47" t="s">
        <v>29</v>
      </c>
    </row>
    <row r="256" spans="1:21" x14ac:dyDescent="0.2">
      <c r="A256" s="47" t="s">
        <v>29</v>
      </c>
      <c r="E256" s="47" t="s">
        <v>30</v>
      </c>
      <c r="F256" s="47" t="s">
        <v>30</v>
      </c>
      <c r="G256" s="47" t="s">
        <v>30</v>
      </c>
      <c r="J256" s="47" t="s">
        <v>30</v>
      </c>
      <c r="K256" s="47" t="s">
        <v>30</v>
      </c>
      <c r="L256" s="47" t="s">
        <v>30</v>
      </c>
      <c r="M256" s="47" t="s">
        <v>30</v>
      </c>
    </row>
    <row r="257" spans="1:21" x14ac:dyDescent="0.2">
      <c r="A257" s="47" t="s">
        <v>29</v>
      </c>
      <c r="D257" s="47" t="s">
        <v>4755</v>
      </c>
      <c r="E257" s="47" t="s">
        <v>4322</v>
      </c>
      <c r="F257" s="47" t="s">
        <v>4756</v>
      </c>
      <c r="H257" s="47" t="s">
        <v>4757</v>
      </c>
      <c r="O257" s="47" t="s">
        <v>8507</v>
      </c>
      <c r="P257" s="47" t="s">
        <v>8508</v>
      </c>
      <c r="Q257" s="47" t="s">
        <v>8509</v>
      </c>
      <c r="R257" s="47" t="s">
        <v>8510</v>
      </c>
      <c r="S257" s="47" t="s">
        <v>8511</v>
      </c>
      <c r="T257" s="47" t="s">
        <v>8512</v>
      </c>
      <c r="U257" s="47" t="s">
        <v>8513</v>
      </c>
    </row>
    <row r="258" spans="1:21" x14ac:dyDescent="0.2">
      <c r="A258" s="47" t="s">
        <v>29</v>
      </c>
      <c r="D258" s="47" t="s">
        <v>818</v>
      </c>
      <c r="G258" s="47" t="s">
        <v>4758</v>
      </c>
      <c r="H258" s="47" t="s">
        <v>819</v>
      </c>
      <c r="I258" s="47" t="s">
        <v>820</v>
      </c>
      <c r="J258" s="47" t="s">
        <v>821</v>
      </c>
      <c r="K258" s="47" t="s">
        <v>822</v>
      </c>
      <c r="L258" s="47" t="s">
        <v>823</v>
      </c>
      <c r="M258" s="47" t="s">
        <v>824</v>
      </c>
      <c r="N258" s="47" t="s">
        <v>825</v>
      </c>
      <c r="O258" s="47" t="s">
        <v>4423</v>
      </c>
      <c r="P258" s="47" t="s">
        <v>4424</v>
      </c>
      <c r="Q258" s="47" t="s">
        <v>4425</v>
      </c>
      <c r="R258" s="47" t="s">
        <v>4426</v>
      </c>
      <c r="S258" s="47" t="s">
        <v>4427</v>
      </c>
      <c r="T258" s="47" t="s">
        <v>4428</v>
      </c>
    </row>
    <row r="259" spans="1:21" x14ac:dyDescent="0.2">
      <c r="A259" s="47" t="s">
        <v>29</v>
      </c>
      <c r="D259" s="47" t="s">
        <v>826</v>
      </c>
      <c r="G259" s="47" t="s">
        <v>8785</v>
      </c>
      <c r="H259" s="47" t="s">
        <v>827</v>
      </c>
      <c r="I259" s="47" t="s">
        <v>828</v>
      </c>
      <c r="J259" s="47" t="s">
        <v>829</v>
      </c>
      <c r="K259" s="47" t="s">
        <v>830</v>
      </c>
      <c r="L259" s="47" t="s">
        <v>831</v>
      </c>
      <c r="M259" s="47" t="s">
        <v>832</v>
      </c>
      <c r="N259" s="47" t="s">
        <v>833</v>
      </c>
      <c r="O259" s="47" t="s">
        <v>4759</v>
      </c>
      <c r="P259" s="47" t="s">
        <v>4760</v>
      </c>
      <c r="Q259" s="47" t="s">
        <v>4761</v>
      </c>
      <c r="R259" s="47" t="s">
        <v>4762</v>
      </c>
      <c r="S259" s="47" t="s">
        <v>4763</v>
      </c>
      <c r="T259" s="47" t="s">
        <v>4764</v>
      </c>
    </row>
    <row r="260" spans="1:21" x14ac:dyDescent="0.2">
      <c r="A260" s="47" t="s">
        <v>29</v>
      </c>
    </row>
    <row r="261" spans="1:21" x14ac:dyDescent="0.2">
      <c r="A261" s="47" t="s">
        <v>29</v>
      </c>
      <c r="E261" s="47" t="s">
        <v>30</v>
      </c>
      <c r="F261" s="47" t="s">
        <v>30</v>
      </c>
      <c r="G261" s="47" t="s">
        <v>30</v>
      </c>
      <c r="J261" s="47" t="s">
        <v>30</v>
      </c>
      <c r="K261" s="47" t="s">
        <v>30</v>
      </c>
      <c r="L261" s="47" t="s">
        <v>30</v>
      </c>
      <c r="M261" s="47" t="s">
        <v>30</v>
      </c>
    </row>
    <row r="262" spans="1:21" x14ac:dyDescent="0.2">
      <c r="A262" s="47" t="s">
        <v>29</v>
      </c>
      <c r="D262" s="47" t="s">
        <v>8514</v>
      </c>
      <c r="E262" s="47" t="s">
        <v>4323</v>
      </c>
      <c r="F262" s="47" t="s">
        <v>8515</v>
      </c>
      <c r="H262" s="47" t="s">
        <v>8516</v>
      </c>
      <c r="O262" s="47" t="s">
        <v>8517</v>
      </c>
      <c r="P262" s="47" t="s">
        <v>8518</v>
      </c>
      <c r="Q262" s="47" t="s">
        <v>8519</v>
      </c>
      <c r="R262" s="47" t="s">
        <v>8520</v>
      </c>
      <c r="S262" s="47" t="s">
        <v>8521</v>
      </c>
      <c r="T262" s="47" t="s">
        <v>8522</v>
      </c>
      <c r="U262" s="47" t="s">
        <v>8523</v>
      </c>
    </row>
    <row r="263" spans="1:21" x14ac:dyDescent="0.2">
      <c r="A263" s="47" t="s">
        <v>29</v>
      </c>
      <c r="D263" s="47" t="s">
        <v>834</v>
      </c>
      <c r="G263" s="47" t="s">
        <v>8524</v>
      </c>
      <c r="H263" s="47" t="s">
        <v>835</v>
      </c>
      <c r="I263" s="47" t="s">
        <v>836</v>
      </c>
      <c r="J263" s="47" t="s">
        <v>837</v>
      </c>
      <c r="K263" s="47" t="s">
        <v>838</v>
      </c>
      <c r="L263" s="47" t="s">
        <v>839</v>
      </c>
      <c r="M263" s="47" t="s">
        <v>840</v>
      </c>
      <c r="N263" s="47" t="s">
        <v>841</v>
      </c>
      <c r="O263" s="47" t="s">
        <v>8525</v>
      </c>
      <c r="P263" s="47" t="s">
        <v>8526</v>
      </c>
      <c r="Q263" s="47" t="s">
        <v>8527</v>
      </c>
      <c r="R263" s="47" t="s">
        <v>8528</v>
      </c>
      <c r="S263" s="47" t="s">
        <v>8529</v>
      </c>
      <c r="T263" s="47" t="s">
        <v>8530</v>
      </c>
    </row>
    <row r="264" spans="1:21" x14ac:dyDescent="0.2">
      <c r="A264" s="47" t="s">
        <v>29</v>
      </c>
    </row>
    <row r="265" spans="1:21" x14ac:dyDescent="0.2">
      <c r="A265" s="47" t="s">
        <v>29</v>
      </c>
      <c r="E265" s="47" t="s">
        <v>30</v>
      </c>
      <c r="F265" s="47" t="s">
        <v>30</v>
      </c>
      <c r="G265" s="47" t="s">
        <v>30</v>
      </c>
      <c r="J265" s="47" t="s">
        <v>30</v>
      </c>
      <c r="K265" s="47" t="s">
        <v>30</v>
      </c>
      <c r="L265" s="47" t="s">
        <v>30</v>
      </c>
      <c r="M265" s="47" t="s">
        <v>30</v>
      </c>
    </row>
    <row r="266" spans="1:21" x14ac:dyDescent="0.2">
      <c r="A266" s="47" t="s">
        <v>29</v>
      </c>
      <c r="D266" s="47" t="s">
        <v>8531</v>
      </c>
      <c r="E266" s="47" t="s">
        <v>4324</v>
      </c>
      <c r="F266" s="47" t="s">
        <v>8532</v>
      </c>
      <c r="H266" s="47" t="s">
        <v>8533</v>
      </c>
      <c r="O266" s="47" t="s">
        <v>8534</v>
      </c>
      <c r="P266" s="47" t="s">
        <v>8535</v>
      </c>
      <c r="Q266" s="47" t="s">
        <v>8536</v>
      </c>
      <c r="R266" s="47" t="s">
        <v>8537</v>
      </c>
      <c r="S266" s="47" t="s">
        <v>8538</v>
      </c>
      <c r="T266" s="47" t="s">
        <v>8539</v>
      </c>
      <c r="U266" s="47" t="s">
        <v>8540</v>
      </c>
    </row>
    <row r="267" spans="1:21" x14ac:dyDescent="0.2">
      <c r="A267" s="47" t="s">
        <v>29</v>
      </c>
      <c r="D267" s="47" t="s">
        <v>6333</v>
      </c>
      <c r="G267" s="47" t="s">
        <v>8541</v>
      </c>
      <c r="H267" s="47" t="s">
        <v>7035</v>
      </c>
      <c r="I267" s="47" t="s">
        <v>7036</v>
      </c>
      <c r="J267" s="47" t="s">
        <v>7061</v>
      </c>
      <c r="K267" s="47" t="s">
        <v>7062</v>
      </c>
      <c r="L267" s="47" t="s">
        <v>6334</v>
      </c>
      <c r="M267" s="47" t="s">
        <v>6335</v>
      </c>
      <c r="N267" s="47" t="s">
        <v>6336</v>
      </c>
      <c r="O267" s="47" t="s">
        <v>7508</v>
      </c>
      <c r="P267" s="47" t="s">
        <v>7509</v>
      </c>
      <c r="Q267" s="47" t="s">
        <v>7510</v>
      </c>
      <c r="R267" s="47" t="s">
        <v>7511</v>
      </c>
      <c r="S267" s="47" t="s">
        <v>7512</v>
      </c>
      <c r="T267" s="47" t="s">
        <v>7513</v>
      </c>
    </row>
    <row r="268" spans="1:21" x14ac:dyDescent="0.2">
      <c r="A268" s="47" t="s">
        <v>29</v>
      </c>
    </row>
    <row r="269" spans="1:21" x14ac:dyDescent="0.2">
      <c r="A269" s="47" t="s">
        <v>29</v>
      </c>
      <c r="E269" s="47" t="s">
        <v>30</v>
      </c>
      <c r="F269" s="47" t="s">
        <v>30</v>
      </c>
      <c r="G269" s="47" t="s">
        <v>30</v>
      </c>
      <c r="J269" s="47" t="s">
        <v>30</v>
      </c>
      <c r="K269" s="47" t="s">
        <v>30</v>
      </c>
      <c r="L269" s="47" t="s">
        <v>30</v>
      </c>
      <c r="M269" s="47" t="s">
        <v>30</v>
      </c>
    </row>
    <row r="270" spans="1:21" x14ac:dyDescent="0.2">
      <c r="A270" s="47" t="s">
        <v>29</v>
      </c>
      <c r="D270" s="47" t="s">
        <v>7418</v>
      </c>
      <c r="E270" s="47" t="s">
        <v>4326</v>
      </c>
      <c r="F270" s="47" t="s">
        <v>7419</v>
      </c>
      <c r="H270" s="47" t="s">
        <v>7420</v>
      </c>
      <c r="O270" s="47" t="s">
        <v>8542</v>
      </c>
      <c r="P270" s="47" t="s">
        <v>8543</v>
      </c>
      <c r="Q270" s="47" t="s">
        <v>8544</v>
      </c>
      <c r="R270" s="47" t="s">
        <v>8545</v>
      </c>
      <c r="S270" s="47" t="s">
        <v>8546</v>
      </c>
      <c r="T270" s="47" t="s">
        <v>8547</v>
      </c>
      <c r="U270" s="47" t="s">
        <v>8548</v>
      </c>
    </row>
    <row r="271" spans="1:21" x14ac:dyDescent="0.2">
      <c r="A271" s="47" t="s">
        <v>29</v>
      </c>
      <c r="D271" s="47" t="s">
        <v>3113</v>
      </c>
      <c r="G271" s="47" t="s">
        <v>7421</v>
      </c>
      <c r="H271" s="47" t="s">
        <v>3114</v>
      </c>
      <c r="I271" s="47" t="s">
        <v>3115</v>
      </c>
      <c r="J271" s="47" t="s">
        <v>3116</v>
      </c>
      <c r="K271" s="47" t="s">
        <v>3117</v>
      </c>
      <c r="L271" s="47" t="s">
        <v>3118</v>
      </c>
      <c r="M271" s="47" t="s">
        <v>3119</v>
      </c>
      <c r="N271" s="47" t="s">
        <v>3120</v>
      </c>
      <c r="O271" s="47" t="s">
        <v>4438</v>
      </c>
      <c r="P271" s="47" t="s">
        <v>4439</v>
      </c>
      <c r="Q271" s="47" t="s">
        <v>4440</v>
      </c>
      <c r="R271" s="47" t="s">
        <v>4441</v>
      </c>
      <c r="S271" s="47" t="s">
        <v>4442</v>
      </c>
      <c r="T271" s="47" t="s">
        <v>4443</v>
      </c>
    </row>
    <row r="272" spans="1:21" x14ac:dyDescent="0.2">
      <c r="A272" s="47" t="s">
        <v>29</v>
      </c>
      <c r="D272" s="47" t="s">
        <v>842</v>
      </c>
      <c r="G272" s="47" t="s">
        <v>8791</v>
      </c>
      <c r="H272" s="47" t="s">
        <v>843</v>
      </c>
      <c r="I272" s="47" t="s">
        <v>844</v>
      </c>
      <c r="J272" s="47" t="s">
        <v>845</v>
      </c>
      <c r="K272" s="47" t="s">
        <v>846</v>
      </c>
      <c r="L272" s="47" t="s">
        <v>847</v>
      </c>
      <c r="M272" s="47" t="s">
        <v>848</v>
      </c>
      <c r="N272" s="47" t="s">
        <v>849</v>
      </c>
      <c r="O272" s="47" t="s">
        <v>4444</v>
      </c>
      <c r="P272" s="47" t="s">
        <v>4445</v>
      </c>
      <c r="Q272" s="47" t="s">
        <v>4446</v>
      </c>
      <c r="R272" s="47" t="s">
        <v>4447</v>
      </c>
      <c r="S272" s="47" t="s">
        <v>4448</v>
      </c>
      <c r="T272" s="47" t="s">
        <v>4449</v>
      </c>
    </row>
    <row r="273" spans="1:21" x14ac:dyDescent="0.2">
      <c r="A273" s="47" t="s">
        <v>29</v>
      </c>
    </row>
    <row r="274" spans="1:21" x14ac:dyDescent="0.2">
      <c r="A274" s="47" t="s">
        <v>29</v>
      </c>
      <c r="E274" s="47" t="s">
        <v>30</v>
      </c>
      <c r="F274" s="47" t="s">
        <v>30</v>
      </c>
      <c r="G274" s="47" t="s">
        <v>30</v>
      </c>
      <c r="J274" s="47" t="s">
        <v>30</v>
      </c>
      <c r="K274" s="47" t="s">
        <v>30</v>
      </c>
      <c r="L274" s="47" t="s">
        <v>30</v>
      </c>
      <c r="M274" s="47" t="s">
        <v>30</v>
      </c>
    </row>
    <row r="275" spans="1:21" x14ac:dyDescent="0.2">
      <c r="A275" s="47" t="s">
        <v>29</v>
      </c>
      <c r="D275" s="47" t="s">
        <v>4450</v>
      </c>
      <c r="E275" s="47" t="s">
        <v>4329</v>
      </c>
      <c r="F275" s="47" t="s">
        <v>4451</v>
      </c>
      <c r="H275" s="47" t="s">
        <v>4452</v>
      </c>
      <c r="O275" s="47" t="s">
        <v>8549</v>
      </c>
      <c r="P275" s="47" t="s">
        <v>8550</v>
      </c>
      <c r="Q275" s="47" t="s">
        <v>8551</v>
      </c>
      <c r="R275" s="47" t="s">
        <v>8552</v>
      </c>
      <c r="S275" s="47" t="s">
        <v>8553</v>
      </c>
      <c r="T275" s="47" t="s">
        <v>8554</v>
      </c>
      <c r="U275" s="47" t="s">
        <v>8555</v>
      </c>
    </row>
    <row r="276" spans="1:21" x14ac:dyDescent="0.2">
      <c r="A276" s="47" t="s">
        <v>29</v>
      </c>
      <c r="D276" s="47" t="s">
        <v>866</v>
      </c>
      <c r="G276" s="47" t="s">
        <v>4453</v>
      </c>
      <c r="H276" s="47" t="s">
        <v>867</v>
      </c>
      <c r="I276" s="47" t="s">
        <v>868</v>
      </c>
      <c r="J276" s="47" t="s">
        <v>869</v>
      </c>
      <c r="K276" s="47" t="s">
        <v>870</v>
      </c>
      <c r="L276" s="47" t="s">
        <v>871</v>
      </c>
      <c r="M276" s="47" t="s">
        <v>872</v>
      </c>
      <c r="N276" s="47" t="s">
        <v>873</v>
      </c>
      <c r="O276" s="47" t="s">
        <v>4454</v>
      </c>
      <c r="P276" s="47" t="s">
        <v>4455</v>
      </c>
      <c r="Q276" s="47" t="s">
        <v>4456</v>
      </c>
      <c r="R276" s="47" t="s">
        <v>4457</v>
      </c>
      <c r="S276" s="47" t="s">
        <v>4458</v>
      </c>
      <c r="T276" s="47" t="s">
        <v>4459</v>
      </c>
    </row>
    <row r="277" spans="1:21" x14ac:dyDescent="0.2">
      <c r="A277" s="47" t="s">
        <v>29</v>
      </c>
      <c r="D277" s="47" t="s">
        <v>874</v>
      </c>
      <c r="G277" s="47" t="s">
        <v>8797</v>
      </c>
      <c r="H277" s="47" t="s">
        <v>875</v>
      </c>
      <c r="I277" s="47" t="s">
        <v>876</v>
      </c>
      <c r="J277" s="47" t="s">
        <v>877</v>
      </c>
      <c r="K277" s="47" t="s">
        <v>878</v>
      </c>
      <c r="L277" s="47" t="s">
        <v>879</v>
      </c>
      <c r="M277" s="47" t="s">
        <v>880</v>
      </c>
      <c r="N277" s="47" t="s">
        <v>881</v>
      </c>
      <c r="O277" s="47" t="s">
        <v>4765</v>
      </c>
      <c r="P277" s="47" t="s">
        <v>4766</v>
      </c>
      <c r="Q277" s="47" t="s">
        <v>4767</v>
      </c>
      <c r="R277" s="47" t="s">
        <v>4768</v>
      </c>
      <c r="S277" s="47" t="s">
        <v>4769</v>
      </c>
      <c r="T277" s="47" t="s">
        <v>4770</v>
      </c>
    </row>
    <row r="278" spans="1:21" x14ac:dyDescent="0.2">
      <c r="A278" s="47" t="s">
        <v>29</v>
      </c>
    </row>
    <row r="279" spans="1:21" x14ac:dyDescent="0.2">
      <c r="A279" s="47" t="s">
        <v>29</v>
      </c>
      <c r="E279" s="47" t="s">
        <v>30</v>
      </c>
      <c r="F279" s="47" t="s">
        <v>30</v>
      </c>
      <c r="G279" s="47" t="s">
        <v>30</v>
      </c>
      <c r="J279" s="47" t="s">
        <v>30</v>
      </c>
      <c r="K279" s="47" t="s">
        <v>30</v>
      </c>
      <c r="L279" s="47" t="s">
        <v>30</v>
      </c>
      <c r="M279" s="47" t="s">
        <v>30</v>
      </c>
    </row>
    <row r="280" spans="1:21" x14ac:dyDescent="0.2">
      <c r="A280" s="47" t="s">
        <v>29</v>
      </c>
      <c r="D280" s="47" t="s">
        <v>8124</v>
      </c>
      <c r="E280" s="47" t="s">
        <v>4330</v>
      </c>
      <c r="F280" s="47" t="s">
        <v>8125</v>
      </c>
      <c r="H280" s="47" t="s">
        <v>8126</v>
      </c>
      <c r="O280" s="47" t="s">
        <v>8127</v>
      </c>
      <c r="P280" s="47" t="s">
        <v>8128</v>
      </c>
      <c r="Q280" s="47" t="s">
        <v>8129</v>
      </c>
      <c r="R280" s="47" t="s">
        <v>8130</v>
      </c>
      <c r="S280" s="47" t="s">
        <v>8131</v>
      </c>
      <c r="T280" s="47" t="s">
        <v>8132</v>
      </c>
      <c r="U280" s="47" t="s">
        <v>8133</v>
      </c>
    </row>
    <row r="281" spans="1:21" x14ac:dyDescent="0.2">
      <c r="A281" s="47" t="s">
        <v>29</v>
      </c>
      <c r="D281" s="47" t="s">
        <v>3128</v>
      </c>
      <c r="G281" s="47" t="s">
        <v>8134</v>
      </c>
      <c r="H281" s="47" t="s">
        <v>3129</v>
      </c>
      <c r="I281" s="47" t="s">
        <v>3130</v>
      </c>
      <c r="J281" s="47" t="s">
        <v>3131</v>
      </c>
      <c r="K281" s="47" t="s">
        <v>3132</v>
      </c>
      <c r="L281" s="47" t="s">
        <v>3133</v>
      </c>
      <c r="M281" s="47" t="s">
        <v>3134</v>
      </c>
      <c r="N281" s="47" t="s">
        <v>3135</v>
      </c>
      <c r="O281" s="47" t="s">
        <v>5144</v>
      </c>
      <c r="P281" s="47" t="s">
        <v>5145</v>
      </c>
      <c r="Q281" s="47" t="s">
        <v>5146</v>
      </c>
      <c r="R281" s="47" t="s">
        <v>5147</v>
      </c>
      <c r="S281" s="47" t="s">
        <v>5148</v>
      </c>
      <c r="T281" s="47" t="s">
        <v>5149</v>
      </c>
    </row>
    <row r="282" spans="1:21" x14ac:dyDescent="0.2">
      <c r="A282" s="47" t="s">
        <v>29</v>
      </c>
    </row>
    <row r="283" spans="1:21" x14ac:dyDescent="0.2">
      <c r="A283" s="47" t="s">
        <v>29</v>
      </c>
      <c r="E283" s="47" t="s">
        <v>30</v>
      </c>
      <c r="F283" s="47" t="s">
        <v>30</v>
      </c>
      <c r="G283" s="47" t="s">
        <v>30</v>
      </c>
      <c r="J283" s="47" t="s">
        <v>30</v>
      </c>
      <c r="K283" s="47" t="s">
        <v>30</v>
      </c>
      <c r="L283" s="47" t="s">
        <v>30</v>
      </c>
      <c r="M283" s="47" t="s">
        <v>30</v>
      </c>
    </row>
    <row r="284" spans="1:21" x14ac:dyDescent="0.2">
      <c r="A284" s="47" t="s">
        <v>29</v>
      </c>
      <c r="D284" s="47" t="s">
        <v>7889</v>
      </c>
      <c r="E284" s="47" t="s">
        <v>4331</v>
      </c>
      <c r="F284" s="47" t="s">
        <v>7890</v>
      </c>
      <c r="H284" s="47" t="s">
        <v>7891</v>
      </c>
      <c r="O284" s="47" t="s">
        <v>8556</v>
      </c>
      <c r="P284" s="47" t="s">
        <v>8557</v>
      </c>
      <c r="Q284" s="47" t="s">
        <v>8558</v>
      </c>
      <c r="R284" s="47" t="s">
        <v>8559</v>
      </c>
      <c r="S284" s="47" t="s">
        <v>8560</v>
      </c>
      <c r="T284" s="47" t="s">
        <v>8561</v>
      </c>
      <c r="U284" s="47" t="s">
        <v>8562</v>
      </c>
    </row>
    <row r="285" spans="1:21" x14ac:dyDescent="0.2">
      <c r="A285" s="47" t="s">
        <v>29</v>
      </c>
      <c r="D285" s="47" t="s">
        <v>1938</v>
      </c>
      <c r="G285" s="47" t="s">
        <v>7892</v>
      </c>
      <c r="H285" s="47" t="s">
        <v>1939</v>
      </c>
      <c r="I285" s="47" t="s">
        <v>1940</v>
      </c>
      <c r="J285" s="47" t="s">
        <v>1941</v>
      </c>
      <c r="K285" s="47" t="s">
        <v>1942</v>
      </c>
      <c r="L285" s="47" t="s">
        <v>1943</v>
      </c>
      <c r="M285" s="47" t="s">
        <v>1944</v>
      </c>
      <c r="N285" s="47" t="s">
        <v>1945</v>
      </c>
      <c r="O285" s="47" t="s">
        <v>5047</v>
      </c>
      <c r="P285" s="47" t="s">
        <v>5048</v>
      </c>
      <c r="Q285" s="47" t="s">
        <v>5049</v>
      </c>
      <c r="R285" s="47" t="s">
        <v>5050</v>
      </c>
      <c r="S285" s="47" t="s">
        <v>5051</v>
      </c>
      <c r="T285" s="47" t="s">
        <v>5052</v>
      </c>
    </row>
    <row r="286" spans="1:21" x14ac:dyDescent="0.2">
      <c r="A286" s="47" t="s">
        <v>29</v>
      </c>
      <c r="D286" s="47" t="s">
        <v>6085</v>
      </c>
      <c r="G286" s="47" t="s">
        <v>8801</v>
      </c>
      <c r="H286" s="47" t="s">
        <v>6086</v>
      </c>
      <c r="I286" s="47" t="s">
        <v>6087</v>
      </c>
      <c r="J286" s="47" t="s">
        <v>6088</v>
      </c>
      <c r="K286" s="47" t="s">
        <v>6089</v>
      </c>
      <c r="L286" s="47" t="s">
        <v>6090</v>
      </c>
      <c r="M286" s="47" t="s">
        <v>6091</v>
      </c>
      <c r="N286" s="47" t="s">
        <v>6092</v>
      </c>
      <c r="O286" s="47" t="s">
        <v>6093</v>
      </c>
      <c r="P286" s="47" t="s">
        <v>6094</v>
      </c>
      <c r="Q286" s="47" t="s">
        <v>6095</v>
      </c>
      <c r="R286" s="47" t="s">
        <v>6096</v>
      </c>
      <c r="S286" s="47" t="s">
        <v>6097</v>
      </c>
      <c r="T286" s="47" t="s">
        <v>6098</v>
      </c>
    </row>
    <row r="287" spans="1:21" x14ac:dyDescent="0.2">
      <c r="A287" s="47" t="s">
        <v>29</v>
      </c>
      <c r="D287" s="47" t="s">
        <v>882</v>
      </c>
      <c r="G287" s="47" t="s">
        <v>8802</v>
      </c>
      <c r="H287" s="47" t="s">
        <v>883</v>
      </c>
      <c r="I287" s="47" t="s">
        <v>884</v>
      </c>
      <c r="J287" s="47" t="s">
        <v>885</v>
      </c>
      <c r="K287" s="47" t="s">
        <v>886</v>
      </c>
      <c r="L287" s="47" t="s">
        <v>887</v>
      </c>
      <c r="M287" s="47" t="s">
        <v>888</v>
      </c>
      <c r="N287" s="47" t="s">
        <v>889</v>
      </c>
      <c r="O287" s="47" t="s">
        <v>4787</v>
      </c>
      <c r="P287" s="47" t="s">
        <v>4788</v>
      </c>
      <c r="Q287" s="47" t="s">
        <v>4789</v>
      </c>
      <c r="R287" s="47" t="s">
        <v>4790</v>
      </c>
      <c r="S287" s="47" t="s">
        <v>4791</v>
      </c>
      <c r="T287" s="47" t="s">
        <v>4792</v>
      </c>
    </row>
    <row r="288" spans="1:21" x14ac:dyDescent="0.2">
      <c r="A288" s="47" t="s">
        <v>29</v>
      </c>
    </row>
    <row r="289" spans="1:21" x14ac:dyDescent="0.2">
      <c r="A289" s="47" t="s">
        <v>29</v>
      </c>
      <c r="E289" s="47" t="s">
        <v>30</v>
      </c>
      <c r="F289" s="47" t="s">
        <v>30</v>
      </c>
      <c r="G289" s="47" t="s">
        <v>30</v>
      </c>
      <c r="J289" s="47" t="s">
        <v>30</v>
      </c>
      <c r="K289" s="47" t="s">
        <v>30</v>
      </c>
      <c r="L289" s="47" t="s">
        <v>30</v>
      </c>
      <c r="M289" s="47" t="s">
        <v>30</v>
      </c>
    </row>
    <row r="290" spans="1:21" x14ac:dyDescent="0.2">
      <c r="A290" s="47" t="s">
        <v>29</v>
      </c>
      <c r="D290" s="47" t="s">
        <v>6199</v>
      </c>
      <c r="E290" s="47" t="s">
        <v>4332</v>
      </c>
      <c r="F290" s="47" t="s">
        <v>6200</v>
      </c>
      <c r="H290" s="47" t="s">
        <v>6201</v>
      </c>
      <c r="O290" s="47" t="s">
        <v>8563</v>
      </c>
      <c r="P290" s="47" t="s">
        <v>8564</v>
      </c>
      <c r="Q290" s="47" t="s">
        <v>8565</v>
      </c>
      <c r="R290" s="47" t="s">
        <v>8566</v>
      </c>
      <c r="S290" s="47" t="s">
        <v>8567</v>
      </c>
      <c r="T290" s="47" t="s">
        <v>8568</v>
      </c>
      <c r="U290" s="47" t="s">
        <v>8569</v>
      </c>
    </row>
    <row r="291" spans="1:21" x14ac:dyDescent="0.2">
      <c r="A291" s="47" t="s">
        <v>29</v>
      </c>
      <c r="D291" s="47" t="s">
        <v>1946</v>
      </c>
      <c r="G291" s="47" t="s">
        <v>6202</v>
      </c>
      <c r="H291" s="47" t="s">
        <v>1947</v>
      </c>
      <c r="I291" s="47" t="s">
        <v>1948</v>
      </c>
      <c r="J291" s="47" t="s">
        <v>1949</v>
      </c>
      <c r="K291" s="47" t="s">
        <v>1950</v>
      </c>
      <c r="L291" s="47" t="s">
        <v>1951</v>
      </c>
      <c r="M291" s="47" t="s">
        <v>1952</v>
      </c>
      <c r="N291" s="47" t="s">
        <v>1953</v>
      </c>
      <c r="O291" s="47" t="s">
        <v>6203</v>
      </c>
      <c r="P291" s="47" t="s">
        <v>6204</v>
      </c>
      <c r="Q291" s="47" t="s">
        <v>6205</v>
      </c>
      <c r="R291" s="47" t="s">
        <v>6206</v>
      </c>
      <c r="S291" s="47" t="s">
        <v>6207</v>
      </c>
      <c r="T291" s="47" t="s">
        <v>6208</v>
      </c>
    </row>
    <row r="292" spans="1:21" x14ac:dyDescent="0.2">
      <c r="A292" s="47" t="s">
        <v>29</v>
      </c>
      <c r="D292" s="47" t="s">
        <v>2597</v>
      </c>
      <c r="G292" s="47" t="s">
        <v>8806</v>
      </c>
      <c r="H292" s="47" t="s">
        <v>2598</v>
      </c>
      <c r="I292" s="47" t="s">
        <v>2599</v>
      </c>
      <c r="J292" s="47" t="s">
        <v>2600</v>
      </c>
      <c r="K292" s="47" t="s">
        <v>2601</v>
      </c>
      <c r="L292" s="47" t="s">
        <v>2602</v>
      </c>
      <c r="M292" s="47" t="s">
        <v>2603</v>
      </c>
      <c r="N292" s="47" t="s">
        <v>2604</v>
      </c>
      <c r="O292" s="47" t="s">
        <v>4463</v>
      </c>
      <c r="P292" s="47" t="s">
        <v>4464</v>
      </c>
      <c r="Q292" s="47" t="s">
        <v>4465</v>
      </c>
      <c r="R292" s="47" t="s">
        <v>4466</v>
      </c>
      <c r="S292" s="47" t="s">
        <v>4467</v>
      </c>
      <c r="T292" s="47" t="s">
        <v>4468</v>
      </c>
    </row>
    <row r="293" spans="1:21" x14ac:dyDescent="0.2">
      <c r="A293" s="47" t="s">
        <v>29</v>
      </c>
    </row>
    <row r="294" spans="1:21" x14ac:dyDescent="0.2">
      <c r="A294" s="47" t="s">
        <v>29</v>
      </c>
      <c r="E294" s="47" t="s">
        <v>30</v>
      </c>
      <c r="F294" s="47" t="s">
        <v>30</v>
      </c>
      <c r="G294" s="47" t="s">
        <v>30</v>
      </c>
      <c r="J294" s="47" t="s">
        <v>30</v>
      </c>
      <c r="K294" s="47" t="s">
        <v>30</v>
      </c>
      <c r="L294" s="47" t="s">
        <v>30</v>
      </c>
      <c r="M294" s="47" t="s">
        <v>30</v>
      </c>
    </row>
    <row r="295" spans="1:21" x14ac:dyDescent="0.2">
      <c r="A295" s="47" t="s">
        <v>29</v>
      </c>
      <c r="D295" s="47" t="s">
        <v>8570</v>
      </c>
      <c r="E295" s="47" t="s">
        <v>4333</v>
      </c>
      <c r="F295" s="47" t="s">
        <v>8571</v>
      </c>
      <c r="H295" s="47" t="s">
        <v>8572</v>
      </c>
      <c r="O295" s="47" t="s">
        <v>8573</v>
      </c>
      <c r="P295" s="47" t="s">
        <v>8574</v>
      </c>
      <c r="Q295" s="47" t="s">
        <v>8575</v>
      </c>
      <c r="R295" s="47" t="s">
        <v>8576</v>
      </c>
      <c r="S295" s="47" t="s">
        <v>8577</v>
      </c>
      <c r="T295" s="47" t="s">
        <v>8578</v>
      </c>
      <c r="U295" s="47" t="s">
        <v>8579</v>
      </c>
    </row>
    <row r="296" spans="1:21" x14ac:dyDescent="0.2">
      <c r="A296" s="47" t="s">
        <v>29</v>
      </c>
      <c r="D296" s="47" t="s">
        <v>1954</v>
      </c>
      <c r="G296" s="47" t="s">
        <v>8580</v>
      </c>
      <c r="H296" s="47" t="s">
        <v>1955</v>
      </c>
      <c r="I296" s="47" t="s">
        <v>1956</v>
      </c>
      <c r="J296" s="47" t="s">
        <v>1957</v>
      </c>
      <c r="K296" s="47" t="s">
        <v>1958</v>
      </c>
      <c r="L296" s="47" t="s">
        <v>1959</v>
      </c>
      <c r="M296" s="47" t="s">
        <v>1960</v>
      </c>
      <c r="N296" s="47" t="s">
        <v>1961</v>
      </c>
      <c r="O296" s="47" t="s">
        <v>4469</v>
      </c>
      <c r="P296" s="47" t="s">
        <v>4470</v>
      </c>
      <c r="Q296" s="47" t="s">
        <v>4471</v>
      </c>
      <c r="R296" s="47" t="s">
        <v>4472</v>
      </c>
      <c r="S296" s="47" t="s">
        <v>4473</v>
      </c>
      <c r="T296" s="47" t="s">
        <v>4474</v>
      </c>
    </row>
    <row r="297" spans="1:21" x14ac:dyDescent="0.2">
      <c r="A297" s="47" t="s">
        <v>29</v>
      </c>
      <c r="D297" s="47" t="s">
        <v>1723</v>
      </c>
      <c r="G297" s="47" t="s">
        <v>8809</v>
      </c>
      <c r="H297" s="47" t="s">
        <v>1724</v>
      </c>
      <c r="I297" s="47" t="s">
        <v>1725</v>
      </c>
      <c r="J297" s="47" t="s">
        <v>1726</v>
      </c>
      <c r="K297" s="47" t="s">
        <v>1727</v>
      </c>
      <c r="L297" s="47" t="s">
        <v>1728</v>
      </c>
      <c r="M297" s="47" t="s">
        <v>1729</v>
      </c>
      <c r="N297" s="47" t="s">
        <v>1730</v>
      </c>
      <c r="O297" s="47" t="s">
        <v>4793</v>
      </c>
      <c r="P297" s="47" t="s">
        <v>4794</v>
      </c>
      <c r="Q297" s="47" t="s">
        <v>4795</v>
      </c>
      <c r="R297" s="47" t="s">
        <v>4796</v>
      </c>
      <c r="S297" s="47" t="s">
        <v>4797</v>
      </c>
      <c r="T297" s="47" t="s">
        <v>4798</v>
      </c>
    </row>
    <row r="298" spans="1:21" x14ac:dyDescent="0.2">
      <c r="A298" s="47" t="s">
        <v>29</v>
      </c>
    </row>
    <row r="299" spans="1:21" x14ac:dyDescent="0.2">
      <c r="A299" s="47" t="s">
        <v>29</v>
      </c>
      <c r="E299" s="47" t="s">
        <v>30</v>
      </c>
      <c r="F299" s="47" t="s">
        <v>30</v>
      </c>
      <c r="G299" s="47" t="s">
        <v>30</v>
      </c>
      <c r="J299" s="47" t="s">
        <v>30</v>
      </c>
      <c r="K299" s="47" t="s">
        <v>30</v>
      </c>
      <c r="L299" s="47" t="s">
        <v>30</v>
      </c>
      <c r="M299" s="47" t="s">
        <v>30</v>
      </c>
    </row>
    <row r="300" spans="1:21" x14ac:dyDescent="0.2">
      <c r="A300" s="47" t="s">
        <v>29</v>
      </c>
      <c r="D300" s="47" t="s">
        <v>5150</v>
      </c>
      <c r="E300" s="47" t="s">
        <v>4335</v>
      </c>
      <c r="F300" s="47" t="s">
        <v>5151</v>
      </c>
      <c r="H300" s="47" t="s">
        <v>5152</v>
      </c>
      <c r="O300" s="47" t="s">
        <v>8581</v>
      </c>
      <c r="P300" s="47" t="s">
        <v>8582</v>
      </c>
      <c r="Q300" s="47" t="s">
        <v>8583</v>
      </c>
      <c r="R300" s="47" t="s">
        <v>8584</v>
      </c>
      <c r="S300" s="47" t="s">
        <v>8585</v>
      </c>
      <c r="T300" s="47" t="s">
        <v>8586</v>
      </c>
      <c r="U300" s="47" t="s">
        <v>8587</v>
      </c>
    </row>
    <row r="301" spans="1:21" x14ac:dyDescent="0.2">
      <c r="A301" s="47" t="s">
        <v>29</v>
      </c>
      <c r="D301" s="47" t="s">
        <v>1731</v>
      </c>
      <c r="G301" s="47" t="s">
        <v>5153</v>
      </c>
      <c r="H301" s="47" t="s">
        <v>1732</v>
      </c>
      <c r="I301" s="47" t="s">
        <v>1733</v>
      </c>
      <c r="J301" s="47" t="s">
        <v>1734</v>
      </c>
      <c r="K301" s="47" t="s">
        <v>1735</v>
      </c>
      <c r="L301" s="47" t="s">
        <v>1736</v>
      </c>
      <c r="M301" s="47" t="s">
        <v>1737</v>
      </c>
      <c r="N301" s="47" t="s">
        <v>1738</v>
      </c>
      <c r="O301" s="47" t="s">
        <v>5154</v>
      </c>
      <c r="P301" s="47" t="s">
        <v>5155</v>
      </c>
      <c r="Q301" s="47" t="s">
        <v>5156</v>
      </c>
      <c r="R301" s="47" t="s">
        <v>5157</v>
      </c>
      <c r="S301" s="47" t="s">
        <v>5158</v>
      </c>
      <c r="T301" s="47" t="s">
        <v>5159</v>
      </c>
    </row>
    <row r="302" spans="1:21" x14ac:dyDescent="0.2">
      <c r="A302" s="47" t="s">
        <v>29</v>
      </c>
      <c r="D302" s="47" t="s">
        <v>1514</v>
      </c>
      <c r="G302" s="47" t="s">
        <v>8812</v>
      </c>
      <c r="H302" s="47" t="s">
        <v>1515</v>
      </c>
      <c r="I302" s="47" t="s">
        <v>1516</v>
      </c>
      <c r="J302" s="47" t="s">
        <v>1517</v>
      </c>
      <c r="K302" s="47" t="s">
        <v>1518</v>
      </c>
      <c r="L302" s="47" t="s">
        <v>1519</v>
      </c>
      <c r="M302" s="47" t="s">
        <v>1520</v>
      </c>
      <c r="N302" s="47" t="s">
        <v>1521</v>
      </c>
      <c r="O302" s="47" t="s">
        <v>5160</v>
      </c>
      <c r="P302" s="47" t="s">
        <v>5161</v>
      </c>
      <c r="Q302" s="47" t="s">
        <v>5162</v>
      </c>
      <c r="R302" s="47" t="s">
        <v>5163</v>
      </c>
      <c r="S302" s="47" t="s">
        <v>5164</v>
      </c>
      <c r="T302" s="47" t="s">
        <v>5165</v>
      </c>
    </row>
    <row r="303" spans="1:21" x14ac:dyDescent="0.2">
      <c r="A303" s="47" t="s">
        <v>29</v>
      </c>
    </row>
    <row r="304" spans="1:21" x14ac:dyDescent="0.2">
      <c r="A304" s="47" t="s">
        <v>29</v>
      </c>
      <c r="E304" s="47" t="s">
        <v>30</v>
      </c>
      <c r="F304" s="47" t="s">
        <v>30</v>
      </c>
      <c r="G304" s="47" t="s">
        <v>30</v>
      </c>
      <c r="J304" s="47" t="s">
        <v>30</v>
      </c>
      <c r="K304" s="47" t="s">
        <v>30</v>
      </c>
      <c r="L304" s="47" t="s">
        <v>30</v>
      </c>
      <c r="M304" s="47" t="s">
        <v>30</v>
      </c>
    </row>
    <row r="305" spans="1:21" x14ac:dyDescent="0.2">
      <c r="A305" s="47" t="s">
        <v>29</v>
      </c>
      <c r="D305" s="47" t="s">
        <v>5259</v>
      </c>
      <c r="E305" s="47" t="s">
        <v>4336</v>
      </c>
      <c r="F305" s="47" t="s">
        <v>5260</v>
      </c>
      <c r="H305" s="47" t="s">
        <v>5261</v>
      </c>
      <c r="O305" s="47" t="s">
        <v>8588</v>
      </c>
      <c r="P305" s="47" t="s">
        <v>8589</v>
      </c>
      <c r="Q305" s="47" t="s">
        <v>8590</v>
      </c>
      <c r="R305" s="47" t="s">
        <v>8591</v>
      </c>
      <c r="S305" s="47" t="s">
        <v>8592</v>
      </c>
      <c r="T305" s="47" t="s">
        <v>8593</v>
      </c>
      <c r="U305" s="47" t="s">
        <v>8594</v>
      </c>
    </row>
    <row r="306" spans="1:21" x14ac:dyDescent="0.2">
      <c r="A306" s="47" t="s">
        <v>29</v>
      </c>
      <c r="D306" s="47" t="s">
        <v>1522</v>
      </c>
      <c r="G306" s="47" t="s">
        <v>5262</v>
      </c>
      <c r="H306" s="47" t="s">
        <v>1523</v>
      </c>
      <c r="I306" s="47" t="s">
        <v>1524</v>
      </c>
      <c r="J306" s="47" t="s">
        <v>1525</v>
      </c>
      <c r="K306" s="47" t="s">
        <v>1526</v>
      </c>
      <c r="L306" s="47" t="s">
        <v>1527</v>
      </c>
      <c r="M306" s="47" t="s">
        <v>1528</v>
      </c>
      <c r="N306" s="47" t="s">
        <v>1529</v>
      </c>
      <c r="O306" s="47" t="s">
        <v>5263</v>
      </c>
      <c r="P306" s="47" t="s">
        <v>5264</v>
      </c>
      <c r="Q306" s="47" t="s">
        <v>5265</v>
      </c>
      <c r="R306" s="47" t="s">
        <v>5266</v>
      </c>
      <c r="S306" s="47" t="s">
        <v>5267</v>
      </c>
      <c r="T306" s="47" t="s">
        <v>5268</v>
      </c>
    </row>
    <row r="307" spans="1:21" x14ac:dyDescent="0.2">
      <c r="A307" s="47" t="s">
        <v>29</v>
      </c>
      <c r="D307" s="47" t="s">
        <v>1962</v>
      </c>
      <c r="G307" s="47" t="s">
        <v>8814</v>
      </c>
      <c r="H307" s="47" t="s">
        <v>1963</v>
      </c>
      <c r="I307" s="47" t="s">
        <v>1964</v>
      </c>
      <c r="J307" s="47" t="s">
        <v>1965</v>
      </c>
      <c r="K307" s="47" t="s">
        <v>1966</v>
      </c>
      <c r="L307" s="47" t="s">
        <v>1967</v>
      </c>
      <c r="M307" s="47" t="s">
        <v>1968</v>
      </c>
      <c r="N307" s="47" t="s">
        <v>1969</v>
      </c>
      <c r="O307" s="47" t="s">
        <v>7433</v>
      </c>
      <c r="P307" s="47" t="s">
        <v>7434</v>
      </c>
      <c r="Q307" s="47" t="s">
        <v>7435</v>
      </c>
      <c r="R307" s="47" t="s">
        <v>7436</v>
      </c>
      <c r="S307" s="47" t="s">
        <v>7437</v>
      </c>
      <c r="T307" s="47" t="s">
        <v>7438</v>
      </c>
    </row>
    <row r="308" spans="1:21" x14ac:dyDescent="0.2">
      <c r="A308" s="47" t="s">
        <v>29</v>
      </c>
    </row>
    <row r="309" spans="1:21" x14ac:dyDescent="0.2">
      <c r="A309" s="47" t="s">
        <v>29</v>
      </c>
      <c r="E309" s="47" t="s">
        <v>30</v>
      </c>
      <c r="F309" s="47" t="s">
        <v>30</v>
      </c>
      <c r="G309" s="47" t="s">
        <v>30</v>
      </c>
      <c r="J309" s="47" t="s">
        <v>30</v>
      </c>
      <c r="K309" s="47" t="s">
        <v>30</v>
      </c>
      <c r="L309" s="47" t="s">
        <v>30</v>
      </c>
      <c r="M309" s="47" t="s">
        <v>30</v>
      </c>
    </row>
    <row r="310" spans="1:21" x14ac:dyDescent="0.2">
      <c r="A310" s="47" t="s">
        <v>29</v>
      </c>
      <c r="D310" s="47" t="s">
        <v>7897</v>
      </c>
      <c r="E310" s="47" t="s">
        <v>4337</v>
      </c>
      <c r="F310" s="47" t="s">
        <v>7898</v>
      </c>
      <c r="H310" s="47" t="s">
        <v>7899</v>
      </c>
      <c r="O310" s="47" t="s">
        <v>8595</v>
      </c>
      <c r="P310" s="47" t="s">
        <v>8596</v>
      </c>
      <c r="Q310" s="47" t="s">
        <v>8597</v>
      </c>
      <c r="R310" s="47" t="s">
        <v>8598</v>
      </c>
      <c r="S310" s="47" t="s">
        <v>8599</v>
      </c>
      <c r="T310" s="47" t="s">
        <v>8600</v>
      </c>
      <c r="U310" s="47" t="s">
        <v>8601</v>
      </c>
    </row>
    <row r="311" spans="1:21" x14ac:dyDescent="0.2">
      <c r="A311" s="47" t="s">
        <v>29</v>
      </c>
      <c r="D311" s="47" t="s">
        <v>1530</v>
      </c>
      <c r="G311" s="47" t="s">
        <v>7900</v>
      </c>
      <c r="H311" s="47" t="s">
        <v>1531</v>
      </c>
      <c r="I311" s="47" t="s">
        <v>1532</v>
      </c>
      <c r="J311" s="47" t="s">
        <v>1533</v>
      </c>
      <c r="K311" s="47" t="s">
        <v>1534</v>
      </c>
      <c r="L311" s="47" t="s">
        <v>1535</v>
      </c>
      <c r="M311" s="47" t="s">
        <v>1536</v>
      </c>
      <c r="N311" s="47" t="s">
        <v>1537</v>
      </c>
      <c r="O311" s="47" t="s">
        <v>4799</v>
      </c>
      <c r="P311" s="47" t="s">
        <v>4800</v>
      </c>
      <c r="Q311" s="47" t="s">
        <v>4801</v>
      </c>
      <c r="R311" s="47" t="s">
        <v>4802</v>
      </c>
      <c r="S311" s="47" t="s">
        <v>4803</v>
      </c>
      <c r="T311" s="47" t="s">
        <v>4804</v>
      </c>
    </row>
    <row r="312" spans="1:21" x14ac:dyDescent="0.2">
      <c r="A312" s="47" t="s">
        <v>29</v>
      </c>
      <c r="D312" s="47" t="s">
        <v>3155</v>
      </c>
      <c r="G312" s="47" t="s">
        <v>8816</v>
      </c>
      <c r="H312" s="47" t="s">
        <v>3156</v>
      </c>
      <c r="I312" s="47" t="s">
        <v>3157</v>
      </c>
      <c r="J312" s="47" t="s">
        <v>3158</v>
      </c>
      <c r="K312" s="47" t="s">
        <v>3159</v>
      </c>
      <c r="L312" s="47" t="s">
        <v>3160</v>
      </c>
      <c r="M312" s="47" t="s">
        <v>3161</v>
      </c>
      <c r="N312" s="47" t="s">
        <v>3162</v>
      </c>
      <c r="O312" s="47" t="s">
        <v>7439</v>
      </c>
      <c r="P312" s="47" t="s">
        <v>7440</v>
      </c>
      <c r="Q312" s="47" t="s">
        <v>7441</v>
      </c>
      <c r="R312" s="47" t="s">
        <v>7442</v>
      </c>
      <c r="S312" s="47" t="s">
        <v>7443</v>
      </c>
      <c r="T312" s="47" t="s">
        <v>7444</v>
      </c>
    </row>
    <row r="313" spans="1:21" x14ac:dyDescent="0.2">
      <c r="A313" s="47" t="s">
        <v>29</v>
      </c>
    </row>
    <row r="314" spans="1:21" x14ac:dyDescent="0.2">
      <c r="A314" s="47" t="s">
        <v>29</v>
      </c>
      <c r="E314" s="47" t="s">
        <v>30</v>
      </c>
      <c r="F314" s="47" t="s">
        <v>30</v>
      </c>
      <c r="G314" s="47" t="s">
        <v>30</v>
      </c>
      <c r="J314" s="47" t="s">
        <v>30</v>
      </c>
      <c r="K314" s="47" t="s">
        <v>30</v>
      </c>
      <c r="L314" s="47" t="s">
        <v>30</v>
      </c>
      <c r="M314" s="47" t="s">
        <v>30</v>
      </c>
    </row>
    <row r="315" spans="1:21" x14ac:dyDescent="0.2">
      <c r="A315" s="47" t="s">
        <v>29</v>
      </c>
      <c r="D315" s="47" t="s">
        <v>6337</v>
      </c>
      <c r="E315" s="47" t="s">
        <v>6535</v>
      </c>
      <c r="F315" s="47" t="s">
        <v>6338</v>
      </c>
      <c r="H315" s="47" t="s">
        <v>6339</v>
      </c>
      <c r="O315" s="47" t="s">
        <v>7445</v>
      </c>
      <c r="P315" s="47" t="s">
        <v>7446</v>
      </c>
      <c r="Q315" s="47" t="s">
        <v>7447</v>
      </c>
      <c r="R315" s="47" t="s">
        <v>7448</v>
      </c>
      <c r="S315" s="47" t="s">
        <v>7449</v>
      </c>
      <c r="T315" s="47" t="s">
        <v>7450</v>
      </c>
      <c r="U315" s="47" t="s">
        <v>7451</v>
      </c>
    </row>
    <row r="316" spans="1:21" x14ac:dyDescent="0.2">
      <c r="A316" s="47" t="s">
        <v>29</v>
      </c>
      <c r="D316" s="47" t="s">
        <v>930</v>
      </c>
      <c r="G316" s="47" t="s">
        <v>7452</v>
      </c>
      <c r="H316" s="47" t="s">
        <v>931</v>
      </c>
      <c r="I316" s="47" t="s">
        <v>932</v>
      </c>
      <c r="J316" s="47" t="s">
        <v>933</v>
      </c>
      <c r="K316" s="47" t="s">
        <v>934</v>
      </c>
      <c r="L316" s="47" t="s">
        <v>935</v>
      </c>
      <c r="M316" s="47" t="s">
        <v>936</v>
      </c>
      <c r="N316" s="47" t="s">
        <v>937</v>
      </c>
      <c r="O316" s="47" t="s">
        <v>4805</v>
      </c>
      <c r="P316" s="47" t="s">
        <v>4806</v>
      </c>
      <c r="Q316" s="47" t="s">
        <v>4807</v>
      </c>
      <c r="R316" s="47" t="s">
        <v>4808</v>
      </c>
      <c r="S316" s="47" t="s">
        <v>4809</v>
      </c>
      <c r="T316" s="47" t="s">
        <v>4810</v>
      </c>
    </row>
    <row r="317" spans="1:21" x14ac:dyDescent="0.2">
      <c r="A317" s="47" t="s">
        <v>29</v>
      </c>
    </row>
    <row r="318" spans="1:21" x14ac:dyDescent="0.2">
      <c r="A318" s="47" t="s">
        <v>29</v>
      </c>
      <c r="E318" s="47" t="s">
        <v>30</v>
      </c>
      <c r="F318" s="47" t="s">
        <v>30</v>
      </c>
      <c r="G318" s="47" t="s">
        <v>30</v>
      </c>
      <c r="J318" s="47" t="s">
        <v>30</v>
      </c>
      <c r="K318" s="47" t="s">
        <v>30</v>
      </c>
      <c r="L318" s="47" t="s">
        <v>30</v>
      </c>
      <c r="M318" s="47" t="s">
        <v>30</v>
      </c>
    </row>
    <row r="319" spans="1:21" x14ac:dyDescent="0.2">
      <c r="A319" s="47" t="s">
        <v>29</v>
      </c>
      <c r="D319" s="47" t="s">
        <v>4811</v>
      </c>
      <c r="E319" s="47" t="s">
        <v>6537</v>
      </c>
      <c r="F319" s="47" t="s">
        <v>4812</v>
      </c>
      <c r="H319" s="47" t="s">
        <v>4813</v>
      </c>
      <c r="O319" s="47" t="s">
        <v>7453</v>
      </c>
      <c r="P319" s="47" t="s">
        <v>7454</v>
      </c>
      <c r="Q319" s="47" t="s">
        <v>7455</v>
      </c>
      <c r="R319" s="47" t="s">
        <v>7456</v>
      </c>
      <c r="S319" s="47" t="s">
        <v>7457</v>
      </c>
      <c r="T319" s="47" t="s">
        <v>7458</v>
      </c>
      <c r="U319" s="47" t="s">
        <v>7459</v>
      </c>
    </row>
    <row r="320" spans="1:21" x14ac:dyDescent="0.2">
      <c r="A320" s="47" t="s">
        <v>29</v>
      </c>
      <c r="D320" s="47" t="s">
        <v>1739</v>
      </c>
      <c r="G320" s="47" t="s">
        <v>4814</v>
      </c>
      <c r="H320" s="47" t="s">
        <v>1740</v>
      </c>
      <c r="I320" s="47" t="s">
        <v>1741</v>
      </c>
      <c r="J320" s="47" t="s">
        <v>1742</v>
      </c>
      <c r="K320" s="47" t="s">
        <v>1743</v>
      </c>
      <c r="L320" s="47" t="s">
        <v>1744</v>
      </c>
      <c r="M320" s="47" t="s">
        <v>1745</v>
      </c>
      <c r="N320" s="47" t="s">
        <v>1746</v>
      </c>
      <c r="O320" s="47" t="s">
        <v>4815</v>
      </c>
      <c r="P320" s="47" t="s">
        <v>4816</v>
      </c>
      <c r="Q320" s="47" t="s">
        <v>4817</v>
      </c>
      <c r="R320" s="47" t="s">
        <v>4818</v>
      </c>
      <c r="S320" s="47" t="s">
        <v>4819</v>
      </c>
      <c r="T320" s="47" t="s">
        <v>4820</v>
      </c>
    </row>
    <row r="321" spans="1:21" x14ac:dyDescent="0.2">
      <c r="A321" s="47" t="s">
        <v>29</v>
      </c>
    </row>
    <row r="322" spans="1:21" x14ac:dyDescent="0.2">
      <c r="A322" s="47" t="s">
        <v>29</v>
      </c>
      <c r="E322" s="47" t="s">
        <v>30</v>
      </c>
      <c r="F322" s="47" t="s">
        <v>30</v>
      </c>
      <c r="G322" s="47" t="s">
        <v>30</v>
      </c>
      <c r="J322" s="47" t="s">
        <v>30</v>
      </c>
      <c r="K322" s="47" t="s">
        <v>30</v>
      </c>
      <c r="L322" s="47" t="s">
        <v>30</v>
      </c>
      <c r="M322" s="47" t="s">
        <v>30</v>
      </c>
    </row>
    <row r="323" spans="1:21" x14ac:dyDescent="0.2">
      <c r="A323" s="47" t="s">
        <v>29</v>
      </c>
      <c r="D323" s="47" t="s">
        <v>6243</v>
      </c>
      <c r="E323" s="47" t="s">
        <v>6540</v>
      </c>
      <c r="F323" s="47" t="s">
        <v>6244</v>
      </c>
      <c r="H323" s="47" t="s">
        <v>6245</v>
      </c>
      <c r="O323" s="47" t="s">
        <v>6246</v>
      </c>
      <c r="P323" s="47" t="s">
        <v>6247</v>
      </c>
      <c r="Q323" s="47" t="s">
        <v>6248</v>
      </c>
      <c r="R323" s="47" t="s">
        <v>6249</v>
      </c>
      <c r="S323" s="47" t="s">
        <v>6250</v>
      </c>
      <c r="T323" s="47" t="s">
        <v>6251</v>
      </c>
      <c r="U323" s="47" t="s">
        <v>6252</v>
      </c>
    </row>
    <row r="324" spans="1:21" x14ac:dyDescent="0.2">
      <c r="A324" s="47" t="s">
        <v>29</v>
      </c>
      <c r="D324" s="47" t="s">
        <v>1747</v>
      </c>
      <c r="G324" s="47" t="s">
        <v>6253</v>
      </c>
      <c r="H324" s="47" t="s">
        <v>1748</v>
      </c>
      <c r="I324" s="47" t="s">
        <v>1749</v>
      </c>
      <c r="J324" s="47" t="s">
        <v>1750</v>
      </c>
      <c r="K324" s="47" t="s">
        <v>1751</v>
      </c>
      <c r="L324" s="47" t="s">
        <v>1752</v>
      </c>
      <c r="M324" s="47" t="s">
        <v>1753</v>
      </c>
      <c r="N324" s="47" t="s">
        <v>1754</v>
      </c>
      <c r="O324" s="47" t="s">
        <v>5053</v>
      </c>
      <c r="P324" s="47" t="s">
        <v>5054</v>
      </c>
      <c r="Q324" s="47" t="s">
        <v>5055</v>
      </c>
      <c r="R324" s="47" t="s">
        <v>5056</v>
      </c>
      <c r="S324" s="47" t="s">
        <v>5057</v>
      </c>
      <c r="T324" s="47" t="s">
        <v>5058</v>
      </c>
    </row>
    <row r="325" spans="1:21" x14ac:dyDescent="0.2">
      <c r="A325" s="47" t="s">
        <v>29</v>
      </c>
    </row>
    <row r="326" spans="1:21" x14ac:dyDescent="0.2">
      <c r="A326" s="47" t="s">
        <v>29</v>
      </c>
      <c r="E326" s="47" t="s">
        <v>30</v>
      </c>
      <c r="F326" s="47" t="s">
        <v>30</v>
      </c>
      <c r="G326" s="47" t="s">
        <v>30</v>
      </c>
      <c r="J326" s="47" t="s">
        <v>30</v>
      </c>
      <c r="K326" s="47" t="s">
        <v>30</v>
      </c>
      <c r="L326" s="47" t="s">
        <v>30</v>
      </c>
      <c r="M326" s="47" t="s">
        <v>30</v>
      </c>
    </row>
    <row r="327" spans="1:21" x14ac:dyDescent="0.2">
      <c r="A327" s="47" t="s">
        <v>29</v>
      </c>
      <c r="D327" s="47" t="s">
        <v>6254</v>
      </c>
      <c r="E327" s="47" t="s">
        <v>6541</v>
      </c>
      <c r="F327" s="47" t="s">
        <v>6255</v>
      </c>
      <c r="H327" s="47" t="s">
        <v>6256</v>
      </c>
      <c r="O327" s="47" t="s">
        <v>7460</v>
      </c>
      <c r="P327" s="47" t="s">
        <v>7461</v>
      </c>
      <c r="Q327" s="47" t="s">
        <v>7462</v>
      </c>
      <c r="R327" s="47" t="s">
        <v>7463</v>
      </c>
      <c r="S327" s="47" t="s">
        <v>7464</v>
      </c>
      <c r="T327" s="47" t="s">
        <v>7465</v>
      </c>
      <c r="U327" s="47" t="s">
        <v>7466</v>
      </c>
    </row>
    <row r="328" spans="1:21" x14ac:dyDescent="0.2">
      <c r="A328" s="47" t="s">
        <v>29</v>
      </c>
      <c r="D328" s="47" t="s">
        <v>1852</v>
      </c>
      <c r="G328" s="47" t="s">
        <v>6257</v>
      </c>
      <c r="H328" s="47" t="s">
        <v>1853</v>
      </c>
      <c r="I328" s="47" t="s">
        <v>1854</v>
      </c>
      <c r="J328" s="47" t="s">
        <v>1855</v>
      </c>
      <c r="K328" s="47" t="s">
        <v>1856</v>
      </c>
      <c r="L328" s="47" t="s">
        <v>1857</v>
      </c>
      <c r="M328" s="47" t="s">
        <v>1858</v>
      </c>
      <c r="N328" s="47" t="s">
        <v>1859</v>
      </c>
      <c r="O328" s="47" t="s">
        <v>4821</v>
      </c>
      <c r="P328" s="47" t="s">
        <v>4822</v>
      </c>
      <c r="Q328" s="47" t="s">
        <v>4823</v>
      </c>
      <c r="R328" s="47" t="s">
        <v>4824</v>
      </c>
      <c r="S328" s="47" t="s">
        <v>4825</v>
      </c>
      <c r="T328" s="47" t="s">
        <v>4826</v>
      </c>
    </row>
    <row r="329" spans="1:21" x14ac:dyDescent="0.2">
      <c r="A329" s="47" t="s">
        <v>29</v>
      </c>
    </row>
    <row r="330" spans="1:21" x14ac:dyDescent="0.2">
      <c r="A330" s="47" t="s">
        <v>29</v>
      </c>
      <c r="E330" s="47" t="s">
        <v>30</v>
      </c>
      <c r="F330" s="47" t="s">
        <v>30</v>
      </c>
      <c r="G330" s="47" t="s">
        <v>30</v>
      </c>
      <c r="J330" s="47" t="s">
        <v>30</v>
      </c>
      <c r="K330" s="47" t="s">
        <v>30</v>
      </c>
      <c r="L330" s="47" t="s">
        <v>30</v>
      </c>
      <c r="M330" s="47" t="s">
        <v>30</v>
      </c>
    </row>
    <row r="331" spans="1:21" x14ac:dyDescent="0.2">
      <c r="A331" s="47" t="s">
        <v>29</v>
      </c>
      <c r="D331" s="47" t="s">
        <v>7467</v>
      </c>
      <c r="E331" s="47" t="s">
        <v>6542</v>
      </c>
      <c r="F331" s="47" t="s">
        <v>7468</v>
      </c>
      <c r="H331" s="47" t="s">
        <v>7469</v>
      </c>
      <c r="O331" s="47" t="s">
        <v>7470</v>
      </c>
      <c r="P331" s="47" t="s">
        <v>7471</v>
      </c>
      <c r="Q331" s="47" t="s">
        <v>7472</v>
      </c>
      <c r="R331" s="47" t="s">
        <v>7473</v>
      </c>
      <c r="S331" s="47" t="s">
        <v>7474</v>
      </c>
      <c r="T331" s="47" t="s">
        <v>7475</v>
      </c>
      <c r="U331" s="47" t="s">
        <v>7476</v>
      </c>
    </row>
    <row r="332" spans="1:21" x14ac:dyDescent="0.2">
      <c r="A332" s="47" t="s">
        <v>29</v>
      </c>
      <c r="D332" s="47" t="s">
        <v>954</v>
      </c>
      <c r="G332" s="47" t="s">
        <v>7477</v>
      </c>
      <c r="H332" s="47" t="s">
        <v>955</v>
      </c>
      <c r="I332" s="47" t="s">
        <v>956</v>
      </c>
      <c r="J332" s="47" t="s">
        <v>957</v>
      </c>
      <c r="K332" s="47" t="s">
        <v>958</v>
      </c>
      <c r="L332" s="47" t="s">
        <v>959</v>
      </c>
      <c r="M332" s="47" t="s">
        <v>960</v>
      </c>
      <c r="N332" s="47" t="s">
        <v>961</v>
      </c>
      <c r="O332" s="47" t="s">
        <v>7478</v>
      </c>
      <c r="P332" s="47" t="s">
        <v>7479</v>
      </c>
      <c r="Q332" s="47" t="s">
        <v>7480</v>
      </c>
      <c r="R332" s="47" t="s">
        <v>7481</v>
      </c>
      <c r="S332" s="47" t="s">
        <v>7482</v>
      </c>
      <c r="T332" s="47" t="s">
        <v>7483</v>
      </c>
    </row>
    <row r="333" spans="1:21" x14ac:dyDescent="0.2">
      <c r="A333" s="47" t="s">
        <v>29</v>
      </c>
    </row>
    <row r="334" spans="1:21" x14ac:dyDescent="0.2">
      <c r="A334" s="47" t="s">
        <v>29</v>
      </c>
      <c r="E334" s="47" t="s">
        <v>30</v>
      </c>
      <c r="F334" s="47" t="s">
        <v>30</v>
      </c>
      <c r="G334" s="47" t="s">
        <v>30</v>
      </c>
      <c r="J334" s="47" t="s">
        <v>30</v>
      </c>
      <c r="K334" s="47" t="s">
        <v>30</v>
      </c>
      <c r="L334" s="47" t="s">
        <v>30</v>
      </c>
      <c r="M334" s="47" t="s">
        <v>30</v>
      </c>
    </row>
    <row r="335" spans="1:21" x14ac:dyDescent="0.2">
      <c r="A335" s="47" t="s">
        <v>29</v>
      </c>
      <c r="D335" s="47" t="s">
        <v>4536</v>
      </c>
      <c r="E335" s="47" t="s">
        <v>6543</v>
      </c>
      <c r="F335" s="47" t="s">
        <v>4537</v>
      </c>
      <c r="H335" s="47" t="s">
        <v>4538</v>
      </c>
      <c r="O335" s="47" t="s">
        <v>7484</v>
      </c>
      <c r="P335" s="47" t="s">
        <v>7485</v>
      </c>
      <c r="Q335" s="47" t="s">
        <v>7486</v>
      </c>
      <c r="R335" s="47" t="s">
        <v>7487</v>
      </c>
      <c r="S335" s="47" t="s">
        <v>7488</v>
      </c>
      <c r="T335" s="47" t="s">
        <v>7489</v>
      </c>
      <c r="U335" s="47" t="s">
        <v>7490</v>
      </c>
    </row>
    <row r="336" spans="1:21" x14ac:dyDescent="0.2">
      <c r="A336" s="47" t="s">
        <v>29</v>
      </c>
      <c r="D336" s="47" t="s">
        <v>3199</v>
      </c>
      <c r="G336" s="47" t="s">
        <v>7491</v>
      </c>
      <c r="H336" s="47" t="s">
        <v>3200</v>
      </c>
      <c r="I336" s="47" t="s">
        <v>3201</v>
      </c>
      <c r="J336" s="47" t="s">
        <v>3202</v>
      </c>
      <c r="K336" s="47" t="s">
        <v>3203</v>
      </c>
      <c r="L336" s="47" t="s">
        <v>3204</v>
      </c>
      <c r="M336" s="47" t="s">
        <v>3205</v>
      </c>
      <c r="N336" s="47" t="s">
        <v>3206</v>
      </c>
      <c r="O336" s="47" t="s">
        <v>4539</v>
      </c>
      <c r="P336" s="47" t="s">
        <v>4540</v>
      </c>
      <c r="Q336" s="47" t="s">
        <v>4541</v>
      </c>
      <c r="R336" s="47" t="s">
        <v>4542</v>
      </c>
      <c r="S336" s="47" t="s">
        <v>4543</v>
      </c>
      <c r="T336" s="47" t="s">
        <v>4544</v>
      </c>
    </row>
    <row r="337" spans="1:21" x14ac:dyDescent="0.2">
      <c r="A337" s="47" t="s">
        <v>29</v>
      </c>
    </row>
    <row r="338" spans="1:21" x14ac:dyDescent="0.2">
      <c r="A338" s="47" t="s">
        <v>29</v>
      </c>
      <c r="E338" s="47" t="s">
        <v>30</v>
      </c>
      <c r="F338" s="47" t="s">
        <v>30</v>
      </c>
      <c r="G338" s="47" t="s">
        <v>30</v>
      </c>
      <c r="J338" s="47" t="s">
        <v>30</v>
      </c>
      <c r="K338" s="47" t="s">
        <v>30</v>
      </c>
      <c r="L338" s="47" t="s">
        <v>30</v>
      </c>
      <c r="M338" s="47" t="s">
        <v>30</v>
      </c>
    </row>
    <row r="339" spans="1:21" x14ac:dyDescent="0.2">
      <c r="A339" s="47" t="s">
        <v>29</v>
      </c>
      <c r="D339" s="47" t="s">
        <v>5059</v>
      </c>
      <c r="E339" s="47" t="s">
        <v>6546</v>
      </c>
      <c r="F339" s="47" t="s">
        <v>5060</v>
      </c>
      <c r="H339" s="47" t="s">
        <v>5061</v>
      </c>
      <c r="O339" s="47" t="s">
        <v>7492</v>
      </c>
      <c r="P339" s="47" t="s">
        <v>7493</v>
      </c>
      <c r="Q339" s="47" t="s">
        <v>7494</v>
      </c>
      <c r="R339" s="47" t="s">
        <v>7495</v>
      </c>
      <c r="S339" s="47" t="s">
        <v>7496</v>
      </c>
      <c r="T339" s="47" t="s">
        <v>7497</v>
      </c>
      <c r="U339" s="47" t="s">
        <v>7498</v>
      </c>
    </row>
    <row r="340" spans="1:21" x14ac:dyDescent="0.2">
      <c r="A340" s="47" t="s">
        <v>29</v>
      </c>
      <c r="D340" s="47" t="s">
        <v>978</v>
      </c>
      <c r="G340" s="47" t="s">
        <v>5062</v>
      </c>
      <c r="H340" s="47" t="s">
        <v>979</v>
      </c>
      <c r="I340" s="47" t="s">
        <v>980</v>
      </c>
      <c r="J340" s="47" t="s">
        <v>981</v>
      </c>
      <c r="K340" s="47" t="s">
        <v>982</v>
      </c>
      <c r="L340" s="47" t="s">
        <v>983</v>
      </c>
      <c r="M340" s="47" t="s">
        <v>984</v>
      </c>
      <c r="N340" s="47" t="s">
        <v>985</v>
      </c>
      <c r="O340" s="47" t="s">
        <v>5063</v>
      </c>
      <c r="P340" s="47" t="s">
        <v>5064</v>
      </c>
      <c r="Q340" s="47" t="s">
        <v>5065</v>
      </c>
      <c r="R340" s="47" t="s">
        <v>5066</v>
      </c>
      <c r="S340" s="47" t="s">
        <v>5067</v>
      </c>
      <c r="T340" s="47" t="s">
        <v>5068</v>
      </c>
    </row>
    <row r="341" spans="1:21" x14ac:dyDescent="0.2">
      <c r="A341" s="47" t="s">
        <v>29</v>
      </c>
    </row>
    <row r="342" spans="1:21" x14ac:dyDescent="0.2">
      <c r="A342" s="47" t="s">
        <v>29</v>
      </c>
      <c r="E342" s="47" t="s">
        <v>30</v>
      </c>
      <c r="F342" s="47" t="s">
        <v>30</v>
      </c>
      <c r="G342" s="47" t="s">
        <v>30</v>
      </c>
      <c r="J342" s="47" t="s">
        <v>30</v>
      </c>
      <c r="K342" s="47" t="s">
        <v>30</v>
      </c>
      <c r="L342" s="47" t="s">
        <v>30</v>
      </c>
      <c r="M342" s="47" t="s">
        <v>30</v>
      </c>
    </row>
    <row r="344" spans="1:21" x14ac:dyDescent="0.2">
      <c r="N344" s="47" t="s">
        <v>31</v>
      </c>
      <c r="O344" s="47" t="s">
        <v>8602</v>
      </c>
      <c r="P344" s="47" t="s">
        <v>8603</v>
      </c>
      <c r="Q344" s="47" t="s">
        <v>8604</v>
      </c>
      <c r="R344" s="47" t="s">
        <v>8605</v>
      </c>
      <c r="S344" s="47" t="s">
        <v>8606</v>
      </c>
      <c r="T344" s="47" t="s">
        <v>8607</v>
      </c>
      <c r="U344" s="47" t="s">
        <v>8608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4"/>
    <pageSetUpPr fitToPage="1"/>
  </sheetPr>
  <dimension ref="A1:U749"/>
  <sheetViews>
    <sheetView showGridLines="0" tabSelected="1" zoomScale="75" workbookViewId="0">
      <pane ySplit="10" topLeftCell="A11" activePane="bottomLeft" state="frozen"/>
      <selection pane="bottomLeft"/>
    </sheetView>
  </sheetViews>
  <sheetFormatPr defaultRowHeight="14.25" customHeight="1" x14ac:dyDescent="0.25"/>
  <cols>
    <col min="1" max="1" width="9.140625" style="1" hidden="1" customWidth="1"/>
    <col min="2" max="3" width="2.85546875" style="1" bestFit="1" customWidth="1"/>
    <col min="4" max="4" width="11.140625" style="1" hidden="1" customWidth="1"/>
    <col min="5" max="5" width="22.28515625" style="1" bestFit="1" customWidth="1"/>
    <col min="6" max="6" width="60.7109375" style="1" bestFit="1" customWidth="1"/>
    <col min="7" max="7" width="43" style="1" hidden="1" customWidth="1"/>
    <col min="8" max="8" width="14.7109375" style="1" bestFit="1" customWidth="1"/>
    <col min="9" max="9" width="17.42578125" style="1" customWidth="1"/>
    <col min="10" max="10" width="14.42578125" style="1" bestFit="1" customWidth="1"/>
    <col min="11" max="11" width="20.85546875" style="1" bestFit="1" customWidth="1"/>
    <col min="12" max="12" width="35.140625" style="1" bestFit="1" customWidth="1"/>
    <col min="13" max="13" width="14.5703125" style="1" bestFit="1" customWidth="1"/>
    <col min="14" max="14" width="40.5703125" style="1" bestFit="1" customWidth="1"/>
    <col min="15" max="15" width="15" style="1" bestFit="1" customWidth="1"/>
    <col min="16" max="16" width="12" style="1" bestFit="1" customWidth="1"/>
    <col min="17" max="17" width="24.7109375" style="1" bestFit="1" customWidth="1"/>
    <col min="18" max="18" width="14.28515625" style="1" bestFit="1" customWidth="1"/>
    <col min="19" max="19" width="19.85546875" style="1" bestFit="1" customWidth="1"/>
    <col min="20" max="20" width="8.7109375" style="1" bestFit="1" customWidth="1"/>
    <col min="21" max="21" width="26" style="1" bestFit="1" customWidth="1"/>
    <col min="22" max="16384" width="9.140625" style="1"/>
  </cols>
  <sheetData>
    <row r="1" spans="1:21" ht="14.25" hidden="1" customHeight="1" x14ac:dyDescent="0.25">
      <c r="A1" s="15" t="s">
        <v>10000</v>
      </c>
      <c r="B1" s="15" t="s">
        <v>8</v>
      </c>
      <c r="C1" s="15" t="s">
        <v>8</v>
      </c>
      <c r="D1" s="15" t="s">
        <v>9</v>
      </c>
      <c r="E1" s="15" t="s">
        <v>8</v>
      </c>
      <c r="F1" s="15" t="s">
        <v>8</v>
      </c>
      <c r="G1" s="15" t="s">
        <v>9</v>
      </c>
      <c r="H1" s="15" t="s">
        <v>8</v>
      </c>
      <c r="I1" s="15"/>
      <c r="J1" s="15" t="s">
        <v>8</v>
      </c>
      <c r="K1" s="15" t="s">
        <v>8</v>
      </c>
      <c r="L1" s="15" t="s">
        <v>8</v>
      </c>
      <c r="M1" s="15" t="s">
        <v>8</v>
      </c>
      <c r="N1" s="15"/>
      <c r="O1" s="15" t="s">
        <v>8</v>
      </c>
      <c r="P1" s="15" t="s">
        <v>8</v>
      </c>
      <c r="Q1" s="15" t="s">
        <v>8</v>
      </c>
      <c r="R1" s="15" t="s">
        <v>8</v>
      </c>
      <c r="S1" s="15" t="s">
        <v>8</v>
      </c>
      <c r="T1" s="15" t="s">
        <v>8</v>
      </c>
      <c r="U1" s="15" t="s">
        <v>8</v>
      </c>
    </row>
    <row r="2" spans="1:21" ht="14.25" customHeight="1" x14ac:dyDescent="0.25">
      <c r="A2" s="15"/>
    </row>
    <row r="3" spans="1:21" ht="30.75" customHeight="1" x14ac:dyDescent="0.55000000000000004">
      <c r="A3" s="15"/>
      <c r="D3" s="16"/>
      <c r="E3" s="63" t="s">
        <v>10</v>
      </c>
      <c r="F3" s="63"/>
      <c r="G3" s="17"/>
      <c r="H3" s="17"/>
      <c r="I3" s="17"/>
      <c r="J3" s="17"/>
      <c r="K3" s="17"/>
      <c r="L3" s="17"/>
      <c r="O3" s="16"/>
    </row>
    <row r="4" spans="1:21" ht="24" customHeight="1" x14ac:dyDescent="0.3">
      <c r="A4" s="15"/>
      <c r="K4" s="50" t="s">
        <v>2043</v>
      </c>
      <c r="L4" s="49">
        <v>45173.575416666667</v>
      </c>
    </row>
    <row r="5" spans="1:21" ht="26.25" x14ac:dyDescent="0.45">
      <c r="A5" s="15"/>
      <c r="E5" s="21" t="s">
        <v>12</v>
      </c>
      <c r="F5" s="18"/>
      <c r="K5" s="51" t="s">
        <v>5</v>
      </c>
      <c r="L5" s="48" t="str">
        <f>Options!C4</f>
        <v>1/1/2019..10/1/2019</v>
      </c>
    </row>
    <row r="6" spans="1:21" ht="26.25" customHeight="1" x14ac:dyDescent="0.3">
      <c r="A6" s="15"/>
      <c r="K6" s="51" t="s">
        <v>6</v>
      </c>
      <c r="L6" s="48" t="str">
        <f>Options!C5</f>
        <v>*</v>
      </c>
    </row>
    <row r="7" spans="1:21" ht="26.25" customHeight="1" x14ac:dyDescent="0.3">
      <c r="A7" s="15"/>
      <c r="C7" s="19"/>
      <c r="D7" s="19"/>
      <c r="E7" s="19"/>
      <c r="F7" s="19"/>
      <c r="G7" s="19"/>
      <c r="H7" s="20"/>
      <c r="I7" s="20"/>
      <c r="J7" s="19"/>
      <c r="K7" s="51" t="s">
        <v>11</v>
      </c>
      <c r="L7" s="48" t="str">
        <f>Options!C6</f>
        <v>NY-WHSE1..NY-WHSE3</v>
      </c>
      <c r="M7" s="19"/>
      <c r="P7" s="20"/>
      <c r="Q7" s="19"/>
      <c r="R7" s="19"/>
      <c r="S7" s="19"/>
      <c r="T7" s="19"/>
      <c r="U7" s="19"/>
    </row>
    <row r="8" spans="1:21" ht="26.25" customHeight="1" x14ac:dyDescent="0.45">
      <c r="A8" s="15"/>
      <c r="C8" s="19"/>
      <c r="D8" s="20"/>
      <c r="E8" s="21"/>
      <c r="F8" s="20"/>
      <c r="G8" s="20"/>
      <c r="H8" s="20"/>
      <c r="I8" s="20"/>
      <c r="J8" s="20"/>
      <c r="K8" s="20"/>
      <c r="L8" s="20"/>
      <c r="M8" s="22"/>
      <c r="N8" s="20"/>
      <c r="O8" s="20"/>
      <c r="P8" s="20"/>
      <c r="Q8" s="20"/>
      <c r="R8" s="20"/>
      <c r="S8" s="20"/>
      <c r="T8" s="20"/>
      <c r="U8" s="20"/>
    </row>
    <row r="9" spans="1:21" ht="20.100000000000001" customHeight="1" x14ac:dyDescent="0.35">
      <c r="A9" s="15"/>
      <c r="C9" s="19"/>
      <c r="D9" s="23"/>
      <c r="E9" s="24" t="s">
        <v>6</v>
      </c>
      <c r="F9" s="25" t="s">
        <v>14</v>
      </c>
      <c r="G9" s="25"/>
      <c r="H9" s="26" t="s">
        <v>15</v>
      </c>
      <c r="I9" s="25"/>
      <c r="J9" s="25"/>
      <c r="K9" s="25"/>
      <c r="L9" s="25"/>
      <c r="M9" s="25"/>
      <c r="N9" s="25"/>
      <c r="O9" s="26"/>
      <c r="P9" s="27"/>
      <c r="Q9" s="28"/>
      <c r="R9" s="28"/>
      <c r="S9" s="28"/>
      <c r="T9" s="28"/>
      <c r="U9" s="29"/>
    </row>
    <row r="10" spans="1:21" ht="20.100000000000001" customHeight="1" x14ac:dyDescent="0.35">
      <c r="A10" s="15"/>
      <c r="C10" s="19"/>
      <c r="D10" s="23"/>
      <c r="E10" s="24"/>
      <c r="F10" s="25"/>
      <c r="G10" s="25"/>
      <c r="H10" s="30" t="s">
        <v>16</v>
      </c>
      <c r="I10" s="30" t="s">
        <v>17</v>
      </c>
      <c r="J10" s="30" t="s">
        <v>18</v>
      </c>
      <c r="K10" s="30" t="s">
        <v>19</v>
      </c>
      <c r="L10" s="30" t="s">
        <v>20</v>
      </c>
      <c r="M10" s="30" t="s">
        <v>21</v>
      </c>
      <c r="N10" s="30" t="s">
        <v>13</v>
      </c>
      <c r="O10" s="31" t="s">
        <v>22</v>
      </c>
      <c r="P10" s="31" t="s">
        <v>23</v>
      </c>
      <c r="Q10" s="31" t="s">
        <v>24</v>
      </c>
      <c r="R10" s="31" t="s">
        <v>25</v>
      </c>
      <c r="S10" s="31" t="s">
        <v>26</v>
      </c>
      <c r="T10" s="31" t="s">
        <v>27</v>
      </c>
      <c r="U10" s="32" t="s">
        <v>28</v>
      </c>
    </row>
    <row r="11" spans="1:21" ht="17.25" customHeight="1" x14ac:dyDescent="0.3">
      <c r="A11" s="15"/>
      <c r="C11" s="19"/>
      <c r="D11" s="33"/>
      <c r="E11" s="33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52"/>
    </row>
    <row r="12" spans="1:21" ht="20.25" customHeight="1" x14ac:dyDescent="0.35">
      <c r="A12" s="15"/>
      <c r="C12" s="19"/>
      <c r="D12" s="34" t="str">
        <f>E12</f>
        <v>C100002</v>
      </c>
      <c r="E12" s="35" t="str">
        <f>"C100002"</f>
        <v>C100002</v>
      </c>
      <c r="F12" s="36" t="str">
        <f>"Border Style"</f>
        <v>Border Style</v>
      </c>
      <c r="G12" s="36"/>
      <c r="H12" s="37" t="str">
        <f>"EA"</f>
        <v>EA</v>
      </c>
      <c r="I12" s="36"/>
      <c r="J12" s="36"/>
      <c r="K12" s="36"/>
      <c r="L12" s="36"/>
      <c r="M12" s="36"/>
      <c r="N12" s="36"/>
      <c r="O12" s="38">
        <f t="shared" ref="O12:T12" si="0">(SUBTOTAL(9,O13:O15))</f>
        <v>200</v>
      </c>
      <c r="P12" s="38">
        <f t="shared" si="0"/>
        <v>-1</v>
      </c>
      <c r="Q12" s="38">
        <f t="shared" si="0"/>
        <v>0</v>
      </c>
      <c r="R12" s="38">
        <f t="shared" si="0"/>
        <v>0</v>
      </c>
      <c r="S12" s="38">
        <f t="shared" si="0"/>
        <v>0</v>
      </c>
      <c r="T12" s="38">
        <f t="shared" si="0"/>
        <v>0</v>
      </c>
      <c r="U12" s="53">
        <f>SUBTOTAL(9,O13:T15)</f>
        <v>199</v>
      </c>
    </row>
    <row r="13" spans="1:21" ht="17.25" customHeight="1" x14ac:dyDescent="0.3">
      <c r="A13" s="15"/>
      <c r="C13" s="19"/>
      <c r="D13" s="33" t="str">
        <f>D12</f>
        <v>C100002</v>
      </c>
      <c r="E13" s="33"/>
      <c r="F13" s="20"/>
      <c r="G13" s="20" t="str">
        <f>"""NAV"",""CRONUS JetCorp USA"",""32"",""1"",""166419"""</f>
        <v>"NAV","CRONUS JetCorp USA","32","1","166419"</v>
      </c>
      <c r="H13" s="39">
        <v>43466</v>
      </c>
      <c r="I13" s="40">
        <v>166419</v>
      </c>
      <c r="J13" s="40" t="str">
        <f>"Vendor"</f>
        <v>Vendor</v>
      </c>
      <c r="K13" s="40" t="str">
        <f>"V100003"</f>
        <v>V100003</v>
      </c>
      <c r="L13" s="40" t="str">
        <f>""</f>
        <v/>
      </c>
      <c r="M13" s="40" t="str">
        <f>"LogoMasters"</f>
        <v>LogoMasters</v>
      </c>
      <c r="N13" s="40" t="str">
        <f>""</f>
        <v/>
      </c>
      <c r="O13" s="41">
        <v>200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54"/>
    </row>
    <row r="14" spans="1:21" ht="17.25" customHeight="1" x14ac:dyDescent="0.3">
      <c r="A14" s="15" t="s">
        <v>29</v>
      </c>
      <c r="C14" s="19"/>
      <c r="D14" s="33" t="str">
        <f>D13</f>
        <v>C100002</v>
      </c>
      <c r="E14" s="33"/>
      <c r="F14" s="20"/>
      <c r="G14" s="20" t="str">
        <f>"""NAV"",""CRONUS JetCorp USA"",""32"",""1"",""7561"""</f>
        <v>"NAV","CRONUS JetCorp USA","32","1","7561"</v>
      </c>
      <c r="H14" s="39">
        <v>43469</v>
      </c>
      <c r="I14" s="40">
        <v>7561</v>
      </c>
      <c r="J14" s="40" t="str">
        <f>"Customer"</f>
        <v>Customer</v>
      </c>
      <c r="K14" s="40" t="str">
        <f>"C100030"</f>
        <v>C100030</v>
      </c>
      <c r="L14" s="40" t="str">
        <f>"Stutringers"</f>
        <v>Stutringers</v>
      </c>
      <c r="M14" s="40" t="str">
        <f>""</f>
        <v/>
      </c>
      <c r="N14" s="40" t="str">
        <f>""</f>
        <v/>
      </c>
      <c r="O14" s="41">
        <v>0</v>
      </c>
      <c r="P14" s="41">
        <v>-1</v>
      </c>
      <c r="Q14" s="41">
        <v>0</v>
      </c>
      <c r="R14" s="41">
        <v>0</v>
      </c>
      <c r="S14" s="41">
        <v>0</v>
      </c>
      <c r="T14" s="41">
        <v>0</v>
      </c>
      <c r="U14" s="54"/>
    </row>
    <row r="15" spans="1:21" ht="17.25" customHeight="1" x14ac:dyDescent="0.3">
      <c r="A15" s="15"/>
      <c r="C15" s="19"/>
      <c r="D15" s="33"/>
      <c r="E15" s="33"/>
      <c r="F15" s="20"/>
      <c r="G15" s="20"/>
      <c r="H15" s="20"/>
      <c r="I15" s="20"/>
      <c r="J15" s="20"/>
      <c r="K15" s="20"/>
      <c r="L15" s="20"/>
      <c r="M15" s="20"/>
      <c r="N15" s="20"/>
      <c r="O15" s="42"/>
      <c r="P15" s="42"/>
      <c r="Q15" s="42"/>
      <c r="R15" s="42"/>
      <c r="S15" s="42"/>
      <c r="T15" s="42"/>
      <c r="U15" s="55"/>
    </row>
    <row r="16" spans="1:21" ht="17.25" customHeight="1" x14ac:dyDescent="0.3">
      <c r="A16" s="15"/>
      <c r="C16" s="19"/>
      <c r="D16" s="33"/>
      <c r="E16" s="33" t="s">
        <v>30</v>
      </c>
      <c r="F16" s="20" t="s">
        <v>30</v>
      </c>
      <c r="G16" s="20" t="s">
        <v>30</v>
      </c>
      <c r="H16" s="20"/>
      <c r="I16" s="20"/>
      <c r="J16" s="20" t="s">
        <v>30</v>
      </c>
      <c r="K16" s="20" t="s">
        <v>30</v>
      </c>
      <c r="L16" s="20" t="s">
        <v>30</v>
      </c>
      <c r="M16" s="20" t="s">
        <v>30</v>
      </c>
      <c r="N16" s="20"/>
      <c r="U16" s="56"/>
    </row>
    <row r="17" spans="1:21" ht="20.25" customHeight="1" x14ac:dyDescent="0.35">
      <c r="A17" s="15" t="s">
        <v>29</v>
      </c>
      <c r="C17" s="19"/>
      <c r="D17" s="34" t="str">
        <f t="shared" ref="D17" si="1">E17</f>
        <v>C100003</v>
      </c>
      <c r="E17" s="35" t="str">
        <f>"C100003"</f>
        <v>C100003</v>
      </c>
      <c r="F17" s="36" t="str">
        <f>"Cherry Finish Frame"</f>
        <v>Cherry Finish Frame</v>
      </c>
      <c r="G17" s="36"/>
      <c r="H17" s="37" t="str">
        <f>"EA"</f>
        <v>EA</v>
      </c>
      <c r="I17" s="36"/>
      <c r="J17" s="36"/>
      <c r="K17" s="36"/>
      <c r="L17" s="36"/>
      <c r="M17" s="36"/>
      <c r="N17" s="36"/>
      <c r="O17" s="38">
        <f t="shared" ref="O17:T17" si="2">(SUBTOTAL(9,O18:O20))</f>
        <v>600</v>
      </c>
      <c r="P17" s="38">
        <f t="shared" si="2"/>
        <v>-12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0</v>
      </c>
      <c r="U17" s="53">
        <f t="shared" ref="U17" si="3">SUBTOTAL(9,O18:T20)</f>
        <v>588</v>
      </c>
    </row>
    <row r="18" spans="1:21" ht="17.25" customHeight="1" x14ac:dyDescent="0.3">
      <c r="A18" s="15" t="s">
        <v>29</v>
      </c>
      <c r="C18" s="19"/>
      <c r="D18" s="33" t="str">
        <f t="shared" ref="D18" si="4">D17</f>
        <v>C100003</v>
      </c>
      <c r="E18" s="33"/>
      <c r="F18" s="20"/>
      <c r="G18" s="20" t="str">
        <f>"""NAV"",""CRONUS JetCorp USA"",""32"",""1"",""166418"""</f>
        <v>"NAV","CRONUS JetCorp USA","32","1","166418"</v>
      </c>
      <c r="H18" s="39">
        <v>43466</v>
      </c>
      <c r="I18" s="40">
        <v>166418</v>
      </c>
      <c r="J18" s="40" t="str">
        <f>"Vendor"</f>
        <v>Vendor</v>
      </c>
      <c r="K18" s="40" t="str">
        <f>"V100003"</f>
        <v>V100003</v>
      </c>
      <c r="L18" s="40" t="str">
        <f>""</f>
        <v/>
      </c>
      <c r="M18" s="40" t="str">
        <f>"LogoMasters"</f>
        <v>LogoMasters</v>
      </c>
      <c r="N18" s="40" t="str">
        <f>""</f>
        <v/>
      </c>
      <c r="O18" s="41">
        <v>600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54"/>
    </row>
    <row r="19" spans="1:21" ht="17.25" customHeight="1" x14ac:dyDescent="0.3">
      <c r="A19" s="15" t="s">
        <v>29</v>
      </c>
      <c r="C19" s="19"/>
      <c r="D19" s="33" t="str">
        <f t="shared" ref="D19" si="5">D18</f>
        <v>C100003</v>
      </c>
      <c r="E19" s="33"/>
      <c r="F19" s="20"/>
      <c r="G19" s="20" t="str">
        <f>"""NAV"",""CRONUS JetCorp USA"",""32"",""1"",""20385"""</f>
        <v>"NAV","CRONUS JetCorp USA","32","1","20385"</v>
      </c>
      <c r="H19" s="39">
        <v>43473</v>
      </c>
      <c r="I19" s="40">
        <v>20385</v>
      </c>
      <c r="J19" s="40" t="str">
        <f>"Customer"</f>
        <v>Customer</v>
      </c>
      <c r="K19" s="40" t="str">
        <f>"C100130"</f>
        <v>C100130</v>
      </c>
      <c r="L19" s="40" t="str">
        <f>"Hotspot Systems"</f>
        <v>Hotspot Systems</v>
      </c>
      <c r="M19" s="40" t="str">
        <f>""</f>
        <v/>
      </c>
      <c r="N19" s="40" t="str">
        <f>""</f>
        <v/>
      </c>
      <c r="O19" s="41">
        <v>0</v>
      </c>
      <c r="P19" s="41">
        <v>-12</v>
      </c>
      <c r="Q19" s="41">
        <v>0</v>
      </c>
      <c r="R19" s="41">
        <v>0</v>
      </c>
      <c r="S19" s="41">
        <v>0</v>
      </c>
      <c r="T19" s="41">
        <v>0</v>
      </c>
      <c r="U19" s="54"/>
    </row>
    <row r="20" spans="1:21" ht="17.25" customHeight="1" x14ac:dyDescent="0.3">
      <c r="A20" s="15" t="s">
        <v>29</v>
      </c>
      <c r="C20" s="19"/>
      <c r="D20" s="33"/>
      <c r="E20" s="33"/>
      <c r="F20" s="20"/>
      <c r="G20" s="20"/>
      <c r="H20" s="20"/>
      <c r="I20" s="20"/>
      <c r="J20" s="20"/>
      <c r="K20" s="20"/>
      <c r="L20" s="20"/>
      <c r="M20" s="20"/>
      <c r="N20" s="20"/>
      <c r="O20" s="42"/>
      <c r="P20" s="42"/>
      <c r="Q20" s="42"/>
      <c r="R20" s="42"/>
      <c r="S20" s="42"/>
      <c r="T20" s="42"/>
      <c r="U20" s="55"/>
    </row>
    <row r="21" spans="1:21" ht="17.25" customHeight="1" x14ac:dyDescent="0.3">
      <c r="A21" s="15" t="s">
        <v>29</v>
      </c>
      <c r="C21" s="19"/>
      <c r="D21" s="33"/>
      <c r="E21" s="33" t="s">
        <v>30</v>
      </c>
      <c r="F21" s="20" t="s">
        <v>30</v>
      </c>
      <c r="G21" s="20" t="s">
        <v>30</v>
      </c>
      <c r="H21" s="20"/>
      <c r="I21" s="20"/>
      <c r="J21" s="20" t="s">
        <v>30</v>
      </c>
      <c r="K21" s="20" t="s">
        <v>30</v>
      </c>
      <c r="L21" s="20" t="s">
        <v>30</v>
      </c>
      <c r="M21" s="20" t="s">
        <v>30</v>
      </c>
      <c r="N21" s="20"/>
      <c r="U21" s="56"/>
    </row>
    <row r="22" spans="1:21" ht="20.25" customHeight="1" x14ac:dyDescent="0.35">
      <c r="A22" s="15" t="s">
        <v>29</v>
      </c>
      <c r="C22" s="19"/>
      <c r="D22" s="34" t="str">
        <f t="shared" ref="D22" si="6">E22</f>
        <v>C100004</v>
      </c>
      <c r="E22" s="35" t="str">
        <f>"C100004"</f>
        <v>C100004</v>
      </c>
      <c r="F22" s="36" t="str">
        <f>"Walnut Medallian Plate"</f>
        <v>Walnut Medallian Plate</v>
      </c>
      <c r="G22" s="36"/>
      <c r="H22" s="37" t="str">
        <f>"EA"</f>
        <v>EA</v>
      </c>
      <c r="I22" s="36"/>
      <c r="J22" s="36"/>
      <c r="K22" s="36"/>
      <c r="L22" s="36"/>
      <c r="M22" s="36"/>
      <c r="N22" s="36"/>
      <c r="O22" s="38">
        <f t="shared" ref="O22:T22" si="7">(SUBTOTAL(9,O23:O25))</f>
        <v>400</v>
      </c>
      <c r="P22" s="38">
        <f t="shared" si="7"/>
        <v>-1</v>
      </c>
      <c r="Q22" s="38">
        <f t="shared" si="7"/>
        <v>0</v>
      </c>
      <c r="R22" s="38">
        <f t="shared" si="7"/>
        <v>0</v>
      </c>
      <c r="S22" s="38">
        <f t="shared" si="7"/>
        <v>0</v>
      </c>
      <c r="T22" s="38">
        <f t="shared" si="7"/>
        <v>0</v>
      </c>
      <c r="U22" s="53">
        <f t="shared" ref="U22" si="8">SUBTOTAL(9,O23:T25)</f>
        <v>399</v>
      </c>
    </row>
    <row r="23" spans="1:21" ht="17.25" customHeight="1" x14ac:dyDescent="0.3">
      <c r="A23" s="15" t="s">
        <v>29</v>
      </c>
      <c r="C23" s="19"/>
      <c r="D23" s="33" t="str">
        <f t="shared" ref="D23" si="9">D22</f>
        <v>C100004</v>
      </c>
      <c r="E23" s="33"/>
      <c r="F23" s="20"/>
      <c r="G23" s="20" t="str">
        <f>"""NAV"",""CRONUS JetCorp USA"",""32"",""1"",""166417"""</f>
        <v>"NAV","CRONUS JetCorp USA","32","1","166417"</v>
      </c>
      <c r="H23" s="39">
        <v>43466</v>
      </c>
      <c r="I23" s="40">
        <v>166417</v>
      </c>
      <c r="J23" s="40" t="str">
        <f>"Vendor"</f>
        <v>Vendor</v>
      </c>
      <c r="K23" s="40" t="str">
        <f>"V100003"</f>
        <v>V100003</v>
      </c>
      <c r="L23" s="40" t="str">
        <f>""</f>
        <v/>
      </c>
      <c r="M23" s="40" t="str">
        <f>"LogoMasters"</f>
        <v>LogoMasters</v>
      </c>
      <c r="N23" s="40" t="str">
        <f>""</f>
        <v/>
      </c>
      <c r="O23" s="41">
        <v>400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54"/>
    </row>
    <row r="24" spans="1:21" ht="17.25" customHeight="1" x14ac:dyDescent="0.3">
      <c r="A24" s="15" t="s">
        <v>29</v>
      </c>
      <c r="C24" s="19"/>
      <c r="D24" s="33" t="str">
        <f t="shared" ref="D24" si="10">D23</f>
        <v>C100004</v>
      </c>
      <c r="E24" s="33"/>
      <c r="F24" s="20"/>
      <c r="G24" s="20" t="str">
        <f>"""NAV"",""CRONUS JetCorp USA"",""32"",""1"",""114271"""</f>
        <v>"NAV","CRONUS JetCorp USA","32","1","114271"</v>
      </c>
      <c r="H24" s="39">
        <v>43470</v>
      </c>
      <c r="I24" s="40">
        <v>114271</v>
      </c>
      <c r="J24" s="40" t="str">
        <f>"Customer"</f>
        <v>Customer</v>
      </c>
      <c r="K24" s="40" t="str">
        <f>"C100076"</f>
        <v>C100076</v>
      </c>
      <c r="L24" s="40" t="str">
        <f>"Showmasters"</f>
        <v>Showmasters</v>
      </c>
      <c r="M24" s="40" t="str">
        <f>""</f>
        <v/>
      </c>
      <c r="N24" s="40" t="str">
        <f>""</f>
        <v/>
      </c>
      <c r="O24" s="41">
        <v>0</v>
      </c>
      <c r="P24" s="41">
        <v>-1</v>
      </c>
      <c r="Q24" s="41">
        <v>0</v>
      </c>
      <c r="R24" s="41">
        <v>0</v>
      </c>
      <c r="S24" s="41">
        <v>0</v>
      </c>
      <c r="T24" s="41">
        <v>0</v>
      </c>
      <c r="U24" s="54"/>
    </row>
    <row r="25" spans="1:21" ht="17.25" customHeight="1" x14ac:dyDescent="0.3">
      <c r="A25" s="15" t="s">
        <v>29</v>
      </c>
      <c r="C25" s="19"/>
      <c r="D25" s="33"/>
      <c r="E25" s="33"/>
      <c r="F25" s="20"/>
      <c r="G25" s="20"/>
      <c r="H25" s="20"/>
      <c r="I25" s="20"/>
      <c r="J25" s="20"/>
      <c r="K25" s="20"/>
      <c r="L25" s="20"/>
      <c r="M25" s="20"/>
      <c r="N25" s="20"/>
      <c r="O25" s="42"/>
      <c r="P25" s="42"/>
      <c r="Q25" s="42"/>
      <c r="R25" s="42"/>
      <c r="S25" s="42"/>
      <c r="T25" s="42"/>
      <c r="U25" s="55"/>
    </row>
    <row r="26" spans="1:21" ht="17.25" customHeight="1" x14ac:dyDescent="0.3">
      <c r="A26" s="15" t="s">
        <v>29</v>
      </c>
      <c r="C26" s="19"/>
      <c r="D26" s="33"/>
      <c r="E26" s="33" t="s">
        <v>30</v>
      </c>
      <c r="F26" s="20" t="s">
        <v>30</v>
      </c>
      <c r="G26" s="20" t="s">
        <v>30</v>
      </c>
      <c r="H26" s="20"/>
      <c r="I26" s="20"/>
      <c r="J26" s="20" t="s">
        <v>30</v>
      </c>
      <c r="K26" s="20" t="s">
        <v>30</v>
      </c>
      <c r="L26" s="20" t="s">
        <v>30</v>
      </c>
      <c r="M26" s="20" t="s">
        <v>30</v>
      </c>
      <c r="N26" s="20"/>
      <c r="U26" s="56"/>
    </row>
    <row r="27" spans="1:21" ht="20.25" customHeight="1" x14ac:dyDescent="0.35">
      <c r="A27" s="15" t="s">
        <v>29</v>
      </c>
      <c r="C27" s="19"/>
      <c r="D27" s="34" t="str">
        <f t="shared" ref="D27" si="11">E27</f>
        <v>C100005</v>
      </c>
      <c r="E27" s="35" t="str">
        <f>"C100005"</f>
        <v>C100005</v>
      </c>
      <c r="F27" s="36" t="str">
        <f>"Cherry Finished Crystal Award"</f>
        <v>Cherry Finished Crystal Award</v>
      </c>
      <c r="G27" s="36"/>
      <c r="H27" s="37" t="str">
        <f>"EA"</f>
        <v>EA</v>
      </c>
      <c r="I27" s="36"/>
      <c r="J27" s="36"/>
      <c r="K27" s="36"/>
      <c r="L27" s="36"/>
      <c r="M27" s="36"/>
      <c r="N27" s="36"/>
      <c r="O27" s="38">
        <f t="shared" ref="O27:T27" si="12">(SUBTOTAL(9,O28:O31))</f>
        <v>200</v>
      </c>
      <c r="P27" s="38">
        <f t="shared" si="12"/>
        <v>-48</v>
      </c>
      <c r="Q27" s="38">
        <f t="shared" si="12"/>
        <v>0</v>
      </c>
      <c r="R27" s="38">
        <f t="shared" si="12"/>
        <v>0</v>
      </c>
      <c r="S27" s="38">
        <f t="shared" si="12"/>
        <v>0</v>
      </c>
      <c r="T27" s="38">
        <f t="shared" si="12"/>
        <v>0</v>
      </c>
      <c r="U27" s="53">
        <f t="shared" ref="U27" si="13">SUBTOTAL(9,O28:T31)</f>
        <v>152</v>
      </c>
    </row>
    <row r="28" spans="1:21" ht="17.25" customHeight="1" x14ac:dyDescent="0.3">
      <c r="A28" s="15" t="s">
        <v>29</v>
      </c>
      <c r="C28" s="19"/>
      <c r="D28" s="33" t="str">
        <f t="shared" ref="D28" si="14">D27</f>
        <v>C100005</v>
      </c>
      <c r="E28" s="33"/>
      <c r="F28" s="20"/>
      <c r="G28" s="20" t="str">
        <f>"""NAV"",""CRONUS JetCorp USA"",""32"",""1"",""166416"""</f>
        <v>"NAV","CRONUS JetCorp USA","32","1","166416"</v>
      </c>
      <c r="H28" s="39">
        <v>43466</v>
      </c>
      <c r="I28" s="40">
        <v>166416</v>
      </c>
      <c r="J28" s="40" t="str">
        <f>"Vendor"</f>
        <v>Vendor</v>
      </c>
      <c r="K28" s="40" t="str">
        <f>"V100003"</f>
        <v>V100003</v>
      </c>
      <c r="L28" s="40" t="str">
        <f>""</f>
        <v/>
      </c>
      <c r="M28" s="40" t="str">
        <f>"LogoMasters"</f>
        <v>LogoMasters</v>
      </c>
      <c r="N28" s="40" t="str">
        <f>""</f>
        <v/>
      </c>
      <c r="O28" s="41">
        <v>100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54"/>
    </row>
    <row r="29" spans="1:21" ht="17.25" customHeight="1" x14ac:dyDescent="0.3">
      <c r="A29" s="15" t="s">
        <v>29</v>
      </c>
      <c r="C29" s="19"/>
      <c r="D29" s="33" t="str">
        <f t="shared" ref="D29:D30" si="15">D28</f>
        <v>C100005</v>
      </c>
      <c r="E29" s="33"/>
      <c r="F29" s="20"/>
      <c r="G29" s="20" t="str">
        <f>"""NAV"",""CRONUS JetCorp USA"",""32"",""1"",""166428"""</f>
        <v>"NAV","CRONUS JetCorp USA","32","1","166428"</v>
      </c>
      <c r="H29" s="39">
        <v>43466</v>
      </c>
      <c r="I29" s="40">
        <v>166428</v>
      </c>
      <c r="J29" s="40" t="str">
        <f>"Vendor"</f>
        <v>Vendor</v>
      </c>
      <c r="K29" s="40" t="str">
        <f>"V100001"</f>
        <v>V100001</v>
      </c>
      <c r="L29" s="40" t="str">
        <f>""</f>
        <v/>
      </c>
      <c r="M29" s="40" t="str">
        <f>"Greigner, Inc."</f>
        <v>Greigner, Inc.</v>
      </c>
      <c r="N29" s="40" t="str">
        <f>""</f>
        <v/>
      </c>
      <c r="O29" s="41">
        <v>100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54"/>
    </row>
    <row r="30" spans="1:21" ht="17.25" customHeight="1" x14ac:dyDescent="0.3">
      <c r="A30" s="15" t="s">
        <v>29</v>
      </c>
      <c r="C30" s="19"/>
      <c r="D30" s="33" t="str">
        <f t="shared" si="15"/>
        <v>C100005</v>
      </c>
      <c r="E30" s="33"/>
      <c r="F30" s="20"/>
      <c r="G30" s="20" t="str">
        <f>"""NAV"",""CRONUS JetCorp USA"",""32"",""1"",""20377"""</f>
        <v>"NAV","CRONUS JetCorp USA","32","1","20377"</v>
      </c>
      <c r="H30" s="39">
        <v>43473</v>
      </c>
      <c r="I30" s="40">
        <v>20377</v>
      </c>
      <c r="J30" s="40" t="str">
        <f>"Customer"</f>
        <v>Customer</v>
      </c>
      <c r="K30" s="40" t="str">
        <f>"C100130"</f>
        <v>C100130</v>
      </c>
      <c r="L30" s="40" t="str">
        <f>"Hotspot Systems"</f>
        <v>Hotspot Systems</v>
      </c>
      <c r="M30" s="40" t="str">
        <f>""</f>
        <v/>
      </c>
      <c r="N30" s="40" t="str">
        <f>""</f>
        <v/>
      </c>
      <c r="O30" s="41">
        <v>0</v>
      </c>
      <c r="P30" s="41">
        <v>-48</v>
      </c>
      <c r="Q30" s="41">
        <v>0</v>
      </c>
      <c r="R30" s="41">
        <v>0</v>
      </c>
      <c r="S30" s="41">
        <v>0</v>
      </c>
      <c r="T30" s="41">
        <v>0</v>
      </c>
      <c r="U30" s="54"/>
    </row>
    <row r="31" spans="1:21" ht="17.25" customHeight="1" x14ac:dyDescent="0.3">
      <c r="A31" s="15" t="s">
        <v>29</v>
      </c>
      <c r="C31" s="19"/>
      <c r="D31" s="33"/>
      <c r="E31" s="33"/>
      <c r="F31" s="20"/>
      <c r="G31" s="20"/>
      <c r="H31" s="20"/>
      <c r="I31" s="20"/>
      <c r="J31" s="20"/>
      <c r="K31" s="20"/>
      <c r="L31" s="20"/>
      <c r="M31" s="20"/>
      <c r="N31" s="20"/>
      <c r="O31" s="42"/>
      <c r="P31" s="42"/>
      <c r="Q31" s="42"/>
      <c r="R31" s="42"/>
      <c r="S31" s="42"/>
      <c r="T31" s="42"/>
      <c r="U31" s="55"/>
    </row>
    <row r="32" spans="1:21" ht="17.25" customHeight="1" x14ac:dyDescent="0.3">
      <c r="A32" s="15" t="s">
        <v>29</v>
      </c>
      <c r="C32" s="19"/>
      <c r="D32" s="33"/>
      <c r="E32" s="33" t="s">
        <v>30</v>
      </c>
      <c r="F32" s="20" t="s">
        <v>30</v>
      </c>
      <c r="G32" s="20" t="s">
        <v>30</v>
      </c>
      <c r="H32" s="20"/>
      <c r="I32" s="20"/>
      <c r="J32" s="20" t="s">
        <v>30</v>
      </c>
      <c r="K32" s="20" t="s">
        <v>30</v>
      </c>
      <c r="L32" s="20" t="s">
        <v>30</v>
      </c>
      <c r="M32" s="20" t="s">
        <v>30</v>
      </c>
      <c r="N32" s="20"/>
      <c r="U32" s="56"/>
    </row>
    <row r="33" spans="1:21" ht="20.25" customHeight="1" x14ac:dyDescent="0.35">
      <c r="A33" s="15" t="s">
        <v>29</v>
      </c>
      <c r="C33" s="19"/>
      <c r="D33" s="34" t="str">
        <f t="shared" ref="D33" si="16">E33</f>
        <v>C100006</v>
      </c>
      <c r="E33" s="35" t="str">
        <f>"C100006"</f>
        <v>C100006</v>
      </c>
      <c r="F33" s="36" t="str">
        <f>"Cherry Finished Crystal Award- Large"</f>
        <v>Cherry Finished Crystal Award- Large</v>
      </c>
      <c r="G33" s="36"/>
      <c r="H33" s="37" t="str">
        <f>"EA"</f>
        <v>EA</v>
      </c>
      <c r="I33" s="36"/>
      <c r="J33" s="36"/>
      <c r="K33" s="36"/>
      <c r="L33" s="36"/>
      <c r="M33" s="36"/>
      <c r="N33" s="36"/>
      <c r="O33" s="38">
        <f t="shared" ref="O33:T33" si="17">(SUBTOTAL(9,O34:O38))</f>
        <v>300</v>
      </c>
      <c r="P33" s="38">
        <f t="shared" si="17"/>
        <v>-120</v>
      </c>
      <c r="Q33" s="38">
        <f t="shared" si="17"/>
        <v>0</v>
      </c>
      <c r="R33" s="38">
        <f t="shared" si="17"/>
        <v>0</v>
      </c>
      <c r="S33" s="38">
        <f t="shared" si="17"/>
        <v>0</v>
      </c>
      <c r="T33" s="38">
        <f t="shared" si="17"/>
        <v>0</v>
      </c>
      <c r="U33" s="53">
        <f t="shared" ref="U33" si="18">SUBTOTAL(9,O34:T38)</f>
        <v>180</v>
      </c>
    </row>
    <row r="34" spans="1:21" ht="17.25" customHeight="1" x14ac:dyDescent="0.3">
      <c r="A34" s="15" t="s">
        <v>29</v>
      </c>
      <c r="C34" s="19"/>
      <c r="D34" s="33" t="str">
        <f t="shared" ref="D34" si="19">D33</f>
        <v>C100006</v>
      </c>
      <c r="E34" s="33"/>
      <c r="F34" s="20"/>
      <c r="G34" s="20" t="str">
        <f>"""NAV"",""CRONUS JetCorp USA"",""32"",""1"",""166415"""</f>
        <v>"NAV","CRONUS JetCorp USA","32","1","166415"</v>
      </c>
      <c r="H34" s="39">
        <v>43466</v>
      </c>
      <c r="I34" s="40">
        <v>166415</v>
      </c>
      <c r="J34" s="40" t="str">
        <f>"Vendor"</f>
        <v>Vendor</v>
      </c>
      <c r="K34" s="40" t="str">
        <f>"V100003"</f>
        <v>V100003</v>
      </c>
      <c r="L34" s="40" t="str">
        <f>""</f>
        <v/>
      </c>
      <c r="M34" s="40" t="str">
        <f>"LogoMasters"</f>
        <v>LogoMasters</v>
      </c>
      <c r="N34" s="40" t="str">
        <f>""</f>
        <v/>
      </c>
      <c r="O34" s="41">
        <v>200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54"/>
    </row>
    <row r="35" spans="1:21" ht="17.25" customHeight="1" x14ac:dyDescent="0.3">
      <c r="A35" s="15" t="s">
        <v>29</v>
      </c>
      <c r="C35" s="19"/>
      <c r="D35" s="33" t="str">
        <f t="shared" ref="D35:D37" si="20">D34</f>
        <v>C100006</v>
      </c>
      <c r="E35" s="33"/>
      <c r="F35" s="20"/>
      <c r="G35" s="20" t="str">
        <f>"""NAV"",""CRONUS JetCorp USA"",""32"",""1"",""166427"""</f>
        <v>"NAV","CRONUS JetCorp USA","32","1","166427"</v>
      </c>
      <c r="H35" s="39">
        <v>43466</v>
      </c>
      <c r="I35" s="40">
        <v>166427</v>
      </c>
      <c r="J35" s="40" t="str">
        <f>"Vendor"</f>
        <v>Vendor</v>
      </c>
      <c r="K35" s="40" t="str">
        <f>"V100001"</f>
        <v>V100001</v>
      </c>
      <c r="L35" s="40" t="str">
        <f>""</f>
        <v/>
      </c>
      <c r="M35" s="40" t="str">
        <f>"Greigner, Inc."</f>
        <v>Greigner, Inc.</v>
      </c>
      <c r="N35" s="40" t="str">
        <f>""</f>
        <v/>
      </c>
      <c r="O35" s="41">
        <v>100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54"/>
    </row>
    <row r="36" spans="1:21" ht="17.25" customHeight="1" x14ac:dyDescent="0.3">
      <c r="A36" s="15" t="s">
        <v>29</v>
      </c>
      <c r="C36" s="19"/>
      <c r="D36" s="33" t="str">
        <f t="shared" si="20"/>
        <v>C100006</v>
      </c>
      <c r="E36" s="33"/>
      <c r="F36" s="20"/>
      <c r="G36" s="20" t="str">
        <f>"""NAV"",""CRONUS JetCorp USA"",""32"",""1"",""114275"""</f>
        <v>"NAV","CRONUS JetCorp USA","32","1","114275"</v>
      </c>
      <c r="H36" s="39">
        <v>43474</v>
      </c>
      <c r="I36" s="40">
        <v>114275</v>
      </c>
      <c r="J36" s="40" t="str">
        <f>"Customer"</f>
        <v>Customer</v>
      </c>
      <c r="K36" s="40" t="str">
        <f>"C100076"</f>
        <v>C100076</v>
      </c>
      <c r="L36" s="40" t="str">
        <f>"Showmasters"</f>
        <v>Showmasters</v>
      </c>
      <c r="M36" s="40" t="str">
        <f>""</f>
        <v/>
      </c>
      <c r="N36" s="40" t="str">
        <f>""</f>
        <v/>
      </c>
      <c r="O36" s="41">
        <v>0</v>
      </c>
      <c r="P36" s="41">
        <v>-24</v>
      </c>
      <c r="Q36" s="41">
        <v>0</v>
      </c>
      <c r="R36" s="41">
        <v>0</v>
      </c>
      <c r="S36" s="41">
        <v>0</v>
      </c>
      <c r="T36" s="41">
        <v>0</v>
      </c>
      <c r="U36" s="54"/>
    </row>
    <row r="37" spans="1:21" ht="17.25" customHeight="1" x14ac:dyDescent="0.3">
      <c r="A37" s="15" t="s">
        <v>29</v>
      </c>
      <c r="C37" s="19"/>
      <c r="D37" s="33" t="str">
        <f t="shared" si="20"/>
        <v>C100006</v>
      </c>
      <c r="E37" s="33"/>
      <c r="F37" s="20"/>
      <c r="G37" s="20" t="str">
        <f>"""NAV"",""CRONUS JetCorp USA"",""32"",""1"",""20408"""</f>
        <v>"NAV","CRONUS JetCorp USA","32","1","20408"</v>
      </c>
      <c r="H37" s="39">
        <v>43475</v>
      </c>
      <c r="I37" s="40">
        <v>20408</v>
      </c>
      <c r="J37" s="40" t="str">
        <f>"Customer"</f>
        <v>Customer</v>
      </c>
      <c r="K37" s="40" t="str">
        <f>"C100130"</f>
        <v>C100130</v>
      </c>
      <c r="L37" s="40" t="str">
        <f>"Hotspot Systems"</f>
        <v>Hotspot Systems</v>
      </c>
      <c r="M37" s="40" t="str">
        <f>""</f>
        <v/>
      </c>
      <c r="N37" s="40" t="str">
        <f>""</f>
        <v/>
      </c>
      <c r="O37" s="41">
        <v>0</v>
      </c>
      <c r="P37" s="41">
        <v>-96</v>
      </c>
      <c r="Q37" s="41">
        <v>0</v>
      </c>
      <c r="R37" s="41">
        <v>0</v>
      </c>
      <c r="S37" s="41">
        <v>0</v>
      </c>
      <c r="T37" s="41">
        <v>0</v>
      </c>
      <c r="U37" s="54"/>
    </row>
    <row r="38" spans="1:21" ht="17.25" customHeight="1" x14ac:dyDescent="0.3">
      <c r="A38" s="15" t="s">
        <v>29</v>
      </c>
      <c r="C38" s="19"/>
      <c r="D38" s="33"/>
      <c r="E38" s="33"/>
      <c r="F38" s="20"/>
      <c r="G38" s="20"/>
      <c r="H38" s="20"/>
      <c r="I38" s="20"/>
      <c r="J38" s="20"/>
      <c r="K38" s="20"/>
      <c r="L38" s="20"/>
      <c r="M38" s="20"/>
      <c r="N38" s="20"/>
      <c r="O38" s="42"/>
      <c r="P38" s="42"/>
      <c r="Q38" s="42"/>
      <c r="R38" s="42"/>
      <c r="S38" s="42"/>
      <c r="T38" s="42"/>
      <c r="U38" s="55"/>
    </row>
    <row r="39" spans="1:21" ht="17.25" customHeight="1" x14ac:dyDescent="0.3">
      <c r="A39" s="15" t="s">
        <v>29</v>
      </c>
      <c r="C39" s="19"/>
      <c r="D39" s="33"/>
      <c r="E39" s="33" t="s">
        <v>30</v>
      </c>
      <c r="F39" s="20" t="s">
        <v>30</v>
      </c>
      <c r="G39" s="20" t="s">
        <v>30</v>
      </c>
      <c r="H39" s="20"/>
      <c r="I39" s="20"/>
      <c r="J39" s="20" t="s">
        <v>30</v>
      </c>
      <c r="K39" s="20" t="s">
        <v>30</v>
      </c>
      <c r="L39" s="20" t="s">
        <v>30</v>
      </c>
      <c r="M39" s="20" t="s">
        <v>30</v>
      </c>
      <c r="N39" s="20"/>
      <c r="U39" s="56"/>
    </row>
    <row r="40" spans="1:21" ht="20.25" customHeight="1" x14ac:dyDescent="0.35">
      <c r="A40" s="15" t="s">
        <v>29</v>
      </c>
      <c r="C40" s="19"/>
      <c r="D40" s="34" t="str">
        <f t="shared" ref="D40" si="21">E40</f>
        <v>C100007</v>
      </c>
      <c r="E40" s="35" t="str">
        <f>"C100007"</f>
        <v>C100007</v>
      </c>
      <c r="F40" s="36" t="str">
        <f>"7.5'' Bud Vase"</f>
        <v>7.5'' Bud Vase</v>
      </c>
      <c r="G40" s="36"/>
      <c r="H40" s="37" t="str">
        <f>"EA"</f>
        <v>EA</v>
      </c>
      <c r="I40" s="36"/>
      <c r="J40" s="36"/>
      <c r="K40" s="36"/>
      <c r="L40" s="36"/>
      <c r="M40" s="36"/>
      <c r="N40" s="36"/>
      <c r="O40" s="38">
        <f t="shared" ref="O40:T40" si="22">(SUBTOTAL(9,O41:O44))</f>
        <v>300</v>
      </c>
      <c r="P40" s="38">
        <f t="shared" si="22"/>
        <v>-7</v>
      </c>
      <c r="Q40" s="38">
        <f t="shared" si="22"/>
        <v>0</v>
      </c>
      <c r="R40" s="38">
        <f t="shared" si="22"/>
        <v>0</v>
      </c>
      <c r="S40" s="38">
        <f t="shared" si="22"/>
        <v>0</v>
      </c>
      <c r="T40" s="38">
        <f t="shared" si="22"/>
        <v>0</v>
      </c>
      <c r="U40" s="53">
        <f t="shared" ref="U40" si="23">SUBTOTAL(9,O41:T44)</f>
        <v>293</v>
      </c>
    </row>
    <row r="41" spans="1:21" ht="17.25" customHeight="1" x14ac:dyDescent="0.3">
      <c r="A41" s="15" t="s">
        <v>29</v>
      </c>
      <c r="C41" s="19"/>
      <c r="D41" s="33" t="str">
        <f t="shared" ref="D41" si="24">D40</f>
        <v>C100007</v>
      </c>
      <c r="E41" s="33"/>
      <c r="F41" s="20"/>
      <c r="G41" s="20" t="str">
        <f>"""NAV"",""CRONUS JetCorp USA"",""32"",""1"",""166414"""</f>
        <v>"NAV","CRONUS JetCorp USA","32","1","166414"</v>
      </c>
      <c r="H41" s="39">
        <v>43466</v>
      </c>
      <c r="I41" s="40">
        <v>166414</v>
      </c>
      <c r="J41" s="40" t="str">
        <f>"Vendor"</f>
        <v>Vendor</v>
      </c>
      <c r="K41" s="40" t="str">
        <f>"V100003"</f>
        <v>V100003</v>
      </c>
      <c r="L41" s="40" t="str">
        <f>""</f>
        <v/>
      </c>
      <c r="M41" s="40" t="str">
        <f>"LogoMasters"</f>
        <v>LogoMasters</v>
      </c>
      <c r="N41" s="40" t="str">
        <f>""</f>
        <v/>
      </c>
      <c r="O41" s="41">
        <v>300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54"/>
    </row>
    <row r="42" spans="1:21" ht="17.25" customHeight="1" x14ac:dyDescent="0.3">
      <c r="A42" s="15" t="s">
        <v>29</v>
      </c>
      <c r="C42" s="19"/>
      <c r="D42" s="33" t="str">
        <f t="shared" ref="D42:D43" si="25">D41</f>
        <v>C100007</v>
      </c>
      <c r="E42" s="33"/>
      <c r="F42" s="20"/>
      <c r="G42" s="20" t="str">
        <f>"""NAV"",""CRONUS JetCorp USA"",""32"",""1"",""116376"""</f>
        <v>"NAV","CRONUS JetCorp USA","32","1","116376"</v>
      </c>
      <c r="H42" s="39">
        <v>43472</v>
      </c>
      <c r="I42" s="40">
        <v>116376</v>
      </c>
      <c r="J42" s="40" t="str">
        <f>"Customer"</f>
        <v>Customer</v>
      </c>
      <c r="K42" s="40" t="str">
        <f>"C100054"</f>
        <v>C100054</v>
      </c>
      <c r="L42" s="40" t="str">
        <f>"London Candoxy Storage Campus"</f>
        <v>London Candoxy Storage Campus</v>
      </c>
      <c r="M42" s="40" t="str">
        <f>""</f>
        <v/>
      </c>
      <c r="N42" s="40" t="str">
        <f>""</f>
        <v/>
      </c>
      <c r="O42" s="41">
        <v>0</v>
      </c>
      <c r="P42" s="41">
        <v>-6</v>
      </c>
      <c r="Q42" s="41">
        <v>0</v>
      </c>
      <c r="R42" s="41">
        <v>0</v>
      </c>
      <c r="S42" s="41">
        <v>0</v>
      </c>
      <c r="T42" s="41">
        <v>0</v>
      </c>
      <c r="U42" s="54"/>
    </row>
    <row r="43" spans="1:21" ht="17.25" customHeight="1" x14ac:dyDescent="0.3">
      <c r="A43" s="15" t="s">
        <v>29</v>
      </c>
      <c r="C43" s="19"/>
      <c r="D43" s="33" t="str">
        <f t="shared" si="25"/>
        <v>C100007</v>
      </c>
      <c r="E43" s="33"/>
      <c r="F43" s="20"/>
      <c r="G43" s="20" t="str">
        <f>"""NAV"",""CRONUS JetCorp USA"",""32"",""1"",""114281"""</f>
        <v>"NAV","CRONUS JetCorp USA","32","1","114281"</v>
      </c>
      <c r="H43" s="39">
        <v>43474</v>
      </c>
      <c r="I43" s="40">
        <v>114281</v>
      </c>
      <c r="J43" s="40" t="str">
        <f>"Customer"</f>
        <v>Customer</v>
      </c>
      <c r="K43" s="40" t="str">
        <f>"C100076"</f>
        <v>C100076</v>
      </c>
      <c r="L43" s="40" t="str">
        <f>"Showmasters"</f>
        <v>Showmasters</v>
      </c>
      <c r="M43" s="40" t="str">
        <f>""</f>
        <v/>
      </c>
      <c r="N43" s="40" t="str">
        <f>""</f>
        <v/>
      </c>
      <c r="O43" s="41">
        <v>0</v>
      </c>
      <c r="P43" s="41">
        <v>-1</v>
      </c>
      <c r="Q43" s="41">
        <v>0</v>
      </c>
      <c r="R43" s="41">
        <v>0</v>
      </c>
      <c r="S43" s="41">
        <v>0</v>
      </c>
      <c r="T43" s="41">
        <v>0</v>
      </c>
      <c r="U43" s="54"/>
    </row>
    <row r="44" spans="1:21" ht="17.25" customHeight="1" x14ac:dyDescent="0.3">
      <c r="A44" s="15" t="s">
        <v>29</v>
      </c>
      <c r="C44" s="19"/>
      <c r="D44" s="33"/>
      <c r="E44" s="33"/>
      <c r="F44" s="20"/>
      <c r="G44" s="20"/>
      <c r="H44" s="20"/>
      <c r="I44" s="20"/>
      <c r="J44" s="20"/>
      <c r="K44" s="20"/>
      <c r="L44" s="20"/>
      <c r="M44" s="20"/>
      <c r="N44" s="20"/>
      <c r="O44" s="42"/>
      <c r="P44" s="42"/>
      <c r="Q44" s="42"/>
      <c r="R44" s="42"/>
      <c r="S44" s="42"/>
      <c r="T44" s="42"/>
      <c r="U44" s="55"/>
    </row>
    <row r="45" spans="1:21" ht="17.25" customHeight="1" x14ac:dyDescent="0.3">
      <c r="A45" s="15" t="s">
        <v>29</v>
      </c>
      <c r="C45" s="19"/>
      <c r="D45" s="33"/>
      <c r="E45" s="33" t="s">
        <v>30</v>
      </c>
      <c r="F45" s="20" t="s">
        <v>30</v>
      </c>
      <c r="G45" s="20" t="s">
        <v>30</v>
      </c>
      <c r="H45" s="20"/>
      <c r="I45" s="20"/>
      <c r="J45" s="20" t="s">
        <v>30</v>
      </c>
      <c r="K45" s="20" t="s">
        <v>30</v>
      </c>
      <c r="L45" s="20" t="s">
        <v>30</v>
      </c>
      <c r="M45" s="20" t="s">
        <v>30</v>
      </c>
      <c r="N45" s="20"/>
      <c r="U45" s="56"/>
    </row>
    <row r="46" spans="1:21" ht="20.25" customHeight="1" x14ac:dyDescent="0.35">
      <c r="A46" s="15" t="s">
        <v>29</v>
      </c>
      <c r="C46" s="19"/>
      <c r="D46" s="34" t="str">
        <f t="shared" ref="D46" si="26">E46</f>
        <v>C100008</v>
      </c>
      <c r="E46" s="35" t="str">
        <f>"C100008"</f>
        <v>C100008</v>
      </c>
      <c r="F46" s="36" t="str">
        <f>"Glacier Vase"</f>
        <v>Glacier Vase</v>
      </c>
      <c r="G46" s="36"/>
      <c r="H46" s="37" t="str">
        <f>"EA"</f>
        <v>EA</v>
      </c>
      <c r="I46" s="36"/>
      <c r="J46" s="36"/>
      <c r="K46" s="36"/>
      <c r="L46" s="36"/>
      <c r="M46" s="36"/>
      <c r="N46" s="36"/>
      <c r="O46" s="38">
        <f t="shared" ref="O46:T46" si="27">(SUBTOTAL(9,O47:O51))</f>
        <v>600</v>
      </c>
      <c r="P46" s="38">
        <f t="shared" si="27"/>
        <v>-301</v>
      </c>
      <c r="Q46" s="38">
        <f t="shared" si="27"/>
        <v>0</v>
      </c>
      <c r="R46" s="38">
        <f t="shared" si="27"/>
        <v>0</v>
      </c>
      <c r="S46" s="38">
        <f t="shared" si="27"/>
        <v>0</v>
      </c>
      <c r="T46" s="38">
        <f t="shared" si="27"/>
        <v>0</v>
      </c>
      <c r="U46" s="53">
        <f t="shared" ref="U46" si="28">SUBTOTAL(9,O47:T51)</f>
        <v>299</v>
      </c>
    </row>
    <row r="47" spans="1:21" ht="17.25" customHeight="1" x14ac:dyDescent="0.3">
      <c r="A47" s="15" t="s">
        <v>29</v>
      </c>
      <c r="C47" s="19"/>
      <c r="D47" s="33" t="str">
        <f t="shared" ref="D47" si="29">D46</f>
        <v>C100008</v>
      </c>
      <c r="E47" s="33"/>
      <c r="F47" s="20"/>
      <c r="G47" s="20" t="str">
        <f>"""NAV"",""CRONUS JetCorp USA"",""32"",""1"",""166413"""</f>
        <v>"NAV","CRONUS JetCorp USA","32","1","166413"</v>
      </c>
      <c r="H47" s="39">
        <v>43466</v>
      </c>
      <c r="I47" s="40">
        <v>166413</v>
      </c>
      <c r="J47" s="40" t="str">
        <f>"Vendor"</f>
        <v>Vendor</v>
      </c>
      <c r="K47" s="40" t="str">
        <f>"V100003"</f>
        <v>V100003</v>
      </c>
      <c r="L47" s="40" t="str">
        <f>""</f>
        <v/>
      </c>
      <c r="M47" s="40" t="str">
        <f>"LogoMasters"</f>
        <v>LogoMasters</v>
      </c>
      <c r="N47" s="40" t="str">
        <f>""</f>
        <v/>
      </c>
      <c r="O47" s="41">
        <v>600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54"/>
    </row>
    <row r="48" spans="1:21" ht="17.25" customHeight="1" x14ac:dyDescent="0.3">
      <c r="A48" s="15" t="s">
        <v>29</v>
      </c>
      <c r="C48" s="19"/>
      <c r="D48" s="33" t="str">
        <f t="shared" ref="D48:D50" si="30">D47</f>
        <v>C100008</v>
      </c>
      <c r="E48" s="33"/>
      <c r="F48" s="20"/>
      <c r="G48" s="20" t="str">
        <f>"""NAV"",""CRONUS JetCorp USA"",""32"",""1"",""7562"""</f>
        <v>"NAV","CRONUS JetCorp USA","32","1","7562"</v>
      </c>
      <c r="H48" s="39">
        <v>43469</v>
      </c>
      <c r="I48" s="40">
        <v>7562</v>
      </c>
      <c r="J48" s="40" t="str">
        <f>"Customer"</f>
        <v>Customer</v>
      </c>
      <c r="K48" s="40" t="str">
        <f>"C100030"</f>
        <v>C100030</v>
      </c>
      <c r="L48" s="40" t="str">
        <f>"Stutringers"</f>
        <v>Stutringers</v>
      </c>
      <c r="M48" s="40" t="str">
        <f>""</f>
        <v/>
      </c>
      <c r="N48" s="40" t="str">
        <f>""</f>
        <v/>
      </c>
      <c r="O48" s="41">
        <v>0</v>
      </c>
      <c r="P48" s="41">
        <v>-1</v>
      </c>
      <c r="Q48" s="41">
        <v>0</v>
      </c>
      <c r="R48" s="41">
        <v>0</v>
      </c>
      <c r="S48" s="41">
        <v>0</v>
      </c>
      <c r="T48" s="41">
        <v>0</v>
      </c>
      <c r="U48" s="54"/>
    </row>
    <row r="49" spans="1:21" ht="17.25" customHeight="1" x14ac:dyDescent="0.3">
      <c r="A49" s="15" t="s">
        <v>29</v>
      </c>
      <c r="C49" s="19"/>
      <c r="D49" s="33" t="str">
        <f t="shared" si="30"/>
        <v>C100008</v>
      </c>
      <c r="E49" s="33"/>
      <c r="F49" s="20"/>
      <c r="G49" s="20" t="str">
        <f>"""NAV"",""CRONUS JetCorp USA"",""32"",""1"",""114266"""</f>
        <v>"NAV","CRONUS JetCorp USA","32","1","114266"</v>
      </c>
      <c r="H49" s="39">
        <v>43470</v>
      </c>
      <c r="I49" s="40">
        <v>114266</v>
      </c>
      <c r="J49" s="40" t="str">
        <f>"Customer"</f>
        <v>Customer</v>
      </c>
      <c r="K49" s="40" t="str">
        <f>"C100076"</f>
        <v>C100076</v>
      </c>
      <c r="L49" s="40" t="str">
        <f>"Showmasters"</f>
        <v>Showmasters</v>
      </c>
      <c r="M49" s="40" t="str">
        <f>""</f>
        <v/>
      </c>
      <c r="N49" s="40" t="str">
        <f>""</f>
        <v/>
      </c>
      <c r="O49" s="41">
        <v>0</v>
      </c>
      <c r="P49" s="41">
        <v>-288</v>
      </c>
      <c r="Q49" s="41">
        <v>0</v>
      </c>
      <c r="R49" s="41">
        <v>0</v>
      </c>
      <c r="S49" s="41">
        <v>0</v>
      </c>
      <c r="T49" s="41">
        <v>0</v>
      </c>
      <c r="U49" s="54"/>
    </row>
    <row r="50" spans="1:21" ht="17.25" customHeight="1" x14ac:dyDescent="0.3">
      <c r="A50" s="15" t="s">
        <v>29</v>
      </c>
      <c r="C50" s="19"/>
      <c r="D50" s="33" t="str">
        <f t="shared" si="30"/>
        <v>C100008</v>
      </c>
      <c r="E50" s="33"/>
      <c r="F50" s="20"/>
      <c r="G50" s="20" t="str">
        <f>"""NAV"",""CRONUS JetCorp USA"",""32"",""1"",""116373"""</f>
        <v>"NAV","CRONUS JetCorp USA","32","1","116373"</v>
      </c>
      <c r="H50" s="39">
        <v>43472</v>
      </c>
      <c r="I50" s="40">
        <v>116373</v>
      </c>
      <c r="J50" s="40" t="str">
        <f>"Customer"</f>
        <v>Customer</v>
      </c>
      <c r="K50" s="40" t="str">
        <f>"C100054"</f>
        <v>C100054</v>
      </c>
      <c r="L50" s="40" t="str">
        <f>"London Candoxy Storage Campus"</f>
        <v>London Candoxy Storage Campus</v>
      </c>
      <c r="M50" s="40" t="str">
        <f>""</f>
        <v/>
      </c>
      <c r="N50" s="40" t="str">
        <f>""</f>
        <v/>
      </c>
      <c r="O50" s="41">
        <v>0</v>
      </c>
      <c r="P50" s="41">
        <v>-12</v>
      </c>
      <c r="Q50" s="41">
        <v>0</v>
      </c>
      <c r="R50" s="41">
        <v>0</v>
      </c>
      <c r="S50" s="41">
        <v>0</v>
      </c>
      <c r="T50" s="41">
        <v>0</v>
      </c>
      <c r="U50" s="54"/>
    </row>
    <row r="51" spans="1:21" ht="17.25" customHeight="1" x14ac:dyDescent="0.3">
      <c r="A51" s="15" t="s">
        <v>29</v>
      </c>
      <c r="C51" s="19"/>
      <c r="D51" s="33"/>
      <c r="E51" s="33"/>
      <c r="F51" s="20"/>
      <c r="G51" s="20"/>
      <c r="H51" s="20"/>
      <c r="I51" s="20"/>
      <c r="J51" s="20"/>
      <c r="K51" s="20"/>
      <c r="L51" s="20"/>
      <c r="M51" s="20"/>
      <c r="N51" s="20"/>
      <c r="O51" s="42"/>
      <c r="P51" s="42"/>
      <c r="Q51" s="42"/>
      <c r="R51" s="42"/>
      <c r="S51" s="42"/>
      <c r="T51" s="42"/>
      <c r="U51" s="55"/>
    </row>
    <row r="52" spans="1:21" ht="17.25" customHeight="1" x14ac:dyDescent="0.3">
      <c r="A52" s="15" t="s">
        <v>29</v>
      </c>
      <c r="C52" s="19"/>
      <c r="D52" s="33"/>
      <c r="E52" s="33" t="s">
        <v>30</v>
      </c>
      <c r="F52" s="20" t="s">
        <v>30</v>
      </c>
      <c r="G52" s="20" t="s">
        <v>30</v>
      </c>
      <c r="H52" s="20"/>
      <c r="I52" s="20"/>
      <c r="J52" s="20" t="s">
        <v>30</v>
      </c>
      <c r="K52" s="20" t="s">
        <v>30</v>
      </c>
      <c r="L52" s="20" t="s">
        <v>30</v>
      </c>
      <c r="M52" s="20" t="s">
        <v>30</v>
      </c>
      <c r="N52" s="20"/>
      <c r="U52" s="56"/>
    </row>
    <row r="53" spans="1:21" ht="20.25" customHeight="1" x14ac:dyDescent="0.35">
      <c r="A53" s="15" t="s">
        <v>29</v>
      </c>
      <c r="C53" s="19"/>
      <c r="D53" s="34" t="str">
        <f t="shared" ref="D53" si="31">E53</f>
        <v>C100009</v>
      </c>
      <c r="E53" s="35" t="str">
        <f>"C100009"</f>
        <v>C100009</v>
      </c>
      <c r="F53" s="36" t="str">
        <f>"Normandy Vase"</f>
        <v>Normandy Vase</v>
      </c>
      <c r="G53" s="36"/>
      <c r="H53" s="37" t="str">
        <f>"EA"</f>
        <v>EA</v>
      </c>
      <c r="I53" s="36"/>
      <c r="J53" s="36"/>
      <c r="K53" s="36"/>
      <c r="L53" s="36"/>
      <c r="M53" s="36"/>
      <c r="N53" s="36"/>
      <c r="O53" s="38">
        <f t="shared" ref="O53:T53" si="32">(SUBTOTAL(9,O54:O55))</f>
        <v>100</v>
      </c>
      <c r="P53" s="38">
        <f t="shared" si="32"/>
        <v>0</v>
      </c>
      <c r="Q53" s="38">
        <f t="shared" si="32"/>
        <v>0</v>
      </c>
      <c r="R53" s="38">
        <f t="shared" si="32"/>
        <v>0</v>
      </c>
      <c r="S53" s="38">
        <f t="shared" si="32"/>
        <v>0</v>
      </c>
      <c r="T53" s="38">
        <f t="shared" si="32"/>
        <v>0</v>
      </c>
      <c r="U53" s="53">
        <f t="shared" ref="U53" si="33">SUBTOTAL(9,O54:T55)</f>
        <v>100</v>
      </c>
    </row>
    <row r="54" spans="1:21" ht="17.25" customHeight="1" x14ac:dyDescent="0.3">
      <c r="A54" s="15" t="s">
        <v>29</v>
      </c>
      <c r="C54" s="19"/>
      <c r="D54" s="33" t="str">
        <f t="shared" ref="D54" si="34">D53</f>
        <v>C100009</v>
      </c>
      <c r="E54" s="33"/>
      <c r="F54" s="20"/>
      <c r="G54" s="20" t="str">
        <f>"""NAV"",""CRONUS JetCorp USA"",""32"",""1"",""166412"""</f>
        <v>"NAV","CRONUS JetCorp USA","32","1","166412"</v>
      </c>
      <c r="H54" s="39">
        <v>43466</v>
      </c>
      <c r="I54" s="40">
        <v>166412</v>
      </c>
      <c r="J54" s="40" t="str">
        <f>"Vendor"</f>
        <v>Vendor</v>
      </c>
      <c r="K54" s="40" t="str">
        <f>"V100003"</f>
        <v>V100003</v>
      </c>
      <c r="L54" s="40" t="str">
        <f>""</f>
        <v/>
      </c>
      <c r="M54" s="40" t="str">
        <f>"LogoMasters"</f>
        <v>LogoMasters</v>
      </c>
      <c r="N54" s="40" t="str">
        <f>""</f>
        <v/>
      </c>
      <c r="O54" s="41">
        <v>100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54"/>
    </row>
    <row r="55" spans="1:21" ht="17.25" customHeight="1" x14ac:dyDescent="0.3">
      <c r="A55" s="15" t="s">
        <v>29</v>
      </c>
      <c r="C55" s="19"/>
      <c r="D55" s="33"/>
      <c r="E55" s="33"/>
      <c r="F55" s="20"/>
      <c r="G55" s="20"/>
      <c r="H55" s="20"/>
      <c r="I55" s="20"/>
      <c r="J55" s="20"/>
      <c r="K55" s="20"/>
      <c r="L55" s="20"/>
      <c r="M55" s="20"/>
      <c r="N55" s="20"/>
      <c r="O55" s="42"/>
      <c r="P55" s="42"/>
      <c r="Q55" s="42"/>
      <c r="R55" s="42"/>
      <c r="S55" s="42"/>
      <c r="T55" s="42"/>
      <c r="U55" s="55"/>
    </row>
    <row r="56" spans="1:21" ht="17.25" customHeight="1" x14ac:dyDescent="0.3">
      <c r="A56" s="15" t="s">
        <v>29</v>
      </c>
      <c r="C56" s="19"/>
      <c r="D56" s="33"/>
      <c r="E56" s="33" t="s">
        <v>30</v>
      </c>
      <c r="F56" s="20" t="s">
        <v>30</v>
      </c>
      <c r="G56" s="20" t="s">
        <v>30</v>
      </c>
      <c r="H56" s="20"/>
      <c r="I56" s="20"/>
      <c r="J56" s="20" t="s">
        <v>30</v>
      </c>
      <c r="K56" s="20" t="s">
        <v>30</v>
      </c>
      <c r="L56" s="20" t="s">
        <v>30</v>
      </c>
      <c r="M56" s="20" t="s">
        <v>30</v>
      </c>
      <c r="N56" s="20"/>
      <c r="U56" s="56"/>
    </row>
    <row r="57" spans="1:21" ht="20.25" customHeight="1" x14ac:dyDescent="0.35">
      <c r="A57" s="15" t="s">
        <v>29</v>
      </c>
      <c r="C57" s="19"/>
      <c r="D57" s="34" t="str">
        <f t="shared" ref="D57" si="35">E57</f>
        <v>C100010</v>
      </c>
      <c r="E57" s="35" t="str">
        <f>"C100010"</f>
        <v>C100010</v>
      </c>
      <c r="F57" s="36" t="str">
        <f>"Wisper-Cut Vase"</f>
        <v>Wisper-Cut Vase</v>
      </c>
      <c r="G57" s="36"/>
      <c r="H57" s="37" t="str">
        <f>"EA"</f>
        <v>EA</v>
      </c>
      <c r="I57" s="36"/>
      <c r="J57" s="36"/>
      <c r="K57" s="36"/>
      <c r="L57" s="36"/>
      <c r="M57" s="36"/>
      <c r="N57" s="36"/>
      <c r="O57" s="38">
        <f t="shared" ref="O57:T57" si="36">(SUBTOTAL(9,O58:O59))</f>
        <v>100</v>
      </c>
      <c r="P57" s="38">
        <f t="shared" si="36"/>
        <v>0</v>
      </c>
      <c r="Q57" s="38">
        <f t="shared" si="36"/>
        <v>0</v>
      </c>
      <c r="R57" s="38">
        <f t="shared" si="36"/>
        <v>0</v>
      </c>
      <c r="S57" s="38">
        <f t="shared" si="36"/>
        <v>0</v>
      </c>
      <c r="T57" s="38">
        <f t="shared" si="36"/>
        <v>0</v>
      </c>
      <c r="U57" s="53">
        <f t="shared" ref="U57" si="37">SUBTOTAL(9,O58:T59)</f>
        <v>100</v>
      </c>
    </row>
    <row r="58" spans="1:21" ht="17.25" customHeight="1" x14ac:dyDescent="0.3">
      <c r="A58" s="15" t="s">
        <v>29</v>
      </c>
      <c r="C58" s="19"/>
      <c r="D58" s="33" t="str">
        <f t="shared" ref="D58" si="38">D57</f>
        <v>C100010</v>
      </c>
      <c r="E58" s="33"/>
      <c r="F58" s="20"/>
      <c r="G58" s="20" t="str">
        <f>"""NAV"",""CRONUS JetCorp USA"",""32"",""1"",""166411"""</f>
        <v>"NAV","CRONUS JetCorp USA","32","1","166411"</v>
      </c>
      <c r="H58" s="39">
        <v>43466</v>
      </c>
      <c r="I58" s="40">
        <v>166411</v>
      </c>
      <c r="J58" s="40" t="str">
        <f>"Vendor"</f>
        <v>Vendor</v>
      </c>
      <c r="K58" s="40" t="str">
        <f>"V100003"</f>
        <v>V100003</v>
      </c>
      <c r="L58" s="40" t="str">
        <f>""</f>
        <v/>
      </c>
      <c r="M58" s="40" t="str">
        <f>"LogoMasters"</f>
        <v>LogoMasters</v>
      </c>
      <c r="N58" s="40" t="str">
        <f>""</f>
        <v/>
      </c>
      <c r="O58" s="41">
        <v>100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54"/>
    </row>
    <row r="59" spans="1:21" ht="17.25" customHeight="1" x14ac:dyDescent="0.3">
      <c r="A59" s="15" t="s">
        <v>29</v>
      </c>
      <c r="C59" s="19"/>
      <c r="D59" s="33"/>
      <c r="E59" s="33"/>
      <c r="F59" s="20"/>
      <c r="G59" s="20"/>
      <c r="H59" s="20"/>
      <c r="I59" s="20"/>
      <c r="J59" s="20"/>
      <c r="K59" s="20"/>
      <c r="L59" s="20"/>
      <c r="M59" s="20"/>
      <c r="N59" s="20"/>
      <c r="O59" s="42"/>
      <c r="P59" s="42"/>
      <c r="Q59" s="42"/>
      <c r="R59" s="42"/>
      <c r="S59" s="42"/>
      <c r="T59" s="42"/>
      <c r="U59" s="55"/>
    </row>
    <row r="60" spans="1:21" ht="17.25" customHeight="1" x14ac:dyDescent="0.3">
      <c r="A60" s="15" t="s">
        <v>29</v>
      </c>
      <c r="C60" s="19"/>
      <c r="D60" s="33"/>
      <c r="E60" s="33" t="s">
        <v>30</v>
      </c>
      <c r="F60" s="20" t="s">
        <v>30</v>
      </c>
      <c r="G60" s="20" t="s">
        <v>30</v>
      </c>
      <c r="H60" s="20"/>
      <c r="I60" s="20"/>
      <c r="J60" s="20" t="s">
        <v>30</v>
      </c>
      <c r="K60" s="20" t="s">
        <v>30</v>
      </c>
      <c r="L60" s="20" t="s">
        <v>30</v>
      </c>
      <c r="M60" s="20" t="s">
        <v>30</v>
      </c>
      <c r="N60" s="20"/>
      <c r="U60" s="56"/>
    </row>
    <row r="61" spans="1:21" ht="20.25" customHeight="1" x14ac:dyDescent="0.35">
      <c r="A61" s="15" t="s">
        <v>29</v>
      </c>
      <c r="C61" s="19"/>
      <c r="D61" s="34" t="str">
        <f t="shared" ref="D61" si="39">E61</f>
        <v>C100011</v>
      </c>
      <c r="E61" s="35" t="str">
        <f>"C100011"</f>
        <v>C100011</v>
      </c>
      <c r="F61" s="36" t="str">
        <f>"Winter Frost Vase"</f>
        <v>Winter Frost Vase</v>
      </c>
      <c r="G61" s="36"/>
      <c r="H61" s="37" t="str">
        <f>"EA"</f>
        <v>EA</v>
      </c>
      <c r="I61" s="36"/>
      <c r="J61" s="36"/>
      <c r="K61" s="36"/>
      <c r="L61" s="36"/>
      <c r="M61" s="36"/>
      <c r="N61" s="36"/>
      <c r="O61" s="38">
        <f t="shared" ref="O61:T61" si="40">(SUBTOTAL(9,O62:O63))</f>
        <v>0</v>
      </c>
      <c r="P61" s="38">
        <f t="shared" si="40"/>
        <v>-48</v>
      </c>
      <c r="Q61" s="38">
        <f t="shared" si="40"/>
        <v>0</v>
      </c>
      <c r="R61" s="38">
        <f t="shared" si="40"/>
        <v>0</v>
      </c>
      <c r="S61" s="38">
        <f t="shared" si="40"/>
        <v>0</v>
      </c>
      <c r="T61" s="38">
        <f t="shared" si="40"/>
        <v>0</v>
      </c>
      <c r="U61" s="53">
        <f t="shared" ref="U61" si="41">SUBTOTAL(9,O62:T63)</f>
        <v>-48</v>
      </c>
    </row>
    <row r="62" spans="1:21" ht="17.25" customHeight="1" x14ac:dyDescent="0.3">
      <c r="A62" s="15" t="s">
        <v>29</v>
      </c>
      <c r="C62" s="19"/>
      <c r="D62" s="33" t="str">
        <f t="shared" ref="D62" si="42">D61</f>
        <v>C100011</v>
      </c>
      <c r="E62" s="33"/>
      <c r="F62" s="20"/>
      <c r="G62" s="20" t="str">
        <f>"""NAV"",""CRONUS JetCorp USA"",""32"",""1"",""116370"""</f>
        <v>"NAV","CRONUS JetCorp USA","32","1","116370"</v>
      </c>
      <c r="H62" s="39">
        <v>43472</v>
      </c>
      <c r="I62" s="40">
        <v>116370</v>
      </c>
      <c r="J62" s="40" t="str">
        <f>"Customer"</f>
        <v>Customer</v>
      </c>
      <c r="K62" s="40" t="str">
        <f>"C100054"</f>
        <v>C100054</v>
      </c>
      <c r="L62" s="40" t="str">
        <f>"London Candoxy Storage Campus"</f>
        <v>London Candoxy Storage Campus</v>
      </c>
      <c r="M62" s="40" t="str">
        <f>""</f>
        <v/>
      </c>
      <c r="N62" s="40" t="str">
        <f>""</f>
        <v/>
      </c>
      <c r="O62" s="41">
        <v>0</v>
      </c>
      <c r="P62" s="41">
        <v>-48</v>
      </c>
      <c r="Q62" s="41">
        <v>0</v>
      </c>
      <c r="R62" s="41">
        <v>0</v>
      </c>
      <c r="S62" s="41">
        <v>0</v>
      </c>
      <c r="T62" s="41">
        <v>0</v>
      </c>
      <c r="U62" s="54"/>
    </row>
    <row r="63" spans="1:21" ht="17.25" customHeight="1" x14ac:dyDescent="0.3">
      <c r="A63" s="15" t="s">
        <v>29</v>
      </c>
      <c r="C63" s="19"/>
      <c r="D63" s="33"/>
      <c r="E63" s="33"/>
      <c r="F63" s="20"/>
      <c r="G63" s="20"/>
      <c r="H63" s="20"/>
      <c r="I63" s="20"/>
      <c r="J63" s="20"/>
      <c r="K63" s="20"/>
      <c r="L63" s="20"/>
      <c r="M63" s="20"/>
      <c r="N63" s="20"/>
      <c r="O63" s="42"/>
      <c r="P63" s="42"/>
      <c r="Q63" s="42"/>
      <c r="R63" s="42"/>
      <c r="S63" s="42"/>
      <c r="T63" s="42"/>
      <c r="U63" s="55"/>
    </row>
    <row r="64" spans="1:21" ht="17.25" customHeight="1" x14ac:dyDescent="0.3">
      <c r="A64" s="15" t="s">
        <v>29</v>
      </c>
      <c r="C64" s="19"/>
      <c r="D64" s="33"/>
      <c r="E64" s="33" t="s">
        <v>30</v>
      </c>
      <c r="F64" s="20" t="s">
        <v>30</v>
      </c>
      <c r="G64" s="20" t="s">
        <v>30</v>
      </c>
      <c r="H64" s="20"/>
      <c r="I64" s="20"/>
      <c r="J64" s="20" t="s">
        <v>30</v>
      </c>
      <c r="K64" s="20" t="s">
        <v>30</v>
      </c>
      <c r="L64" s="20" t="s">
        <v>30</v>
      </c>
      <c r="M64" s="20" t="s">
        <v>30</v>
      </c>
      <c r="N64" s="20"/>
      <c r="U64" s="56"/>
    </row>
    <row r="65" spans="1:21" ht="20.25" customHeight="1" x14ac:dyDescent="0.35">
      <c r="A65" s="15" t="s">
        <v>29</v>
      </c>
      <c r="C65" s="19"/>
      <c r="D65" s="34" t="str">
        <f t="shared" ref="D65" si="43">E65</f>
        <v>C100014</v>
      </c>
      <c r="E65" s="35" t="str">
        <f>"C100014"</f>
        <v>C100014</v>
      </c>
      <c r="F65" s="36" t="str">
        <f>"Canvas Field Bag"</f>
        <v>Canvas Field Bag</v>
      </c>
      <c r="G65" s="36"/>
      <c r="H65" s="37" t="str">
        <f>"EA"</f>
        <v>EA</v>
      </c>
      <c r="I65" s="36"/>
      <c r="J65" s="36"/>
      <c r="K65" s="36"/>
      <c r="L65" s="36"/>
      <c r="M65" s="36"/>
      <c r="N65" s="36"/>
      <c r="O65" s="38">
        <f t="shared" ref="O65:T65" si="44">(SUBTOTAL(9,O66:O68))</f>
        <v>200</v>
      </c>
      <c r="P65" s="38">
        <f t="shared" si="44"/>
        <v>-144</v>
      </c>
      <c r="Q65" s="38">
        <f t="shared" si="44"/>
        <v>0</v>
      </c>
      <c r="R65" s="38">
        <f t="shared" si="44"/>
        <v>0</v>
      </c>
      <c r="S65" s="38">
        <f t="shared" si="44"/>
        <v>0</v>
      </c>
      <c r="T65" s="38">
        <f t="shared" si="44"/>
        <v>0</v>
      </c>
      <c r="U65" s="53">
        <f t="shared" ref="U65" si="45">SUBTOTAL(9,O66:T68)</f>
        <v>56</v>
      </c>
    </row>
    <row r="66" spans="1:21" ht="17.25" customHeight="1" x14ac:dyDescent="0.3">
      <c r="A66" s="15" t="s">
        <v>29</v>
      </c>
      <c r="C66" s="19"/>
      <c r="D66" s="33" t="str">
        <f t="shared" ref="D66" si="46">D65</f>
        <v>C100014</v>
      </c>
      <c r="E66" s="33"/>
      <c r="F66" s="20"/>
      <c r="G66" s="20" t="str">
        <f>"""NAV"",""CRONUS JetCorp USA"",""32"",""1"",""166799"""</f>
        <v>"NAV","CRONUS JetCorp USA","32","1","166799"</v>
      </c>
      <c r="H66" s="39">
        <v>43466</v>
      </c>
      <c r="I66" s="40">
        <v>166799</v>
      </c>
      <c r="J66" s="40" t="str">
        <f>"Vendor"</f>
        <v>Vendor</v>
      </c>
      <c r="K66" s="40" t="str">
        <f>"V100003"</f>
        <v>V100003</v>
      </c>
      <c r="L66" s="40" t="str">
        <f>""</f>
        <v/>
      </c>
      <c r="M66" s="40" t="str">
        <f>"LogoMasters"</f>
        <v>LogoMasters</v>
      </c>
      <c r="N66" s="40" t="str">
        <f>""</f>
        <v/>
      </c>
      <c r="O66" s="41">
        <v>200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54"/>
    </row>
    <row r="67" spans="1:21" ht="17.25" customHeight="1" x14ac:dyDescent="0.3">
      <c r="A67" s="15" t="s">
        <v>29</v>
      </c>
      <c r="C67" s="19"/>
      <c r="D67" s="33" t="str">
        <f t="shared" ref="D67" si="47">D66</f>
        <v>C100014</v>
      </c>
      <c r="E67" s="33"/>
      <c r="F67" s="20"/>
      <c r="G67" s="20" t="str">
        <f>"""NAV"",""CRONUS JetCorp USA"",""32"",""1"",""30106"""</f>
        <v>"NAV","CRONUS JetCorp USA","32","1","30106"</v>
      </c>
      <c r="H67" s="39">
        <v>43475</v>
      </c>
      <c r="I67" s="40">
        <v>30106</v>
      </c>
      <c r="J67" s="40" t="str">
        <f>"Customer"</f>
        <v>Customer</v>
      </c>
      <c r="K67" s="40" t="str">
        <f>"C100012"</f>
        <v>C100012</v>
      </c>
      <c r="L67" s="40" t="str">
        <f>"Bainbridges"</f>
        <v>Bainbridges</v>
      </c>
      <c r="M67" s="40" t="str">
        <f>""</f>
        <v/>
      </c>
      <c r="N67" s="40" t="str">
        <f>""</f>
        <v/>
      </c>
      <c r="O67" s="41">
        <v>0</v>
      </c>
      <c r="P67" s="41">
        <v>-144</v>
      </c>
      <c r="Q67" s="41">
        <v>0</v>
      </c>
      <c r="R67" s="41">
        <v>0</v>
      </c>
      <c r="S67" s="41">
        <v>0</v>
      </c>
      <c r="T67" s="41">
        <v>0</v>
      </c>
      <c r="U67" s="54"/>
    </row>
    <row r="68" spans="1:21" ht="17.25" customHeight="1" x14ac:dyDescent="0.3">
      <c r="A68" s="15" t="s">
        <v>29</v>
      </c>
      <c r="C68" s="19"/>
      <c r="D68" s="33"/>
      <c r="E68" s="33"/>
      <c r="F68" s="20"/>
      <c r="G68" s="20"/>
      <c r="H68" s="20"/>
      <c r="I68" s="20"/>
      <c r="J68" s="20"/>
      <c r="K68" s="20"/>
      <c r="L68" s="20"/>
      <c r="M68" s="20"/>
      <c r="N68" s="20"/>
      <c r="O68" s="42"/>
      <c r="P68" s="42"/>
      <c r="Q68" s="42"/>
      <c r="R68" s="42"/>
      <c r="S68" s="42"/>
      <c r="T68" s="42"/>
      <c r="U68" s="55"/>
    </row>
    <row r="69" spans="1:21" ht="17.25" customHeight="1" x14ac:dyDescent="0.3">
      <c r="A69" s="15" t="s">
        <v>29</v>
      </c>
      <c r="C69" s="19"/>
      <c r="D69" s="33"/>
      <c r="E69" s="33" t="s">
        <v>30</v>
      </c>
      <c r="F69" s="20" t="s">
        <v>30</v>
      </c>
      <c r="G69" s="20" t="s">
        <v>30</v>
      </c>
      <c r="H69" s="20"/>
      <c r="I69" s="20"/>
      <c r="J69" s="20" t="s">
        <v>30</v>
      </c>
      <c r="K69" s="20" t="s">
        <v>30</v>
      </c>
      <c r="L69" s="20" t="s">
        <v>30</v>
      </c>
      <c r="M69" s="20" t="s">
        <v>30</v>
      </c>
      <c r="N69" s="20"/>
      <c r="U69" s="56"/>
    </row>
    <row r="70" spans="1:21" ht="20.25" customHeight="1" x14ac:dyDescent="0.35">
      <c r="A70" s="15" t="s">
        <v>29</v>
      </c>
      <c r="C70" s="19"/>
      <c r="D70" s="34" t="str">
        <f t="shared" ref="D70" si="48">E70</f>
        <v>C100017</v>
      </c>
      <c r="E70" s="35" t="str">
        <f>"C100017"</f>
        <v>C100017</v>
      </c>
      <c r="F70" s="36" t="str">
        <f>"Wheeled Duffel"</f>
        <v>Wheeled Duffel</v>
      </c>
      <c r="G70" s="36"/>
      <c r="H70" s="37" t="str">
        <f>"EA"</f>
        <v>EA</v>
      </c>
      <c r="I70" s="36"/>
      <c r="J70" s="36"/>
      <c r="K70" s="36"/>
      <c r="L70" s="36"/>
      <c r="M70" s="36"/>
      <c r="N70" s="36"/>
      <c r="O70" s="38">
        <f t="shared" ref="O70:T70" si="49">(SUBTOTAL(9,O71:O74))</f>
        <v>200</v>
      </c>
      <c r="P70" s="38">
        <f t="shared" si="49"/>
        <v>-25</v>
      </c>
      <c r="Q70" s="38">
        <f t="shared" si="49"/>
        <v>0</v>
      </c>
      <c r="R70" s="38">
        <f t="shared" si="49"/>
        <v>0</v>
      </c>
      <c r="S70" s="38">
        <f t="shared" si="49"/>
        <v>0</v>
      </c>
      <c r="T70" s="38">
        <f t="shared" si="49"/>
        <v>0</v>
      </c>
      <c r="U70" s="53">
        <f t="shared" ref="U70" si="50">SUBTOTAL(9,O71:T74)</f>
        <v>175</v>
      </c>
    </row>
    <row r="71" spans="1:21" ht="17.25" customHeight="1" x14ac:dyDescent="0.3">
      <c r="A71" s="15" t="s">
        <v>29</v>
      </c>
      <c r="C71" s="19"/>
      <c r="D71" s="33" t="str">
        <f t="shared" ref="D71" si="51">D70</f>
        <v>C100017</v>
      </c>
      <c r="E71" s="33"/>
      <c r="F71" s="20"/>
      <c r="G71" s="20" t="str">
        <f>"""NAV"",""CRONUS JetCorp USA"",""32"",""1"",""166798"""</f>
        <v>"NAV","CRONUS JetCorp USA","32","1","166798"</v>
      </c>
      <c r="H71" s="39">
        <v>43466</v>
      </c>
      <c r="I71" s="40">
        <v>166798</v>
      </c>
      <c r="J71" s="40" t="str">
        <f>"Vendor"</f>
        <v>Vendor</v>
      </c>
      <c r="K71" s="40" t="str">
        <f>"V100003"</f>
        <v>V100003</v>
      </c>
      <c r="L71" s="40" t="str">
        <f>""</f>
        <v/>
      </c>
      <c r="M71" s="40" t="str">
        <f>"LogoMasters"</f>
        <v>LogoMasters</v>
      </c>
      <c r="N71" s="40" t="str">
        <f>""</f>
        <v/>
      </c>
      <c r="O71" s="41">
        <v>200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54"/>
    </row>
    <row r="72" spans="1:21" ht="17.25" customHeight="1" x14ac:dyDescent="0.3">
      <c r="A72" s="15" t="s">
        <v>29</v>
      </c>
      <c r="C72" s="19"/>
      <c r="D72" s="33" t="str">
        <f t="shared" ref="D72:D73" si="52">D71</f>
        <v>C100017</v>
      </c>
      <c r="E72" s="33"/>
      <c r="F72" s="20"/>
      <c r="G72" s="20" t="str">
        <f>"""NAV"",""CRONUS JetCorp USA"",""32"",""1"",""30027"""</f>
        <v>"NAV","CRONUS JetCorp USA","32","1","30027"</v>
      </c>
      <c r="H72" s="39">
        <v>43471</v>
      </c>
      <c r="I72" s="40">
        <v>30027</v>
      </c>
      <c r="J72" s="40" t="str">
        <f>"Customer"</f>
        <v>Customer</v>
      </c>
      <c r="K72" s="40" t="str">
        <f>"C100012"</f>
        <v>C100012</v>
      </c>
      <c r="L72" s="40" t="str">
        <f>"Bainbridges"</f>
        <v>Bainbridges</v>
      </c>
      <c r="M72" s="40" t="str">
        <f>""</f>
        <v/>
      </c>
      <c r="N72" s="40" t="str">
        <f>""</f>
        <v/>
      </c>
      <c r="O72" s="41">
        <v>0</v>
      </c>
      <c r="P72" s="41">
        <v>-24</v>
      </c>
      <c r="Q72" s="41">
        <v>0</v>
      </c>
      <c r="R72" s="41">
        <v>0</v>
      </c>
      <c r="S72" s="41">
        <v>0</v>
      </c>
      <c r="T72" s="41">
        <v>0</v>
      </c>
      <c r="U72" s="54"/>
    </row>
    <row r="73" spans="1:21" ht="17.25" customHeight="1" x14ac:dyDescent="0.3">
      <c r="A73" s="15" t="s">
        <v>29</v>
      </c>
      <c r="C73" s="19"/>
      <c r="D73" s="33" t="str">
        <f t="shared" si="52"/>
        <v>C100017</v>
      </c>
      <c r="E73" s="33"/>
      <c r="F73" s="20"/>
      <c r="G73" s="20" t="str">
        <f>"""NAV"",""CRONUS JetCorp USA"",""32"",""1"",""20411"""</f>
        <v>"NAV","CRONUS JetCorp USA","32","1","20411"</v>
      </c>
      <c r="H73" s="39">
        <v>43475</v>
      </c>
      <c r="I73" s="40">
        <v>20411</v>
      </c>
      <c r="J73" s="40" t="str">
        <f>"Customer"</f>
        <v>Customer</v>
      </c>
      <c r="K73" s="40" t="str">
        <f>"C100130"</f>
        <v>C100130</v>
      </c>
      <c r="L73" s="40" t="str">
        <f>"Hotspot Systems"</f>
        <v>Hotspot Systems</v>
      </c>
      <c r="M73" s="40" t="str">
        <f>""</f>
        <v/>
      </c>
      <c r="N73" s="40" t="str">
        <f>""</f>
        <v/>
      </c>
      <c r="O73" s="41">
        <v>0</v>
      </c>
      <c r="P73" s="41">
        <v>-1</v>
      </c>
      <c r="Q73" s="41">
        <v>0</v>
      </c>
      <c r="R73" s="41">
        <v>0</v>
      </c>
      <c r="S73" s="41">
        <v>0</v>
      </c>
      <c r="T73" s="41">
        <v>0</v>
      </c>
      <c r="U73" s="54"/>
    </row>
    <row r="74" spans="1:21" ht="17.25" customHeight="1" x14ac:dyDescent="0.3">
      <c r="A74" s="15" t="s">
        <v>29</v>
      </c>
      <c r="C74" s="19"/>
      <c r="D74" s="33"/>
      <c r="E74" s="33"/>
      <c r="F74" s="20"/>
      <c r="G74" s="20"/>
      <c r="H74" s="20"/>
      <c r="I74" s="20"/>
      <c r="J74" s="20"/>
      <c r="K74" s="20"/>
      <c r="L74" s="20"/>
      <c r="M74" s="20"/>
      <c r="N74" s="20"/>
      <c r="O74" s="42"/>
      <c r="P74" s="42"/>
      <c r="Q74" s="42"/>
      <c r="R74" s="42"/>
      <c r="S74" s="42"/>
      <c r="T74" s="42"/>
      <c r="U74" s="55"/>
    </row>
    <row r="75" spans="1:21" ht="17.25" customHeight="1" x14ac:dyDescent="0.3">
      <c r="A75" s="15" t="s">
        <v>29</v>
      </c>
      <c r="C75" s="19"/>
      <c r="D75" s="33"/>
      <c r="E75" s="33" t="s">
        <v>30</v>
      </c>
      <c r="F75" s="20" t="s">
        <v>30</v>
      </c>
      <c r="G75" s="20" t="s">
        <v>30</v>
      </c>
      <c r="H75" s="20"/>
      <c r="I75" s="20"/>
      <c r="J75" s="20" t="s">
        <v>30</v>
      </c>
      <c r="K75" s="20" t="s">
        <v>30</v>
      </c>
      <c r="L75" s="20" t="s">
        <v>30</v>
      </c>
      <c r="M75" s="20" t="s">
        <v>30</v>
      </c>
      <c r="N75" s="20"/>
      <c r="U75" s="56"/>
    </row>
    <row r="76" spans="1:21" ht="20.25" customHeight="1" x14ac:dyDescent="0.35">
      <c r="A76" s="15" t="s">
        <v>29</v>
      </c>
      <c r="C76" s="19"/>
      <c r="D76" s="34" t="str">
        <f t="shared" ref="D76" si="53">E76</f>
        <v>C100018</v>
      </c>
      <c r="E76" s="35" t="str">
        <f>"C100018"</f>
        <v>C100018</v>
      </c>
      <c r="F76" s="36" t="str">
        <f>"Action Sport Duffel"</f>
        <v>Action Sport Duffel</v>
      </c>
      <c r="G76" s="36"/>
      <c r="H76" s="37" t="str">
        <f>"EA"</f>
        <v>EA</v>
      </c>
      <c r="I76" s="36"/>
      <c r="J76" s="36"/>
      <c r="K76" s="36"/>
      <c r="L76" s="36"/>
      <c r="M76" s="36"/>
      <c r="N76" s="36"/>
      <c r="O76" s="38">
        <f t="shared" ref="O76:T76" si="54">(SUBTOTAL(9,O77:O78))</f>
        <v>0</v>
      </c>
      <c r="P76" s="38">
        <f t="shared" si="54"/>
        <v>-6</v>
      </c>
      <c r="Q76" s="38">
        <f t="shared" si="54"/>
        <v>0</v>
      </c>
      <c r="R76" s="38">
        <f t="shared" si="54"/>
        <v>0</v>
      </c>
      <c r="S76" s="38">
        <f t="shared" si="54"/>
        <v>0</v>
      </c>
      <c r="T76" s="38">
        <f t="shared" si="54"/>
        <v>0</v>
      </c>
      <c r="U76" s="53">
        <f t="shared" ref="U76" si="55">SUBTOTAL(9,O77:T78)</f>
        <v>-6</v>
      </c>
    </row>
    <row r="77" spans="1:21" ht="17.25" customHeight="1" x14ac:dyDescent="0.3">
      <c r="A77" s="15" t="s">
        <v>29</v>
      </c>
      <c r="C77" s="19"/>
      <c r="D77" s="33" t="str">
        <f t="shared" ref="D77" si="56">D76</f>
        <v>C100018</v>
      </c>
      <c r="E77" s="33"/>
      <c r="F77" s="20"/>
      <c r="G77" s="20" t="str">
        <f>"""NAV"",""CRONUS JetCorp USA"",""32"",""1"",""30117"""</f>
        <v>"NAV","CRONUS JetCorp USA","32","1","30117"</v>
      </c>
      <c r="H77" s="39">
        <v>43475</v>
      </c>
      <c r="I77" s="40">
        <v>30117</v>
      </c>
      <c r="J77" s="40" t="str">
        <f>"Customer"</f>
        <v>Customer</v>
      </c>
      <c r="K77" s="40" t="str">
        <f>"C100012"</f>
        <v>C100012</v>
      </c>
      <c r="L77" s="40" t="str">
        <f>"Bainbridges"</f>
        <v>Bainbridges</v>
      </c>
      <c r="M77" s="40" t="str">
        <f>""</f>
        <v/>
      </c>
      <c r="N77" s="40" t="str">
        <f>""</f>
        <v/>
      </c>
      <c r="O77" s="41">
        <v>0</v>
      </c>
      <c r="P77" s="41">
        <v>-6</v>
      </c>
      <c r="Q77" s="41">
        <v>0</v>
      </c>
      <c r="R77" s="41">
        <v>0</v>
      </c>
      <c r="S77" s="41">
        <v>0</v>
      </c>
      <c r="T77" s="41">
        <v>0</v>
      </c>
      <c r="U77" s="54"/>
    </row>
    <row r="78" spans="1:21" ht="17.25" customHeight="1" x14ac:dyDescent="0.3">
      <c r="A78" s="15" t="s">
        <v>29</v>
      </c>
      <c r="C78" s="19"/>
      <c r="D78" s="33"/>
      <c r="E78" s="33"/>
      <c r="F78" s="20"/>
      <c r="G78" s="20"/>
      <c r="H78" s="20"/>
      <c r="I78" s="20"/>
      <c r="J78" s="20"/>
      <c r="K78" s="20"/>
      <c r="L78" s="20"/>
      <c r="M78" s="20"/>
      <c r="N78" s="20"/>
      <c r="O78" s="42"/>
      <c r="P78" s="42"/>
      <c r="Q78" s="42"/>
      <c r="R78" s="42"/>
      <c r="S78" s="42"/>
      <c r="T78" s="42"/>
      <c r="U78" s="55"/>
    </row>
    <row r="79" spans="1:21" ht="17.25" customHeight="1" x14ac:dyDescent="0.3">
      <c r="A79" s="15" t="s">
        <v>29</v>
      </c>
      <c r="C79" s="19"/>
      <c r="D79" s="33"/>
      <c r="E79" s="33" t="s">
        <v>30</v>
      </c>
      <c r="F79" s="20" t="s">
        <v>30</v>
      </c>
      <c r="G79" s="20" t="s">
        <v>30</v>
      </c>
      <c r="H79" s="20"/>
      <c r="I79" s="20"/>
      <c r="J79" s="20" t="s">
        <v>30</v>
      </c>
      <c r="K79" s="20" t="s">
        <v>30</v>
      </c>
      <c r="L79" s="20" t="s">
        <v>30</v>
      </c>
      <c r="M79" s="20" t="s">
        <v>30</v>
      </c>
      <c r="N79" s="20"/>
      <c r="U79" s="56"/>
    </row>
    <row r="80" spans="1:21" ht="20.25" customHeight="1" x14ac:dyDescent="0.35">
      <c r="A80" s="15" t="s">
        <v>29</v>
      </c>
      <c r="C80" s="19"/>
      <c r="D80" s="34" t="str">
        <f t="shared" ref="D80" si="57">E80</f>
        <v>C100019</v>
      </c>
      <c r="E80" s="35" t="str">
        <f>"C100019"</f>
        <v>C100019</v>
      </c>
      <c r="F80" s="36" t="str">
        <f>"Black Duffel Bag"</f>
        <v>Black Duffel Bag</v>
      </c>
      <c r="G80" s="36"/>
      <c r="H80" s="37" t="str">
        <f>"EA"</f>
        <v>EA</v>
      </c>
      <c r="I80" s="36"/>
      <c r="J80" s="36"/>
      <c r="K80" s="36"/>
      <c r="L80" s="36"/>
      <c r="M80" s="36"/>
      <c r="N80" s="36"/>
      <c r="O80" s="38">
        <f t="shared" ref="O80:T80" si="58">(SUBTOTAL(9,O81:O83))</f>
        <v>400</v>
      </c>
      <c r="P80" s="38">
        <f t="shared" si="58"/>
        <v>-48</v>
      </c>
      <c r="Q80" s="38">
        <f t="shared" si="58"/>
        <v>0</v>
      </c>
      <c r="R80" s="38">
        <f t="shared" si="58"/>
        <v>0</v>
      </c>
      <c r="S80" s="38">
        <f t="shared" si="58"/>
        <v>0</v>
      </c>
      <c r="T80" s="38">
        <f t="shared" si="58"/>
        <v>0</v>
      </c>
      <c r="U80" s="53">
        <f t="shared" ref="U80" si="59">SUBTOTAL(9,O81:T83)</f>
        <v>352</v>
      </c>
    </row>
    <row r="81" spans="1:21" ht="17.25" customHeight="1" x14ac:dyDescent="0.3">
      <c r="A81" s="15" t="s">
        <v>29</v>
      </c>
      <c r="C81" s="19"/>
      <c r="D81" s="33" t="str">
        <f t="shared" ref="D81" si="60">D80</f>
        <v>C100019</v>
      </c>
      <c r="E81" s="33"/>
      <c r="F81" s="20"/>
      <c r="G81" s="20" t="str">
        <f>"""NAV"",""CRONUS JetCorp USA"",""32"",""1"",""166797"""</f>
        <v>"NAV","CRONUS JetCorp USA","32","1","166797"</v>
      </c>
      <c r="H81" s="39">
        <v>43466</v>
      </c>
      <c r="I81" s="40">
        <v>166797</v>
      </c>
      <c r="J81" s="40" t="str">
        <f>"Vendor"</f>
        <v>Vendor</v>
      </c>
      <c r="K81" s="40" t="str">
        <f>"V100003"</f>
        <v>V100003</v>
      </c>
      <c r="L81" s="40" t="str">
        <f>""</f>
        <v/>
      </c>
      <c r="M81" s="40" t="str">
        <f>"LogoMasters"</f>
        <v>LogoMasters</v>
      </c>
      <c r="N81" s="40" t="str">
        <f>""</f>
        <v/>
      </c>
      <c r="O81" s="41">
        <v>400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54"/>
    </row>
    <row r="82" spans="1:21" ht="17.25" customHeight="1" x14ac:dyDescent="0.3">
      <c r="A82" s="15" t="s">
        <v>29</v>
      </c>
      <c r="C82" s="19"/>
      <c r="D82" s="33" t="str">
        <f t="shared" ref="D82" si="61">D81</f>
        <v>C100019</v>
      </c>
      <c r="E82" s="33"/>
      <c r="F82" s="20"/>
      <c r="G82" s="20" t="str">
        <f>"""NAV"",""CRONUS JetCorp USA"",""32"",""1"",""30101"""</f>
        <v>"NAV","CRONUS JetCorp USA","32","1","30101"</v>
      </c>
      <c r="H82" s="39">
        <v>43475</v>
      </c>
      <c r="I82" s="40">
        <v>30101</v>
      </c>
      <c r="J82" s="40" t="str">
        <f>"Customer"</f>
        <v>Customer</v>
      </c>
      <c r="K82" s="40" t="str">
        <f>"C100012"</f>
        <v>C100012</v>
      </c>
      <c r="L82" s="40" t="str">
        <f>"Bainbridges"</f>
        <v>Bainbridges</v>
      </c>
      <c r="M82" s="40" t="str">
        <f>""</f>
        <v/>
      </c>
      <c r="N82" s="40" t="str">
        <f>""</f>
        <v/>
      </c>
      <c r="O82" s="41">
        <v>0</v>
      </c>
      <c r="P82" s="41">
        <v>-48</v>
      </c>
      <c r="Q82" s="41">
        <v>0</v>
      </c>
      <c r="R82" s="41">
        <v>0</v>
      </c>
      <c r="S82" s="41">
        <v>0</v>
      </c>
      <c r="T82" s="41">
        <v>0</v>
      </c>
      <c r="U82" s="54"/>
    </row>
    <row r="83" spans="1:21" ht="17.25" customHeight="1" x14ac:dyDescent="0.3">
      <c r="A83" s="15" t="s">
        <v>29</v>
      </c>
      <c r="C83" s="19"/>
      <c r="D83" s="33"/>
      <c r="E83" s="33"/>
      <c r="F83" s="20"/>
      <c r="G83" s="20"/>
      <c r="H83" s="20"/>
      <c r="I83" s="20"/>
      <c r="J83" s="20"/>
      <c r="K83" s="20"/>
      <c r="L83" s="20"/>
      <c r="M83" s="20"/>
      <c r="N83" s="20"/>
      <c r="O83" s="42"/>
      <c r="P83" s="42"/>
      <c r="Q83" s="42"/>
      <c r="R83" s="42"/>
      <c r="S83" s="42"/>
      <c r="T83" s="42"/>
      <c r="U83" s="55"/>
    </row>
    <row r="84" spans="1:21" ht="17.25" customHeight="1" x14ac:dyDescent="0.3">
      <c r="A84" s="15" t="s">
        <v>29</v>
      </c>
      <c r="C84" s="19"/>
      <c r="D84" s="33"/>
      <c r="E84" s="33" t="s">
        <v>30</v>
      </c>
      <c r="F84" s="20" t="s">
        <v>30</v>
      </c>
      <c r="G84" s="20" t="s">
        <v>30</v>
      </c>
      <c r="H84" s="20"/>
      <c r="I84" s="20"/>
      <c r="J84" s="20" t="s">
        <v>30</v>
      </c>
      <c r="K84" s="20" t="s">
        <v>30</v>
      </c>
      <c r="L84" s="20" t="s">
        <v>30</v>
      </c>
      <c r="M84" s="20" t="s">
        <v>30</v>
      </c>
      <c r="N84" s="20"/>
      <c r="U84" s="56"/>
    </row>
    <row r="85" spans="1:21" ht="20.25" customHeight="1" x14ac:dyDescent="0.35">
      <c r="A85" s="15" t="s">
        <v>29</v>
      </c>
      <c r="C85" s="19"/>
      <c r="D85" s="34" t="str">
        <f t="shared" ref="D85" si="62">E85</f>
        <v>C100020</v>
      </c>
      <c r="E85" s="35" t="str">
        <f>"C100020"</f>
        <v>C100020</v>
      </c>
      <c r="F85" s="36" t="str">
        <f>"Gym Locker Bag"</f>
        <v>Gym Locker Bag</v>
      </c>
      <c r="G85" s="36"/>
      <c r="H85" s="37" t="str">
        <f>"EA"</f>
        <v>EA</v>
      </c>
      <c r="I85" s="36"/>
      <c r="J85" s="36"/>
      <c r="K85" s="36"/>
      <c r="L85" s="36"/>
      <c r="M85" s="36"/>
      <c r="N85" s="36"/>
      <c r="O85" s="38">
        <f t="shared" ref="O85:T85" si="63">(SUBTOTAL(9,O86:O88))</f>
        <v>400</v>
      </c>
      <c r="P85" s="38">
        <f t="shared" si="63"/>
        <v>-144</v>
      </c>
      <c r="Q85" s="38">
        <f t="shared" si="63"/>
        <v>0</v>
      </c>
      <c r="R85" s="38">
        <f t="shared" si="63"/>
        <v>0</v>
      </c>
      <c r="S85" s="38">
        <f t="shared" si="63"/>
        <v>0</v>
      </c>
      <c r="T85" s="38">
        <f t="shared" si="63"/>
        <v>0</v>
      </c>
      <c r="U85" s="53">
        <f t="shared" ref="U85" si="64">SUBTOTAL(9,O86:T88)</f>
        <v>256</v>
      </c>
    </row>
    <row r="86" spans="1:21" ht="17.25" customHeight="1" x14ac:dyDescent="0.3">
      <c r="A86" s="15" t="s">
        <v>29</v>
      </c>
      <c r="C86" s="19"/>
      <c r="D86" s="33" t="str">
        <f t="shared" ref="D86" si="65">D85</f>
        <v>C100020</v>
      </c>
      <c r="E86" s="33"/>
      <c r="F86" s="20"/>
      <c r="G86" s="20" t="str">
        <f>"""NAV"",""CRONUS JetCorp USA"",""32"",""1"",""166796"""</f>
        <v>"NAV","CRONUS JetCorp USA","32","1","166796"</v>
      </c>
      <c r="H86" s="39">
        <v>43466</v>
      </c>
      <c r="I86" s="40">
        <v>166796</v>
      </c>
      <c r="J86" s="40" t="str">
        <f>"Vendor"</f>
        <v>Vendor</v>
      </c>
      <c r="K86" s="40" t="str">
        <f>"V100003"</f>
        <v>V100003</v>
      </c>
      <c r="L86" s="40" t="str">
        <f>""</f>
        <v/>
      </c>
      <c r="M86" s="40" t="str">
        <f>"LogoMasters"</f>
        <v>LogoMasters</v>
      </c>
      <c r="N86" s="40" t="str">
        <f>""</f>
        <v/>
      </c>
      <c r="O86" s="41">
        <v>400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54"/>
    </row>
    <row r="87" spans="1:21" ht="17.25" customHeight="1" x14ac:dyDescent="0.3">
      <c r="A87" s="15" t="s">
        <v>29</v>
      </c>
      <c r="C87" s="19"/>
      <c r="D87" s="33" t="str">
        <f t="shared" ref="D87" si="66">D86</f>
        <v>C100020</v>
      </c>
      <c r="E87" s="33"/>
      <c r="F87" s="20"/>
      <c r="G87" s="20" t="str">
        <f>"""NAV"",""CRONUS JetCorp USA"",""32"",""1"",""30103"""</f>
        <v>"NAV","CRONUS JetCorp USA","32","1","30103"</v>
      </c>
      <c r="H87" s="39">
        <v>43475</v>
      </c>
      <c r="I87" s="40">
        <v>30103</v>
      </c>
      <c r="J87" s="40" t="str">
        <f>"Customer"</f>
        <v>Customer</v>
      </c>
      <c r="K87" s="40" t="str">
        <f>"C100012"</f>
        <v>C100012</v>
      </c>
      <c r="L87" s="40" t="str">
        <f>"Bainbridges"</f>
        <v>Bainbridges</v>
      </c>
      <c r="M87" s="40" t="str">
        <f>""</f>
        <v/>
      </c>
      <c r="N87" s="40" t="str">
        <f>""</f>
        <v/>
      </c>
      <c r="O87" s="41">
        <v>0</v>
      </c>
      <c r="P87" s="41">
        <v>-144</v>
      </c>
      <c r="Q87" s="41">
        <v>0</v>
      </c>
      <c r="R87" s="41">
        <v>0</v>
      </c>
      <c r="S87" s="41">
        <v>0</v>
      </c>
      <c r="T87" s="41">
        <v>0</v>
      </c>
      <c r="U87" s="54"/>
    </row>
    <row r="88" spans="1:21" ht="17.25" customHeight="1" x14ac:dyDescent="0.3">
      <c r="A88" s="15" t="s">
        <v>29</v>
      </c>
      <c r="C88" s="19"/>
      <c r="D88" s="33"/>
      <c r="E88" s="33"/>
      <c r="F88" s="20"/>
      <c r="G88" s="20"/>
      <c r="H88" s="20"/>
      <c r="I88" s="20"/>
      <c r="J88" s="20"/>
      <c r="K88" s="20"/>
      <c r="L88" s="20"/>
      <c r="M88" s="20"/>
      <c r="N88" s="20"/>
      <c r="O88" s="42"/>
      <c r="P88" s="42"/>
      <c r="Q88" s="42"/>
      <c r="R88" s="42"/>
      <c r="S88" s="42"/>
      <c r="T88" s="42"/>
      <c r="U88" s="55"/>
    </row>
    <row r="89" spans="1:21" ht="17.25" customHeight="1" x14ac:dyDescent="0.3">
      <c r="A89" s="15" t="s">
        <v>29</v>
      </c>
      <c r="C89" s="19"/>
      <c r="D89" s="33"/>
      <c r="E89" s="33" t="s">
        <v>30</v>
      </c>
      <c r="F89" s="20" t="s">
        <v>30</v>
      </c>
      <c r="G89" s="20" t="s">
        <v>30</v>
      </c>
      <c r="H89" s="20"/>
      <c r="I89" s="20"/>
      <c r="J89" s="20" t="s">
        <v>30</v>
      </c>
      <c r="K89" s="20" t="s">
        <v>30</v>
      </c>
      <c r="L89" s="20" t="s">
        <v>30</v>
      </c>
      <c r="M89" s="20" t="s">
        <v>30</v>
      </c>
      <c r="N89" s="20"/>
      <c r="U89" s="56"/>
    </row>
    <row r="90" spans="1:21" ht="20.25" customHeight="1" x14ac:dyDescent="0.35">
      <c r="A90" s="15" t="s">
        <v>29</v>
      </c>
      <c r="C90" s="19"/>
      <c r="D90" s="34" t="str">
        <f t="shared" ref="D90" si="67">E90</f>
        <v>C100021</v>
      </c>
      <c r="E90" s="35" t="str">
        <f>"C100021"</f>
        <v>C100021</v>
      </c>
      <c r="F90" s="36" t="str">
        <f>"Canvas Boat Bag"</f>
        <v>Canvas Boat Bag</v>
      </c>
      <c r="G90" s="36"/>
      <c r="H90" s="37" t="str">
        <f>"EA"</f>
        <v>EA</v>
      </c>
      <c r="I90" s="36"/>
      <c r="J90" s="36"/>
      <c r="K90" s="36"/>
      <c r="L90" s="36"/>
      <c r="M90" s="36"/>
      <c r="N90" s="36"/>
      <c r="O90" s="38">
        <f t="shared" ref="O90:T90" si="68">(SUBTOTAL(9,O91:O94))</f>
        <v>400</v>
      </c>
      <c r="P90" s="38">
        <f t="shared" si="68"/>
        <v>-432</v>
      </c>
      <c r="Q90" s="38">
        <f t="shared" si="68"/>
        <v>0</v>
      </c>
      <c r="R90" s="38">
        <f t="shared" si="68"/>
        <v>0</v>
      </c>
      <c r="S90" s="38">
        <f t="shared" si="68"/>
        <v>0</v>
      </c>
      <c r="T90" s="38">
        <f t="shared" si="68"/>
        <v>0</v>
      </c>
      <c r="U90" s="53">
        <f t="shared" ref="U90" si="69">SUBTOTAL(9,O91:T94)</f>
        <v>-32</v>
      </c>
    </row>
    <row r="91" spans="1:21" ht="17.25" customHeight="1" x14ac:dyDescent="0.3">
      <c r="A91" s="15" t="s">
        <v>29</v>
      </c>
      <c r="C91" s="19"/>
      <c r="D91" s="33" t="str">
        <f t="shared" ref="D91" si="70">D90</f>
        <v>C100021</v>
      </c>
      <c r="E91" s="33"/>
      <c r="F91" s="20"/>
      <c r="G91" s="20" t="str">
        <f>"""NAV"",""CRONUS JetCorp USA"",""32"",""1"",""166795"""</f>
        <v>"NAV","CRONUS JetCorp USA","32","1","166795"</v>
      </c>
      <c r="H91" s="39">
        <v>43466</v>
      </c>
      <c r="I91" s="40">
        <v>166795</v>
      </c>
      <c r="J91" s="40" t="str">
        <f>"Vendor"</f>
        <v>Vendor</v>
      </c>
      <c r="K91" s="40" t="str">
        <f>"V100003"</f>
        <v>V100003</v>
      </c>
      <c r="L91" s="40" t="str">
        <f>""</f>
        <v/>
      </c>
      <c r="M91" s="40" t="str">
        <f>"LogoMasters"</f>
        <v>LogoMasters</v>
      </c>
      <c r="N91" s="40" t="str">
        <f>""</f>
        <v/>
      </c>
      <c r="O91" s="41">
        <v>400</v>
      </c>
      <c r="P91" s="41">
        <v>0</v>
      </c>
      <c r="Q91" s="41">
        <v>0</v>
      </c>
      <c r="R91" s="41">
        <v>0</v>
      </c>
      <c r="S91" s="41">
        <v>0</v>
      </c>
      <c r="T91" s="41">
        <v>0</v>
      </c>
      <c r="U91" s="54"/>
    </row>
    <row r="92" spans="1:21" ht="17.25" customHeight="1" x14ac:dyDescent="0.3">
      <c r="A92" s="15" t="s">
        <v>29</v>
      </c>
      <c r="C92" s="19"/>
      <c r="D92" s="33" t="str">
        <f t="shared" ref="D92:D93" si="71">D91</f>
        <v>C100021</v>
      </c>
      <c r="E92" s="33"/>
      <c r="F92" s="20"/>
      <c r="G92" s="20" t="str">
        <f>"""NAV"",""CRONUS JetCorp USA"",""32"",""1"",""30029"""</f>
        <v>"NAV","CRONUS JetCorp USA","32","1","30029"</v>
      </c>
      <c r="H92" s="39">
        <v>43471</v>
      </c>
      <c r="I92" s="40">
        <v>30029</v>
      </c>
      <c r="J92" s="40" t="str">
        <f>"Customer"</f>
        <v>Customer</v>
      </c>
      <c r="K92" s="40" t="str">
        <f>"C100012"</f>
        <v>C100012</v>
      </c>
      <c r="L92" s="40" t="str">
        <f>"Bainbridges"</f>
        <v>Bainbridges</v>
      </c>
      <c r="M92" s="40" t="str">
        <f>""</f>
        <v/>
      </c>
      <c r="N92" s="40" t="str">
        <f>""</f>
        <v/>
      </c>
      <c r="O92" s="41">
        <v>0</v>
      </c>
      <c r="P92" s="41">
        <v>-288</v>
      </c>
      <c r="Q92" s="41">
        <v>0</v>
      </c>
      <c r="R92" s="41">
        <v>0</v>
      </c>
      <c r="S92" s="41">
        <v>0</v>
      </c>
      <c r="T92" s="41">
        <v>0</v>
      </c>
      <c r="U92" s="54"/>
    </row>
    <row r="93" spans="1:21" ht="17.25" customHeight="1" x14ac:dyDescent="0.3">
      <c r="A93" s="15" t="s">
        <v>29</v>
      </c>
      <c r="C93" s="19"/>
      <c r="D93" s="33" t="str">
        <f t="shared" si="71"/>
        <v>C100021</v>
      </c>
      <c r="E93" s="33"/>
      <c r="F93" s="20"/>
      <c r="G93" s="20" t="str">
        <f>"""NAV"",""CRONUS JetCorp USA"",""32"",""1"",""30104"""</f>
        <v>"NAV","CRONUS JetCorp USA","32","1","30104"</v>
      </c>
      <c r="H93" s="39">
        <v>43475</v>
      </c>
      <c r="I93" s="40">
        <v>30104</v>
      </c>
      <c r="J93" s="40" t="str">
        <f>"Customer"</f>
        <v>Customer</v>
      </c>
      <c r="K93" s="40" t="str">
        <f>"C100012"</f>
        <v>C100012</v>
      </c>
      <c r="L93" s="40" t="str">
        <f>"Bainbridges"</f>
        <v>Bainbridges</v>
      </c>
      <c r="M93" s="40" t="str">
        <f>""</f>
        <v/>
      </c>
      <c r="N93" s="40" t="str">
        <f>""</f>
        <v/>
      </c>
      <c r="O93" s="41">
        <v>0</v>
      </c>
      <c r="P93" s="41">
        <v>-144</v>
      </c>
      <c r="Q93" s="41">
        <v>0</v>
      </c>
      <c r="R93" s="41">
        <v>0</v>
      </c>
      <c r="S93" s="41">
        <v>0</v>
      </c>
      <c r="T93" s="41">
        <v>0</v>
      </c>
      <c r="U93" s="54"/>
    </row>
    <row r="94" spans="1:21" ht="17.25" customHeight="1" x14ac:dyDescent="0.3">
      <c r="A94" s="15" t="s">
        <v>29</v>
      </c>
      <c r="C94" s="19"/>
      <c r="D94" s="33"/>
      <c r="E94" s="33"/>
      <c r="F94" s="20"/>
      <c r="G94" s="20"/>
      <c r="H94" s="20"/>
      <c r="I94" s="20"/>
      <c r="J94" s="20"/>
      <c r="K94" s="20"/>
      <c r="L94" s="20"/>
      <c r="M94" s="20"/>
      <c r="N94" s="20"/>
      <c r="O94" s="42"/>
      <c r="P94" s="42"/>
      <c r="Q94" s="42"/>
      <c r="R94" s="42"/>
      <c r="S94" s="42"/>
      <c r="T94" s="42"/>
      <c r="U94" s="55"/>
    </row>
    <row r="95" spans="1:21" ht="17.25" customHeight="1" x14ac:dyDescent="0.3">
      <c r="A95" s="15" t="s">
        <v>29</v>
      </c>
      <c r="C95" s="19"/>
      <c r="D95" s="33"/>
      <c r="E95" s="33" t="s">
        <v>30</v>
      </c>
      <c r="F95" s="20" t="s">
        <v>30</v>
      </c>
      <c r="G95" s="20" t="s">
        <v>30</v>
      </c>
      <c r="H95" s="20"/>
      <c r="I95" s="20"/>
      <c r="J95" s="20" t="s">
        <v>30</v>
      </c>
      <c r="K95" s="20" t="s">
        <v>30</v>
      </c>
      <c r="L95" s="20" t="s">
        <v>30</v>
      </c>
      <c r="M95" s="20" t="s">
        <v>30</v>
      </c>
      <c r="N95" s="20"/>
      <c r="U95" s="56"/>
    </row>
    <row r="96" spans="1:21" ht="20.25" customHeight="1" x14ac:dyDescent="0.35">
      <c r="A96" s="15" t="s">
        <v>29</v>
      </c>
      <c r="C96" s="19"/>
      <c r="D96" s="34" t="str">
        <f t="shared" ref="D96" si="72">E96</f>
        <v>C100022</v>
      </c>
      <c r="E96" s="35" t="str">
        <f>"C100022"</f>
        <v>C100022</v>
      </c>
      <c r="F96" s="36" t="str">
        <f>"Two-Toned Cap"</f>
        <v>Two-Toned Cap</v>
      </c>
      <c r="G96" s="36"/>
      <c r="H96" s="37" t="str">
        <f>"EA"</f>
        <v>EA</v>
      </c>
      <c r="I96" s="36"/>
      <c r="J96" s="36"/>
      <c r="K96" s="36"/>
      <c r="L96" s="36"/>
      <c r="M96" s="36"/>
      <c r="N96" s="36"/>
      <c r="O96" s="38">
        <f t="shared" ref="O96:T96" si="73">(SUBTOTAL(9,O97:O100))</f>
        <v>800</v>
      </c>
      <c r="P96" s="38">
        <f t="shared" si="73"/>
        <v>-336</v>
      </c>
      <c r="Q96" s="38">
        <f t="shared" si="73"/>
        <v>0</v>
      </c>
      <c r="R96" s="38">
        <f t="shared" si="73"/>
        <v>0</v>
      </c>
      <c r="S96" s="38">
        <f t="shared" si="73"/>
        <v>0</v>
      </c>
      <c r="T96" s="38">
        <f t="shared" si="73"/>
        <v>0</v>
      </c>
      <c r="U96" s="53">
        <f t="shared" ref="U96" si="74">SUBTOTAL(9,O97:T100)</f>
        <v>464</v>
      </c>
    </row>
    <row r="97" spans="1:21" ht="17.25" customHeight="1" x14ac:dyDescent="0.3">
      <c r="A97" s="15" t="s">
        <v>29</v>
      </c>
      <c r="C97" s="19"/>
      <c r="D97" s="33" t="str">
        <f t="shared" ref="D97" si="75">D96</f>
        <v>C100022</v>
      </c>
      <c r="E97" s="33"/>
      <c r="F97" s="20"/>
      <c r="G97" s="20" t="str">
        <f>"""NAV"",""CRONUS JetCorp USA"",""32"",""1"",""167168"""</f>
        <v>"NAV","CRONUS JetCorp USA","32","1","167168"</v>
      </c>
      <c r="H97" s="39">
        <v>43466</v>
      </c>
      <c r="I97" s="40">
        <v>167168</v>
      </c>
      <c r="J97" s="40" t="str">
        <f>"Vendor"</f>
        <v>Vendor</v>
      </c>
      <c r="K97" s="40" t="str">
        <f>"V100003"</f>
        <v>V100003</v>
      </c>
      <c r="L97" s="40" t="str">
        <f>""</f>
        <v/>
      </c>
      <c r="M97" s="40" t="str">
        <f>"LogoMasters"</f>
        <v>LogoMasters</v>
      </c>
      <c r="N97" s="40" t="str">
        <f>""</f>
        <v/>
      </c>
      <c r="O97" s="41">
        <v>400</v>
      </c>
      <c r="P97" s="41">
        <v>0</v>
      </c>
      <c r="Q97" s="41">
        <v>0</v>
      </c>
      <c r="R97" s="41">
        <v>0</v>
      </c>
      <c r="S97" s="41">
        <v>0</v>
      </c>
      <c r="T97" s="41">
        <v>0</v>
      </c>
      <c r="U97" s="54"/>
    </row>
    <row r="98" spans="1:21" ht="17.25" customHeight="1" x14ac:dyDescent="0.3">
      <c r="A98" s="15" t="s">
        <v>29</v>
      </c>
      <c r="C98" s="19"/>
      <c r="D98" s="33" t="str">
        <f t="shared" ref="D98:D99" si="76">D97</f>
        <v>C100022</v>
      </c>
      <c r="E98" s="33"/>
      <c r="F98" s="20"/>
      <c r="G98" s="20" t="str">
        <f>"""NAV"",""CRONUS JetCorp USA"",""32"",""1"",""167175"""</f>
        <v>"NAV","CRONUS JetCorp USA","32","1","167175"</v>
      </c>
      <c r="H98" s="39">
        <v>43466</v>
      </c>
      <c r="I98" s="40">
        <v>167175</v>
      </c>
      <c r="J98" s="40" t="str">
        <f>"Vendor"</f>
        <v>Vendor</v>
      </c>
      <c r="K98" s="40" t="str">
        <f>"V100001"</f>
        <v>V100001</v>
      </c>
      <c r="L98" s="40" t="str">
        <f>""</f>
        <v/>
      </c>
      <c r="M98" s="40" t="str">
        <f>"Greigner, Inc."</f>
        <v>Greigner, Inc.</v>
      </c>
      <c r="N98" s="40" t="str">
        <f>""</f>
        <v/>
      </c>
      <c r="O98" s="41">
        <v>400</v>
      </c>
      <c r="P98" s="41">
        <v>0</v>
      </c>
      <c r="Q98" s="41">
        <v>0</v>
      </c>
      <c r="R98" s="41">
        <v>0</v>
      </c>
      <c r="S98" s="41">
        <v>0</v>
      </c>
      <c r="T98" s="41">
        <v>0</v>
      </c>
      <c r="U98" s="54"/>
    </row>
    <row r="99" spans="1:21" ht="17.25" customHeight="1" x14ac:dyDescent="0.3">
      <c r="A99" s="15" t="s">
        <v>29</v>
      </c>
      <c r="C99" s="19"/>
      <c r="D99" s="33" t="str">
        <f t="shared" si="76"/>
        <v>C100022</v>
      </c>
      <c r="E99" s="33"/>
      <c r="F99" s="20"/>
      <c r="G99" s="20" t="str">
        <f>"""NAV"",""CRONUS JetCorp USA"",""32"",""1"",""20382"""</f>
        <v>"NAV","CRONUS JetCorp USA","32","1","20382"</v>
      </c>
      <c r="H99" s="39">
        <v>43473</v>
      </c>
      <c r="I99" s="40">
        <v>20382</v>
      </c>
      <c r="J99" s="40" t="str">
        <f>"Customer"</f>
        <v>Customer</v>
      </c>
      <c r="K99" s="40" t="str">
        <f>"C100130"</f>
        <v>C100130</v>
      </c>
      <c r="L99" s="40" t="str">
        <f>"Hotspot Systems"</f>
        <v>Hotspot Systems</v>
      </c>
      <c r="M99" s="40" t="str">
        <f>""</f>
        <v/>
      </c>
      <c r="N99" s="40" t="str">
        <f>""</f>
        <v/>
      </c>
      <c r="O99" s="41">
        <v>0</v>
      </c>
      <c r="P99" s="41">
        <v>-336</v>
      </c>
      <c r="Q99" s="41">
        <v>0</v>
      </c>
      <c r="R99" s="41">
        <v>0</v>
      </c>
      <c r="S99" s="41">
        <v>0</v>
      </c>
      <c r="T99" s="41">
        <v>0</v>
      </c>
      <c r="U99" s="54"/>
    </row>
    <row r="100" spans="1:21" ht="17.25" customHeight="1" x14ac:dyDescent="0.3">
      <c r="A100" s="15" t="s">
        <v>29</v>
      </c>
      <c r="C100" s="19"/>
      <c r="D100" s="33"/>
      <c r="E100" s="33"/>
      <c r="F100" s="20"/>
      <c r="G100" s="20"/>
      <c r="H100" s="20"/>
      <c r="I100" s="20"/>
      <c r="J100" s="20"/>
      <c r="K100" s="20"/>
      <c r="L100" s="20"/>
      <c r="M100" s="20"/>
      <c r="N100" s="20"/>
      <c r="O100" s="42"/>
      <c r="P100" s="42"/>
      <c r="Q100" s="42"/>
      <c r="R100" s="42"/>
      <c r="S100" s="42"/>
      <c r="T100" s="42"/>
      <c r="U100" s="55"/>
    </row>
    <row r="101" spans="1:21" ht="17.25" customHeight="1" x14ac:dyDescent="0.3">
      <c r="A101" s="15" t="s">
        <v>29</v>
      </c>
      <c r="C101" s="19"/>
      <c r="D101" s="33"/>
      <c r="E101" s="33" t="s">
        <v>30</v>
      </c>
      <c r="F101" s="20" t="s">
        <v>30</v>
      </c>
      <c r="G101" s="20" t="s">
        <v>30</v>
      </c>
      <c r="H101" s="20"/>
      <c r="I101" s="20"/>
      <c r="J101" s="20" t="s">
        <v>30</v>
      </c>
      <c r="K101" s="20" t="s">
        <v>30</v>
      </c>
      <c r="L101" s="20" t="s">
        <v>30</v>
      </c>
      <c r="M101" s="20" t="s">
        <v>30</v>
      </c>
      <c r="N101" s="20"/>
      <c r="U101" s="56"/>
    </row>
    <row r="102" spans="1:21" ht="20.25" customHeight="1" x14ac:dyDescent="0.35">
      <c r="A102" s="15" t="s">
        <v>29</v>
      </c>
      <c r="C102" s="19"/>
      <c r="D102" s="34" t="str">
        <f t="shared" ref="D102" si="77">E102</f>
        <v>C100023</v>
      </c>
      <c r="E102" s="35" t="str">
        <f>"C100023"</f>
        <v>C100023</v>
      </c>
      <c r="F102" s="36" t="str">
        <f>"Two-Toned Knit Hat"</f>
        <v>Two-Toned Knit Hat</v>
      </c>
      <c r="G102" s="36"/>
      <c r="H102" s="37" t="str">
        <f>"EA"</f>
        <v>EA</v>
      </c>
      <c r="I102" s="36"/>
      <c r="J102" s="36"/>
      <c r="K102" s="36"/>
      <c r="L102" s="36"/>
      <c r="M102" s="36"/>
      <c r="N102" s="36"/>
      <c r="O102" s="38">
        <f t="shared" ref="O102:T102" si="78">(SUBTOTAL(9,O103:O107))</f>
        <v>1600</v>
      </c>
      <c r="P102" s="38">
        <f t="shared" si="78"/>
        <v>-336</v>
      </c>
      <c r="Q102" s="38">
        <f t="shared" si="78"/>
        <v>0</v>
      </c>
      <c r="R102" s="38">
        <f t="shared" si="78"/>
        <v>0</v>
      </c>
      <c r="S102" s="38">
        <f t="shared" si="78"/>
        <v>0</v>
      </c>
      <c r="T102" s="38">
        <f t="shared" si="78"/>
        <v>0</v>
      </c>
      <c r="U102" s="53">
        <f t="shared" ref="U102" si="79">SUBTOTAL(9,O103:T107)</f>
        <v>1264</v>
      </c>
    </row>
    <row r="103" spans="1:21" ht="17.25" customHeight="1" x14ac:dyDescent="0.3">
      <c r="A103" s="15" t="s">
        <v>29</v>
      </c>
      <c r="C103" s="19"/>
      <c r="D103" s="33" t="str">
        <f t="shared" ref="D103" si="80">D102</f>
        <v>C100023</v>
      </c>
      <c r="E103" s="33"/>
      <c r="F103" s="20"/>
      <c r="G103" s="20" t="str">
        <f>"""NAV"",""CRONUS JetCorp USA"",""32"",""1"",""167167"""</f>
        <v>"NAV","CRONUS JetCorp USA","32","1","167167"</v>
      </c>
      <c r="H103" s="39">
        <v>43466</v>
      </c>
      <c r="I103" s="40">
        <v>167167</v>
      </c>
      <c r="J103" s="40" t="str">
        <f>"Vendor"</f>
        <v>Vendor</v>
      </c>
      <c r="K103" s="40" t="str">
        <f>"V100003"</f>
        <v>V100003</v>
      </c>
      <c r="L103" s="40" t="str">
        <f>""</f>
        <v/>
      </c>
      <c r="M103" s="40" t="str">
        <f>"LogoMasters"</f>
        <v>LogoMasters</v>
      </c>
      <c r="N103" s="40" t="str">
        <f>""</f>
        <v/>
      </c>
      <c r="O103" s="41">
        <v>800</v>
      </c>
      <c r="P103" s="41">
        <v>0</v>
      </c>
      <c r="Q103" s="41">
        <v>0</v>
      </c>
      <c r="R103" s="41">
        <v>0</v>
      </c>
      <c r="S103" s="41">
        <v>0</v>
      </c>
      <c r="T103" s="41">
        <v>0</v>
      </c>
      <c r="U103" s="54"/>
    </row>
    <row r="104" spans="1:21" ht="17.25" customHeight="1" x14ac:dyDescent="0.3">
      <c r="A104" s="15" t="s">
        <v>29</v>
      </c>
      <c r="C104" s="19"/>
      <c r="D104" s="33" t="str">
        <f t="shared" ref="D104:D106" si="81">D103</f>
        <v>C100023</v>
      </c>
      <c r="E104" s="33"/>
      <c r="F104" s="20"/>
      <c r="G104" s="20" t="str">
        <f>"""NAV"",""CRONUS JetCorp USA"",""32"",""1"",""167174"""</f>
        <v>"NAV","CRONUS JetCorp USA","32","1","167174"</v>
      </c>
      <c r="H104" s="39">
        <v>43466</v>
      </c>
      <c r="I104" s="40">
        <v>167174</v>
      </c>
      <c r="J104" s="40" t="str">
        <f>"Vendor"</f>
        <v>Vendor</v>
      </c>
      <c r="K104" s="40" t="str">
        <f>"V100001"</f>
        <v>V100001</v>
      </c>
      <c r="L104" s="40" t="str">
        <f>""</f>
        <v/>
      </c>
      <c r="M104" s="40" t="str">
        <f>"Greigner, Inc."</f>
        <v>Greigner, Inc.</v>
      </c>
      <c r="N104" s="40" t="str">
        <f>""</f>
        <v/>
      </c>
      <c r="O104" s="41">
        <v>800</v>
      </c>
      <c r="P104" s="41">
        <v>0</v>
      </c>
      <c r="Q104" s="41">
        <v>0</v>
      </c>
      <c r="R104" s="41">
        <v>0</v>
      </c>
      <c r="S104" s="41">
        <v>0</v>
      </c>
      <c r="T104" s="41">
        <v>0</v>
      </c>
      <c r="U104" s="54"/>
    </row>
    <row r="105" spans="1:21" ht="17.25" customHeight="1" x14ac:dyDescent="0.3">
      <c r="A105" s="15" t="s">
        <v>29</v>
      </c>
      <c r="C105" s="19"/>
      <c r="D105" s="33" t="str">
        <f t="shared" si="81"/>
        <v>C100023</v>
      </c>
      <c r="E105" s="33"/>
      <c r="F105" s="20"/>
      <c r="G105" s="20" t="str">
        <f>"""NAV"",""CRONUS JetCorp USA"",""32"",""1"",""20393"""</f>
        <v>"NAV","CRONUS JetCorp USA","32","1","20393"</v>
      </c>
      <c r="H105" s="39">
        <v>43473</v>
      </c>
      <c r="I105" s="40">
        <v>20393</v>
      </c>
      <c r="J105" s="40" t="str">
        <f>"Customer"</f>
        <v>Customer</v>
      </c>
      <c r="K105" s="40" t="str">
        <f>"C100130"</f>
        <v>C100130</v>
      </c>
      <c r="L105" s="40" t="str">
        <f>"Hotspot Systems"</f>
        <v>Hotspot Systems</v>
      </c>
      <c r="M105" s="40" t="str">
        <f>""</f>
        <v/>
      </c>
      <c r="N105" s="40" t="str">
        <f>""</f>
        <v/>
      </c>
      <c r="O105" s="41">
        <v>0</v>
      </c>
      <c r="P105" s="41">
        <v>-48</v>
      </c>
      <c r="Q105" s="41">
        <v>0</v>
      </c>
      <c r="R105" s="41">
        <v>0</v>
      </c>
      <c r="S105" s="41">
        <v>0</v>
      </c>
      <c r="T105" s="41">
        <v>0</v>
      </c>
      <c r="U105" s="54"/>
    </row>
    <row r="106" spans="1:21" ht="17.25" customHeight="1" x14ac:dyDescent="0.3">
      <c r="A106" s="15" t="s">
        <v>29</v>
      </c>
      <c r="C106" s="19"/>
      <c r="D106" s="33" t="str">
        <f t="shared" si="81"/>
        <v>C100023</v>
      </c>
      <c r="E106" s="33"/>
      <c r="F106" s="20"/>
      <c r="G106" s="20" t="str">
        <f>"""NAV"",""CRONUS JetCorp USA"",""32"",""1"",""64612"""</f>
        <v>"NAV","CRONUS JetCorp USA","32","1","64612"</v>
      </c>
      <c r="H106" s="39">
        <v>43475</v>
      </c>
      <c r="I106" s="40">
        <v>64612</v>
      </c>
      <c r="J106" s="40" t="str">
        <f>"Customer"</f>
        <v>Customer</v>
      </c>
      <c r="K106" s="40" t="str">
        <f>"C100136"</f>
        <v>C100136</v>
      </c>
      <c r="L106" s="40" t="str">
        <f>"First Bank"</f>
        <v>First Bank</v>
      </c>
      <c r="M106" s="40" t="str">
        <f>""</f>
        <v/>
      </c>
      <c r="N106" s="40" t="str">
        <f>""</f>
        <v/>
      </c>
      <c r="O106" s="41">
        <v>0</v>
      </c>
      <c r="P106" s="41">
        <v>-288</v>
      </c>
      <c r="Q106" s="41">
        <v>0</v>
      </c>
      <c r="R106" s="41">
        <v>0</v>
      </c>
      <c r="S106" s="41">
        <v>0</v>
      </c>
      <c r="T106" s="41">
        <v>0</v>
      </c>
      <c r="U106" s="54"/>
    </row>
    <row r="107" spans="1:21" ht="17.25" customHeight="1" x14ac:dyDescent="0.3">
      <c r="A107" s="15" t="s">
        <v>29</v>
      </c>
      <c r="C107" s="19"/>
      <c r="D107" s="33"/>
      <c r="E107" s="33"/>
      <c r="F107" s="20"/>
      <c r="G107" s="20"/>
      <c r="H107" s="20"/>
      <c r="I107" s="20"/>
      <c r="J107" s="20"/>
      <c r="K107" s="20"/>
      <c r="L107" s="20"/>
      <c r="M107" s="20"/>
      <c r="N107" s="20"/>
      <c r="O107" s="42"/>
      <c r="P107" s="42"/>
      <c r="Q107" s="42"/>
      <c r="R107" s="42"/>
      <c r="S107" s="42"/>
      <c r="T107" s="42"/>
      <c r="U107" s="55"/>
    </row>
    <row r="108" spans="1:21" ht="17.25" customHeight="1" x14ac:dyDescent="0.3">
      <c r="A108" s="15" t="s">
        <v>29</v>
      </c>
      <c r="C108" s="19"/>
      <c r="D108" s="33"/>
      <c r="E108" s="33" t="s">
        <v>30</v>
      </c>
      <c r="F108" s="20" t="s">
        <v>30</v>
      </c>
      <c r="G108" s="20" t="s">
        <v>30</v>
      </c>
      <c r="H108" s="20"/>
      <c r="I108" s="20"/>
      <c r="J108" s="20" t="s">
        <v>30</v>
      </c>
      <c r="K108" s="20" t="s">
        <v>30</v>
      </c>
      <c r="L108" s="20" t="s">
        <v>30</v>
      </c>
      <c r="M108" s="20" t="s">
        <v>30</v>
      </c>
      <c r="N108" s="20"/>
      <c r="U108" s="56"/>
    </row>
    <row r="109" spans="1:21" ht="20.25" customHeight="1" x14ac:dyDescent="0.35">
      <c r="A109" s="15" t="s">
        <v>29</v>
      </c>
      <c r="C109" s="19"/>
      <c r="D109" s="34" t="str">
        <f t="shared" ref="D109" si="82">E109</f>
        <v>C100024</v>
      </c>
      <c r="E109" s="35" t="str">
        <f>"C100024"</f>
        <v>C100024</v>
      </c>
      <c r="F109" s="36" t="str">
        <f>"Knit Hat with Bill"</f>
        <v>Knit Hat with Bill</v>
      </c>
      <c r="G109" s="36"/>
      <c r="H109" s="37" t="str">
        <f>"EA"</f>
        <v>EA</v>
      </c>
      <c r="I109" s="36"/>
      <c r="J109" s="36"/>
      <c r="K109" s="36"/>
      <c r="L109" s="36"/>
      <c r="M109" s="36"/>
      <c r="N109" s="36"/>
      <c r="O109" s="38">
        <f t="shared" ref="O109:T109" si="83">(SUBTOTAL(9,O110:O112))</f>
        <v>400</v>
      </c>
      <c r="P109" s="38">
        <f t="shared" si="83"/>
        <v>-144</v>
      </c>
      <c r="Q109" s="38">
        <f t="shared" si="83"/>
        <v>0</v>
      </c>
      <c r="R109" s="38">
        <f t="shared" si="83"/>
        <v>0</v>
      </c>
      <c r="S109" s="38">
        <f t="shared" si="83"/>
        <v>0</v>
      </c>
      <c r="T109" s="38">
        <f t="shared" si="83"/>
        <v>0</v>
      </c>
      <c r="U109" s="53">
        <f t="shared" ref="U109" si="84">SUBTOTAL(9,O110:T112)</f>
        <v>256</v>
      </c>
    </row>
    <row r="110" spans="1:21" ht="17.25" customHeight="1" x14ac:dyDescent="0.3">
      <c r="A110" s="15" t="s">
        <v>29</v>
      </c>
      <c r="C110" s="19"/>
      <c r="D110" s="33" t="str">
        <f t="shared" ref="D110" si="85">D109</f>
        <v>C100024</v>
      </c>
      <c r="E110" s="33"/>
      <c r="F110" s="20"/>
      <c r="G110" s="20" t="str">
        <f>"""NAV"",""CRONUS JetCorp USA"",""32"",""1"",""167166"""</f>
        <v>"NAV","CRONUS JetCorp USA","32","1","167166"</v>
      </c>
      <c r="H110" s="39">
        <v>43466</v>
      </c>
      <c r="I110" s="40">
        <v>167166</v>
      </c>
      <c r="J110" s="40" t="str">
        <f>"Vendor"</f>
        <v>Vendor</v>
      </c>
      <c r="K110" s="40" t="str">
        <f>"V100003"</f>
        <v>V100003</v>
      </c>
      <c r="L110" s="40" t="str">
        <f>""</f>
        <v/>
      </c>
      <c r="M110" s="40" t="str">
        <f>"LogoMasters"</f>
        <v>LogoMasters</v>
      </c>
      <c r="N110" s="40" t="str">
        <f>""</f>
        <v/>
      </c>
      <c r="O110" s="41">
        <v>400</v>
      </c>
      <c r="P110" s="41">
        <v>0</v>
      </c>
      <c r="Q110" s="41">
        <v>0</v>
      </c>
      <c r="R110" s="41">
        <v>0</v>
      </c>
      <c r="S110" s="41">
        <v>0</v>
      </c>
      <c r="T110" s="41">
        <v>0</v>
      </c>
      <c r="U110" s="54"/>
    </row>
    <row r="111" spans="1:21" ht="17.25" customHeight="1" x14ac:dyDescent="0.3">
      <c r="A111" s="15" t="s">
        <v>29</v>
      </c>
      <c r="C111" s="19"/>
      <c r="D111" s="33" t="str">
        <f t="shared" ref="D111" si="86">D110</f>
        <v>C100024</v>
      </c>
      <c r="E111" s="33"/>
      <c r="F111" s="20"/>
      <c r="G111" s="20" t="str">
        <f>"""NAV"",""CRONUS JetCorp USA"",""32"",""1"",""30110"""</f>
        <v>"NAV","CRONUS JetCorp USA","32","1","30110"</v>
      </c>
      <c r="H111" s="39">
        <v>43475</v>
      </c>
      <c r="I111" s="40">
        <v>30110</v>
      </c>
      <c r="J111" s="40" t="str">
        <f>"Customer"</f>
        <v>Customer</v>
      </c>
      <c r="K111" s="40" t="str">
        <f>"C100012"</f>
        <v>C100012</v>
      </c>
      <c r="L111" s="40" t="str">
        <f>"Bainbridges"</f>
        <v>Bainbridges</v>
      </c>
      <c r="M111" s="40" t="str">
        <f>""</f>
        <v/>
      </c>
      <c r="N111" s="40" t="str">
        <f>""</f>
        <v/>
      </c>
      <c r="O111" s="41">
        <v>0</v>
      </c>
      <c r="P111" s="41">
        <v>-144</v>
      </c>
      <c r="Q111" s="41">
        <v>0</v>
      </c>
      <c r="R111" s="41">
        <v>0</v>
      </c>
      <c r="S111" s="41">
        <v>0</v>
      </c>
      <c r="T111" s="41">
        <v>0</v>
      </c>
      <c r="U111" s="54"/>
    </row>
    <row r="112" spans="1:21" ht="17.25" customHeight="1" x14ac:dyDescent="0.3">
      <c r="A112" s="15" t="s">
        <v>29</v>
      </c>
      <c r="C112" s="19"/>
      <c r="D112" s="33"/>
      <c r="E112" s="33"/>
      <c r="F112" s="20"/>
      <c r="G112" s="20"/>
      <c r="H112" s="20"/>
      <c r="I112" s="20"/>
      <c r="J112" s="20"/>
      <c r="K112" s="20"/>
      <c r="L112" s="20"/>
      <c r="M112" s="20"/>
      <c r="N112" s="20"/>
      <c r="O112" s="42"/>
      <c r="P112" s="42"/>
      <c r="Q112" s="42"/>
      <c r="R112" s="42"/>
      <c r="S112" s="42"/>
      <c r="T112" s="42"/>
      <c r="U112" s="55"/>
    </row>
    <row r="113" spans="1:21" ht="17.25" customHeight="1" x14ac:dyDescent="0.3">
      <c r="A113" s="15" t="s">
        <v>29</v>
      </c>
      <c r="C113" s="19"/>
      <c r="D113" s="33"/>
      <c r="E113" s="33" t="s">
        <v>30</v>
      </c>
      <c r="F113" s="20" t="s">
        <v>30</v>
      </c>
      <c r="G113" s="20" t="s">
        <v>30</v>
      </c>
      <c r="H113" s="20"/>
      <c r="I113" s="20"/>
      <c r="J113" s="20" t="s">
        <v>30</v>
      </c>
      <c r="K113" s="20" t="s">
        <v>30</v>
      </c>
      <c r="L113" s="20" t="s">
        <v>30</v>
      </c>
      <c r="M113" s="20" t="s">
        <v>30</v>
      </c>
      <c r="N113" s="20"/>
      <c r="U113" s="56"/>
    </row>
    <row r="114" spans="1:21" ht="20.25" customHeight="1" x14ac:dyDescent="0.35">
      <c r="A114" s="15" t="s">
        <v>29</v>
      </c>
      <c r="C114" s="19"/>
      <c r="D114" s="34" t="str">
        <f t="shared" ref="D114" si="87">E114</f>
        <v>C100025</v>
      </c>
      <c r="E114" s="35" t="str">
        <f>"C100025"</f>
        <v>C100025</v>
      </c>
      <c r="F114" s="36" t="str">
        <f>"Striped Knit Hat"</f>
        <v>Striped Knit Hat</v>
      </c>
      <c r="G114" s="36"/>
      <c r="H114" s="37" t="str">
        <f>"EA"</f>
        <v>EA</v>
      </c>
      <c r="I114" s="36"/>
      <c r="J114" s="36"/>
      <c r="K114" s="36"/>
      <c r="L114" s="36"/>
      <c r="M114" s="36"/>
      <c r="N114" s="36"/>
      <c r="O114" s="38">
        <f t="shared" ref="O114:T114" si="88">(SUBTOTAL(9,O115:O118))</f>
        <v>1600</v>
      </c>
      <c r="P114" s="38">
        <f t="shared" si="88"/>
        <v>-144</v>
      </c>
      <c r="Q114" s="38">
        <f t="shared" si="88"/>
        <v>0</v>
      </c>
      <c r="R114" s="38">
        <f t="shared" si="88"/>
        <v>0</v>
      </c>
      <c r="S114" s="38">
        <f t="shared" si="88"/>
        <v>0</v>
      </c>
      <c r="T114" s="38">
        <f t="shared" si="88"/>
        <v>0</v>
      </c>
      <c r="U114" s="53">
        <f t="shared" ref="U114" si="89">SUBTOTAL(9,O115:T118)</f>
        <v>1456</v>
      </c>
    </row>
    <row r="115" spans="1:21" ht="17.25" customHeight="1" x14ac:dyDescent="0.3">
      <c r="A115" s="15" t="s">
        <v>29</v>
      </c>
      <c r="C115" s="19"/>
      <c r="D115" s="33" t="str">
        <f t="shared" ref="D115" si="90">D114</f>
        <v>C100025</v>
      </c>
      <c r="E115" s="33"/>
      <c r="F115" s="20"/>
      <c r="G115" s="20" t="str">
        <f>"""NAV"",""CRONUS JetCorp USA"",""32"",""1"",""167165"""</f>
        <v>"NAV","CRONUS JetCorp USA","32","1","167165"</v>
      </c>
      <c r="H115" s="39">
        <v>43466</v>
      </c>
      <c r="I115" s="40">
        <v>167165</v>
      </c>
      <c r="J115" s="40" t="str">
        <f>"Vendor"</f>
        <v>Vendor</v>
      </c>
      <c r="K115" s="40" t="str">
        <f>"V100003"</f>
        <v>V100003</v>
      </c>
      <c r="L115" s="40" t="str">
        <f>""</f>
        <v/>
      </c>
      <c r="M115" s="40" t="str">
        <f>"LogoMasters"</f>
        <v>LogoMasters</v>
      </c>
      <c r="N115" s="40" t="str">
        <f>""</f>
        <v/>
      </c>
      <c r="O115" s="41">
        <v>800</v>
      </c>
      <c r="P115" s="41">
        <v>0</v>
      </c>
      <c r="Q115" s="41">
        <v>0</v>
      </c>
      <c r="R115" s="41">
        <v>0</v>
      </c>
      <c r="S115" s="41">
        <v>0</v>
      </c>
      <c r="T115" s="41">
        <v>0</v>
      </c>
      <c r="U115" s="54"/>
    </row>
    <row r="116" spans="1:21" ht="17.25" customHeight="1" x14ac:dyDescent="0.3">
      <c r="A116" s="15" t="s">
        <v>29</v>
      </c>
      <c r="C116" s="19"/>
      <c r="D116" s="33" t="str">
        <f t="shared" ref="D116:D117" si="91">D115</f>
        <v>C100025</v>
      </c>
      <c r="E116" s="33"/>
      <c r="F116" s="20"/>
      <c r="G116" s="20" t="str">
        <f>"""NAV"",""CRONUS JetCorp USA"",""32"",""1"",""167173"""</f>
        <v>"NAV","CRONUS JetCorp USA","32","1","167173"</v>
      </c>
      <c r="H116" s="39">
        <v>43466</v>
      </c>
      <c r="I116" s="40">
        <v>167173</v>
      </c>
      <c r="J116" s="40" t="str">
        <f>"Vendor"</f>
        <v>Vendor</v>
      </c>
      <c r="K116" s="40" t="str">
        <f>"V100001"</f>
        <v>V100001</v>
      </c>
      <c r="L116" s="40" t="str">
        <f>""</f>
        <v/>
      </c>
      <c r="M116" s="40" t="str">
        <f>"Greigner, Inc."</f>
        <v>Greigner, Inc.</v>
      </c>
      <c r="N116" s="40" t="str">
        <f>""</f>
        <v/>
      </c>
      <c r="O116" s="41">
        <v>800</v>
      </c>
      <c r="P116" s="41">
        <v>0</v>
      </c>
      <c r="Q116" s="41">
        <v>0</v>
      </c>
      <c r="R116" s="41">
        <v>0</v>
      </c>
      <c r="S116" s="41">
        <v>0</v>
      </c>
      <c r="T116" s="41">
        <v>0</v>
      </c>
      <c r="U116" s="54"/>
    </row>
    <row r="117" spans="1:21" ht="17.25" customHeight="1" x14ac:dyDescent="0.3">
      <c r="A117" s="15" t="s">
        <v>29</v>
      </c>
      <c r="C117" s="19"/>
      <c r="D117" s="33" t="str">
        <f t="shared" si="91"/>
        <v>C100025</v>
      </c>
      <c r="E117" s="33"/>
      <c r="F117" s="20"/>
      <c r="G117" s="20" t="str">
        <f>"""NAV"",""CRONUS JetCorp USA"",""32"",""1"",""64618"""</f>
        <v>"NAV","CRONUS JetCorp USA","32","1","64618"</v>
      </c>
      <c r="H117" s="39">
        <v>43475</v>
      </c>
      <c r="I117" s="40">
        <v>64618</v>
      </c>
      <c r="J117" s="40" t="str">
        <f>"Customer"</f>
        <v>Customer</v>
      </c>
      <c r="K117" s="40" t="str">
        <f>"C100136"</f>
        <v>C100136</v>
      </c>
      <c r="L117" s="40" t="str">
        <f>"First Bank"</f>
        <v>First Bank</v>
      </c>
      <c r="M117" s="40" t="str">
        <f>""</f>
        <v/>
      </c>
      <c r="N117" s="40" t="str">
        <f>""</f>
        <v/>
      </c>
      <c r="O117" s="41">
        <v>0</v>
      </c>
      <c r="P117" s="41">
        <v>-144</v>
      </c>
      <c r="Q117" s="41">
        <v>0</v>
      </c>
      <c r="R117" s="41">
        <v>0</v>
      </c>
      <c r="S117" s="41">
        <v>0</v>
      </c>
      <c r="T117" s="41">
        <v>0</v>
      </c>
      <c r="U117" s="54"/>
    </row>
    <row r="118" spans="1:21" ht="17.25" customHeight="1" x14ac:dyDescent="0.3">
      <c r="A118" s="15" t="s">
        <v>29</v>
      </c>
      <c r="C118" s="19"/>
      <c r="D118" s="33"/>
      <c r="E118" s="33"/>
      <c r="F118" s="20"/>
      <c r="G118" s="20"/>
      <c r="H118" s="20"/>
      <c r="I118" s="20"/>
      <c r="J118" s="20"/>
      <c r="K118" s="20"/>
      <c r="L118" s="20"/>
      <c r="M118" s="20"/>
      <c r="N118" s="20"/>
      <c r="O118" s="42"/>
      <c r="P118" s="42"/>
      <c r="Q118" s="42"/>
      <c r="R118" s="42"/>
      <c r="S118" s="42"/>
      <c r="T118" s="42"/>
      <c r="U118" s="55"/>
    </row>
    <row r="119" spans="1:21" ht="17.25" customHeight="1" x14ac:dyDescent="0.3">
      <c r="A119" s="15" t="s">
        <v>29</v>
      </c>
      <c r="C119" s="19"/>
      <c r="D119" s="33"/>
      <c r="E119" s="33" t="s">
        <v>30</v>
      </c>
      <c r="F119" s="20" t="s">
        <v>30</v>
      </c>
      <c r="G119" s="20" t="s">
        <v>30</v>
      </c>
      <c r="H119" s="20"/>
      <c r="I119" s="20"/>
      <c r="J119" s="20" t="s">
        <v>30</v>
      </c>
      <c r="K119" s="20" t="s">
        <v>30</v>
      </c>
      <c r="L119" s="20" t="s">
        <v>30</v>
      </c>
      <c r="M119" s="20" t="s">
        <v>30</v>
      </c>
      <c r="N119" s="20"/>
      <c r="U119" s="56"/>
    </row>
    <row r="120" spans="1:21" ht="20.25" customHeight="1" x14ac:dyDescent="0.35">
      <c r="A120" s="15" t="s">
        <v>29</v>
      </c>
      <c r="C120" s="19"/>
      <c r="D120" s="34" t="str">
        <f t="shared" ref="D120" si="92">E120</f>
        <v>C100026</v>
      </c>
      <c r="E120" s="35" t="str">
        <f>"C100026"</f>
        <v>C100026</v>
      </c>
      <c r="F120" s="36" t="str">
        <f>"Fleece Beanie"</f>
        <v>Fleece Beanie</v>
      </c>
      <c r="G120" s="36"/>
      <c r="H120" s="37" t="str">
        <f>"EA"</f>
        <v>EA</v>
      </c>
      <c r="I120" s="36"/>
      <c r="J120" s="36"/>
      <c r="K120" s="36"/>
      <c r="L120" s="36"/>
      <c r="M120" s="36"/>
      <c r="N120" s="36"/>
      <c r="O120" s="38">
        <f t="shared" ref="O120:T120" si="93">(SUBTOTAL(9,O121:O125))</f>
        <v>1200</v>
      </c>
      <c r="P120" s="38">
        <f t="shared" si="93"/>
        <v>-576</v>
      </c>
      <c r="Q120" s="38">
        <f t="shared" si="93"/>
        <v>0</v>
      </c>
      <c r="R120" s="38">
        <f t="shared" si="93"/>
        <v>0</v>
      </c>
      <c r="S120" s="38">
        <f t="shared" si="93"/>
        <v>0</v>
      </c>
      <c r="T120" s="38">
        <f t="shared" si="93"/>
        <v>0</v>
      </c>
      <c r="U120" s="53">
        <f t="shared" ref="U120" si="94">SUBTOTAL(9,O121:T125)</f>
        <v>624</v>
      </c>
    </row>
    <row r="121" spans="1:21" ht="17.25" customHeight="1" x14ac:dyDescent="0.3">
      <c r="A121" s="15" t="s">
        <v>29</v>
      </c>
      <c r="C121" s="19"/>
      <c r="D121" s="33" t="str">
        <f t="shared" ref="D121" si="95">D120</f>
        <v>C100026</v>
      </c>
      <c r="E121" s="33"/>
      <c r="F121" s="20"/>
      <c r="G121" s="20" t="str">
        <f>"""NAV"",""CRONUS JetCorp USA"",""32"",""1"",""167164"""</f>
        <v>"NAV","CRONUS JetCorp USA","32","1","167164"</v>
      </c>
      <c r="H121" s="39">
        <v>43466</v>
      </c>
      <c r="I121" s="40">
        <v>167164</v>
      </c>
      <c r="J121" s="40" t="str">
        <f>"Vendor"</f>
        <v>Vendor</v>
      </c>
      <c r="K121" s="40" t="str">
        <f>"V100003"</f>
        <v>V100003</v>
      </c>
      <c r="L121" s="40" t="str">
        <f>""</f>
        <v/>
      </c>
      <c r="M121" s="40" t="str">
        <f>"LogoMasters"</f>
        <v>LogoMasters</v>
      </c>
      <c r="N121" s="40" t="str">
        <f>""</f>
        <v/>
      </c>
      <c r="O121" s="41">
        <v>800</v>
      </c>
      <c r="P121" s="41">
        <v>0</v>
      </c>
      <c r="Q121" s="41">
        <v>0</v>
      </c>
      <c r="R121" s="41">
        <v>0</v>
      </c>
      <c r="S121" s="41">
        <v>0</v>
      </c>
      <c r="T121" s="41">
        <v>0</v>
      </c>
      <c r="U121" s="54"/>
    </row>
    <row r="122" spans="1:21" ht="17.25" customHeight="1" x14ac:dyDescent="0.3">
      <c r="A122" s="15" t="s">
        <v>29</v>
      </c>
      <c r="C122" s="19"/>
      <c r="D122" s="33" t="str">
        <f t="shared" ref="D122:D124" si="96">D121</f>
        <v>C100026</v>
      </c>
      <c r="E122" s="33"/>
      <c r="F122" s="20"/>
      <c r="G122" s="20" t="str">
        <f>"""NAV"",""CRONUS JetCorp USA"",""32"",""1"",""167172"""</f>
        <v>"NAV","CRONUS JetCorp USA","32","1","167172"</v>
      </c>
      <c r="H122" s="39">
        <v>43466</v>
      </c>
      <c r="I122" s="40">
        <v>167172</v>
      </c>
      <c r="J122" s="40" t="str">
        <f>"Vendor"</f>
        <v>Vendor</v>
      </c>
      <c r="K122" s="40" t="str">
        <f>"V100001"</f>
        <v>V100001</v>
      </c>
      <c r="L122" s="40" t="str">
        <f>""</f>
        <v/>
      </c>
      <c r="M122" s="40" t="str">
        <f>"Greigner, Inc."</f>
        <v>Greigner, Inc.</v>
      </c>
      <c r="N122" s="40" t="str">
        <f>""</f>
        <v/>
      </c>
      <c r="O122" s="41">
        <v>400</v>
      </c>
      <c r="P122" s="41">
        <v>0</v>
      </c>
      <c r="Q122" s="41">
        <v>0</v>
      </c>
      <c r="R122" s="41">
        <v>0</v>
      </c>
      <c r="S122" s="41">
        <v>0</v>
      </c>
      <c r="T122" s="41">
        <v>0</v>
      </c>
      <c r="U122" s="54"/>
    </row>
    <row r="123" spans="1:21" ht="17.25" customHeight="1" x14ac:dyDescent="0.3">
      <c r="A123" s="15" t="s">
        <v>29</v>
      </c>
      <c r="C123" s="19"/>
      <c r="D123" s="33" t="str">
        <f t="shared" si="96"/>
        <v>C100026</v>
      </c>
      <c r="E123" s="33"/>
      <c r="F123" s="20"/>
      <c r="G123" s="20" t="str">
        <f>"""NAV"",""CRONUS JetCorp USA"",""32"",""1"",""20387"""</f>
        <v>"NAV","CRONUS JetCorp USA","32","1","20387"</v>
      </c>
      <c r="H123" s="39">
        <v>43473</v>
      </c>
      <c r="I123" s="40">
        <v>20387</v>
      </c>
      <c r="J123" s="40" t="str">
        <f>"Customer"</f>
        <v>Customer</v>
      </c>
      <c r="K123" s="40" t="str">
        <f>"C100130"</f>
        <v>C100130</v>
      </c>
      <c r="L123" s="40" t="str">
        <f>"Hotspot Systems"</f>
        <v>Hotspot Systems</v>
      </c>
      <c r="M123" s="40" t="str">
        <f>""</f>
        <v/>
      </c>
      <c r="N123" s="40" t="str">
        <f>""</f>
        <v/>
      </c>
      <c r="O123" s="41">
        <v>0</v>
      </c>
      <c r="P123" s="41">
        <v>-144</v>
      </c>
      <c r="Q123" s="41">
        <v>0</v>
      </c>
      <c r="R123" s="41">
        <v>0</v>
      </c>
      <c r="S123" s="41">
        <v>0</v>
      </c>
      <c r="T123" s="41">
        <v>0</v>
      </c>
      <c r="U123" s="54"/>
    </row>
    <row r="124" spans="1:21" ht="17.25" customHeight="1" x14ac:dyDescent="0.3">
      <c r="A124" s="15" t="s">
        <v>29</v>
      </c>
      <c r="C124" s="19"/>
      <c r="D124" s="33" t="str">
        <f t="shared" si="96"/>
        <v>C100026</v>
      </c>
      <c r="E124" s="33"/>
      <c r="F124" s="20"/>
      <c r="G124" s="20" t="str">
        <f>"""NAV"",""CRONUS JetCorp USA"",""32"",""1"",""30105"""</f>
        <v>"NAV","CRONUS JetCorp USA","32","1","30105"</v>
      </c>
      <c r="H124" s="39">
        <v>43475</v>
      </c>
      <c r="I124" s="40">
        <v>30105</v>
      </c>
      <c r="J124" s="40" t="str">
        <f>"Customer"</f>
        <v>Customer</v>
      </c>
      <c r="K124" s="40" t="str">
        <f>"C100012"</f>
        <v>C100012</v>
      </c>
      <c r="L124" s="40" t="str">
        <f>"Bainbridges"</f>
        <v>Bainbridges</v>
      </c>
      <c r="M124" s="40" t="str">
        <f>""</f>
        <v/>
      </c>
      <c r="N124" s="40" t="str">
        <f>""</f>
        <v/>
      </c>
      <c r="O124" s="41">
        <v>0</v>
      </c>
      <c r="P124" s="41">
        <v>-432</v>
      </c>
      <c r="Q124" s="41">
        <v>0</v>
      </c>
      <c r="R124" s="41">
        <v>0</v>
      </c>
      <c r="S124" s="41">
        <v>0</v>
      </c>
      <c r="T124" s="41">
        <v>0</v>
      </c>
      <c r="U124" s="54"/>
    </row>
    <row r="125" spans="1:21" ht="17.25" customHeight="1" x14ac:dyDescent="0.3">
      <c r="A125" s="15" t="s">
        <v>29</v>
      </c>
      <c r="C125" s="19"/>
      <c r="D125" s="33"/>
      <c r="E125" s="33"/>
      <c r="F125" s="20"/>
      <c r="G125" s="20"/>
      <c r="H125" s="20"/>
      <c r="I125" s="20"/>
      <c r="J125" s="20"/>
      <c r="K125" s="20"/>
      <c r="L125" s="20"/>
      <c r="M125" s="20"/>
      <c r="N125" s="20"/>
      <c r="O125" s="42"/>
      <c r="P125" s="42"/>
      <c r="Q125" s="42"/>
      <c r="R125" s="42"/>
      <c r="S125" s="42"/>
      <c r="T125" s="42"/>
      <c r="U125" s="55"/>
    </row>
    <row r="126" spans="1:21" ht="17.25" customHeight="1" x14ac:dyDescent="0.3">
      <c r="A126" s="15" t="s">
        <v>29</v>
      </c>
      <c r="C126" s="19"/>
      <c r="D126" s="33"/>
      <c r="E126" s="33" t="s">
        <v>30</v>
      </c>
      <c r="F126" s="20" t="s">
        <v>30</v>
      </c>
      <c r="G126" s="20" t="s">
        <v>30</v>
      </c>
      <c r="H126" s="20"/>
      <c r="I126" s="20"/>
      <c r="J126" s="20" t="s">
        <v>30</v>
      </c>
      <c r="K126" s="20" t="s">
        <v>30</v>
      </c>
      <c r="L126" s="20" t="s">
        <v>30</v>
      </c>
      <c r="M126" s="20" t="s">
        <v>30</v>
      </c>
      <c r="N126" s="20"/>
      <c r="U126" s="56"/>
    </row>
    <row r="127" spans="1:21" ht="20.25" customHeight="1" x14ac:dyDescent="0.35">
      <c r="A127" s="15" t="s">
        <v>29</v>
      </c>
      <c r="C127" s="19"/>
      <c r="D127" s="34" t="str">
        <f t="shared" ref="D127" si="97">E127</f>
        <v>C100027</v>
      </c>
      <c r="E127" s="35" t="str">
        <f>"C100027"</f>
        <v>C100027</v>
      </c>
      <c r="F127" s="36" t="str">
        <f>"Pique Visor"</f>
        <v>Pique Visor</v>
      </c>
      <c r="G127" s="36"/>
      <c r="H127" s="37" t="str">
        <f>"EA"</f>
        <v>EA</v>
      </c>
      <c r="I127" s="36"/>
      <c r="J127" s="36"/>
      <c r="K127" s="36"/>
      <c r="L127" s="36"/>
      <c r="M127" s="36"/>
      <c r="N127" s="36"/>
      <c r="O127" s="38">
        <f t="shared" ref="O127:T127" si="98">(SUBTOTAL(9,O128:O129))</f>
        <v>0</v>
      </c>
      <c r="P127" s="38">
        <f t="shared" si="98"/>
        <v>-288</v>
      </c>
      <c r="Q127" s="38">
        <f t="shared" si="98"/>
        <v>0</v>
      </c>
      <c r="R127" s="38">
        <f t="shared" si="98"/>
        <v>0</v>
      </c>
      <c r="S127" s="38">
        <f t="shared" si="98"/>
        <v>0</v>
      </c>
      <c r="T127" s="38">
        <f t="shared" si="98"/>
        <v>0</v>
      </c>
      <c r="U127" s="53">
        <f t="shared" ref="U127" si="99">SUBTOTAL(9,O128:T129)</f>
        <v>-288</v>
      </c>
    </row>
    <row r="128" spans="1:21" ht="17.25" customHeight="1" x14ac:dyDescent="0.3">
      <c r="A128" s="15" t="s">
        <v>29</v>
      </c>
      <c r="C128" s="19"/>
      <c r="D128" s="33" t="str">
        <f t="shared" ref="D128" si="100">D127</f>
        <v>C100027</v>
      </c>
      <c r="E128" s="33"/>
      <c r="F128" s="20"/>
      <c r="G128" s="20" t="str">
        <f>"""NAV"",""CRONUS JetCorp USA"",""32"",""1"",""20380"""</f>
        <v>"NAV","CRONUS JetCorp USA","32","1","20380"</v>
      </c>
      <c r="H128" s="39">
        <v>43473</v>
      </c>
      <c r="I128" s="40">
        <v>20380</v>
      </c>
      <c r="J128" s="40" t="str">
        <f>"Customer"</f>
        <v>Customer</v>
      </c>
      <c r="K128" s="40" t="str">
        <f>"C100130"</f>
        <v>C100130</v>
      </c>
      <c r="L128" s="40" t="str">
        <f>"Hotspot Systems"</f>
        <v>Hotspot Systems</v>
      </c>
      <c r="M128" s="40" t="str">
        <f>""</f>
        <v/>
      </c>
      <c r="N128" s="40" t="str">
        <f>""</f>
        <v/>
      </c>
      <c r="O128" s="41">
        <v>0</v>
      </c>
      <c r="P128" s="41">
        <v>-288</v>
      </c>
      <c r="Q128" s="41">
        <v>0</v>
      </c>
      <c r="R128" s="41">
        <v>0</v>
      </c>
      <c r="S128" s="41">
        <v>0</v>
      </c>
      <c r="T128" s="41">
        <v>0</v>
      </c>
      <c r="U128" s="54"/>
    </row>
    <row r="129" spans="1:21" ht="17.25" customHeight="1" x14ac:dyDescent="0.3">
      <c r="A129" s="15" t="s">
        <v>29</v>
      </c>
      <c r="C129" s="19"/>
      <c r="D129" s="33"/>
      <c r="E129" s="33"/>
      <c r="F129" s="20"/>
      <c r="G129" s="20"/>
      <c r="H129" s="20"/>
      <c r="I129" s="20"/>
      <c r="J129" s="20"/>
      <c r="K129" s="20"/>
      <c r="L129" s="20"/>
      <c r="M129" s="20"/>
      <c r="N129" s="20"/>
      <c r="O129" s="42"/>
      <c r="P129" s="42"/>
      <c r="Q129" s="42"/>
      <c r="R129" s="42"/>
      <c r="S129" s="42"/>
      <c r="T129" s="42"/>
      <c r="U129" s="55"/>
    </row>
    <row r="130" spans="1:21" ht="17.25" customHeight="1" x14ac:dyDescent="0.3">
      <c r="A130" s="15" t="s">
        <v>29</v>
      </c>
      <c r="C130" s="19"/>
      <c r="D130" s="33"/>
      <c r="E130" s="33" t="s">
        <v>30</v>
      </c>
      <c r="F130" s="20" t="s">
        <v>30</v>
      </c>
      <c r="G130" s="20" t="s">
        <v>30</v>
      </c>
      <c r="H130" s="20"/>
      <c r="I130" s="20"/>
      <c r="J130" s="20" t="s">
        <v>30</v>
      </c>
      <c r="K130" s="20" t="s">
        <v>30</v>
      </c>
      <c r="L130" s="20" t="s">
        <v>30</v>
      </c>
      <c r="M130" s="20" t="s">
        <v>30</v>
      </c>
      <c r="N130" s="20"/>
      <c r="U130" s="56"/>
    </row>
    <row r="131" spans="1:21" ht="20.25" customHeight="1" x14ac:dyDescent="0.35">
      <c r="A131" s="15" t="s">
        <v>29</v>
      </c>
      <c r="C131" s="19"/>
      <c r="D131" s="34" t="str">
        <f t="shared" ref="D131" si="101">E131</f>
        <v>C100028</v>
      </c>
      <c r="E131" s="35" t="str">
        <f>"C100028"</f>
        <v>C100028</v>
      </c>
      <c r="F131" s="36" t="str">
        <f>"Twill Visor"</f>
        <v>Twill Visor</v>
      </c>
      <c r="G131" s="36"/>
      <c r="H131" s="37" t="str">
        <f>"EA"</f>
        <v>EA</v>
      </c>
      <c r="I131" s="36"/>
      <c r="J131" s="36"/>
      <c r="K131" s="36"/>
      <c r="L131" s="36"/>
      <c r="M131" s="36"/>
      <c r="N131" s="36"/>
      <c r="O131" s="38">
        <f t="shared" ref="O131:T131" si="102">(SUBTOTAL(9,O132:O138))</f>
        <v>800</v>
      </c>
      <c r="P131" s="38">
        <f t="shared" si="102"/>
        <v>-325</v>
      </c>
      <c r="Q131" s="38">
        <f t="shared" si="102"/>
        <v>0</v>
      </c>
      <c r="R131" s="38">
        <f t="shared" si="102"/>
        <v>0</v>
      </c>
      <c r="S131" s="38">
        <f t="shared" si="102"/>
        <v>0</v>
      </c>
      <c r="T131" s="38">
        <f t="shared" si="102"/>
        <v>0</v>
      </c>
      <c r="U131" s="53">
        <f t="shared" ref="U131" si="103">SUBTOTAL(9,O132:T138)</f>
        <v>475</v>
      </c>
    </row>
    <row r="132" spans="1:21" ht="17.25" customHeight="1" x14ac:dyDescent="0.3">
      <c r="A132" s="15" t="s">
        <v>29</v>
      </c>
      <c r="C132" s="19"/>
      <c r="D132" s="33" t="str">
        <f t="shared" ref="D132" si="104">D131</f>
        <v>C100028</v>
      </c>
      <c r="E132" s="33"/>
      <c r="F132" s="20"/>
      <c r="G132" s="20" t="str">
        <f>"""NAV"",""CRONUS JetCorp USA"",""32"",""1"",""167163"""</f>
        <v>"NAV","CRONUS JetCorp USA","32","1","167163"</v>
      </c>
      <c r="H132" s="39">
        <v>43466</v>
      </c>
      <c r="I132" s="40">
        <v>167163</v>
      </c>
      <c r="J132" s="40" t="str">
        <f>"Vendor"</f>
        <v>Vendor</v>
      </c>
      <c r="K132" s="40" t="str">
        <f>"V100003"</f>
        <v>V100003</v>
      </c>
      <c r="L132" s="40" t="str">
        <f>""</f>
        <v/>
      </c>
      <c r="M132" s="40" t="str">
        <f>"LogoMasters"</f>
        <v>LogoMasters</v>
      </c>
      <c r="N132" s="40" t="str">
        <f>""</f>
        <v/>
      </c>
      <c r="O132" s="41">
        <v>400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54"/>
    </row>
    <row r="133" spans="1:21" ht="17.25" customHeight="1" x14ac:dyDescent="0.3">
      <c r="A133" s="15" t="s">
        <v>29</v>
      </c>
      <c r="C133" s="19"/>
      <c r="D133" s="33" t="str">
        <f t="shared" ref="D133:D137" si="105">D132</f>
        <v>C100028</v>
      </c>
      <c r="E133" s="33"/>
      <c r="F133" s="20"/>
      <c r="G133" s="20" t="str">
        <f>"""NAV"",""CRONUS JetCorp USA"",""32"",""1"",""167171"""</f>
        <v>"NAV","CRONUS JetCorp USA","32","1","167171"</v>
      </c>
      <c r="H133" s="39">
        <v>43466</v>
      </c>
      <c r="I133" s="40">
        <v>167171</v>
      </c>
      <c r="J133" s="40" t="str">
        <f>"Vendor"</f>
        <v>Vendor</v>
      </c>
      <c r="K133" s="40" t="str">
        <f>"V100001"</f>
        <v>V100001</v>
      </c>
      <c r="L133" s="40" t="str">
        <f>""</f>
        <v/>
      </c>
      <c r="M133" s="40" t="str">
        <f>"Greigner, Inc."</f>
        <v>Greigner, Inc.</v>
      </c>
      <c r="N133" s="40" t="str">
        <f>""</f>
        <v/>
      </c>
      <c r="O133" s="41">
        <v>400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54"/>
    </row>
    <row r="134" spans="1:21" ht="17.25" customHeight="1" x14ac:dyDescent="0.3">
      <c r="A134" s="15" t="s">
        <v>29</v>
      </c>
      <c r="C134" s="19"/>
      <c r="D134" s="33" t="str">
        <f t="shared" si="105"/>
        <v>C100028</v>
      </c>
      <c r="E134" s="33"/>
      <c r="F134" s="20"/>
      <c r="G134" s="20" t="str">
        <f>"""NAV"",""CRONUS JetCorp USA"",""32"",""1"",""158690"""</f>
        <v>"NAV","CRONUS JetCorp USA","32","1","158690"</v>
      </c>
      <c r="H134" s="39">
        <v>43471</v>
      </c>
      <c r="I134" s="40">
        <v>158690</v>
      </c>
      <c r="J134" s="40" t="str">
        <f>"Customer"</f>
        <v>Customer</v>
      </c>
      <c r="K134" s="40" t="str">
        <f>"C100126"</f>
        <v>C100126</v>
      </c>
      <c r="L134" s="40" t="str">
        <f>"Moveex"</f>
        <v>Moveex</v>
      </c>
      <c r="M134" s="40" t="str">
        <f>""</f>
        <v/>
      </c>
      <c r="N134" s="40" t="str">
        <f>""</f>
        <v/>
      </c>
      <c r="O134" s="41">
        <v>0</v>
      </c>
      <c r="P134" s="41">
        <v>12</v>
      </c>
      <c r="Q134" s="41">
        <v>0</v>
      </c>
      <c r="R134" s="41">
        <v>0</v>
      </c>
      <c r="S134" s="41">
        <v>0</v>
      </c>
      <c r="T134" s="41">
        <v>0</v>
      </c>
      <c r="U134" s="54"/>
    </row>
    <row r="135" spans="1:21" ht="17.25" customHeight="1" x14ac:dyDescent="0.3">
      <c r="A135" s="15" t="s">
        <v>29</v>
      </c>
      <c r="C135" s="19"/>
      <c r="D135" s="33" t="str">
        <f t="shared" si="105"/>
        <v>C100028</v>
      </c>
      <c r="E135" s="33"/>
      <c r="F135" s="20"/>
      <c r="G135" s="20" t="str">
        <f>"""NAV"",""CRONUS JetCorp USA"",""32"",""1"",""20386"""</f>
        <v>"NAV","CRONUS JetCorp USA","32","1","20386"</v>
      </c>
      <c r="H135" s="39">
        <v>43473</v>
      </c>
      <c r="I135" s="40">
        <v>20386</v>
      </c>
      <c r="J135" s="40" t="str">
        <f>"Customer"</f>
        <v>Customer</v>
      </c>
      <c r="K135" s="40" t="str">
        <f>"C100130"</f>
        <v>C100130</v>
      </c>
      <c r="L135" s="40" t="str">
        <f>"Hotspot Systems"</f>
        <v>Hotspot Systems</v>
      </c>
      <c r="M135" s="40" t="str">
        <f>""</f>
        <v/>
      </c>
      <c r="N135" s="40" t="str">
        <f>""</f>
        <v/>
      </c>
      <c r="O135" s="41">
        <v>0</v>
      </c>
      <c r="P135" s="41">
        <v>-145</v>
      </c>
      <c r="Q135" s="41">
        <v>0</v>
      </c>
      <c r="R135" s="41">
        <v>0</v>
      </c>
      <c r="S135" s="41">
        <v>0</v>
      </c>
      <c r="T135" s="41">
        <v>0</v>
      </c>
      <c r="U135" s="54"/>
    </row>
    <row r="136" spans="1:21" ht="17.25" customHeight="1" x14ac:dyDescent="0.3">
      <c r="A136" s="15" t="s">
        <v>29</v>
      </c>
      <c r="C136" s="19"/>
      <c r="D136" s="33" t="str">
        <f t="shared" si="105"/>
        <v>C100028</v>
      </c>
      <c r="E136" s="33"/>
      <c r="F136" s="20"/>
      <c r="G136" s="20" t="str">
        <f>"""NAV"",""CRONUS JetCorp USA"",""32"",""1"",""30111"""</f>
        <v>"NAV","CRONUS JetCorp USA","32","1","30111"</v>
      </c>
      <c r="H136" s="39">
        <v>43475</v>
      </c>
      <c r="I136" s="40">
        <v>30111</v>
      </c>
      <c r="J136" s="40" t="str">
        <f>"Customer"</f>
        <v>Customer</v>
      </c>
      <c r="K136" s="40" t="str">
        <f>"C100012"</f>
        <v>C100012</v>
      </c>
      <c r="L136" s="40" t="str">
        <f>"Bainbridges"</f>
        <v>Bainbridges</v>
      </c>
      <c r="M136" s="40" t="str">
        <f>""</f>
        <v/>
      </c>
      <c r="N136" s="40" t="str">
        <f>""</f>
        <v/>
      </c>
      <c r="O136" s="41">
        <v>0</v>
      </c>
      <c r="P136" s="41">
        <v>-144</v>
      </c>
      <c r="Q136" s="41">
        <v>0</v>
      </c>
      <c r="R136" s="41">
        <v>0</v>
      </c>
      <c r="S136" s="41">
        <v>0</v>
      </c>
      <c r="T136" s="41">
        <v>0</v>
      </c>
      <c r="U136" s="54"/>
    </row>
    <row r="137" spans="1:21" ht="17.25" customHeight="1" x14ac:dyDescent="0.3">
      <c r="A137" s="15" t="s">
        <v>29</v>
      </c>
      <c r="C137" s="19"/>
      <c r="D137" s="33" t="str">
        <f t="shared" si="105"/>
        <v>C100028</v>
      </c>
      <c r="E137" s="33"/>
      <c r="F137" s="20"/>
      <c r="G137" s="20" t="str">
        <f>"""NAV"",""CRONUS JetCorp USA"",""32"",""1"",""64621"""</f>
        <v>"NAV","CRONUS JetCorp USA","32","1","64621"</v>
      </c>
      <c r="H137" s="39">
        <v>43475</v>
      </c>
      <c r="I137" s="40">
        <v>64621</v>
      </c>
      <c r="J137" s="40" t="str">
        <f>"Customer"</f>
        <v>Customer</v>
      </c>
      <c r="K137" s="40" t="str">
        <f>"C100136"</f>
        <v>C100136</v>
      </c>
      <c r="L137" s="40" t="str">
        <f>"First Bank"</f>
        <v>First Bank</v>
      </c>
      <c r="M137" s="40" t="str">
        <f>""</f>
        <v/>
      </c>
      <c r="N137" s="40" t="str">
        <f>""</f>
        <v/>
      </c>
      <c r="O137" s="41">
        <v>0</v>
      </c>
      <c r="P137" s="41">
        <v>-48</v>
      </c>
      <c r="Q137" s="41">
        <v>0</v>
      </c>
      <c r="R137" s="41">
        <v>0</v>
      </c>
      <c r="S137" s="41">
        <v>0</v>
      </c>
      <c r="T137" s="41">
        <v>0</v>
      </c>
      <c r="U137" s="54"/>
    </row>
    <row r="138" spans="1:21" ht="17.25" customHeight="1" x14ac:dyDescent="0.3">
      <c r="A138" s="15" t="s">
        <v>29</v>
      </c>
      <c r="C138" s="19"/>
      <c r="D138" s="33"/>
      <c r="E138" s="33"/>
      <c r="F138" s="20"/>
      <c r="G138" s="20"/>
      <c r="H138" s="20"/>
      <c r="I138" s="20"/>
      <c r="J138" s="20"/>
      <c r="K138" s="20"/>
      <c r="L138" s="20"/>
      <c r="M138" s="20"/>
      <c r="N138" s="20"/>
      <c r="O138" s="42"/>
      <c r="P138" s="42"/>
      <c r="Q138" s="42"/>
      <c r="R138" s="42"/>
      <c r="S138" s="42"/>
      <c r="T138" s="42"/>
      <c r="U138" s="55"/>
    </row>
    <row r="139" spans="1:21" ht="17.25" customHeight="1" x14ac:dyDescent="0.3">
      <c r="A139" s="15" t="s">
        <v>29</v>
      </c>
      <c r="C139" s="19"/>
      <c r="D139" s="33"/>
      <c r="E139" s="33" t="s">
        <v>30</v>
      </c>
      <c r="F139" s="20" t="s">
        <v>30</v>
      </c>
      <c r="G139" s="20" t="s">
        <v>30</v>
      </c>
      <c r="H139" s="20"/>
      <c r="I139" s="20"/>
      <c r="J139" s="20" t="s">
        <v>30</v>
      </c>
      <c r="K139" s="20" t="s">
        <v>30</v>
      </c>
      <c r="L139" s="20" t="s">
        <v>30</v>
      </c>
      <c r="M139" s="20" t="s">
        <v>30</v>
      </c>
      <c r="N139" s="20"/>
      <c r="U139" s="56"/>
    </row>
    <row r="140" spans="1:21" ht="20.25" customHeight="1" x14ac:dyDescent="0.35">
      <c r="A140" s="15" t="s">
        <v>29</v>
      </c>
      <c r="C140" s="19"/>
      <c r="D140" s="34" t="str">
        <f t="shared" ref="D140" si="106">E140</f>
        <v>C100029</v>
      </c>
      <c r="E140" s="35" t="str">
        <f>"C100029"</f>
        <v>C100029</v>
      </c>
      <c r="F140" s="36" t="str">
        <f>"Distressed Twill Visor"</f>
        <v>Distressed Twill Visor</v>
      </c>
      <c r="G140" s="36"/>
      <c r="H140" s="37" t="str">
        <f>"EA"</f>
        <v>EA</v>
      </c>
      <c r="I140" s="36"/>
      <c r="J140" s="36"/>
      <c r="K140" s="36"/>
      <c r="L140" s="36"/>
      <c r="M140" s="36"/>
      <c r="N140" s="36"/>
      <c r="O140" s="38">
        <f t="shared" ref="O140:T140" si="107">(SUBTOTAL(9,O141:O144))</f>
        <v>1200</v>
      </c>
      <c r="P140" s="38">
        <f t="shared" si="107"/>
        <v>-288</v>
      </c>
      <c r="Q140" s="38">
        <f t="shared" si="107"/>
        <v>0</v>
      </c>
      <c r="R140" s="38">
        <f t="shared" si="107"/>
        <v>0</v>
      </c>
      <c r="S140" s="38">
        <f t="shared" si="107"/>
        <v>0</v>
      </c>
      <c r="T140" s="38">
        <f t="shared" si="107"/>
        <v>0</v>
      </c>
      <c r="U140" s="53">
        <f t="shared" ref="U140" si="108">SUBTOTAL(9,O141:T144)</f>
        <v>912</v>
      </c>
    </row>
    <row r="141" spans="1:21" ht="17.25" customHeight="1" x14ac:dyDescent="0.3">
      <c r="A141" s="15" t="s">
        <v>29</v>
      </c>
      <c r="C141" s="19"/>
      <c r="D141" s="33" t="str">
        <f t="shared" ref="D141" si="109">D140</f>
        <v>C100029</v>
      </c>
      <c r="E141" s="33"/>
      <c r="F141" s="20"/>
      <c r="G141" s="20" t="str">
        <f>"""NAV"",""CRONUS JetCorp USA"",""32"",""1"",""167162"""</f>
        <v>"NAV","CRONUS JetCorp USA","32","1","167162"</v>
      </c>
      <c r="H141" s="39">
        <v>43466</v>
      </c>
      <c r="I141" s="40">
        <v>167162</v>
      </c>
      <c r="J141" s="40" t="str">
        <f>"Vendor"</f>
        <v>Vendor</v>
      </c>
      <c r="K141" s="40" t="str">
        <f>"V100003"</f>
        <v>V100003</v>
      </c>
      <c r="L141" s="40" t="str">
        <f>""</f>
        <v/>
      </c>
      <c r="M141" s="40" t="str">
        <f>"LogoMasters"</f>
        <v>LogoMasters</v>
      </c>
      <c r="N141" s="40" t="str">
        <f>""</f>
        <v/>
      </c>
      <c r="O141" s="41">
        <v>1200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54"/>
    </row>
    <row r="142" spans="1:21" ht="17.25" customHeight="1" x14ac:dyDescent="0.3">
      <c r="A142" s="15" t="s">
        <v>29</v>
      </c>
      <c r="C142" s="19"/>
      <c r="D142" s="33" t="str">
        <f t="shared" ref="D142:D143" si="110">D141</f>
        <v>C100029</v>
      </c>
      <c r="E142" s="33"/>
      <c r="F142" s="20"/>
      <c r="G142" s="20" t="str">
        <f>"""NAV"",""CRONUS JetCorp USA"",""32"",""1"",""30035"""</f>
        <v>"NAV","CRONUS JetCorp USA","32","1","30035"</v>
      </c>
      <c r="H142" s="39">
        <v>43471</v>
      </c>
      <c r="I142" s="40">
        <v>30035</v>
      </c>
      <c r="J142" s="40" t="str">
        <f>"Customer"</f>
        <v>Customer</v>
      </c>
      <c r="K142" s="40" t="str">
        <f>"C100012"</f>
        <v>C100012</v>
      </c>
      <c r="L142" s="40" t="str">
        <f>"Bainbridges"</f>
        <v>Bainbridges</v>
      </c>
      <c r="M142" s="40" t="str">
        <f>""</f>
        <v/>
      </c>
      <c r="N142" s="40" t="str">
        <f>""</f>
        <v/>
      </c>
      <c r="O142" s="41">
        <v>0</v>
      </c>
      <c r="P142" s="41">
        <v>-144</v>
      </c>
      <c r="Q142" s="41">
        <v>0</v>
      </c>
      <c r="R142" s="41">
        <v>0</v>
      </c>
      <c r="S142" s="41">
        <v>0</v>
      </c>
      <c r="T142" s="41">
        <v>0</v>
      </c>
      <c r="U142" s="54"/>
    </row>
    <row r="143" spans="1:21" ht="17.25" customHeight="1" x14ac:dyDescent="0.3">
      <c r="A143" s="15" t="s">
        <v>29</v>
      </c>
      <c r="C143" s="19"/>
      <c r="D143" s="33" t="str">
        <f t="shared" si="110"/>
        <v>C100029</v>
      </c>
      <c r="E143" s="33"/>
      <c r="F143" s="20"/>
      <c r="G143" s="20" t="str">
        <f>"""NAV"",""CRONUS JetCorp USA"",""32"",""1"",""30116"""</f>
        <v>"NAV","CRONUS JetCorp USA","32","1","30116"</v>
      </c>
      <c r="H143" s="39">
        <v>43475</v>
      </c>
      <c r="I143" s="40">
        <v>30116</v>
      </c>
      <c r="J143" s="40" t="str">
        <f>"Customer"</f>
        <v>Customer</v>
      </c>
      <c r="K143" s="40" t="str">
        <f>"C100012"</f>
        <v>C100012</v>
      </c>
      <c r="L143" s="40" t="str">
        <f>"Bainbridges"</f>
        <v>Bainbridges</v>
      </c>
      <c r="M143" s="40" t="str">
        <f>""</f>
        <v/>
      </c>
      <c r="N143" s="40" t="str">
        <f>""</f>
        <v/>
      </c>
      <c r="O143" s="41">
        <v>0</v>
      </c>
      <c r="P143" s="41">
        <v>-144</v>
      </c>
      <c r="Q143" s="41">
        <v>0</v>
      </c>
      <c r="R143" s="41">
        <v>0</v>
      </c>
      <c r="S143" s="41">
        <v>0</v>
      </c>
      <c r="T143" s="41">
        <v>0</v>
      </c>
      <c r="U143" s="54"/>
    </row>
    <row r="144" spans="1:21" ht="17.25" customHeight="1" x14ac:dyDescent="0.3">
      <c r="A144" s="15" t="s">
        <v>29</v>
      </c>
      <c r="C144" s="19"/>
      <c r="D144" s="33"/>
      <c r="E144" s="33"/>
      <c r="F144" s="20"/>
      <c r="G144" s="20"/>
      <c r="H144" s="20"/>
      <c r="I144" s="20"/>
      <c r="J144" s="20"/>
      <c r="K144" s="20"/>
      <c r="L144" s="20"/>
      <c r="M144" s="20"/>
      <c r="N144" s="20"/>
      <c r="O144" s="42"/>
      <c r="P144" s="42"/>
      <c r="Q144" s="42"/>
      <c r="R144" s="42"/>
      <c r="S144" s="42"/>
      <c r="T144" s="42"/>
      <c r="U144" s="55"/>
    </row>
    <row r="145" spans="1:21" ht="17.25" customHeight="1" x14ac:dyDescent="0.3">
      <c r="A145" s="15" t="s">
        <v>29</v>
      </c>
      <c r="C145" s="19"/>
      <c r="D145" s="33"/>
      <c r="E145" s="33" t="s">
        <v>30</v>
      </c>
      <c r="F145" s="20" t="s">
        <v>30</v>
      </c>
      <c r="G145" s="20" t="s">
        <v>30</v>
      </c>
      <c r="H145" s="20"/>
      <c r="I145" s="20"/>
      <c r="J145" s="20" t="s">
        <v>30</v>
      </c>
      <c r="K145" s="20" t="s">
        <v>30</v>
      </c>
      <c r="L145" s="20" t="s">
        <v>30</v>
      </c>
      <c r="M145" s="20" t="s">
        <v>30</v>
      </c>
      <c r="N145" s="20"/>
      <c r="U145" s="56"/>
    </row>
    <row r="146" spans="1:21" ht="20.25" customHeight="1" x14ac:dyDescent="0.35">
      <c r="A146" s="15" t="s">
        <v>29</v>
      </c>
      <c r="C146" s="19"/>
      <c r="D146" s="34" t="str">
        <f t="shared" ref="D146" si="111">E146</f>
        <v>C100030</v>
      </c>
      <c r="E146" s="35" t="str">
        <f>"C100030"</f>
        <v>C100030</v>
      </c>
      <c r="F146" s="36" t="str">
        <f>"Fashion Visor"</f>
        <v>Fashion Visor</v>
      </c>
      <c r="G146" s="36"/>
      <c r="H146" s="37" t="str">
        <f>"EA"</f>
        <v>EA</v>
      </c>
      <c r="I146" s="36"/>
      <c r="J146" s="36"/>
      <c r="K146" s="36"/>
      <c r="L146" s="36"/>
      <c r="M146" s="36"/>
      <c r="N146" s="36"/>
      <c r="O146" s="38">
        <f t="shared" ref="O146:T146" si="112">(SUBTOTAL(9,O147:O149))</f>
        <v>1200</v>
      </c>
      <c r="P146" s="38">
        <f t="shared" si="112"/>
        <v>-288</v>
      </c>
      <c r="Q146" s="38">
        <f t="shared" si="112"/>
        <v>0</v>
      </c>
      <c r="R146" s="38">
        <f t="shared" si="112"/>
        <v>0</v>
      </c>
      <c r="S146" s="38">
        <f t="shared" si="112"/>
        <v>0</v>
      </c>
      <c r="T146" s="38">
        <f t="shared" si="112"/>
        <v>0</v>
      </c>
      <c r="U146" s="53">
        <f t="shared" ref="U146" si="113">SUBTOTAL(9,O147:T149)</f>
        <v>912</v>
      </c>
    </row>
    <row r="147" spans="1:21" ht="17.25" customHeight="1" x14ac:dyDescent="0.3">
      <c r="A147" s="15" t="s">
        <v>29</v>
      </c>
      <c r="C147" s="19"/>
      <c r="D147" s="33" t="str">
        <f t="shared" ref="D147" si="114">D146</f>
        <v>C100030</v>
      </c>
      <c r="E147" s="33"/>
      <c r="F147" s="20"/>
      <c r="G147" s="20" t="str">
        <f>"""NAV"",""CRONUS JetCorp USA"",""32"",""1"",""167161"""</f>
        <v>"NAV","CRONUS JetCorp USA","32","1","167161"</v>
      </c>
      <c r="H147" s="39">
        <v>43466</v>
      </c>
      <c r="I147" s="40">
        <v>167161</v>
      </c>
      <c r="J147" s="40" t="str">
        <f>"Vendor"</f>
        <v>Vendor</v>
      </c>
      <c r="K147" s="40" t="str">
        <f>"V100003"</f>
        <v>V100003</v>
      </c>
      <c r="L147" s="40" t="str">
        <f>""</f>
        <v/>
      </c>
      <c r="M147" s="40" t="str">
        <f>"LogoMasters"</f>
        <v>LogoMasters</v>
      </c>
      <c r="N147" s="40" t="str">
        <f>""</f>
        <v/>
      </c>
      <c r="O147" s="41">
        <v>1200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54"/>
    </row>
    <row r="148" spans="1:21" ht="17.25" customHeight="1" x14ac:dyDescent="0.3">
      <c r="A148" s="15" t="s">
        <v>29</v>
      </c>
      <c r="C148" s="19"/>
      <c r="D148" s="33" t="str">
        <f t="shared" ref="D148" si="115">D147</f>
        <v>C100030</v>
      </c>
      <c r="E148" s="33"/>
      <c r="F148" s="20"/>
      <c r="G148" s="20" t="str">
        <f>"""NAV"",""CRONUS JetCorp USA"",""32"",""1"",""30032"""</f>
        <v>"NAV","CRONUS JetCorp USA","32","1","30032"</v>
      </c>
      <c r="H148" s="39">
        <v>43471</v>
      </c>
      <c r="I148" s="40">
        <v>30032</v>
      </c>
      <c r="J148" s="40" t="str">
        <f>"Customer"</f>
        <v>Customer</v>
      </c>
      <c r="K148" s="40" t="str">
        <f>"C100012"</f>
        <v>C100012</v>
      </c>
      <c r="L148" s="40" t="str">
        <f>"Bainbridges"</f>
        <v>Bainbridges</v>
      </c>
      <c r="M148" s="40" t="str">
        <f>""</f>
        <v/>
      </c>
      <c r="N148" s="40" t="str">
        <f>""</f>
        <v/>
      </c>
      <c r="O148" s="41">
        <v>0</v>
      </c>
      <c r="P148" s="41">
        <v>-288</v>
      </c>
      <c r="Q148" s="41">
        <v>0</v>
      </c>
      <c r="R148" s="41">
        <v>0</v>
      </c>
      <c r="S148" s="41">
        <v>0</v>
      </c>
      <c r="T148" s="41">
        <v>0</v>
      </c>
      <c r="U148" s="54"/>
    </row>
    <row r="149" spans="1:21" ht="17.25" customHeight="1" x14ac:dyDescent="0.3">
      <c r="A149" s="15" t="s">
        <v>29</v>
      </c>
      <c r="C149" s="19"/>
      <c r="D149" s="33"/>
      <c r="E149" s="33"/>
      <c r="F149" s="20"/>
      <c r="G149" s="20"/>
      <c r="H149" s="20"/>
      <c r="I149" s="20"/>
      <c r="J149" s="20"/>
      <c r="K149" s="20"/>
      <c r="L149" s="20"/>
      <c r="M149" s="20"/>
      <c r="N149" s="20"/>
      <c r="O149" s="42"/>
      <c r="P149" s="42"/>
      <c r="Q149" s="42"/>
      <c r="R149" s="42"/>
      <c r="S149" s="42"/>
      <c r="T149" s="42"/>
      <c r="U149" s="55"/>
    </row>
    <row r="150" spans="1:21" ht="17.25" customHeight="1" x14ac:dyDescent="0.3">
      <c r="A150" s="15" t="s">
        <v>29</v>
      </c>
      <c r="C150" s="19"/>
      <c r="D150" s="33"/>
      <c r="E150" s="33" t="s">
        <v>30</v>
      </c>
      <c r="F150" s="20" t="s">
        <v>30</v>
      </c>
      <c r="G150" s="20" t="s">
        <v>30</v>
      </c>
      <c r="H150" s="20"/>
      <c r="I150" s="20"/>
      <c r="J150" s="20" t="s">
        <v>30</v>
      </c>
      <c r="K150" s="20" t="s">
        <v>30</v>
      </c>
      <c r="L150" s="20" t="s">
        <v>30</v>
      </c>
      <c r="M150" s="20" t="s">
        <v>30</v>
      </c>
      <c r="N150" s="20"/>
      <c r="U150" s="56"/>
    </row>
    <row r="151" spans="1:21" ht="20.25" customHeight="1" x14ac:dyDescent="0.35">
      <c r="A151" s="15" t="s">
        <v>29</v>
      </c>
      <c r="C151" s="19"/>
      <c r="D151" s="34" t="str">
        <f t="shared" ref="D151" si="116">E151</f>
        <v>C100031</v>
      </c>
      <c r="E151" s="35" t="str">
        <f>"C100031"</f>
        <v>C100031</v>
      </c>
      <c r="F151" s="36" t="str">
        <f>"Carabiner Watch"</f>
        <v>Carabiner Watch</v>
      </c>
      <c r="G151" s="36"/>
      <c r="H151" s="37" t="str">
        <f>"EA"</f>
        <v>EA</v>
      </c>
      <c r="I151" s="36"/>
      <c r="J151" s="36"/>
      <c r="K151" s="36"/>
      <c r="L151" s="36"/>
      <c r="M151" s="36"/>
      <c r="N151" s="36"/>
      <c r="O151" s="38">
        <f t="shared" ref="O151:T151" si="117">(SUBTOTAL(9,O152:O154))</f>
        <v>400</v>
      </c>
      <c r="P151" s="38">
        <f t="shared" si="117"/>
        <v>-289</v>
      </c>
      <c r="Q151" s="38">
        <f t="shared" si="117"/>
        <v>0</v>
      </c>
      <c r="R151" s="38">
        <f t="shared" si="117"/>
        <v>0</v>
      </c>
      <c r="S151" s="38">
        <f t="shared" si="117"/>
        <v>0</v>
      </c>
      <c r="T151" s="38">
        <f t="shared" si="117"/>
        <v>0</v>
      </c>
      <c r="U151" s="53">
        <f t="shared" ref="U151" si="118">SUBTOTAL(9,O152:T154)</f>
        <v>111</v>
      </c>
    </row>
    <row r="152" spans="1:21" ht="17.25" customHeight="1" x14ac:dyDescent="0.3">
      <c r="A152" s="15" t="s">
        <v>29</v>
      </c>
      <c r="C152" s="19"/>
      <c r="D152" s="33" t="str">
        <f t="shared" ref="D152" si="119">D151</f>
        <v>C100031</v>
      </c>
      <c r="E152" s="33"/>
      <c r="F152" s="20"/>
      <c r="G152" s="20" t="str">
        <f>"""NAV"",""CRONUS JetCorp USA"",""32"",""1"",""167616"""</f>
        <v>"NAV","CRONUS JetCorp USA","32","1","167616"</v>
      </c>
      <c r="H152" s="39">
        <v>43466</v>
      </c>
      <c r="I152" s="40">
        <v>167616</v>
      </c>
      <c r="J152" s="40" t="str">
        <f>"Vendor"</f>
        <v>Vendor</v>
      </c>
      <c r="K152" s="40" t="str">
        <f>"V100003"</f>
        <v>V100003</v>
      </c>
      <c r="L152" s="40" t="str">
        <f>""</f>
        <v/>
      </c>
      <c r="M152" s="40" t="str">
        <f>"LogoMasters"</f>
        <v>LogoMasters</v>
      </c>
      <c r="N152" s="40" t="str">
        <f>""</f>
        <v/>
      </c>
      <c r="O152" s="41">
        <v>400</v>
      </c>
      <c r="P152" s="41">
        <v>0</v>
      </c>
      <c r="Q152" s="41">
        <v>0</v>
      </c>
      <c r="R152" s="41">
        <v>0</v>
      </c>
      <c r="S152" s="41">
        <v>0</v>
      </c>
      <c r="T152" s="41">
        <v>0</v>
      </c>
      <c r="U152" s="54"/>
    </row>
    <row r="153" spans="1:21" ht="17.25" customHeight="1" x14ac:dyDescent="0.3">
      <c r="A153" s="15" t="s">
        <v>29</v>
      </c>
      <c r="C153" s="19"/>
      <c r="D153" s="33" t="str">
        <f t="shared" ref="D153" si="120">D152</f>
        <v>C100031</v>
      </c>
      <c r="E153" s="33"/>
      <c r="F153" s="20"/>
      <c r="G153" s="20" t="str">
        <f>"""NAV"",""CRONUS JetCorp USA"",""32"",""1"",""7555"""</f>
        <v>"NAV","CRONUS JetCorp USA","32","1","7555"</v>
      </c>
      <c r="H153" s="39">
        <v>43469</v>
      </c>
      <c r="I153" s="40">
        <v>7555</v>
      </c>
      <c r="J153" s="40" t="str">
        <f>"Customer"</f>
        <v>Customer</v>
      </c>
      <c r="K153" s="40" t="str">
        <f>"C100030"</f>
        <v>C100030</v>
      </c>
      <c r="L153" s="40" t="str">
        <f>"Stutringers"</f>
        <v>Stutringers</v>
      </c>
      <c r="M153" s="40" t="str">
        <f>""</f>
        <v/>
      </c>
      <c r="N153" s="40" t="str">
        <f>""</f>
        <v/>
      </c>
      <c r="O153" s="41">
        <v>0</v>
      </c>
      <c r="P153" s="41">
        <v>-289</v>
      </c>
      <c r="Q153" s="41">
        <v>0</v>
      </c>
      <c r="R153" s="41">
        <v>0</v>
      </c>
      <c r="S153" s="41">
        <v>0</v>
      </c>
      <c r="T153" s="41">
        <v>0</v>
      </c>
      <c r="U153" s="54"/>
    </row>
    <row r="154" spans="1:21" ht="17.25" customHeight="1" x14ac:dyDescent="0.3">
      <c r="A154" s="15" t="s">
        <v>29</v>
      </c>
      <c r="C154" s="19"/>
      <c r="D154" s="33"/>
      <c r="E154" s="33"/>
      <c r="F154" s="20"/>
      <c r="G154" s="20"/>
      <c r="H154" s="20"/>
      <c r="I154" s="20"/>
      <c r="J154" s="20"/>
      <c r="K154" s="20"/>
      <c r="L154" s="20"/>
      <c r="M154" s="20"/>
      <c r="N154" s="20"/>
      <c r="O154" s="42"/>
      <c r="P154" s="42"/>
      <c r="Q154" s="42"/>
      <c r="R154" s="42"/>
      <c r="S154" s="42"/>
      <c r="T154" s="42"/>
      <c r="U154" s="55"/>
    </row>
    <row r="155" spans="1:21" ht="17.25" customHeight="1" x14ac:dyDescent="0.3">
      <c r="A155" s="15" t="s">
        <v>29</v>
      </c>
      <c r="C155" s="19"/>
      <c r="D155" s="33"/>
      <c r="E155" s="33" t="s">
        <v>30</v>
      </c>
      <c r="F155" s="20" t="s">
        <v>30</v>
      </c>
      <c r="G155" s="20" t="s">
        <v>30</v>
      </c>
      <c r="H155" s="20"/>
      <c r="I155" s="20"/>
      <c r="J155" s="20" t="s">
        <v>30</v>
      </c>
      <c r="K155" s="20" t="s">
        <v>30</v>
      </c>
      <c r="L155" s="20" t="s">
        <v>30</v>
      </c>
      <c r="M155" s="20" t="s">
        <v>30</v>
      </c>
      <c r="N155" s="20"/>
      <c r="U155" s="56"/>
    </row>
    <row r="156" spans="1:21" ht="20.25" customHeight="1" x14ac:dyDescent="0.35">
      <c r="A156" s="15" t="s">
        <v>29</v>
      </c>
      <c r="C156" s="19"/>
      <c r="D156" s="34" t="str">
        <f t="shared" ref="D156" si="121">E156</f>
        <v>C100032</v>
      </c>
      <c r="E156" s="35" t="str">
        <f>"C100032"</f>
        <v>C100032</v>
      </c>
      <c r="F156" s="36" t="str">
        <f>"Clip-on Clock"</f>
        <v>Clip-on Clock</v>
      </c>
      <c r="G156" s="36"/>
      <c r="H156" s="37" t="str">
        <f>"EA"</f>
        <v>EA</v>
      </c>
      <c r="I156" s="36"/>
      <c r="J156" s="36"/>
      <c r="K156" s="36"/>
      <c r="L156" s="36"/>
      <c r="M156" s="36"/>
      <c r="N156" s="36"/>
      <c r="O156" s="38">
        <f t="shared" ref="O156:T156" si="122">(SUBTOTAL(9,O157:O160))</f>
        <v>600</v>
      </c>
      <c r="P156" s="38">
        <f t="shared" si="122"/>
        <v>-288</v>
      </c>
      <c r="Q156" s="38">
        <f t="shared" si="122"/>
        <v>0</v>
      </c>
      <c r="R156" s="38">
        <f t="shared" si="122"/>
        <v>0</v>
      </c>
      <c r="S156" s="38">
        <f t="shared" si="122"/>
        <v>0</v>
      </c>
      <c r="T156" s="38">
        <f t="shared" si="122"/>
        <v>0</v>
      </c>
      <c r="U156" s="53">
        <f t="shared" ref="U156" si="123">SUBTOTAL(9,O157:T160)</f>
        <v>312</v>
      </c>
    </row>
    <row r="157" spans="1:21" ht="17.25" customHeight="1" x14ac:dyDescent="0.3">
      <c r="A157" s="15" t="s">
        <v>29</v>
      </c>
      <c r="C157" s="19"/>
      <c r="D157" s="33" t="str">
        <f t="shared" ref="D157" si="124">D156</f>
        <v>C100032</v>
      </c>
      <c r="E157" s="33"/>
      <c r="F157" s="20"/>
      <c r="G157" s="20" t="str">
        <f>"""NAV"",""CRONUS JetCorp USA"",""32"",""1"",""167615"""</f>
        <v>"NAV","CRONUS JetCorp USA","32","1","167615"</v>
      </c>
      <c r="H157" s="39">
        <v>43466</v>
      </c>
      <c r="I157" s="40">
        <v>167615</v>
      </c>
      <c r="J157" s="40" t="str">
        <f>"Vendor"</f>
        <v>Vendor</v>
      </c>
      <c r="K157" s="40" t="str">
        <f>"V100003"</f>
        <v>V100003</v>
      </c>
      <c r="L157" s="40" t="str">
        <f>""</f>
        <v/>
      </c>
      <c r="M157" s="40" t="str">
        <f>"LogoMasters"</f>
        <v>LogoMasters</v>
      </c>
      <c r="N157" s="40" t="str">
        <f>""</f>
        <v/>
      </c>
      <c r="O157" s="41">
        <v>600</v>
      </c>
      <c r="P157" s="41">
        <v>0</v>
      </c>
      <c r="Q157" s="41">
        <v>0</v>
      </c>
      <c r="R157" s="41">
        <v>0</v>
      </c>
      <c r="S157" s="41">
        <v>0</v>
      </c>
      <c r="T157" s="41">
        <v>0</v>
      </c>
      <c r="U157" s="54"/>
    </row>
    <row r="158" spans="1:21" ht="17.25" customHeight="1" x14ac:dyDescent="0.3">
      <c r="A158" s="15" t="s">
        <v>29</v>
      </c>
      <c r="C158" s="19"/>
      <c r="D158" s="33" t="str">
        <f t="shared" ref="D158:D159" si="125">D157</f>
        <v>C100032</v>
      </c>
      <c r="E158" s="33"/>
      <c r="F158" s="20"/>
      <c r="G158" s="20" t="str">
        <f>"""NAV"",""CRONUS JetCorp USA"",""32"",""1"",""7559"""</f>
        <v>"NAV","CRONUS JetCorp USA","32","1","7559"</v>
      </c>
      <c r="H158" s="39">
        <v>43469</v>
      </c>
      <c r="I158" s="40">
        <v>7559</v>
      </c>
      <c r="J158" s="40" t="str">
        <f>"Customer"</f>
        <v>Customer</v>
      </c>
      <c r="K158" s="40" t="str">
        <f>"C100030"</f>
        <v>C100030</v>
      </c>
      <c r="L158" s="40" t="str">
        <f>"Stutringers"</f>
        <v>Stutringers</v>
      </c>
      <c r="M158" s="40" t="str">
        <f>""</f>
        <v/>
      </c>
      <c r="N158" s="40" t="str">
        <f>""</f>
        <v/>
      </c>
      <c r="O158" s="41">
        <v>0</v>
      </c>
      <c r="P158" s="41">
        <v>-144</v>
      </c>
      <c r="Q158" s="41">
        <v>0</v>
      </c>
      <c r="R158" s="41">
        <v>0</v>
      </c>
      <c r="S158" s="41">
        <v>0</v>
      </c>
      <c r="T158" s="41">
        <v>0</v>
      </c>
      <c r="U158" s="54"/>
    </row>
    <row r="159" spans="1:21" ht="17.25" customHeight="1" x14ac:dyDescent="0.3">
      <c r="A159" s="15" t="s">
        <v>29</v>
      </c>
      <c r="C159" s="19"/>
      <c r="D159" s="33" t="str">
        <f t="shared" si="125"/>
        <v>C100032</v>
      </c>
      <c r="E159" s="33"/>
      <c r="F159" s="20"/>
      <c r="G159" s="20" t="str">
        <f>"""NAV"",""CRONUS JetCorp USA"",""32"",""1"",""30108"""</f>
        <v>"NAV","CRONUS JetCorp USA","32","1","30108"</v>
      </c>
      <c r="H159" s="39">
        <v>43475</v>
      </c>
      <c r="I159" s="40">
        <v>30108</v>
      </c>
      <c r="J159" s="40" t="str">
        <f>"Customer"</f>
        <v>Customer</v>
      </c>
      <c r="K159" s="40" t="str">
        <f>"C100012"</f>
        <v>C100012</v>
      </c>
      <c r="L159" s="40" t="str">
        <f>"Bainbridges"</f>
        <v>Bainbridges</v>
      </c>
      <c r="M159" s="40" t="str">
        <f>""</f>
        <v/>
      </c>
      <c r="N159" s="40" t="str">
        <f>""</f>
        <v/>
      </c>
      <c r="O159" s="41">
        <v>0</v>
      </c>
      <c r="P159" s="41">
        <v>-144</v>
      </c>
      <c r="Q159" s="41">
        <v>0</v>
      </c>
      <c r="R159" s="41">
        <v>0</v>
      </c>
      <c r="S159" s="41">
        <v>0</v>
      </c>
      <c r="T159" s="41">
        <v>0</v>
      </c>
      <c r="U159" s="54"/>
    </row>
    <row r="160" spans="1:21" ht="17.25" customHeight="1" x14ac:dyDescent="0.3">
      <c r="A160" s="15" t="s">
        <v>29</v>
      </c>
      <c r="C160" s="19"/>
      <c r="D160" s="33"/>
      <c r="E160" s="33"/>
      <c r="F160" s="20"/>
      <c r="G160" s="20"/>
      <c r="H160" s="20"/>
      <c r="I160" s="20"/>
      <c r="J160" s="20"/>
      <c r="K160" s="20"/>
      <c r="L160" s="20"/>
      <c r="M160" s="20"/>
      <c r="N160" s="20"/>
      <c r="O160" s="42"/>
      <c r="P160" s="42"/>
      <c r="Q160" s="42"/>
      <c r="R160" s="42"/>
      <c r="S160" s="42"/>
      <c r="T160" s="42"/>
      <c r="U160" s="55"/>
    </row>
    <row r="161" spans="1:21" ht="17.25" customHeight="1" x14ac:dyDescent="0.3">
      <c r="A161" s="15" t="s">
        <v>29</v>
      </c>
      <c r="C161" s="19"/>
      <c r="D161" s="33"/>
      <c r="E161" s="33" t="s">
        <v>30</v>
      </c>
      <c r="F161" s="20" t="s">
        <v>30</v>
      </c>
      <c r="G161" s="20" t="s">
        <v>30</v>
      </c>
      <c r="H161" s="20"/>
      <c r="I161" s="20"/>
      <c r="J161" s="20" t="s">
        <v>30</v>
      </c>
      <c r="K161" s="20" t="s">
        <v>30</v>
      </c>
      <c r="L161" s="20" t="s">
        <v>30</v>
      </c>
      <c r="M161" s="20" t="s">
        <v>30</v>
      </c>
      <c r="N161" s="20"/>
      <c r="U161" s="56"/>
    </row>
    <row r="162" spans="1:21" ht="20.25" customHeight="1" x14ac:dyDescent="0.35">
      <c r="A162" s="15" t="s">
        <v>29</v>
      </c>
      <c r="C162" s="19"/>
      <c r="D162" s="34" t="str">
        <f t="shared" ref="D162" si="126">E162</f>
        <v>C100033</v>
      </c>
      <c r="E162" s="35" t="str">
        <f>"C100033"</f>
        <v>C100033</v>
      </c>
      <c r="F162" s="36" t="str">
        <f>"Frames &amp; Clock"</f>
        <v>Frames &amp; Clock</v>
      </c>
      <c r="G162" s="36"/>
      <c r="H162" s="37" t="str">
        <f>"EA"</f>
        <v>EA</v>
      </c>
      <c r="I162" s="36"/>
      <c r="J162" s="36"/>
      <c r="K162" s="36"/>
      <c r="L162" s="36"/>
      <c r="M162" s="36"/>
      <c r="N162" s="36"/>
      <c r="O162" s="38">
        <f t="shared" ref="O162:T162" si="127">(SUBTOTAL(9,O163:O166))</f>
        <v>1800</v>
      </c>
      <c r="P162" s="38">
        <f t="shared" si="127"/>
        <v>-168</v>
      </c>
      <c r="Q162" s="38">
        <f t="shared" si="127"/>
        <v>0</v>
      </c>
      <c r="R162" s="38">
        <f t="shared" si="127"/>
        <v>0</v>
      </c>
      <c r="S162" s="38">
        <f t="shared" si="127"/>
        <v>0</v>
      </c>
      <c r="T162" s="38">
        <f t="shared" si="127"/>
        <v>0</v>
      </c>
      <c r="U162" s="53">
        <f t="shared" ref="U162" si="128">SUBTOTAL(9,O163:T166)</f>
        <v>1632</v>
      </c>
    </row>
    <row r="163" spans="1:21" ht="17.25" customHeight="1" x14ac:dyDescent="0.3">
      <c r="A163" s="15" t="s">
        <v>29</v>
      </c>
      <c r="C163" s="19"/>
      <c r="D163" s="33" t="str">
        <f t="shared" ref="D163" si="129">D162</f>
        <v>C100033</v>
      </c>
      <c r="E163" s="33"/>
      <c r="F163" s="20"/>
      <c r="G163" s="20" t="str">
        <f>"""NAV"",""CRONUS JetCorp USA"",""32"",""1"",""167614"""</f>
        <v>"NAV","CRONUS JetCorp USA","32","1","167614"</v>
      </c>
      <c r="H163" s="39">
        <v>43466</v>
      </c>
      <c r="I163" s="40">
        <v>167614</v>
      </c>
      <c r="J163" s="40" t="str">
        <f>"Vendor"</f>
        <v>Vendor</v>
      </c>
      <c r="K163" s="40" t="str">
        <f>"V100003"</f>
        <v>V100003</v>
      </c>
      <c r="L163" s="40" t="str">
        <f>""</f>
        <v/>
      </c>
      <c r="M163" s="40" t="str">
        <f>"LogoMasters"</f>
        <v>LogoMasters</v>
      </c>
      <c r="N163" s="40" t="str">
        <f>""</f>
        <v/>
      </c>
      <c r="O163" s="41">
        <v>1800</v>
      </c>
      <c r="P163" s="41">
        <v>0</v>
      </c>
      <c r="Q163" s="41">
        <v>0</v>
      </c>
      <c r="R163" s="41">
        <v>0</v>
      </c>
      <c r="S163" s="41">
        <v>0</v>
      </c>
      <c r="T163" s="41">
        <v>0</v>
      </c>
      <c r="U163" s="54"/>
    </row>
    <row r="164" spans="1:21" ht="17.25" customHeight="1" x14ac:dyDescent="0.3">
      <c r="A164" s="15" t="s">
        <v>29</v>
      </c>
      <c r="C164" s="19"/>
      <c r="D164" s="33" t="str">
        <f t="shared" ref="D164:D165" si="130">D163</f>
        <v>C100033</v>
      </c>
      <c r="E164" s="33"/>
      <c r="F164" s="20"/>
      <c r="G164" s="20" t="str">
        <f>"""NAV"",""CRONUS JetCorp USA"",""32"",""1"",""153171"""</f>
        <v>"NAV","CRONUS JetCorp USA","32","1","153171"</v>
      </c>
      <c r="H164" s="39">
        <v>43470</v>
      </c>
      <c r="I164" s="40">
        <v>153171</v>
      </c>
      <c r="J164" s="40" t="str">
        <f>"Customer"</f>
        <v>Customer</v>
      </c>
      <c r="K164" s="40" t="str">
        <f>"C100136"</f>
        <v>C100136</v>
      </c>
      <c r="L164" s="40" t="str">
        <f>"First Bank"</f>
        <v>First Bank</v>
      </c>
      <c r="M164" s="40" t="str">
        <f>""</f>
        <v/>
      </c>
      <c r="N164" s="40" t="str">
        <f>""</f>
        <v/>
      </c>
      <c r="O164" s="41">
        <v>0</v>
      </c>
      <c r="P164" s="41">
        <v>-24</v>
      </c>
      <c r="Q164" s="41">
        <v>0</v>
      </c>
      <c r="R164" s="41">
        <v>0</v>
      </c>
      <c r="S164" s="41">
        <v>0</v>
      </c>
      <c r="T164" s="41">
        <v>0</v>
      </c>
      <c r="U164" s="54"/>
    </row>
    <row r="165" spans="1:21" ht="17.25" customHeight="1" x14ac:dyDescent="0.3">
      <c r="A165" s="15" t="s">
        <v>29</v>
      </c>
      <c r="C165" s="19"/>
      <c r="D165" s="33" t="str">
        <f t="shared" si="130"/>
        <v>C100033</v>
      </c>
      <c r="E165" s="33"/>
      <c r="F165" s="20"/>
      <c r="G165" s="20" t="str">
        <f>"""NAV"",""CRONUS JetCorp USA"",""32"",""1"",""64614"""</f>
        <v>"NAV","CRONUS JetCorp USA","32","1","64614"</v>
      </c>
      <c r="H165" s="39">
        <v>43475</v>
      </c>
      <c r="I165" s="40">
        <v>64614</v>
      </c>
      <c r="J165" s="40" t="str">
        <f>"Customer"</f>
        <v>Customer</v>
      </c>
      <c r="K165" s="40" t="str">
        <f>"C100136"</f>
        <v>C100136</v>
      </c>
      <c r="L165" s="40" t="str">
        <f>"First Bank"</f>
        <v>First Bank</v>
      </c>
      <c r="M165" s="40" t="str">
        <f>""</f>
        <v/>
      </c>
      <c r="N165" s="40" t="str">
        <f>""</f>
        <v/>
      </c>
      <c r="O165" s="41">
        <v>0</v>
      </c>
      <c r="P165" s="41">
        <v>-144</v>
      </c>
      <c r="Q165" s="41">
        <v>0</v>
      </c>
      <c r="R165" s="41">
        <v>0</v>
      </c>
      <c r="S165" s="41">
        <v>0</v>
      </c>
      <c r="T165" s="41">
        <v>0</v>
      </c>
      <c r="U165" s="54"/>
    </row>
    <row r="166" spans="1:21" ht="17.25" customHeight="1" x14ac:dyDescent="0.3">
      <c r="A166" s="15" t="s">
        <v>29</v>
      </c>
      <c r="C166" s="19"/>
      <c r="D166" s="33"/>
      <c r="E166" s="33"/>
      <c r="F166" s="20"/>
      <c r="G166" s="20"/>
      <c r="H166" s="20"/>
      <c r="I166" s="20"/>
      <c r="J166" s="20"/>
      <c r="K166" s="20"/>
      <c r="L166" s="20"/>
      <c r="M166" s="20"/>
      <c r="N166" s="20"/>
      <c r="O166" s="42"/>
      <c r="P166" s="42"/>
      <c r="Q166" s="42"/>
      <c r="R166" s="42"/>
      <c r="S166" s="42"/>
      <c r="T166" s="42"/>
      <c r="U166" s="55"/>
    </row>
    <row r="167" spans="1:21" ht="17.25" customHeight="1" x14ac:dyDescent="0.3">
      <c r="A167" s="15" t="s">
        <v>29</v>
      </c>
      <c r="C167" s="19"/>
      <c r="D167" s="33"/>
      <c r="E167" s="33" t="s">
        <v>30</v>
      </c>
      <c r="F167" s="20" t="s">
        <v>30</v>
      </c>
      <c r="G167" s="20" t="s">
        <v>30</v>
      </c>
      <c r="H167" s="20"/>
      <c r="I167" s="20"/>
      <c r="J167" s="20" t="s">
        <v>30</v>
      </c>
      <c r="K167" s="20" t="s">
        <v>30</v>
      </c>
      <c r="L167" s="20" t="s">
        <v>30</v>
      </c>
      <c r="M167" s="20" t="s">
        <v>30</v>
      </c>
      <c r="N167" s="20"/>
      <c r="U167" s="56"/>
    </row>
    <row r="168" spans="1:21" ht="20.25" customHeight="1" x14ac:dyDescent="0.35">
      <c r="A168" s="15" t="s">
        <v>29</v>
      </c>
      <c r="C168" s="19"/>
      <c r="D168" s="34" t="str">
        <f t="shared" ref="D168" si="131">E168</f>
        <v>C100034</v>
      </c>
      <c r="E168" s="35" t="str">
        <f>"C100034"</f>
        <v>C100034</v>
      </c>
      <c r="F168" s="36" t="str">
        <f>"Clock &amp; Pen Holder"</f>
        <v>Clock &amp; Pen Holder</v>
      </c>
      <c r="G168" s="36"/>
      <c r="H168" s="37" t="str">
        <f>"EA"</f>
        <v>EA</v>
      </c>
      <c r="I168" s="36"/>
      <c r="J168" s="36"/>
      <c r="K168" s="36"/>
      <c r="L168" s="36"/>
      <c r="M168" s="36"/>
      <c r="N168" s="36"/>
      <c r="O168" s="38">
        <f t="shared" ref="O168:T168" si="132">(SUBTOTAL(9,O169:O171))</f>
        <v>600</v>
      </c>
      <c r="P168" s="38">
        <f t="shared" si="132"/>
        <v>-1</v>
      </c>
      <c r="Q168" s="38">
        <f t="shared" si="132"/>
        <v>0</v>
      </c>
      <c r="R168" s="38">
        <f t="shared" si="132"/>
        <v>0</v>
      </c>
      <c r="S168" s="38">
        <f t="shared" si="132"/>
        <v>0</v>
      </c>
      <c r="T168" s="38">
        <f t="shared" si="132"/>
        <v>0</v>
      </c>
      <c r="U168" s="53">
        <f t="shared" ref="U168" si="133">SUBTOTAL(9,O169:T171)</f>
        <v>599</v>
      </c>
    </row>
    <row r="169" spans="1:21" ht="17.25" customHeight="1" x14ac:dyDescent="0.3">
      <c r="A169" s="15" t="s">
        <v>29</v>
      </c>
      <c r="C169" s="19"/>
      <c r="D169" s="33" t="str">
        <f t="shared" ref="D169" si="134">D168</f>
        <v>C100034</v>
      </c>
      <c r="E169" s="33"/>
      <c r="F169" s="20"/>
      <c r="G169" s="20" t="str">
        <f>"""NAV"",""CRONUS JetCorp USA"",""32"",""1"",""167613"""</f>
        <v>"NAV","CRONUS JetCorp USA","32","1","167613"</v>
      </c>
      <c r="H169" s="39">
        <v>43466</v>
      </c>
      <c r="I169" s="40">
        <v>167613</v>
      </c>
      <c r="J169" s="40" t="str">
        <f>"Vendor"</f>
        <v>Vendor</v>
      </c>
      <c r="K169" s="40" t="str">
        <f>"V100003"</f>
        <v>V100003</v>
      </c>
      <c r="L169" s="40" t="str">
        <f>""</f>
        <v/>
      </c>
      <c r="M169" s="40" t="str">
        <f>"LogoMasters"</f>
        <v>LogoMasters</v>
      </c>
      <c r="N169" s="40" t="str">
        <f>""</f>
        <v/>
      </c>
      <c r="O169" s="41">
        <v>600</v>
      </c>
      <c r="P169" s="41">
        <v>0</v>
      </c>
      <c r="Q169" s="41">
        <v>0</v>
      </c>
      <c r="R169" s="41">
        <v>0</v>
      </c>
      <c r="S169" s="41">
        <v>0</v>
      </c>
      <c r="T169" s="41">
        <v>0</v>
      </c>
      <c r="U169" s="54"/>
    </row>
    <row r="170" spans="1:21" ht="17.25" customHeight="1" x14ac:dyDescent="0.3">
      <c r="A170" s="15" t="s">
        <v>29</v>
      </c>
      <c r="C170" s="19"/>
      <c r="D170" s="33" t="str">
        <f t="shared" ref="D170" si="135">D169</f>
        <v>C100034</v>
      </c>
      <c r="E170" s="33"/>
      <c r="F170" s="20"/>
      <c r="G170" s="20" t="str">
        <f>"""NAV"",""CRONUS JetCorp USA"",""32"",""1"",""116375"""</f>
        <v>"NAV","CRONUS JetCorp USA","32","1","116375"</v>
      </c>
      <c r="H170" s="39">
        <v>43472</v>
      </c>
      <c r="I170" s="40">
        <v>116375</v>
      </c>
      <c r="J170" s="40" t="str">
        <f>"Customer"</f>
        <v>Customer</v>
      </c>
      <c r="K170" s="40" t="str">
        <f>"C100054"</f>
        <v>C100054</v>
      </c>
      <c r="L170" s="40" t="str">
        <f>"London Candoxy Storage Campus"</f>
        <v>London Candoxy Storage Campus</v>
      </c>
      <c r="M170" s="40" t="str">
        <f>""</f>
        <v/>
      </c>
      <c r="N170" s="40" t="str">
        <f>""</f>
        <v/>
      </c>
      <c r="O170" s="41">
        <v>0</v>
      </c>
      <c r="P170" s="41">
        <v>-1</v>
      </c>
      <c r="Q170" s="41">
        <v>0</v>
      </c>
      <c r="R170" s="41">
        <v>0</v>
      </c>
      <c r="S170" s="41">
        <v>0</v>
      </c>
      <c r="T170" s="41">
        <v>0</v>
      </c>
      <c r="U170" s="54"/>
    </row>
    <row r="171" spans="1:21" ht="17.25" customHeight="1" x14ac:dyDescent="0.3">
      <c r="A171" s="15" t="s">
        <v>29</v>
      </c>
      <c r="C171" s="19"/>
      <c r="D171" s="33"/>
      <c r="E171" s="33"/>
      <c r="F171" s="20"/>
      <c r="G171" s="20"/>
      <c r="H171" s="20"/>
      <c r="I171" s="20"/>
      <c r="J171" s="20"/>
      <c r="K171" s="20"/>
      <c r="L171" s="20"/>
      <c r="M171" s="20"/>
      <c r="N171" s="20"/>
      <c r="O171" s="42"/>
      <c r="P171" s="42"/>
      <c r="Q171" s="42"/>
      <c r="R171" s="42"/>
      <c r="S171" s="42"/>
      <c r="T171" s="42"/>
      <c r="U171" s="55"/>
    </row>
    <row r="172" spans="1:21" ht="17.25" customHeight="1" x14ac:dyDescent="0.3">
      <c r="A172" s="15" t="s">
        <v>29</v>
      </c>
      <c r="C172" s="19"/>
      <c r="D172" s="33"/>
      <c r="E172" s="33" t="s">
        <v>30</v>
      </c>
      <c r="F172" s="20" t="s">
        <v>30</v>
      </c>
      <c r="G172" s="20" t="s">
        <v>30</v>
      </c>
      <c r="H172" s="20"/>
      <c r="I172" s="20"/>
      <c r="J172" s="20" t="s">
        <v>30</v>
      </c>
      <c r="K172" s="20" t="s">
        <v>30</v>
      </c>
      <c r="L172" s="20" t="s">
        <v>30</v>
      </c>
      <c r="M172" s="20" t="s">
        <v>30</v>
      </c>
      <c r="N172" s="20"/>
      <c r="U172" s="56"/>
    </row>
    <row r="173" spans="1:21" ht="20.25" customHeight="1" x14ac:dyDescent="0.35">
      <c r="A173" s="15" t="s">
        <v>29</v>
      </c>
      <c r="C173" s="19"/>
      <c r="D173" s="34" t="str">
        <f t="shared" ref="D173" si="136">E173</f>
        <v>C100035</v>
      </c>
      <c r="E173" s="35" t="str">
        <f>"C100035"</f>
        <v>C100035</v>
      </c>
      <c r="F173" s="36" t="str">
        <f>"Calculator &amp; World Time Clock"</f>
        <v>Calculator &amp; World Time Clock</v>
      </c>
      <c r="G173" s="36"/>
      <c r="H173" s="37" t="str">
        <f>"EA"</f>
        <v>EA</v>
      </c>
      <c r="I173" s="36"/>
      <c r="J173" s="36"/>
      <c r="K173" s="36"/>
      <c r="L173" s="36"/>
      <c r="M173" s="36"/>
      <c r="N173" s="36"/>
      <c r="O173" s="38">
        <f t="shared" ref="O173:T173" si="137">(SUBTOTAL(9,O174:O179))</f>
        <v>2000</v>
      </c>
      <c r="P173" s="38">
        <f t="shared" si="137"/>
        <v>-318</v>
      </c>
      <c r="Q173" s="38">
        <f t="shared" si="137"/>
        <v>0</v>
      </c>
      <c r="R173" s="38">
        <f t="shared" si="137"/>
        <v>0</v>
      </c>
      <c r="S173" s="38">
        <f t="shared" si="137"/>
        <v>0</v>
      </c>
      <c r="T173" s="38">
        <f t="shared" si="137"/>
        <v>0</v>
      </c>
      <c r="U173" s="53">
        <f t="shared" ref="U173" si="138">SUBTOTAL(9,O174:T179)</f>
        <v>1682</v>
      </c>
    </row>
    <row r="174" spans="1:21" ht="17.25" customHeight="1" x14ac:dyDescent="0.3">
      <c r="A174" s="15" t="s">
        <v>29</v>
      </c>
      <c r="C174" s="19"/>
      <c r="D174" s="33" t="str">
        <f t="shared" ref="D174" si="139">D173</f>
        <v>C100035</v>
      </c>
      <c r="E174" s="33"/>
      <c r="F174" s="20"/>
      <c r="G174" s="20" t="str">
        <f>"""NAV"",""CRONUS JetCorp USA"",""32"",""1"",""167612"""</f>
        <v>"NAV","CRONUS JetCorp USA","32","1","167612"</v>
      </c>
      <c r="H174" s="39">
        <v>43466</v>
      </c>
      <c r="I174" s="40">
        <v>167612</v>
      </c>
      <c r="J174" s="40" t="str">
        <f>"Vendor"</f>
        <v>Vendor</v>
      </c>
      <c r="K174" s="40" t="str">
        <f>"V100003"</f>
        <v>V100003</v>
      </c>
      <c r="L174" s="40" t="str">
        <f>""</f>
        <v/>
      </c>
      <c r="M174" s="40" t="str">
        <f>"LogoMasters"</f>
        <v>LogoMasters</v>
      </c>
      <c r="N174" s="40" t="str">
        <f>""</f>
        <v/>
      </c>
      <c r="O174" s="41">
        <v>1600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54"/>
    </row>
    <row r="175" spans="1:21" ht="17.25" customHeight="1" x14ac:dyDescent="0.3">
      <c r="A175" s="15" t="s">
        <v>29</v>
      </c>
      <c r="C175" s="19"/>
      <c r="D175" s="33" t="str">
        <f t="shared" ref="D175:D178" si="140">D174</f>
        <v>C100035</v>
      </c>
      <c r="E175" s="33"/>
      <c r="F175" s="20"/>
      <c r="G175" s="20" t="str">
        <f>"""NAV"",""CRONUS JetCorp USA"",""32"",""1"",""167623"""</f>
        <v>"NAV","CRONUS JetCorp USA","32","1","167623"</v>
      </c>
      <c r="H175" s="39">
        <v>43466</v>
      </c>
      <c r="I175" s="40">
        <v>167623</v>
      </c>
      <c r="J175" s="40" t="str">
        <f>"Vendor"</f>
        <v>Vendor</v>
      </c>
      <c r="K175" s="40" t="str">
        <f>"V100001"</f>
        <v>V100001</v>
      </c>
      <c r="L175" s="40" t="str">
        <f>""</f>
        <v/>
      </c>
      <c r="M175" s="40" t="str">
        <f>"Greigner, Inc."</f>
        <v>Greigner, Inc.</v>
      </c>
      <c r="N175" s="40" t="str">
        <f>""</f>
        <v/>
      </c>
      <c r="O175" s="41">
        <v>400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54"/>
    </row>
    <row r="176" spans="1:21" ht="17.25" customHeight="1" x14ac:dyDescent="0.3">
      <c r="A176" s="15" t="s">
        <v>29</v>
      </c>
      <c r="C176" s="19"/>
      <c r="D176" s="33" t="str">
        <f t="shared" si="140"/>
        <v>C100035</v>
      </c>
      <c r="E176" s="33"/>
      <c r="F176" s="20"/>
      <c r="G176" s="20" t="str">
        <f>"""NAV"",""CRONUS JetCorp USA"",""32"",""1"",""153197"""</f>
        <v>"NAV","CRONUS JetCorp USA","32","1","153197"</v>
      </c>
      <c r="H176" s="39">
        <v>43469</v>
      </c>
      <c r="I176" s="40">
        <v>153197</v>
      </c>
      <c r="J176" s="40" t="str">
        <f>"Customer"</f>
        <v>Customer</v>
      </c>
      <c r="K176" s="40" t="str">
        <f>"C100136"</f>
        <v>C100136</v>
      </c>
      <c r="L176" s="40" t="str">
        <f>"First Bank"</f>
        <v>First Bank</v>
      </c>
      <c r="M176" s="40" t="str">
        <f>""</f>
        <v/>
      </c>
      <c r="N176" s="40" t="str">
        <f>""</f>
        <v/>
      </c>
      <c r="O176" s="41">
        <v>0</v>
      </c>
      <c r="P176" s="41">
        <v>-6</v>
      </c>
      <c r="Q176" s="41">
        <v>0</v>
      </c>
      <c r="R176" s="41">
        <v>0</v>
      </c>
      <c r="S176" s="41">
        <v>0</v>
      </c>
      <c r="T176" s="41">
        <v>0</v>
      </c>
      <c r="U176" s="54"/>
    </row>
    <row r="177" spans="1:21" ht="17.25" customHeight="1" x14ac:dyDescent="0.3">
      <c r="A177" s="15" t="s">
        <v>29</v>
      </c>
      <c r="C177" s="19"/>
      <c r="D177" s="33" t="str">
        <f t="shared" si="140"/>
        <v>C100035</v>
      </c>
      <c r="E177" s="33"/>
      <c r="F177" s="20"/>
      <c r="G177" s="20" t="str">
        <f>"""NAV"",""CRONUS JetCorp USA"",""32"",""1"",""153166"""</f>
        <v>"NAV","CRONUS JetCorp USA","32","1","153166"</v>
      </c>
      <c r="H177" s="39">
        <v>43470</v>
      </c>
      <c r="I177" s="40">
        <v>153166</v>
      </c>
      <c r="J177" s="40" t="str">
        <f>"Customer"</f>
        <v>Customer</v>
      </c>
      <c r="K177" s="40" t="str">
        <f>"C100136"</f>
        <v>C100136</v>
      </c>
      <c r="L177" s="40" t="str">
        <f>"First Bank"</f>
        <v>First Bank</v>
      </c>
      <c r="M177" s="40" t="str">
        <f>""</f>
        <v/>
      </c>
      <c r="N177" s="40" t="str">
        <f>""</f>
        <v/>
      </c>
      <c r="O177" s="41">
        <v>0</v>
      </c>
      <c r="P177" s="41">
        <v>-144</v>
      </c>
      <c r="Q177" s="41">
        <v>0</v>
      </c>
      <c r="R177" s="41">
        <v>0</v>
      </c>
      <c r="S177" s="41">
        <v>0</v>
      </c>
      <c r="T177" s="41">
        <v>0</v>
      </c>
      <c r="U177" s="54"/>
    </row>
    <row r="178" spans="1:21" ht="17.25" customHeight="1" x14ac:dyDescent="0.3">
      <c r="A178" s="15" t="s">
        <v>29</v>
      </c>
      <c r="C178" s="19"/>
      <c r="D178" s="33" t="str">
        <f t="shared" si="140"/>
        <v>C100035</v>
      </c>
      <c r="E178" s="33"/>
      <c r="F178" s="20"/>
      <c r="G178" s="20" t="str">
        <f>"""NAV"",""CRONUS JetCorp USA"",""32"",""1"",""114279"""</f>
        <v>"NAV","CRONUS JetCorp USA","32","1","114279"</v>
      </c>
      <c r="H178" s="39">
        <v>43474</v>
      </c>
      <c r="I178" s="40">
        <v>114279</v>
      </c>
      <c r="J178" s="40" t="str">
        <f>"Customer"</f>
        <v>Customer</v>
      </c>
      <c r="K178" s="40" t="str">
        <f>"C100076"</f>
        <v>C100076</v>
      </c>
      <c r="L178" s="40" t="str">
        <f>"Showmasters"</f>
        <v>Showmasters</v>
      </c>
      <c r="M178" s="40" t="str">
        <f>""</f>
        <v/>
      </c>
      <c r="N178" s="40" t="str">
        <f>""</f>
        <v/>
      </c>
      <c r="O178" s="41">
        <v>0</v>
      </c>
      <c r="P178" s="41">
        <v>-168</v>
      </c>
      <c r="Q178" s="41">
        <v>0</v>
      </c>
      <c r="R178" s="41">
        <v>0</v>
      </c>
      <c r="S178" s="41">
        <v>0</v>
      </c>
      <c r="T178" s="41">
        <v>0</v>
      </c>
      <c r="U178" s="54"/>
    </row>
    <row r="179" spans="1:21" ht="17.25" customHeight="1" x14ac:dyDescent="0.3">
      <c r="A179" s="15" t="s">
        <v>29</v>
      </c>
      <c r="C179" s="19"/>
      <c r="D179" s="33"/>
      <c r="E179" s="33"/>
      <c r="F179" s="20"/>
      <c r="G179" s="20"/>
      <c r="H179" s="20"/>
      <c r="I179" s="20"/>
      <c r="J179" s="20"/>
      <c r="K179" s="20"/>
      <c r="L179" s="20"/>
      <c r="M179" s="20"/>
      <c r="N179" s="20"/>
      <c r="O179" s="42"/>
      <c r="P179" s="42"/>
      <c r="Q179" s="42"/>
      <c r="R179" s="42"/>
      <c r="S179" s="42"/>
      <c r="T179" s="42"/>
      <c r="U179" s="55"/>
    </row>
    <row r="180" spans="1:21" ht="17.25" customHeight="1" x14ac:dyDescent="0.3">
      <c r="A180" s="15" t="s">
        <v>29</v>
      </c>
      <c r="C180" s="19"/>
      <c r="D180" s="33"/>
      <c r="E180" s="33" t="s">
        <v>30</v>
      </c>
      <c r="F180" s="20" t="s">
        <v>30</v>
      </c>
      <c r="G180" s="20" t="s">
        <v>30</v>
      </c>
      <c r="H180" s="20"/>
      <c r="I180" s="20"/>
      <c r="J180" s="20" t="s">
        <v>30</v>
      </c>
      <c r="K180" s="20" t="s">
        <v>30</v>
      </c>
      <c r="L180" s="20" t="s">
        <v>30</v>
      </c>
      <c r="M180" s="20" t="s">
        <v>30</v>
      </c>
      <c r="N180" s="20"/>
      <c r="U180" s="56"/>
    </row>
    <row r="181" spans="1:21" ht="20.25" customHeight="1" x14ac:dyDescent="0.35">
      <c r="A181" s="15" t="s">
        <v>29</v>
      </c>
      <c r="C181" s="19"/>
      <c r="D181" s="34" t="str">
        <f t="shared" ref="D181" si="141">E181</f>
        <v>C100036</v>
      </c>
      <c r="E181" s="35" t="str">
        <f>"C100036"</f>
        <v>C100036</v>
      </c>
      <c r="F181" s="36" t="str">
        <f>"Clock &amp; Business Card Holder"</f>
        <v>Clock &amp; Business Card Holder</v>
      </c>
      <c r="G181" s="36"/>
      <c r="H181" s="37" t="str">
        <f>"EA"</f>
        <v>EA</v>
      </c>
      <c r="I181" s="36"/>
      <c r="J181" s="36"/>
      <c r="K181" s="36"/>
      <c r="L181" s="36"/>
      <c r="M181" s="36"/>
      <c r="N181" s="36"/>
      <c r="O181" s="38">
        <f t="shared" ref="O181:T181" si="142">(SUBTOTAL(9,O182:O183))</f>
        <v>200</v>
      </c>
      <c r="P181" s="38">
        <f t="shared" si="142"/>
        <v>0</v>
      </c>
      <c r="Q181" s="38">
        <f t="shared" si="142"/>
        <v>0</v>
      </c>
      <c r="R181" s="38">
        <f t="shared" si="142"/>
        <v>0</v>
      </c>
      <c r="S181" s="38">
        <f t="shared" si="142"/>
        <v>0</v>
      </c>
      <c r="T181" s="38">
        <f t="shared" si="142"/>
        <v>0</v>
      </c>
      <c r="U181" s="53">
        <f t="shared" ref="U181" si="143">SUBTOTAL(9,O182:T183)</f>
        <v>200</v>
      </c>
    </row>
    <row r="182" spans="1:21" ht="17.25" customHeight="1" x14ac:dyDescent="0.3">
      <c r="A182" s="15" t="s">
        <v>29</v>
      </c>
      <c r="C182" s="19"/>
      <c r="D182" s="33" t="str">
        <f t="shared" ref="D182" si="144">D181</f>
        <v>C100036</v>
      </c>
      <c r="E182" s="33"/>
      <c r="F182" s="20"/>
      <c r="G182" s="20" t="str">
        <f>"""NAV"",""CRONUS JetCorp USA"",""32"",""1"",""167611"""</f>
        <v>"NAV","CRONUS JetCorp USA","32","1","167611"</v>
      </c>
      <c r="H182" s="39">
        <v>43466</v>
      </c>
      <c r="I182" s="40">
        <v>167611</v>
      </c>
      <c r="J182" s="40" t="str">
        <f>"Vendor"</f>
        <v>Vendor</v>
      </c>
      <c r="K182" s="40" t="str">
        <f>"V100003"</f>
        <v>V100003</v>
      </c>
      <c r="L182" s="40" t="str">
        <f>""</f>
        <v/>
      </c>
      <c r="M182" s="40" t="str">
        <f>"LogoMasters"</f>
        <v>LogoMasters</v>
      </c>
      <c r="N182" s="40" t="str">
        <f>""</f>
        <v/>
      </c>
      <c r="O182" s="41">
        <v>200</v>
      </c>
      <c r="P182" s="41">
        <v>0</v>
      </c>
      <c r="Q182" s="41">
        <v>0</v>
      </c>
      <c r="R182" s="41">
        <v>0</v>
      </c>
      <c r="S182" s="41">
        <v>0</v>
      </c>
      <c r="T182" s="41">
        <v>0</v>
      </c>
      <c r="U182" s="54"/>
    </row>
    <row r="183" spans="1:21" ht="17.25" customHeight="1" x14ac:dyDescent="0.3">
      <c r="A183" s="15" t="s">
        <v>29</v>
      </c>
      <c r="C183" s="19"/>
      <c r="D183" s="33"/>
      <c r="E183" s="33"/>
      <c r="F183" s="20"/>
      <c r="G183" s="20"/>
      <c r="H183" s="20"/>
      <c r="I183" s="20"/>
      <c r="J183" s="20"/>
      <c r="K183" s="20"/>
      <c r="L183" s="20"/>
      <c r="M183" s="20"/>
      <c r="N183" s="20"/>
      <c r="O183" s="42"/>
      <c r="P183" s="42"/>
      <c r="Q183" s="42"/>
      <c r="R183" s="42"/>
      <c r="S183" s="42"/>
      <c r="T183" s="42"/>
      <c r="U183" s="55"/>
    </row>
    <row r="184" spans="1:21" ht="17.25" customHeight="1" x14ac:dyDescent="0.3">
      <c r="A184" s="15" t="s">
        <v>29</v>
      </c>
      <c r="C184" s="19"/>
      <c r="D184" s="33"/>
      <c r="E184" s="33" t="s">
        <v>30</v>
      </c>
      <c r="F184" s="20" t="s">
        <v>30</v>
      </c>
      <c r="G184" s="20" t="s">
        <v>30</v>
      </c>
      <c r="H184" s="20"/>
      <c r="I184" s="20"/>
      <c r="J184" s="20" t="s">
        <v>30</v>
      </c>
      <c r="K184" s="20" t="s">
        <v>30</v>
      </c>
      <c r="L184" s="20" t="s">
        <v>30</v>
      </c>
      <c r="M184" s="20" t="s">
        <v>30</v>
      </c>
      <c r="N184" s="20"/>
      <c r="U184" s="56"/>
    </row>
    <row r="185" spans="1:21" ht="20.25" customHeight="1" x14ac:dyDescent="0.35">
      <c r="A185" s="15" t="s">
        <v>29</v>
      </c>
      <c r="C185" s="19"/>
      <c r="D185" s="34" t="str">
        <f t="shared" ref="D185" si="145">E185</f>
        <v>C100037</v>
      </c>
      <c r="E185" s="35" t="str">
        <f>"C100037"</f>
        <v>C100037</v>
      </c>
      <c r="F185" s="36" t="str">
        <f>"World Time Travel Alarm"</f>
        <v>World Time Travel Alarm</v>
      </c>
      <c r="G185" s="36"/>
      <c r="H185" s="37" t="str">
        <f>"EA"</f>
        <v>EA</v>
      </c>
      <c r="I185" s="36"/>
      <c r="J185" s="36"/>
      <c r="K185" s="36"/>
      <c r="L185" s="36"/>
      <c r="M185" s="36"/>
      <c r="N185" s="36"/>
      <c r="O185" s="38">
        <f t="shared" ref="O185:T185" si="146">(SUBTOTAL(9,O186:O189))</f>
        <v>200</v>
      </c>
      <c r="P185" s="38">
        <f t="shared" si="146"/>
        <v>-145</v>
      </c>
      <c r="Q185" s="38">
        <f t="shared" si="146"/>
        <v>0</v>
      </c>
      <c r="R185" s="38">
        <f t="shared" si="146"/>
        <v>0</v>
      </c>
      <c r="S185" s="38">
        <f t="shared" si="146"/>
        <v>0</v>
      </c>
      <c r="T185" s="38">
        <f t="shared" si="146"/>
        <v>0</v>
      </c>
      <c r="U185" s="53">
        <f t="shared" ref="U185" si="147">SUBTOTAL(9,O186:T189)</f>
        <v>55</v>
      </c>
    </row>
    <row r="186" spans="1:21" ht="17.25" customHeight="1" x14ac:dyDescent="0.3">
      <c r="A186" s="15" t="s">
        <v>29</v>
      </c>
      <c r="C186" s="19"/>
      <c r="D186" s="33" t="str">
        <f t="shared" ref="D186" si="148">D185</f>
        <v>C100037</v>
      </c>
      <c r="E186" s="33"/>
      <c r="F186" s="20"/>
      <c r="G186" s="20" t="str">
        <f>"""NAV"",""CRONUS JetCorp USA"",""32"",""1"",""167610"""</f>
        <v>"NAV","CRONUS JetCorp USA","32","1","167610"</v>
      </c>
      <c r="H186" s="39">
        <v>43466</v>
      </c>
      <c r="I186" s="40">
        <v>167610</v>
      </c>
      <c r="J186" s="40" t="str">
        <f>"Vendor"</f>
        <v>Vendor</v>
      </c>
      <c r="K186" s="40" t="str">
        <f>"V100003"</f>
        <v>V100003</v>
      </c>
      <c r="L186" s="40" t="str">
        <f>""</f>
        <v/>
      </c>
      <c r="M186" s="40" t="str">
        <f>"LogoMasters"</f>
        <v>LogoMasters</v>
      </c>
      <c r="N186" s="40" t="str">
        <f>""</f>
        <v/>
      </c>
      <c r="O186" s="41">
        <v>200</v>
      </c>
      <c r="P186" s="41">
        <v>0</v>
      </c>
      <c r="Q186" s="41">
        <v>0</v>
      </c>
      <c r="R186" s="41">
        <v>0</v>
      </c>
      <c r="S186" s="41">
        <v>0</v>
      </c>
      <c r="T186" s="41">
        <v>0</v>
      </c>
      <c r="U186" s="54"/>
    </row>
    <row r="187" spans="1:21" ht="17.25" customHeight="1" x14ac:dyDescent="0.3">
      <c r="A187" s="15" t="s">
        <v>29</v>
      </c>
      <c r="C187" s="19"/>
      <c r="D187" s="33" t="str">
        <f t="shared" ref="D187:D188" si="149">D186</f>
        <v>C100037</v>
      </c>
      <c r="E187" s="33"/>
      <c r="F187" s="20"/>
      <c r="G187" s="20" t="str">
        <f>"""NAV"",""CRONUS JetCorp USA"",""32"",""1"",""7558"""</f>
        <v>"NAV","CRONUS JetCorp USA","32","1","7558"</v>
      </c>
      <c r="H187" s="39">
        <v>43469</v>
      </c>
      <c r="I187" s="40">
        <v>7558</v>
      </c>
      <c r="J187" s="40" t="str">
        <f>"Customer"</f>
        <v>Customer</v>
      </c>
      <c r="K187" s="40" t="str">
        <f>"C100030"</f>
        <v>C100030</v>
      </c>
      <c r="L187" s="40" t="str">
        <f>"Stutringers"</f>
        <v>Stutringers</v>
      </c>
      <c r="M187" s="40" t="str">
        <f>""</f>
        <v/>
      </c>
      <c r="N187" s="40" t="str">
        <f>""</f>
        <v/>
      </c>
      <c r="O187" s="41">
        <v>0</v>
      </c>
      <c r="P187" s="41">
        <v>-144</v>
      </c>
      <c r="Q187" s="41">
        <v>0</v>
      </c>
      <c r="R187" s="41">
        <v>0</v>
      </c>
      <c r="S187" s="41">
        <v>0</v>
      </c>
      <c r="T187" s="41">
        <v>0</v>
      </c>
      <c r="U187" s="54"/>
    </row>
    <row r="188" spans="1:21" ht="17.25" customHeight="1" x14ac:dyDescent="0.3">
      <c r="A188" s="15" t="s">
        <v>29</v>
      </c>
      <c r="C188" s="19"/>
      <c r="D188" s="33" t="str">
        <f t="shared" si="149"/>
        <v>C100037</v>
      </c>
      <c r="E188" s="33"/>
      <c r="F188" s="20"/>
      <c r="G188" s="20" t="str">
        <f>"""NAV"",""CRONUS JetCorp USA"",""32"",""1"",""114274"""</f>
        <v>"NAV","CRONUS JetCorp USA","32","1","114274"</v>
      </c>
      <c r="H188" s="39">
        <v>43470</v>
      </c>
      <c r="I188" s="40">
        <v>114274</v>
      </c>
      <c r="J188" s="40" t="str">
        <f>"Customer"</f>
        <v>Customer</v>
      </c>
      <c r="K188" s="40" t="str">
        <f>"C100076"</f>
        <v>C100076</v>
      </c>
      <c r="L188" s="40" t="str">
        <f>"Showmasters"</f>
        <v>Showmasters</v>
      </c>
      <c r="M188" s="40" t="str">
        <f>""</f>
        <v/>
      </c>
      <c r="N188" s="40" t="str">
        <f>""</f>
        <v/>
      </c>
      <c r="O188" s="41">
        <v>0</v>
      </c>
      <c r="P188" s="41">
        <v>-1</v>
      </c>
      <c r="Q188" s="41">
        <v>0</v>
      </c>
      <c r="R188" s="41">
        <v>0</v>
      </c>
      <c r="S188" s="41">
        <v>0</v>
      </c>
      <c r="T188" s="41">
        <v>0</v>
      </c>
      <c r="U188" s="54"/>
    </row>
    <row r="189" spans="1:21" ht="17.25" customHeight="1" x14ac:dyDescent="0.3">
      <c r="A189" s="15" t="s">
        <v>29</v>
      </c>
      <c r="C189" s="19"/>
      <c r="D189" s="33"/>
      <c r="E189" s="33"/>
      <c r="F189" s="20"/>
      <c r="G189" s="20"/>
      <c r="H189" s="20"/>
      <c r="I189" s="20"/>
      <c r="J189" s="20"/>
      <c r="K189" s="20"/>
      <c r="L189" s="20"/>
      <c r="M189" s="20"/>
      <c r="N189" s="20"/>
      <c r="O189" s="42"/>
      <c r="P189" s="42"/>
      <c r="Q189" s="42"/>
      <c r="R189" s="42"/>
      <c r="S189" s="42"/>
      <c r="T189" s="42"/>
      <c r="U189" s="55"/>
    </row>
    <row r="190" spans="1:21" ht="17.25" customHeight="1" x14ac:dyDescent="0.3">
      <c r="A190" s="15" t="s">
        <v>29</v>
      </c>
      <c r="C190" s="19"/>
      <c r="D190" s="33"/>
      <c r="E190" s="33" t="s">
        <v>30</v>
      </c>
      <c r="F190" s="20" t="s">
        <v>30</v>
      </c>
      <c r="G190" s="20" t="s">
        <v>30</v>
      </c>
      <c r="H190" s="20"/>
      <c r="I190" s="20"/>
      <c r="J190" s="20" t="s">
        <v>30</v>
      </c>
      <c r="K190" s="20" t="s">
        <v>30</v>
      </c>
      <c r="L190" s="20" t="s">
        <v>30</v>
      </c>
      <c r="M190" s="20" t="s">
        <v>30</v>
      </c>
      <c r="N190" s="20"/>
      <c r="U190" s="56"/>
    </row>
    <row r="191" spans="1:21" ht="20.25" customHeight="1" x14ac:dyDescent="0.35">
      <c r="A191" s="15" t="s">
        <v>29</v>
      </c>
      <c r="C191" s="19"/>
      <c r="D191" s="34" t="str">
        <f t="shared" ref="D191" si="150">E191</f>
        <v>C100038</v>
      </c>
      <c r="E191" s="35" t="str">
        <f>"C100038"</f>
        <v>C100038</v>
      </c>
      <c r="F191" s="36" t="str">
        <f>"Foldable Travel Speakers"</f>
        <v>Foldable Travel Speakers</v>
      </c>
      <c r="G191" s="36"/>
      <c r="H191" s="37" t="str">
        <f>"EA"</f>
        <v>EA</v>
      </c>
      <c r="I191" s="36"/>
      <c r="J191" s="36"/>
      <c r="K191" s="36"/>
      <c r="L191" s="36"/>
      <c r="M191" s="36"/>
      <c r="N191" s="36"/>
      <c r="O191" s="38">
        <f t="shared" ref="O191:T191" si="151">(SUBTOTAL(9,O192:O194))</f>
        <v>200</v>
      </c>
      <c r="P191" s="38">
        <f t="shared" si="151"/>
        <v>-12</v>
      </c>
      <c r="Q191" s="38">
        <f t="shared" si="151"/>
        <v>0</v>
      </c>
      <c r="R191" s="38">
        <f t="shared" si="151"/>
        <v>0</v>
      </c>
      <c r="S191" s="38">
        <f t="shared" si="151"/>
        <v>0</v>
      </c>
      <c r="T191" s="38">
        <f t="shared" si="151"/>
        <v>0</v>
      </c>
      <c r="U191" s="53">
        <f t="shared" ref="U191" si="152">SUBTOTAL(9,O192:T194)</f>
        <v>188</v>
      </c>
    </row>
    <row r="192" spans="1:21" ht="17.25" customHeight="1" x14ac:dyDescent="0.3">
      <c r="A192" s="15" t="s">
        <v>29</v>
      </c>
      <c r="C192" s="19"/>
      <c r="D192" s="33" t="str">
        <f t="shared" ref="D192" si="153">D191</f>
        <v>C100038</v>
      </c>
      <c r="E192" s="33"/>
      <c r="F192" s="20"/>
      <c r="G192" s="20" t="str">
        <f>"""NAV"",""CRONUS JetCorp USA"",""32"",""1"",""168056"""</f>
        <v>"NAV","CRONUS JetCorp USA","32","1","168056"</v>
      </c>
      <c r="H192" s="39">
        <v>43466</v>
      </c>
      <c r="I192" s="40">
        <v>168056</v>
      </c>
      <c r="J192" s="40" t="str">
        <f>"Vendor"</f>
        <v>Vendor</v>
      </c>
      <c r="K192" s="40" t="str">
        <f>"V100003"</f>
        <v>V100003</v>
      </c>
      <c r="L192" s="40" t="str">
        <f>""</f>
        <v/>
      </c>
      <c r="M192" s="40" t="str">
        <f>"LogoMasters"</f>
        <v>LogoMasters</v>
      </c>
      <c r="N192" s="40" t="str">
        <f>""</f>
        <v/>
      </c>
      <c r="O192" s="41">
        <v>200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54"/>
    </row>
    <row r="193" spans="1:21" ht="17.25" customHeight="1" x14ac:dyDescent="0.3">
      <c r="A193" s="15" t="s">
        <v>29</v>
      </c>
      <c r="C193" s="19"/>
      <c r="D193" s="33" t="str">
        <f t="shared" ref="D193" si="154">D192</f>
        <v>C100038</v>
      </c>
      <c r="E193" s="33"/>
      <c r="F193" s="20"/>
      <c r="G193" s="20" t="str">
        <f>"""NAV"",""CRONUS JetCorp USA"",""32"",""1"",""114272"""</f>
        <v>"NAV","CRONUS JetCorp USA","32","1","114272"</v>
      </c>
      <c r="H193" s="39">
        <v>43470</v>
      </c>
      <c r="I193" s="40">
        <v>114272</v>
      </c>
      <c r="J193" s="40" t="str">
        <f>"Customer"</f>
        <v>Customer</v>
      </c>
      <c r="K193" s="40" t="str">
        <f>"C100076"</f>
        <v>C100076</v>
      </c>
      <c r="L193" s="40" t="str">
        <f>"Showmasters"</f>
        <v>Showmasters</v>
      </c>
      <c r="M193" s="40" t="str">
        <f>""</f>
        <v/>
      </c>
      <c r="N193" s="40" t="str">
        <f>""</f>
        <v/>
      </c>
      <c r="O193" s="41">
        <v>0</v>
      </c>
      <c r="P193" s="41">
        <v>-12</v>
      </c>
      <c r="Q193" s="41">
        <v>0</v>
      </c>
      <c r="R193" s="41">
        <v>0</v>
      </c>
      <c r="S193" s="41">
        <v>0</v>
      </c>
      <c r="T193" s="41">
        <v>0</v>
      </c>
      <c r="U193" s="54"/>
    </row>
    <row r="194" spans="1:21" ht="17.25" customHeight="1" x14ac:dyDescent="0.3">
      <c r="A194" s="15" t="s">
        <v>29</v>
      </c>
      <c r="C194" s="19"/>
      <c r="D194" s="33"/>
      <c r="E194" s="33"/>
      <c r="F194" s="20"/>
      <c r="G194" s="20"/>
      <c r="H194" s="20"/>
      <c r="I194" s="20"/>
      <c r="J194" s="20"/>
      <c r="K194" s="20"/>
      <c r="L194" s="20"/>
      <c r="M194" s="20"/>
      <c r="N194" s="20"/>
      <c r="O194" s="42"/>
      <c r="P194" s="42"/>
      <c r="Q194" s="42"/>
      <c r="R194" s="42"/>
      <c r="S194" s="42"/>
      <c r="T194" s="42"/>
      <c r="U194" s="55"/>
    </row>
    <row r="195" spans="1:21" ht="17.25" customHeight="1" x14ac:dyDescent="0.3">
      <c r="A195" s="15" t="s">
        <v>29</v>
      </c>
      <c r="C195" s="19"/>
      <c r="D195" s="33"/>
      <c r="E195" s="33" t="s">
        <v>30</v>
      </c>
      <c r="F195" s="20" t="s">
        <v>30</v>
      </c>
      <c r="G195" s="20" t="s">
        <v>30</v>
      </c>
      <c r="H195" s="20"/>
      <c r="I195" s="20"/>
      <c r="J195" s="20" t="s">
        <v>30</v>
      </c>
      <c r="K195" s="20" t="s">
        <v>30</v>
      </c>
      <c r="L195" s="20" t="s">
        <v>30</v>
      </c>
      <c r="M195" s="20" t="s">
        <v>30</v>
      </c>
      <c r="N195" s="20"/>
      <c r="U195" s="56"/>
    </row>
    <row r="196" spans="1:21" ht="20.25" customHeight="1" x14ac:dyDescent="0.35">
      <c r="A196" s="15" t="s">
        <v>29</v>
      </c>
      <c r="C196" s="19"/>
      <c r="D196" s="34" t="str">
        <f t="shared" ref="D196" si="155">E196</f>
        <v>C100039</v>
      </c>
      <c r="E196" s="35" t="str">
        <f>"C100039"</f>
        <v>C100039</v>
      </c>
      <c r="F196" s="36" t="str">
        <f>"Portable Speaker &amp; MP3 Dock"</f>
        <v>Portable Speaker &amp; MP3 Dock</v>
      </c>
      <c r="G196" s="36"/>
      <c r="H196" s="37" t="str">
        <f>"EA"</f>
        <v>EA</v>
      </c>
      <c r="I196" s="36"/>
      <c r="J196" s="36"/>
      <c r="K196" s="36"/>
      <c r="L196" s="36"/>
      <c r="M196" s="36"/>
      <c r="N196" s="36"/>
      <c r="O196" s="38">
        <f t="shared" ref="O196:T196" si="156">(SUBTOTAL(9,O197:O199))</f>
        <v>0</v>
      </c>
      <c r="P196" s="38">
        <f t="shared" si="156"/>
        <v>-7</v>
      </c>
      <c r="Q196" s="38">
        <f t="shared" si="156"/>
        <v>0</v>
      </c>
      <c r="R196" s="38">
        <f t="shared" si="156"/>
        <v>0</v>
      </c>
      <c r="S196" s="38">
        <f t="shared" si="156"/>
        <v>0</v>
      </c>
      <c r="T196" s="38">
        <f t="shared" si="156"/>
        <v>0</v>
      </c>
      <c r="U196" s="53">
        <f t="shared" ref="U196" si="157">SUBTOTAL(9,O197:T199)</f>
        <v>-7</v>
      </c>
    </row>
    <row r="197" spans="1:21" ht="17.25" customHeight="1" x14ac:dyDescent="0.3">
      <c r="A197" s="15" t="s">
        <v>29</v>
      </c>
      <c r="C197" s="19"/>
      <c r="D197" s="33" t="str">
        <f t="shared" ref="D197" si="158">D196</f>
        <v>C100039</v>
      </c>
      <c r="E197" s="33"/>
      <c r="F197" s="20"/>
      <c r="G197" s="20" t="str">
        <f>"""NAV"",""CRONUS JetCorp USA"",""32"",""1"",""7560"""</f>
        <v>"NAV","CRONUS JetCorp USA","32","1","7560"</v>
      </c>
      <c r="H197" s="39">
        <v>43469</v>
      </c>
      <c r="I197" s="40">
        <v>7560</v>
      </c>
      <c r="J197" s="40" t="str">
        <f>"Customer"</f>
        <v>Customer</v>
      </c>
      <c r="K197" s="40" t="str">
        <f>"C100030"</f>
        <v>C100030</v>
      </c>
      <c r="L197" s="40" t="str">
        <f>"Stutringers"</f>
        <v>Stutringers</v>
      </c>
      <c r="M197" s="40" t="str">
        <f>""</f>
        <v/>
      </c>
      <c r="N197" s="40" t="str">
        <f>""</f>
        <v/>
      </c>
      <c r="O197" s="41">
        <v>0</v>
      </c>
      <c r="P197" s="41">
        <v>-6</v>
      </c>
      <c r="Q197" s="41">
        <v>0</v>
      </c>
      <c r="R197" s="41">
        <v>0</v>
      </c>
      <c r="S197" s="41">
        <v>0</v>
      </c>
      <c r="T197" s="41">
        <v>0</v>
      </c>
      <c r="U197" s="54"/>
    </row>
    <row r="198" spans="1:21" ht="17.25" customHeight="1" x14ac:dyDescent="0.3">
      <c r="A198" s="15" t="s">
        <v>29</v>
      </c>
      <c r="C198" s="19"/>
      <c r="D198" s="33" t="str">
        <f t="shared" ref="D198" si="159">D197</f>
        <v>C100039</v>
      </c>
      <c r="E198" s="33"/>
      <c r="F198" s="20"/>
      <c r="G198" s="20" t="str">
        <f>"""NAV"",""CRONUS JetCorp USA"",""32"",""1"",""114273"""</f>
        <v>"NAV","CRONUS JetCorp USA","32","1","114273"</v>
      </c>
      <c r="H198" s="39">
        <v>43470</v>
      </c>
      <c r="I198" s="40">
        <v>114273</v>
      </c>
      <c r="J198" s="40" t="str">
        <f>"Customer"</f>
        <v>Customer</v>
      </c>
      <c r="K198" s="40" t="str">
        <f>"C100076"</f>
        <v>C100076</v>
      </c>
      <c r="L198" s="40" t="str">
        <f>"Showmasters"</f>
        <v>Showmasters</v>
      </c>
      <c r="M198" s="40" t="str">
        <f>""</f>
        <v/>
      </c>
      <c r="N198" s="40" t="str">
        <f>""</f>
        <v/>
      </c>
      <c r="O198" s="41">
        <v>0</v>
      </c>
      <c r="P198" s="41">
        <v>-1</v>
      </c>
      <c r="Q198" s="41">
        <v>0</v>
      </c>
      <c r="R198" s="41">
        <v>0</v>
      </c>
      <c r="S198" s="41">
        <v>0</v>
      </c>
      <c r="T198" s="41">
        <v>0</v>
      </c>
      <c r="U198" s="54"/>
    </row>
    <row r="199" spans="1:21" ht="17.25" customHeight="1" x14ac:dyDescent="0.3">
      <c r="A199" s="15" t="s">
        <v>29</v>
      </c>
      <c r="C199" s="19"/>
      <c r="D199" s="33"/>
      <c r="E199" s="33"/>
      <c r="F199" s="20"/>
      <c r="G199" s="20"/>
      <c r="H199" s="20"/>
      <c r="I199" s="20"/>
      <c r="J199" s="20"/>
      <c r="K199" s="20"/>
      <c r="L199" s="20"/>
      <c r="M199" s="20"/>
      <c r="N199" s="20"/>
      <c r="O199" s="42"/>
      <c r="P199" s="42"/>
      <c r="Q199" s="42"/>
      <c r="R199" s="42"/>
      <c r="S199" s="42"/>
      <c r="T199" s="42"/>
      <c r="U199" s="55"/>
    </row>
    <row r="200" spans="1:21" ht="17.25" customHeight="1" x14ac:dyDescent="0.3">
      <c r="A200" s="15" t="s">
        <v>29</v>
      </c>
      <c r="C200" s="19"/>
      <c r="D200" s="33"/>
      <c r="E200" s="33" t="s">
        <v>30</v>
      </c>
      <c r="F200" s="20" t="s">
        <v>30</v>
      </c>
      <c r="G200" s="20" t="s">
        <v>30</v>
      </c>
      <c r="H200" s="20"/>
      <c r="I200" s="20"/>
      <c r="J200" s="20" t="s">
        <v>30</v>
      </c>
      <c r="K200" s="20" t="s">
        <v>30</v>
      </c>
      <c r="L200" s="20" t="s">
        <v>30</v>
      </c>
      <c r="M200" s="20" t="s">
        <v>30</v>
      </c>
      <c r="N200" s="20"/>
      <c r="U200" s="56"/>
    </row>
    <row r="201" spans="1:21" ht="20.25" customHeight="1" x14ac:dyDescent="0.35">
      <c r="A201" s="15" t="s">
        <v>29</v>
      </c>
      <c r="C201" s="19"/>
      <c r="D201" s="34" t="str">
        <f t="shared" ref="D201" si="160">E201</f>
        <v>C100040</v>
      </c>
      <c r="E201" s="35" t="str">
        <f>"C100040"</f>
        <v>C100040</v>
      </c>
      <c r="F201" s="36" t="str">
        <f>"Channel Speaker System"</f>
        <v>Channel Speaker System</v>
      </c>
      <c r="G201" s="36"/>
      <c r="H201" s="37" t="str">
        <f>"EA"</f>
        <v>EA</v>
      </c>
      <c r="I201" s="36"/>
      <c r="J201" s="36"/>
      <c r="K201" s="36"/>
      <c r="L201" s="36"/>
      <c r="M201" s="36"/>
      <c r="N201" s="36"/>
      <c r="O201" s="38">
        <f t="shared" ref="O201:T201" si="161">(SUBTOTAL(9,O202:O204))</f>
        <v>0</v>
      </c>
      <c r="P201" s="38">
        <f t="shared" si="161"/>
        <v>-72</v>
      </c>
      <c r="Q201" s="38">
        <f t="shared" si="161"/>
        <v>0</v>
      </c>
      <c r="R201" s="38">
        <f t="shared" si="161"/>
        <v>0</v>
      </c>
      <c r="S201" s="38">
        <f t="shared" si="161"/>
        <v>0</v>
      </c>
      <c r="T201" s="38">
        <f t="shared" si="161"/>
        <v>0</v>
      </c>
      <c r="U201" s="53">
        <f t="shared" ref="U201" si="162">SUBTOTAL(9,O202:T204)</f>
        <v>-72</v>
      </c>
    </row>
    <row r="202" spans="1:21" ht="17.25" customHeight="1" x14ac:dyDescent="0.3">
      <c r="A202" s="15" t="s">
        <v>29</v>
      </c>
      <c r="C202" s="19"/>
      <c r="D202" s="33" t="str">
        <f t="shared" ref="D202" si="163">D201</f>
        <v>C100040</v>
      </c>
      <c r="E202" s="33"/>
      <c r="F202" s="20"/>
      <c r="G202" s="20" t="str">
        <f>"""NAV"",""CRONUS JetCorp USA"",""32"",""1"",""114268"""</f>
        <v>"NAV","CRONUS JetCorp USA","32","1","114268"</v>
      </c>
      <c r="H202" s="39">
        <v>43470</v>
      </c>
      <c r="I202" s="40">
        <v>114268</v>
      </c>
      <c r="J202" s="40" t="str">
        <f>"Customer"</f>
        <v>Customer</v>
      </c>
      <c r="K202" s="40" t="str">
        <f>"C100076"</f>
        <v>C100076</v>
      </c>
      <c r="L202" s="40" t="str">
        <f>"Showmasters"</f>
        <v>Showmasters</v>
      </c>
      <c r="M202" s="40" t="str">
        <f>""</f>
        <v/>
      </c>
      <c r="N202" s="40" t="str">
        <f>""</f>
        <v/>
      </c>
      <c r="O202" s="41">
        <v>0</v>
      </c>
      <c r="P202" s="41">
        <v>-24</v>
      </c>
      <c r="Q202" s="41">
        <v>0</v>
      </c>
      <c r="R202" s="41">
        <v>0</v>
      </c>
      <c r="S202" s="41">
        <v>0</v>
      </c>
      <c r="T202" s="41">
        <v>0</v>
      </c>
      <c r="U202" s="54"/>
    </row>
    <row r="203" spans="1:21" ht="17.25" customHeight="1" x14ac:dyDescent="0.3">
      <c r="A203" s="15" t="s">
        <v>29</v>
      </c>
      <c r="C203" s="19"/>
      <c r="D203" s="33" t="str">
        <f t="shared" ref="D203" si="164">D202</f>
        <v>C100040</v>
      </c>
      <c r="E203" s="33"/>
      <c r="F203" s="20"/>
      <c r="G203" s="20" t="str">
        <f>"""NAV"",""CRONUS JetCorp USA"",""32"",""1"",""116371"""</f>
        <v>"NAV","CRONUS JetCorp USA","32","1","116371"</v>
      </c>
      <c r="H203" s="39">
        <v>43472</v>
      </c>
      <c r="I203" s="40">
        <v>116371</v>
      </c>
      <c r="J203" s="40" t="str">
        <f>"Customer"</f>
        <v>Customer</v>
      </c>
      <c r="K203" s="40" t="str">
        <f>"C100054"</f>
        <v>C100054</v>
      </c>
      <c r="L203" s="40" t="str">
        <f>"London Candoxy Storage Campus"</f>
        <v>London Candoxy Storage Campus</v>
      </c>
      <c r="M203" s="40" t="str">
        <f>""</f>
        <v/>
      </c>
      <c r="N203" s="40" t="str">
        <f>""</f>
        <v/>
      </c>
      <c r="O203" s="41">
        <v>0</v>
      </c>
      <c r="P203" s="41">
        <v>-48</v>
      </c>
      <c r="Q203" s="41">
        <v>0</v>
      </c>
      <c r="R203" s="41">
        <v>0</v>
      </c>
      <c r="S203" s="41">
        <v>0</v>
      </c>
      <c r="T203" s="41">
        <v>0</v>
      </c>
      <c r="U203" s="54"/>
    </row>
    <row r="204" spans="1:21" ht="17.25" customHeight="1" x14ac:dyDescent="0.3">
      <c r="A204" s="15" t="s">
        <v>29</v>
      </c>
      <c r="C204" s="19"/>
      <c r="D204" s="33"/>
      <c r="E204" s="33"/>
      <c r="F204" s="20"/>
      <c r="G204" s="20"/>
      <c r="H204" s="20"/>
      <c r="I204" s="20"/>
      <c r="J204" s="20"/>
      <c r="K204" s="20"/>
      <c r="L204" s="20"/>
      <c r="M204" s="20"/>
      <c r="N204" s="20"/>
      <c r="O204" s="42"/>
      <c r="P204" s="42"/>
      <c r="Q204" s="42"/>
      <c r="R204" s="42"/>
      <c r="S204" s="42"/>
      <c r="T204" s="42"/>
      <c r="U204" s="55"/>
    </row>
    <row r="205" spans="1:21" ht="17.25" customHeight="1" x14ac:dyDescent="0.3">
      <c r="A205" s="15" t="s">
        <v>29</v>
      </c>
      <c r="C205" s="19"/>
      <c r="D205" s="33"/>
      <c r="E205" s="33" t="s">
        <v>30</v>
      </c>
      <c r="F205" s="20" t="s">
        <v>30</v>
      </c>
      <c r="G205" s="20" t="s">
        <v>30</v>
      </c>
      <c r="H205" s="20"/>
      <c r="I205" s="20"/>
      <c r="J205" s="20" t="s">
        <v>30</v>
      </c>
      <c r="K205" s="20" t="s">
        <v>30</v>
      </c>
      <c r="L205" s="20" t="s">
        <v>30</v>
      </c>
      <c r="M205" s="20" t="s">
        <v>30</v>
      </c>
      <c r="N205" s="20"/>
      <c r="U205" s="56"/>
    </row>
    <row r="206" spans="1:21" ht="20.25" customHeight="1" x14ac:dyDescent="0.35">
      <c r="A206" s="15" t="s">
        <v>29</v>
      </c>
      <c r="C206" s="19"/>
      <c r="D206" s="34" t="str">
        <f t="shared" ref="D206" si="165">E206</f>
        <v>C100041</v>
      </c>
      <c r="E206" s="35" t="str">
        <f>"C100041"</f>
        <v>C100041</v>
      </c>
      <c r="F206" s="36" t="str">
        <f>"Folding Stereo Speakers"</f>
        <v>Folding Stereo Speakers</v>
      </c>
      <c r="G206" s="36"/>
      <c r="H206" s="37" t="str">
        <f>"EA"</f>
        <v>EA</v>
      </c>
      <c r="I206" s="36"/>
      <c r="J206" s="36"/>
      <c r="K206" s="36"/>
      <c r="L206" s="36"/>
      <c r="M206" s="36"/>
      <c r="N206" s="36"/>
      <c r="O206" s="38">
        <f t="shared" ref="O206:T206" si="166">(SUBTOTAL(9,O207:O208))</f>
        <v>400</v>
      </c>
      <c r="P206" s="38">
        <f t="shared" si="166"/>
        <v>0</v>
      </c>
      <c r="Q206" s="38">
        <f t="shared" si="166"/>
        <v>0</v>
      </c>
      <c r="R206" s="38">
        <f t="shared" si="166"/>
        <v>0</v>
      </c>
      <c r="S206" s="38">
        <f t="shared" si="166"/>
        <v>0</v>
      </c>
      <c r="T206" s="38">
        <f t="shared" si="166"/>
        <v>0</v>
      </c>
      <c r="U206" s="53">
        <f t="shared" ref="U206" si="167">SUBTOTAL(9,O207:T208)</f>
        <v>400</v>
      </c>
    </row>
    <row r="207" spans="1:21" ht="17.25" customHeight="1" x14ac:dyDescent="0.3">
      <c r="A207" s="15" t="s">
        <v>29</v>
      </c>
      <c r="C207" s="19"/>
      <c r="D207" s="33" t="str">
        <f t="shared" ref="D207" si="168">D206</f>
        <v>C100041</v>
      </c>
      <c r="E207" s="33"/>
      <c r="F207" s="20"/>
      <c r="G207" s="20" t="str">
        <f>"""NAV"",""CRONUS JetCorp USA"",""32"",""1"",""168055"""</f>
        <v>"NAV","CRONUS JetCorp USA","32","1","168055"</v>
      </c>
      <c r="H207" s="39">
        <v>43466</v>
      </c>
      <c r="I207" s="40">
        <v>168055</v>
      </c>
      <c r="J207" s="40" t="str">
        <f>"Vendor"</f>
        <v>Vendor</v>
      </c>
      <c r="K207" s="40" t="str">
        <f>"V100003"</f>
        <v>V100003</v>
      </c>
      <c r="L207" s="40" t="str">
        <f>""</f>
        <v/>
      </c>
      <c r="M207" s="40" t="str">
        <f>"LogoMasters"</f>
        <v>LogoMasters</v>
      </c>
      <c r="N207" s="40" t="str">
        <f>""</f>
        <v/>
      </c>
      <c r="O207" s="41">
        <v>400</v>
      </c>
      <c r="P207" s="41">
        <v>0</v>
      </c>
      <c r="Q207" s="41">
        <v>0</v>
      </c>
      <c r="R207" s="41">
        <v>0</v>
      </c>
      <c r="S207" s="41">
        <v>0</v>
      </c>
      <c r="T207" s="41">
        <v>0</v>
      </c>
      <c r="U207" s="54"/>
    </row>
    <row r="208" spans="1:21" ht="17.25" customHeight="1" x14ac:dyDescent="0.3">
      <c r="A208" s="15" t="s">
        <v>29</v>
      </c>
      <c r="C208" s="19"/>
      <c r="D208" s="33"/>
      <c r="E208" s="33"/>
      <c r="F208" s="20"/>
      <c r="G208" s="20"/>
      <c r="H208" s="20"/>
      <c r="I208" s="20"/>
      <c r="J208" s="20"/>
      <c r="K208" s="20"/>
      <c r="L208" s="20"/>
      <c r="M208" s="20"/>
      <c r="N208" s="20"/>
      <c r="O208" s="42"/>
      <c r="P208" s="42"/>
      <c r="Q208" s="42"/>
      <c r="R208" s="42"/>
      <c r="S208" s="42"/>
      <c r="T208" s="42"/>
      <c r="U208" s="55"/>
    </row>
    <row r="209" spans="1:21" ht="17.25" customHeight="1" x14ac:dyDescent="0.3">
      <c r="A209" s="15" t="s">
        <v>29</v>
      </c>
      <c r="C209" s="19"/>
      <c r="D209" s="33"/>
      <c r="E209" s="33" t="s">
        <v>30</v>
      </c>
      <c r="F209" s="20" t="s">
        <v>30</v>
      </c>
      <c r="G209" s="20" t="s">
        <v>30</v>
      </c>
      <c r="H209" s="20"/>
      <c r="I209" s="20"/>
      <c r="J209" s="20" t="s">
        <v>30</v>
      </c>
      <c r="K209" s="20" t="s">
        <v>30</v>
      </c>
      <c r="L209" s="20" t="s">
        <v>30</v>
      </c>
      <c r="M209" s="20" t="s">
        <v>30</v>
      </c>
      <c r="N209" s="20"/>
      <c r="U209" s="56"/>
    </row>
    <row r="210" spans="1:21" ht="20.25" customHeight="1" x14ac:dyDescent="0.35">
      <c r="A210" s="15" t="s">
        <v>29</v>
      </c>
      <c r="C210" s="19"/>
      <c r="D210" s="34" t="str">
        <f t="shared" ref="D210" si="169">E210</f>
        <v>C100042</v>
      </c>
      <c r="E210" s="35" t="str">
        <f>"C100042"</f>
        <v>C100042</v>
      </c>
      <c r="F210" s="36" t="str">
        <f>"Retractable Earbuds"</f>
        <v>Retractable Earbuds</v>
      </c>
      <c r="G210" s="36"/>
      <c r="H210" s="37" t="str">
        <f>"EA"</f>
        <v>EA</v>
      </c>
      <c r="I210" s="36"/>
      <c r="J210" s="36"/>
      <c r="K210" s="36"/>
      <c r="L210" s="36"/>
      <c r="M210" s="36"/>
      <c r="N210" s="36"/>
      <c r="O210" s="38">
        <f t="shared" ref="O210:T210" si="170">(SUBTOTAL(9,O211:O212))</f>
        <v>200</v>
      </c>
      <c r="P210" s="38">
        <f t="shared" si="170"/>
        <v>0</v>
      </c>
      <c r="Q210" s="38">
        <f t="shared" si="170"/>
        <v>0</v>
      </c>
      <c r="R210" s="38">
        <f t="shared" si="170"/>
        <v>0</v>
      </c>
      <c r="S210" s="38">
        <f t="shared" si="170"/>
        <v>0</v>
      </c>
      <c r="T210" s="38">
        <f t="shared" si="170"/>
        <v>0</v>
      </c>
      <c r="U210" s="53">
        <f t="shared" ref="U210" si="171">SUBTOTAL(9,O211:T212)</f>
        <v>200</v>
      </c>
    </row>
    <row r="211" spans="1:21" ht="17.25" customHeight="1" x14ac:dyDescent="0.3">
      <c r="A211" s="15" t="s">
        <v>29</v>
      </c>
      <c r="C211" s="19"/>
      <c r="D211" s="33" t="str">
        <f t="shared" ref="D211" si="172">D210</f>
        <v>C100042</v>
      </c>
      <c r="E211" s="33"/>
      <c r="F211" s="20"/>
      <c r="G211" s="20" t="str">
        <f>"""NAV"",""CRONUS JetCorp USA"",""32"",""1"",""168054"""</f>
        <v>"NAV","CRONUS JetCorp USA","32","1","168054"</v>
      </c>
      <c r="H211" s="39">
        <v>43466</v>
      </c>
      <c r="I211" s="40">
        <v>168054</v>
      </c>
      <c r="J211" s="40" t="str">
        <f>"Vendor"</f>
        <v>Vendor</v>
      </c>
      <c r="K211" s="40" t="str">
        <f>"V100003"</f>
        <v>V100003</v>
      </c>
      <c r="L211" s="40" t="str">
        <f>""</f>
        <v/>
      </c>
      <c r="M211" s="40" t="str">
        <f>"LogoMasters"</f>
        <v>LogoMasters</v>
      </c>
      <c r="N211" s="40" t="str">
        <f>""</f>
        <v/>
      </c>
      <c r="O211" s="41">
        <v>200</v>
      </c>
      <c r="P211" s="41">
        <v>0</v>
      </c>
      <c r="Q211" s="41">
        <v>0</v>
      </c>
      <c r="R211" s="41">
        <v>0</v>
      </c>
      <c r="S211" s="41">
        <v>0</v>
      </c>
      <c r="T211" s="41">
        <v>0</v>
      </c>
      <c r="U211" s="54"/>
    </row>
    <row r="212" spans="1:21" ht="17.25" customHeight="1" x14ac:dyDescent="0.3">
      <c r="A212" s="15" t="s">
        <v>29</v>
      </c>
      <c r="C212" s="19"/>
      <c r="D212" s="33"/>
      <c r="E212" s="33"/>
      <c r="F212" s="20"/>
      <c r="G212" s="20"/>
      <c r="H212" s="20"/>
      <c r="I212" s="20"/>
      <c r="J212" s="20"/>
      <c r="K212" s="20"/>
      <c r="L212" s="20"/>
      <c r="M212" s="20"/>
      <c r="N212" s="20"/>
      <c r="O212" s="42"/>
      <c r="P212" s="42"/>
      <c r="Q212" s="42"/>
      <c r="R212" s="42"/>
      <c r="S212" s="42"/>
      <c r="T212" s="42"/>
      <c r="U212" s="55"/>
    </row>
    <row r="213" spans="1:21" ht="17.25" customHeight="1" x14ac:dyDescent="0.3">
      <c r="A213" s="15" t="s">
        <v>29</v>
      </c>
      <c r="C213" s="19"/>
      <c r="D213" s="33"/>
      <c r="E213" s="33" t="s">
        <v>30</v>
      </c>
      <c r="F213" s="20" t="s">
        <v>30</v>
      </c>
      <c r="G213" s="20" t="s">
        <v>30</v>
      </c>
      <c r="H213" s="20"/>
      <c r="I213" s="20"/>
      <c r="J213" s="20" t="s">
        <v>30</v>
      </c>
      <c r="K213" s="20" t="s">
        <v>30</v>
      </c>
      <c r="L213" s="20" t="s">
        <v>30</v>
      </c>
      <c r="M213" s="20" t="s">
        <v>30</v>
      </c>
      <c r="N213" s="20"/>
      <c r="U213" s="56"/>
    </row>
    <row r="214" spans="1:21" ht="20.25" customHeight="1" x14ac:dyDescent="0.35">
      <c r="A214" s="15" t="s">
        <v>29</v>
      </c>
      <c r="C214" s="19"/>
      <c r="D214" s="34" t="str">
        <f t="shared" ref="D214" si="173">E214</f>
        <v>C100043</v>
      </c>
      <c r="E214" s="35" t="str">
        <f>"C100043"</f>
        <v>C100043</v>
      </c>
      <c r="F214" s="36" t="str">
        <f>"Pro-Travel Technology Set"</f>
        <v>Pro-Travel Technology Set</v>
      </c>
      <c r="G214" s="36"/>
      <c r="H214" s="37" t="str">
        <f>"EA"</f>
        <v>EA</v>
      </c>
      <c r="I214" s="36"/>
      <c r="J214" s="36"/>
      <c r="K214" s="36"/>
      <c r="L214" s="36"/>
      <c r="M214" s="36"/>
      <c r="N214" s="36"/>
      <c r="O214" s="38">
        <f t="shared" ref="O214:T214" si="174">(SUBTOTAL(9,O215:O216))</f>
        <v>100</v>
      </c>
      <c r="P214" s="38">
        <f t="shared" si="174"/>
        <v>0</v>
      </c>
      <c r="Q214" s="38">
        <f t="shared" si="174"/>
        <v>0</v>
      </c>
      <c r="R214" s="38">
        <f t="shared" si="174"/>
        <v>0</v>
      </c>
      <c r="S214" s="38">
        <f t="shared" si="174"/>
        <v>0</v>
      </c>
      <c r="T214" s="38">
        <f t="shared" si="174"/>
        <v>0</v>
      </c>
      <c r="U214" s="53">
        <f t="shared" ref="U214" si="175">SUBTOTAL(9,O215:T216)</f>
        <v>100</v>
      </c>
    </row>
    <row r="215" spans="1:21" ht="17.25" customHeight="1" x14ac:dyDescent="0.3">
      <c r="A215" s="15" t="s">
        <v>29</v>
      </c>
      <c r="C215" s="19"/>
      <c r="D215" s="33" t="str">
        <f t="shared" ref="D215" si="176">D214</f>
        <v>C100043</v>
      </c>
      <c r="E215" s="33"/>
      <c r="F215" s="20"/>
      <c r="G215" s="20" t="str">
        <f>"""NAV"",""CRONUS JetCorp USA"",""32"",""1"",""168053"""</f>
        <v>"NAV","CRONUS JetCorp USA","32","1","168053"</v>
      </c>
      <c r="H215" s="39">
        <v>43466</v>
      </c>
      <c r="I215" s="40">
        <v>168053</v>
      </c>
      <c r="J215" s="40" t="str">
        <f>"Vendor"</f>
        <v>Vendor</v>
      </c>
      <c r="K215" s="40" t="str">
        <f>"V100003"</f>
        <v>V100003</v>
      </c>
      <c r="L215" s="40" t="str">
        <f>""</f>
        <v/>
      </c>
      <c r="M215" s="40" t="str">
        <f>"LogoMasters"</f>
        <v>LogoMasters</v>
      </c>
      <c r="N215" s="40" t="str">
        <f>""</f>
        <v/>
      </c>
      <c r="O215" s="41">
        <v>100</v>
      </c>
      <c r="P215" s="41">
        <v>0</v>
      </c>
      <c r="Q215" s="41">
        <v>0</v>
      </c>
      <c r="R215" s="41">
        <v>0</v>
      </c>
      <c r="S215" s="41">
        <v>0</v>
      </c>
      <c r="T215" s="41">
        <v>0</v>
      </c>
      <c r="U215" s="54"/>
    </row>
    <row r="216" spans="1:21" ht="17.25" customHeight="1" x14ac:dyDescent="0.3">
      <c r="A216" s="15" t="s">
        <v>29</v>
      </c>
      <c r="C216" s="19"/>
      <c r="D216" s="33"/>
      <c r="E216" s="33"/>
      <c r="F216" s="20"/>
      <c r="G216" s="20"/>
      <c r="H216" s="20"/>
      <c r="I216" s="20"/>
      <c r="J216" s="20"/>
      <c r="K216" s="20"/>
      <c r="L216" s="20"/>
      <c r="M216" s="20"/>
      <c r="N216" s="20"/>
      <c r="O216" s="42"/>
      <c r="P216" s="42"/>
      <c r="Q216" s="42"/>
      <c r="R216" s="42"/>
      <c r="S216" s="42"/>
      <c r="T216" s="42"/>
      <c r="U216" s="55"/>
    </row>
    <row r="217" spans="1:21" ht="17.25" customHeight="1" x14ac:dyDescent="0.3">
      <c r="A217" s="15" t="s">
        <v>29</v>
      </c>
      <c r="C217" s="19"/>
      <c r="D217" s="33"/>
      <c r="E217" s="33" t="s">
        <v>30</v>
      </c>
      <c r="F217" s="20" t="s">
        <v>30</v>
      </c>
      <c r="G217" s="20" t="s">
        <v>30</v>
      </c>
      <c r="H217" s="20"/>
      <c r="I217" s="20"/>
      <c r="J217" s="20" t="s">
        <v>30</v>
      </c>
      <c r="K217" s="20" t="s">
        <v>30</v>
      </c>
      <c r="L217" s="20" t="s">
        <v>30</v>
      </c>
      <c r="M217" s="20" t="s">
        <v>30</v>
      </c>
      <c r="N217" s="20"/>
      <c r="U217" s="56"/>
    </row>
    <row r="218" spans="1:21" ht="20.25" customHeight="1" x14ac:dyDescent="0.35">
      <c r="A218" s="15" t="s">
        <v>29</v>
      </c>
      <c r="C218" s="19"/>
      <c r="D218" s="34" t="str">
        <f t="shared" ref="D218" si="177">E218</f>
        <v>C100044</v>
      </c>
      <c r="E218" s="35" t="str">
        <f>"C100044"</f>
        <v>C100044</v>
      </c>
      <c r="F218" s="36" t="str">
        <f>"VOIP Headset with Mic"</f>
        <v>VOIP Headset with Mic</v>
      </c>
      <c r="G218" s="36"/>
      <c r="H218" s="37" t="str">
        <f>"EA"</f>
        <v>EA</v>
      </c>
      <c r="I218" s="36"/>
      <c r="J218" s="36"/>
      <c r="K218" s="36"/>
      <c r="L218" s="36"/>
      <c r="M218" s="36"/>
      <c r="N218" s="36"/>
      <c r="O218" s="38">
        <f t="shared" ref="O218:T218" si="178">(SUBTOTAL(9,O219:O221))</f>
        <v>700</v>
      </c>
      <c r="P218" s="38">
        <f t="shared" si="178"/>
        <v>-12</v>
      </c>
      <c r="Q218" s="38">
        <f t="shared" si="178"/>
        <v>0</v>
      </c>
      <c r="R218" s="38">
        <f t="shared" si="178"/>
        <v>0</v>
      </c>
      <c r="S218" s="38">
        <f t="shared" si="178"/>
        <v>0</v>
      </c>
      <c r="T218" s="38">
        <f t="shared" si="178"/>
        <v>0</v>
      </c>
      <c r="U218" s="53">
        <f t="shared" ref="U218" si="179">SUBTOTAL(9,O219:T221)</f>
        <v>688</v>
      </c>
    </row>
    <row r="219" spans="1:21" ht="17.25" customHeight="1" x14ac:dyDescent="0.3">
      <c r="A219" s="15" t="s">
        <v>29</v>
      </c>
      <c r="C219" s="19"/>
      <c r="D219" s="33" t="str">
        <f t="shared" ref="D219" si="180">D218</f>
        <v>C100044</v>
      </c>
      <c r="E219" s="33"/>
      <c r="F219" s="20"/>
      <c r="G219" s="20" t="str">
        <f>"""NAV"",""CRONUS JetCorp USA"",""32"",""1"",""168052"""</f>
        <v>"NAV","CRONUS JetCorp USA","32","1","168052"</v>
      </c>
      <c r="H219" s="39">
        <v>43466</v>
      </c>
      <c r="I219" s="40">
        <v>168052</v>
      </c>
      <c r="J219" s="40" t="str">
        <f>"Vendor"</f>
        <v>Vendor</v>
      </c>
      <c r="K219" s="40" t="str">
        <f>"V100003"</f>
        <v>V100003</v>
      </c>
      <c r="L219" s="40" t="str">
        <f>""</f>
        <v/>
      </c>
      <c r="M219" s="40" t="str">
        <f>"LogoMasters"</f>
        <v>LogoMasters</v>
      </c>
      <c r="N219" s="40" t="str">
        <f>""</f>
        <v/>
      </c>
      <c r="O219" s="41">
        <v>700</v>
      </c>
      <c r="P219" s="41">
        <v>0</v>
      </c>
      <c r="Q219" s="41">
        <v>0</v>
      </c>
      <c r="R219" s="41">
        <v>0</v>
      </c>
      <c r="S219" s="41">
        <v>0</v>
      </c>
      <c r="T219" s="41">
        <v>0</v>
      </c>
      <c r="U219" s="54"/>
    </row>
    <row r="220" spans="1:21" ht="17.25" customHeight="1" x14ac:dyDescent="0.3">
      <c r="A220" s="15" t="s">
        <v>29</v>
      </c>
      <c r="C220" s="19"/>
      <c r="D220" s="33" t="str">
        <f t="shared" ref="D220" si="181">D219</f>
        <v>C100044</v>
      </c>
      <c r="E220" s="33"/>
      <c r="F220" s="20"/>
      <c r="G220" s="20" t="str">
        <f>"""NAV"",""CRONUS JetCorp USA"",""32"",""1"",""153196"""</f>
        <v>"NAV","CRONUS JetCorp USA","32","1","153196"</v>
      </c>
      <c r="H220" s="39">
        <v>43469</v>
      </c>
      <c r="I220" s="40">
        <v>153196</v>
      </c>
      <c r="J220" s="40" t="str">
        <f>"Customer"</f>
        <v>Customer</v>
      </c>
      <c r="K220" s="40" t="str">
        <f>"C100136"</f>
        <v>C100136</v>
      </c>
      <c r="L220" s="40" t="str">
        <f>"First Bank"</f>
        <v>First Bank</v>
      </c>
      <c r="M220" s="40" t="str">
        <f>""</f>
        <v/>
      </c>
      <c r="N220" s="40" t="str">
        <f>""</f>
        <v/>
      </c>
      <c r="O220" s="41">
        <v>0</v>
      </c>
      <c r="P220" s="41">
        <v>-12</v>
      </c>
      <c r="Q220" s="41">
        <v>0</v>
      </c>
      <c r="R220" s="41">
        <v>0</v>
      </c>
      <c r="S220" s="41">
        <v>0</v>
      </c>
      <c r="T220" s="41">
        <v>0</v>
      </c>
      <c r="U220" s="54"/>
    </row>
    <row r="221" spans="1:21" ht="17.25" customHeight="1" x14ac:dyDescent="0.3">
      <c r="A221" s="15" t="s">
        <v>29</v>
      </c>
      <c r="C221" s="19"/>
      <c r="D221" s="33"/>
      <c r="E221" s="33"/>
      <c r="F221" s="20"/>
      <c r="G221" s="20"/>
      <c r="H221" s="20"/>
      <c r="I221" s="20"/>
      <c r="J221" s="20"/>
      <c r="K221" s="20"/>
      <c r="L221" s="20"/>
      <c r="M221" s="20"/>
      <c r="N221" s="20"/>
      <c r="O221" s="42"/>
      <c r="P221" s="42"/>
      <c r="Q221" s="42"/>
      <c r="R221" s="42"/>
      <c r="S221" s="42"/>
      <c r="T221" s="42"/>
      <c r="U221" s="55"/>
    </row>
    <row r="222" spans="1:21" ht="17.25" customHeight="1" x14ac:dyDescent="0.3">
      <c r="A222" s="15" t="s">
        <v>29</v>
      </c>
      <c r="C222" s="19"/>
      <c r="D222" s="33"/>
      <c r="E222" s="33" t="s">
        <v>30</v>
      </c>
      <c r="F222" s="20" t="s">
        <v>30</v>
      </c>
      <c r="G222" s="20" t="s">
        <v>30</v>
      </c>
      <c r="H222" s="20"/>
      <c r="I222" s="20"/>
      <c r="J222" s="20" t="s">
        <v>30</v>
      </c>
      <c r="K222" s="20" t="s">
        <v>30</v>
      </c>
      <c r="L222" s="20" t="s">
        <v>30</v>
      </c>
      <c r="M222" s="20" t="s">
        <v>30</v>
      </c>
      <c r="N222" s="20"/>
      <c r="U222" s="56"/>
    </row>
    <row r="223" spans="1:21" ht="20.25" customHeight="1" x14ac:dyDescent="0.35">
      <c r="A223" s="15" t="s">
        <v>29</v>
      </c>
      <c r="C223" s="19"/>
      <c r="D223" s="34" t="str">
        <f t="shared" ref="D223" si="182">E223</f>
        <v>C100046</v>
      </c>
      <c r="E223" s="35" t="str">
        <f>"C100046"</f>
        <v>C100046</v>
      </c>
      <c r="F223" s="36" t="str">
        <f>"1GB MP3 Player"</f>
        <v>1GB MP3 Player</v>
      </c>
      <c r="G223" s="36"/>
      <c r="H223" s="37" t="str">
        <f>"EA"</f>
        <v>EA</v>
      </c>
      <c r="I223" s="36"/>
      <c r="J223" s="36"/>
      <c r="K223" s="36"/>
      <c r="L223" s="36"/>
      <c r="M223" s="36"/>
      <c r="N223" s="36"/>
      <c r="O223" s="38">
        <f t="shared" ref="O223:T223" si="183">(SUBTOTAL(9,O224:O226))</f>
        <v>0</v>
      </c>
      <c r="P223" s="38">
        <f t="shared" si="183"/>
        <v>-289</v>
      </c>
      <c r="Q223" s="38">
        <f t="shared" si="183"/>
        <v>0</v>
      </c>
      <c r="R223" s="38">
        <f t="shared" si="183"/>
        <v>0</v>
      </c>
      <c r="S223" s="38">
        <f t="shared" si="183"/>
        <v>0</v>
      </c>
      <c r="T223" s="38">
        <f t="shared" si="183"/>
        <v>0</v>
      </c>
      <c r="U223" s="53">
        <f t="shared" ref="U223" si="184">SUBTOTAL(9,O224:T226)</f>
        <v>-289</v>
      </c>
    </row>
    <row r="224" spans="1:21" ht="17.25" customHeight="1" x14ac:dyDescent="0.3">
      <c r="A224" s="15" t="s">
        <v>29</v>
      </c>
      <c r="C224" s="19"/>
      <c r="D224" s="33" t="str">
        <f t="shared" ref="D224" si="185">D223</f>
        <v>C100046</v>
      </c>
      <c r="E224" s="33"/>
      <c r="F224" s="20"/>
      <c r="G224" s="20" t="str">
        <f>"""NAV"",""CRONUS JetCorp USA"",""32"",""1"",""7556"""</f>
        <v>"NAV","CRONUS JetCorp USA","32","1","7556"</v>
      </c>
      <c r="H224" s="39">
        <v>43469</v>
      </c>
      <c r="I224" s="40">
        <v>7556</v>
      </c>
      <c r="J224" s="40" t="str">
        <f>"Customer"</f>
        <v>Customer</v>
      </c>
      <c r="K224" s="40" t="str">
        <f>"C100030"</f>
        <v>C100030</v>
      </c>
      <c r="L224" s="40" t="str">
        <f>"Stutringers"</f>
        <v>Stutringers</v>
      </c>
      <c r="M224" s="40" t="str">
        <f>""</f>
        <v/>
      </c>
      <c r="N224" s="40" t="str">
        <f>""</f>
        <v/>
      </c>
      <c r="O224" s="41">
        <v>0</v>
      </c>
      <c r="P224" s="41">
        <v>-144</v>
      </c>
      <c r="Q224" s="41">
        <v>0</v>
      </c>
      <c r="R224" s="41">
        <v>0</v>
      </c>
      <c r="S224" s="41">
        <v>0</v>
      </c>
      <c r="T224" s="41">
        <v>0</v>
      </c>
      <c r="U224" s="54"/>
    </row>
    <row r="225" spans="1:21" ht="17.25" customHeight="1" x14ac:dyDescent="0.3">
      <c r="A225" s="15" t="s">
        <v>29</v>
      </c>
      <c r="C225" s="19"/>
      <c r="D225" s="33" t="str">
        <f t="shared" ref="D225" si="186">D224</f>
        <v>C100046</v>
      </c>
      <c r="E225" s="33"/>
      <c r="F225" s="20"/>
      <c r="G225" s="20" t="str">
        <f>"""NAV"",""CRONUS JetCorp USA"",""32"",""1"",""114277"""</f>
        <v>"NAV","CRONUS JetCorp USA","32","1","114277"</v>
      </c>
      <c r="H225" s="39">
        <v>43474</v>
      </c>
      <c r="I225" s="40">
        <v>114277</v>
      </c>
      <c r="J225" s="40" t="str">
        <f>"Customer"</f>
        <v>Customer</v>
      </c>
      <c r="K225" s="40" t="str">
        <f>"C100076"</f>
        <v>C100076</v>
      </c>
      <c r="L225" s="40" t="str">
        <f>"Showmasters"</f>
        <v>Showmasters</v>
      </c>
      <c r="M225" s="40" t="str">
        <f>""</f>
        <v/>
      </c>
      <c r="N225" s="40" t="str">
        <f>""</f>
        <v/>
      </c>
      <c r="O225" s="41">
        <v>0</v>
      </c>
      <c r="P225" s="41">
        <v>-145</v>
      </c>
      <c r="Q225" s="41">
        <v>0</v>
      </c>
      <c r="R225" s="41">
        <v>0</v>
      </c>
      <c r="S225" s="41">
        <v>0</v>
      </c>
      <c r="T225" s="41">
        <v>0</v>
      </c>
      <c r="U225" s="54"/>
    </row>
    <row r="226" spans="1:21" ht="17.25" customHeight="1" x14ac:dyDescent="0.3">
      <c r="A226" s="15" t="s">
        <v>29</v>
      </c>
      <c r="C226" s="19"/>
      <c r="D226" s="33"/>
      <c r="E226" s="33"/>
      <c r="F226" s="20"/>
      <c r="G226" s="20"/>
      <c r="H226" s="20"/>
      <c r="I226" s="20"/>
      <c r="J226" s="20"/>
      <c r="K226" s="20"/>
      <c r="L226" s="20"/>
      <c r="M226" s="20"/>
      <c r="N226" s="20"/>
      <c r="O226" s="42"/>
      <c r="P226" s="42"/>
      <c r="Q226" s="42"/>
      <c r="R226" s="42"/>
      <c r="S226" s="42"/>
      <c r="T226" s="42"/>
      <c r="U226" s="55"/>
    </row>
    <row r="227" spans="1:21" ht="17.25" customHeight="1" x14ac:dyDescent="0.3">
      <c r="A227" s="15" t="s">
        <v>29</v>
      </c>
      <c r="C227" s="19"/>
      <c r="D227" s="33"/>
      <c r="E227" s="33" t="s">
        <v>30</v>
      </c>
      <c r="F227" s="20" t="s">
        <v>30</v>
      </c>
      <c r="G227" s="20" t="s">
        <v>30</v>
      </c>
      <c r="H227" s="20"/>
      <c r="I227" s="20"/>
      <c r="J227" s="20" t="s">
        <v>30</v>
      </c>
      <c r="K227" s="20" t="s">
        <v>30</v>
      </c>
      <c r="L227" s="20" t="s">
        <v>30</v>
      </c>
      <c r="M227" s="20" t="s">
        <v>30</v>
      </c>
      <c r="N227" s="20"/>
      <c r="U227" s="56"/>
    </row>
    <row r="228" spans="1:21" ht="20.25" customHeight="1" x14ac:dyDescent="0.35">
      <c r="A228" s="15" t="s">
        <v>29</v>
      </c>
      <c r="C228" s="19"/>
      <c r="D228" s="34" t="str">
        <f t="shared" ref="D228" si="187">E228</f>
        <v>C100047</v>
      </c>
      <c r="E228" s="35" t="str">
        <f>"C100047"</f>
        <v>C100047</v>
      </c>
      <c r="F228" s="36" t="str">
        <f>"2GB MP3 Player"</f>
        <v>2GB MP3 Player</v>
      </c>
      <c r="G228" s="36"/>
      <c r="H228" s="37" t="str">
        <f>"EA"</f>
        <v>EA</v>
      </c>
      <c r="I228" s="36"/>
      <c r="J228" s="36"/>
      <c r="K228" s="36"/>
      <c r="L228" s="36"/>
      <c r="M228" s="36"/>
      <c r="N228" s="36"/>
      <c r="O228" s="38">
        <f t="shared" ref="O228:T228" si="188">(SUBTOTAL(9,O229:O230))</f>
        <v>200</v>
      </c>
      <c r="P228" s="38">
        <f t="shared" si="188"/>
        <v>0</v>
      </c>
      <c r="Q228" s="38">
        <f t="shared" si="188"/>
        <v>0</v>
      </c>
      <c r="R228" s="38">
        <f t="shared" si="188"/>
        <v>0</v>
      </c>
      <c r="S228" s="38">
        <f t="shared" si="188"/>
        <v>0</v>
      </c>
      <c r="T228" s="38">
        <f t="shared" si="188"/>
        <v>0</v>
      </c>
      <c r="U228" s="53">
        <f t="shared" ref="U228" si="189">SUBTOTAL(9,O229:T230)</f>
        <v>200</v>
      </c>
    </row>
    <row r="229" spans="1:21" ht="17.25" customHeight="1" x14ac:dyDescent="0.3">
      <c r="A229" s="15" t="s">
        <v>29</v>
      </c>
      <c r="C229" s="19"/>
      <c r="D229" s="33" t="str">
        <f t="shared" ref="D229" si="190">D228</f>
        <v>C100047</v>
      </c>
      <c r="E229" s="33"/>
      <c r="F229" s="20"/>
      <c r="G229" s="20" t="str">
        <f>"""NAV"",""CRONUS JetCorp USA"",""32"",""1"",""168051"""</f>
        <v>"NAV","CRONUS JetCorp USA","32","1","168051"</v>
      </c>
      <c r="H229" s="39">
        <v>43466</v>
      </c>
      <c r="I229" s="40">
        <v>168051</v>
      </c>
      <c r="J229" s="40" t="str">
        <f>"Vendor"</f>
        <v>Vendor</v>
      </c>
      <c r="K229" s="40" t="str">
        <f>"V100003"</f>
        <v>V100003</v>
      </c>
      <c r="L229" s="40" t="str">
        <f>""</f>
        <v/>
      </c>
      <c r="M229" s="40" t="str">
        <f>"LogoMasters"</f>
        <v>LogoMasters</v>
      </c>
      <c r="N229" s="40" t="str">
        <f>""</f>
        <v/>
      </c>
      <c r="O229" s="41">
        <v>200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54"/>
    </row>
    <row r="230" spans="1:21" ht="17.25" customHeight="1" x14ac:dyDescent="0.3">
      <c r="A230" s="15" t="s">
        <v>29</v>
      </c>
      <c r="C230" s="19"/>
      <c r="D230" s="33"/>
      <c r="E230" s="33"/>
      <c r="F230" s="20"/>
      <c r="G230" s="20"/>
      <c r="H230" s="20"/>
      <c r="I230" s="20"/>
      <c r="J230" s="20"/>
      <c r="K230" s="20"/>
      <c r="L230" s="20"/>
      <c r="M230" s="20"/>
      <c r="N230" s="20"/>
      <c r="O230" s="42"/>
      <c r="P230" s="42"/>
      <c r="Q230" s="42"/>
      <c r="R230" s="42"/>
      <c r="S230" s="42"/>
      <c r="T230" s="42"/>
      <c r="U230" s="55"/>
    </row>
    <row r="231" spans="1:21" ht="17.25" customHeight="1" x14ac:dyDescent="0.3">
      <c r="A231" s="15" t="s">
        <v>29</v>
      </c>
      <c r="C231" s="19"/>
      <c r="D231" s="33"/>
      <c r="E231" s="33" t="s">
        <v>30</v>
      </c>
      <c r="F231" s="20" t="s">
        <v>30</v>
      </c>
      <c r="G231" s="20" t="s">
        <v>30</v>
      </c>
      <c r="H231" s="20"/>
      <c r="I231" s="20"/>
      <c r="J231" s="20" t="s">
        <v>30</v>
      </c>
      <c r="K231" s="20" t="s">
        <v>30</v>
      </c>
      <c r="L231" s="20" t="s">
        <v>30</v>
      </c>
      <c r="M231" s="20" t="s">
        <v>30</v>
      </c>
      <c r="N231" s="20"/>
      <c r="U231" s="56"/>
    </row>
    <row r="232" spans="1:21" ht="20.25" customHeight="1" x14ac:dyDescent="0.35">
      <c r="A232" s="15" t="s">
        <v>29</v>
      </c>
      <c r="C232" s="19"/>
      <c r="D232" s="34" t="str">
        <f t="shared" ref="D232" si="191">E232</f>
        <v>C100048</v>
      </c>
      <c r="E232" s="35" t="str">
        <f>"C100048"</f>
        <v>C100048</v>
      </c>
      <c r="F232" s="36" t="str">
        <f>"USB MP3 Player"</f>
        <v>USB MP3 Player</v>
      </c>
      <c r="G232" s="36"/>
      <c r="H232" s="37" t="str">
        <f>"EA"</f>
        <v>EA</v>
      </c>
      <c r="I232" s="36"/>
      <c r="J232" s="36"/>
      <c r="K232" s="36"/>
      <c r="L232" s="36"/>
      <c r="M232" s="36"/>
      <c r="N232" s="36"/>
      <c r="O232" s="38">
        <f t="shared" ref="O232:T232" si="192">(SUBTOTAL(9,O233:O235))</f>
        <v>300</v>
      </c>
      <c r="P232" s="38">
        <f t="shared" si="192"/>
        <v>-144</v>
      </c>
      <c r="Q232" s="38">
        <f t="shared" si="192"/>
        <v>0</v>
      </c>
      <c r="R232" s="38">
        <f t="shared" si="192"/>
        <v>0</v>
      </c>
      <c r="S232" s="38">
        <f t="shared" si="192"/>
        <v>0</v>
      </c>
      <c r="T232" s="38">
        <f t="shared" si="192"/>
        <v>0</v>
      </c>
      <c r="U232" s="53">
        <f t="shared" ref="U232" si="193">SUBTOTAL(9,O233:T235)</f>
        <v>156</v>
      </c>
    </row>
    <row r="233" spans="1:21" ht="17.25" customHeight="1" x14ac:dyDescent="0.3">
      <c r="A233" s="15" t="s">
        <v>29</v>
      </c>
      <c r="C233" s="19"/>
      <c r="D233" s="33" t="str">
        <f t="shared" ref="D233" si="194">D232</f>
        <v>C100048</v>
      </c>
      <c r="E233" s="33"/>
      <c r="F233" s="20"/>
      <c r="G233" s="20" t="str">
        <f>"""NAV"",""CRONUS JetCorp USA"",""32"",""1"",""168050"""</f>
        <v>"NAV","CRONUS JetCorp USA","32","1","168050"</v>
      </c>
      <c r="H233" s="39">
        <v>43466</v>
      </c>
      <c r="I233" s="40">
        <v>168050</v>
      </c>
      <c r="J233" s="40" t="str">
        <f>"Vendor"</f>
        <v>Vendor</v>
      </c>
      <c r="K233" s="40" t="str">
        <f>"V100003"</f>
        <v>V100003</v>
      </c>
      <c r="L233" s="40" t="str">
        <f>""</f>
        <v/>
      </c>
      <c r="M233" s="40" t="str">
        <f>"LogoMasters"</f>
        <v>LogoMasters</v>
      </c>
      <c r="N233" s="40" t="str">
        <f>""</f>
        <v/>
      </c>
      <c r="O233" s="41">
        <v>300</v>
      </c>
      <c r="P233" s="41">
        <v>0</v>
      </c>
      <c r="Q233" s="41">
        <v>0</v>
      </c>
      <c r="R233" s="41">
        <v>0</v>
      </c>
      <c r="S233" s="41">
        <v>0</v>
      </c>
      <c r="T233" s="41">
        <v>0</v>
      </c>
      <c r="U233" s="54"/>
    </row>
    <row r="234" spans="1:21" ht="17.25" customHeight="1" x14ac:dyDescent="0.3">
      <c r="A234" s="15" t="s">
        <v>29</v>
      </c>
      <c r="C234" s="19"/>
      <c r="D234" s="33" t="str">
        <f t="shared" ref="D234" si="195">D233</f>
        <v>C100048</v>
      </c>
      <c r="E234" s="33"/>
      <c r="F234" s="20"/>
      <c r="G234" s="20" t="str">
        <f>"""NAV"",""CRONUS JetCorp USA"",""32"",""1"",""7557"""</f>
        <v>"NAV","CRONUS JetCorp USA","32","1","7557"</v>
      </c>
      <c r="H234" s="39">
        <v>43469</v>
      </c>
      <c r="I234" s="40">
        <v>7557</v>
      </c>
      <c r="J234" s="40" t="str">
        <f>"Customer"</f>
        <v>Customer</v>
      </c>
      <c r="K234" s="40" t="str">
        <f>"C100030"</f>
        <v>C100030</v>
      </c>
      <c r="L234" s="40" t="str">
        <f>"Stutringers"</f>
        <v>Stutringers</v>
      </c>
      <c r="M234" s="40" t="str">
        <f>""</f>
        <v/>
      </c>
      <c r="N234" s="40" t="str">
        <f>""</f>
        <v/>
      </c>
      <c r="O234" s="41">
        <v>0</v>
      </c>
      <c r="P234" s="41">
        <v>-144</v>
      </c>
      <c r="Q234" s="41">
        <v>0</v>
      </c>
      <c r="R234" s="41">
        <v>0</v>
      </c>
      <c r="S234" s="41">
        <v>0</v>
      </c>
      <c r="T234" s="41">
        <v>0</v>
      </c>
      <c r="U234" s="54"/>
    </row>
    <row r="235" spans="1:21" ht="17.25" customHeight="1" x14ac:dyDescent="0.3">
      <c r="A235" s="15" t="s">
        <v>29</v>
      </c>
      <c r="C235" s="19"/>
      <c r="D235" s="33"/>
      <c r="E235" s="33"/>
      <c r="F235" s="20"/>
      <c r="G235" s="20"/>
      <c r="H235" s="20"/>
      <c r="I235" s="20"/>
      <c r="J235" s="20"/>
      <c r="K235" s="20"/>
      <c r="L235" s="20"/>
      <c r="M235" s="20"/>
      <c r="N235" s="20"/>
      <c r="O235" s="42"/>
      <c r="P235" s="42"/>
      <c r="Q235" s="42"/>
      <c r="R235" s="42"/>
      <c r="S235" s="42"/>
      <c r="T235" s="42"/>
      <c r="U235" s="55"/>
    </row>
    <row r="236" spans="1:21" ht="17.25" customHeight="1" x14ac:dyDescent="0.3">
      <c r="A236" s="15" t="s">
        <v>29</v>
      </c>
      <c r="C236" s="19"/>
      <c r="D236" s="33"/>
      <c r="E236" s="33" t="s">
        <v>30</v>
      </c>
      <c r="F236" s="20" t="s">
        <v>30</v>
      </c>
      <c r="G236" s="20" t="s">
        <v>30</v>
      </c>
      <c r="H236" s="20"/>
      <c r="I236" s="20"/>
      <c r="J236" s="20" t="s">
        <v>30</v>
      </c>
      <c r="K236" s="20" t="s">
        <v>30</v>
      </c>
      <c r="L236" s="20" t="s">
        <v>30</v>
      </c>
      <c r="M236" s="20" t="s">
        <v>30</v>
      </c>
      <c r="N236" s="20"/>
      <c r="U236" s="56"/>
    </row>
    <row r="237" spans="1:21" ht="20.25" customHeight="1" x14ac:dyDescent="0.35">
      <c r="A237" s="15" t="s">
        <v>29</v>
      </c>
      <c r="C237" s="19"/>
      <c r="D237" s="34" t="str">
        <f t="shared" ref="D237" si="196">E237</f>
        <v>C100050</v>
      </c>
      <c r="E237" s="35" t="str">
        <f>"C100050"</f>
        <v>C100050</v>
      </c>
      <c r="F237" s="36" t="str">
        <f>"Clip-on MP3 Player"</f>
        <v>Clip-on MP3 Player</v>
      </c>
      <c r="G237" s="36"/>
      <c r="H237" s="37" t="str">
        <f>"EA"</f>
        <v>EA</v>
      </c>
      <c r="I237" s="36"/>
      <c r="J237" s="36"/>
      <c r="K237" s="36"/>
      <c r="L237" s="36"/>
      <c r="M237" s="36"/>
      <c r="N237" s="36"/>
      <c r="O237" s="38">
        <f t="shared" ref="O237:T237" si="197">(SUBTOTAL(9,O238:O239))</f>
        <v>100</v>
      </c>
      <c r="P237" s="38">
        <f t="shared" si="197"/>
        <v>0</v>
      </c>
      <c r="Q237" s="38">
        <f t="shared" si="197"/>
        <v>0</v>
      </c>
      <c r="R237" s="38">
        <f t="shared" si="197"/>
        <v>0</v>
      </c>
      <c r="S237" s="38">
        <f t="shared" si="197"/>
        <v>0</v>
      </c>
      <c r="T237" s="38">
        <f t="shared" si="197"/>
        <v>0</v>
      </c>
      <c r="U237" s="53">
        <f t="shared" ref="U237" si="198">SUBTOTAL(9,O238:T239)</f>
        <v>100</v>
      </c>
    </row>
    <row r="238" spans="1:21" ht="17.25" customHeight="1" x14ac:dyDescent="0.3">
      <c r="A238" s="15" t="s">
        <v>29</v>
      </c>
      <c r="C238" s="19"/>
      <c r="D238" s="33" t="str">
        <f t="shared" ref="D238" si="199">D237</f>
        <v>C100050</v>
      </c>
      <c r="E238" s="33"/>
      <c r="F238" s="20"/>
      <c r="G238" s="20" t="str">
        <f>"""NAV"",""CRONUS JetCorp USA"",""32"",""1"",""168049"""</f>
        <v>"NAV","CRONUS JetCorp USA","32","1","168049"</v>
      </c>
      <c r="H238" s="39">
        <v>43466</v>
      </c>
      <c r="I238" s="40">
        <v>168049</v>
      </c>
      <c r="J238" s="40" t="str">
        <f>"Vendor"</f>
        <v>Vendor</v>
      </c>
      <c r="K238" s="40" t="str">
        <f>"V100003"</f>
        <v>V100003</v>
      </c>
      <c r="L238" s="40" t="str">
        <f>""</f>
        <v/>
      </c>
      <c r="M238" s="40" t="str">
        <f>"LogoMasters"</f>
        <v>LogoMasters</v>
      </c>
      <c r="N238" s="40" t="str">
        <f>""</f>
        <v/>
      </c>
      <c r="O238" s="41">
        <v>100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54"/>
    </row>
    <row r="239" spans="1:21" ht="17.25" customHeight="1" x14ac:dyDescent="0.3">
      <c r="A239" s="15" t="s">
        <v>29</v>
      </c>
      <c r="C239" s="19"/>
      <c r="D239" s="33"/>
      <c r="E239" s="33"/>
      <c r="F239" s="20"/>
      <c r="G239" s="20"/>
      <c r="H239" s="20"/>
      <c r="I239" s="20"/>
      <c r="J239" s="20"/>
      <c r="K239" s="20"/>
      <c r="L239" s="20"/>
      <c r="M239" s="20"/>
      <c r="N239" s="20"/>
      <c r="O239" s="42"/>
      <c r="P239" s="42"/>
      <c r="Q239" s="42"/>
      <c r="R239" s="42"/>
      <c r="S239" s="42"/>
      <c r="T239" s="42"/>
      <c r="U239" s="55"/>
    </row>
    <row r="240" spans="1:21" ht="17.25" customHeight="1" x14ac:dyDescent="0.3">
      <c r="A240" s="15" t="s">
        <v>29</v>
      </c>
      <c r="C240" s="19"/>
      <c r="D240" s="33"/>
      <c r="E240" s="33" t="s">
        <v>30</v>
      </c>
      <c r="F240" s="20" t="s">
        <v>30</v>
      </c>
      <c r="G240" s="20" t="s">
        <v>30</v>
      </c>
      <c r="H240" s="20"/>
      <c r="I240" s="20"/>
      <c r="J240" s="20" t="s">
        <v>30</v>
      </c>
      <c r="K240" s="20" t="s">
        <v>30</v>
      </c>
      <c r="L240" s="20" t="s">
        <v>30</v>
      </c>
      <c r="M240" s="20" t="s">
        <v>30</v>
      </c>
      <c r="N240" s="20"/>
      <c r="U240" s="56"/>
    </row>
    <row r="241" spans="1:21" ht="20.25" customHeight="1" x14ac:dyDescent="0.35">
      <c r="A241" s="15" t="s">
        <v>29</v>
      </c>
      <c r="C241" s="19"/>
      <c r="D241" s="34" t="str">
        <f t="shared" ref="D241" si="200">E241</f>
        <v>C100051</v>
      </c>
      <c r="E241" s="35" t="str">
        <f>"C100051"</f>
        <v>C100051</v>
      </c>
      <c r="F241" s="36" t="str">
        <f>"Bamboo Digital Picutre Frame"</f>
        <v>Bamboo Digital Picutre Frame</v>
      </c>
      <c r="G241" s="36"/>
      <c r="H241" s="37" t="str">
        <f>"EA"</f>
        <v>EA</v>
      </c>
      <c r="I241" s="36"/>
      <c r="J241" s="36"/>
      <c r="K241" s="36"/>
      <c r="L241" s="36"/>
      <c r="M241" s="36"/>
      <c r="N241" s="36"/>
      <c r="O241" s="38">
        <f t="shared" ref="O241:T241" si="201">(SUBTOTAL(9,O242:O244))</f>
        <v>600</v>
      </c>
      <c r="P241" s="38">
        <f t="shared" si="201"/>
        <v>-144</v>
      </c>
      <c r="Q241" s="38">
        <f t="shared" si="201"/>
        <v>0</v>
      </c>
      <c r="R241" s="38">
        <f t="shared" si="201"/>
        <v>0</v>
      </c>
      <c r="S241" s="38">
        <f t="shared" si="201"/>
        <v>0</v>
      </c>
      <c r="T241" s="38">
        <f t="shared" si="201"/>
        <v>0</v>
      </c>
      <c r="U241" s="53">
        <f t="shared" ref="U241" si="202">SUBTOTAL(9,O242:T244)</f>
        <v>456</v>
      </c>
    </row>
    <row r="242" spans="1:21" ht="17.25" customHeight="1" x14ac:dyDescent="0.3">
      <c r="A242" s="15" t="s">
        <v>29</v>
      </c>
      <c r="C242" s="19"/>
      <c r="D242" s="33" t="str">
        <f t="shared" ref="D242" si="203">D241</f>
        <v>C100051</v>
      </c>
      <c r="E242" s="33"/>
      <c r="F242" s="20"/>
      <c r="G242" s="20" t="str">
        <f>"""NAV"",""CRONUS JetCorp USA"",""32"",""1"",""168048"""</f>
        <v>"NAV","CRONUS JetCorp USA","32","1","168048"</v>
      </c>
      <c r="H242" s="39">
        <v>43466</v>
      </c>
      <c r="I242" s="40">
        <v>168048</v>
      </c>
      <c r="J242" s="40" t="str">
        <f>"Vendor"</f>
        <v>Vendor</v>
      </c>
      <c r="K242" s="40" t="str">
        <f>"V100003"</f>
        <v>V100003</v>
      </c>
      <c r="L242" s="40" t="str">
        <f>""</f>
        <v/>
      </c>
      <c r="M242" s="40" t="str">
        <f>"LogoMasters"</f>
        <v>LogoMasters</v>
      </c>
      <c r="N242" s="40" t="str">
        <f>""</f>
        <v/>
      </c>
      <c r="O242" s="41">
        <v>600</v>
      </c>
      <c r="P242" s="41">
        <v>0</v>
      </c>
      <c r="Q242" s="41">
        <v>0</v>
      </c>
      <c r="R242" s="41">
        <v>0</v>
      </c>
      <c r="S242" s="41">
        <v>0</v>
      </c>
      <c r="T242" s="41">
        <v>0</v>
      </c>
      <c r="U242" s="54"/>
    </row>
    <row r="243" spans="1:21" ht="17.25" customHeight="1" x14ac:dyDescent="0.3">
      <c r="A243" s="15" t="s">
        <v>29</v>
      </c>
      <c r="C243" s="19"/>
      <c r="D243" s="33" t="str">
        <f t="shared" ref="D243" si="204">D242</f>
        <v>C100051</v>
      </c>
      <c r="E243" s="33"/>
      <c r="F243" s="20"/>
      <c r="G243" s="20" t="str">
        <f>"""NAV"",""CRONUS JetCorp USA"",""32"",""1"",""114265"""</f>
        <v>"NAV","CRONUS JetCorp USA","32","1","114265"</v>
      </c>
      <c r="H243" s="39">
        <v>43470</v>
      </c>
      <c r="I243" s="40">
        <v>114265</v>
      </c>
      <c r="J243" s="40" t="str">
        <f>"Customer"</f>
        <v>Customer</v>
      </c>
      <c r="K243" s="40" t="str">
        <f>"C100076"</f>
        <v>C100076</v>
      </c>
      <c r="L243" s="40" t="str">
        <f>"Showmasters"</f>
        <v>Showmasters</v>
      </c>
      <c r="M243" s="40" t="str">
        <f>""</f>
        <v/>
      </c>
      <c r="N243" s="40" t="str">
        <f>""</f>
        <v/>
      </c>
      <c r="O243" s="41">
        <v>0</v>
      </c>
      <c r="P243" s="41">
        <v>-144</v>
      </c>
      <c r="Q243" s="41">
        <v>0</v>
      </c>
      <c r="R243" s="41">
        <v>0</v>
      </c>
      <c r="S243" s="41">
        <v>0</v>
      </c>
      <c r="T243" s="41">
        <v>0</v>
      </c>
      <c r="U243" s="54"/>
    </row>
    <row r="244" spans="1:21" ht="17.25" customHeight="1" x14ac:dyDescent="0.3">
      <c r="A244" s="15" t="s">
        <v>29</v>
      </c>
      <c r="C244" s="19"/>
      <c r="D244" s="33"/>
      <c r="E244" s="33"/>
      <c r="F244" s="20"/>
      <c r="G244" s="20"/>
      <c r="H244" s="20"/>
      <c r="I244" s="20"/>
      <c r="J244" s="20"/>
      <c r="K244" s="20"/>
      <c r="L244" s="20"/>
      <c r="M244" s="20"/>
      <c r="N244" s="20"/>
      <c r="O244" s="42"/>
      <c r="P244" s="42"/>
      <c r="Q244" s="42"/>
      <c r="R244" s="42"/>
      <c r="S244" s="42"/>
      <c r="T244" s="42"/>
      <c r="U244" s="55"/>
    </row>
    <row r="245" spans="1:21" ht="17.25" customHeight="1" x14ac:dyDescent="0.3">
      <c r="A245" s="15" t="s">
        <v>29</v>
      </c>
      <c r="C245" s="19"/>
      <c r="D245" s="33"/>
      <c r="E245" s="33" t="s">
        <v>30</v>
      </c>
      <c r="F245" s="20" t="s">
        <v>30</v>
      </c>
      <c r="G245" s="20" t="s">
        <v>30</v>
      </c>
      <c r="H245" s="20"/>
      <c r="I245" s="20"/>
      <c r="J245" s="20" t="s">
        <v>30</v>
      </c>
      <c r="K245" s="20" t="s">
        <v>30</v>
      </c>
      <c r="L245" s="20" t="s">
        <v>30</v>
      </c>
      <c r="M245" s="20" t="s">
        <v>30</v>
      </c>
      <c r="N245" s="20"/>
      <c r="U245" s="56"/>
    </row>
    <row r="246" spans="1:21" ht="20.25" customHeight="1" x14ac:dyDescent="0.35">
      <c r="A246" s="15" t="s">
        <v>29</v>
      </c>
      <c r="C246" s="19"/>
      <c r="D246" s="34" t="str">
        <f t="shared" ref="D246" si="205">E246</f>
        <v>C100052</v>
      </c>
      <c r="E246" s="35" t="str">
        <f>"C100052"</f>
        <v>C100052</v>
      </c>
      <c r="F246" s="36" t="str">
        <f>"Black Digital Picture Frame"</f>
        <v>Black Digital Picture Frame</v>
      </c>
      <c r="G246" s="36"/>
      <c r="H246" s="37" t="str">
        <f>"EA"</f>
        <v>EA</v>
      </c>
      <c r="I246" s="36"/>
      <c r="J246" s="36"/>
      <c r="K246" s="36"/>
      <c r="L246" s="36"/>
      <c r="M246" s="36"/>
      <c r="N246" s="36"/>
      <c r="O246" s="38">
        <f t="shared" ref="O246:T246" si="206">(SUBTOTAL(9,O247:O248))</f>
        <v>300</v>
      </c>
      <c r="P246" s="38">
        <f t="shared" si="206"/>
        <v>0</v>
      </c>
      <c r="Q246" s="38">
        <f t="shared" si="206"/>
        <v>0</v>
      </c>
      <c r="R246" s="38">
        <f t="shared" si="206"/>
        <v>0</v>
      </c>
      <c r="S246" s="38">
        <f t="shared" si="206"/>
        <v>0</v>
      </c>
      <c r="T246" s="38">
        <f t="shared" si="206"/>
        <v>0</v>
      </c>
      <c r="U246" s="53">
        <f t="shared" ref="U246" si="207">SUBTOTAL(9,O247:T248)</f>
        <v>300</v>
      </c>
    </row>
    <row r="247" spans="1:21" ht="17.25" customHeight="1" x14ac:dyDescent="0.3">
      <c r="A247" s="15" t="s">
        <v>29</v>
      </c>
      <c r="C247" s="19"/>
      <c r="D247" s="33" t="str">
        <f t="shared" ref="D247" si="208">D246</f>
        <v>C100052</v>
      </c>
      <c r="E247" s="33"/>
      <c r="F247" s="20"/>
      <c r="G247" s="20" t="str">
        <f>"""NAV"",""CRONUS JetCorp USA"",""32"",""1"",""168047"""</f>
        <v>"NAV","CRONUS JetCorp USA","32","1","168047"</v>
      </c>
      <c r="H247" s="39">
        <v>43466</v>
      </c>
      <c r="I247" s="40">
        <v>168047</v>
      </c>
      <c r="J247" s="40" t="str">
        <f>"Vendor"</f>
        <v>Vendor</v>
      </c>
      <c r="K247" s="40" t="str">
        <f>"V100003"</f>
        <v>V100003</v>
      </c>
      <c r="L247" s="40" t="str">
        <f>""</f>
        <v/>
      </c>
      <c r="M247" s="40" t="str">
        <f>"LogoMasters"</f>
        <v>LogoMasters</v>
      </c>
      <c r="N247" s="40" t="str">
        <f>""</f>
        <v/>
      </c>
      <c r="O247" s="41">
        <v>300</v>
      </c>
      <c r="P247" s="41">
        <v>0</v>
      </c>
      <c r="Q247" s="41">
        <v>0</v>
      </c>
      <c r="R247" s="41">
        <v>0</v>
      </c>
      <c r="S247" s="41">
        <v>0</v>
      </c>
      <c r="T247" s="41">
        <v>0</v>
      </c>
      <c r="U247" s="54"/>
    </row>
    <row r="248" spans="1:21" ht="17.25" customHeight="1" x14ac:dyDescent="0.3">
      <c r="A248" s="15" t="s">
        <v>29</v>
      </c>
      <c r="C248" s="19"/>
      <c r="D248" s="33"/>
      <c r="E248" s="33"/>
      <c r="F248" s="20"/>
      <c r="G248" s="20"/>
      <c r="H248" s="20"/>
      <c r="I248" s="20"/>
      <c r="J248" s="20"/>
      <c r="K248" s="20"/>
      <c r="L248" s="20"/>
      <c r="M248" s="20"/>
      <c r="N248" s="20"/>
      <c r="O248" s="42"/>
      <c r="P248" s="42"/>
      <c r="Q248" s="42"/>
      <c r="R248" s="42"/>
      <c r="S248" s="42"/>
      <c r="T248" s="42"/>
      <c r="U248" s="55"/>
    </row>
    <row r="249" spans="1:21" ht="17.25" customHeight="1" x14ac:dyDescent="0.3">
      <c r="A249" s="15" t="s">
        <v>29</v>
      </c>
      <c r="C249" s="19"/>
      <c r="D249" s="33"/>
      <c r="E249" s="33" t="s">
        <v>30</v>
      </c>
      <c r="F249" s="20" t="s">
        <v>30</v>
      </c>
      <c r="G249" s="20" t="s">
        <v>30</v>
      </c>
      <c r="H249" s="20"/>
      <c r="I249" s="20"/>
      <c r="J249" s="20" t="s">
        <v>30</v>
      </c>
      <c r="K249" s="20" t="s">
        <v>30</v>
      </c>
      <c r="L249" s="20" t="s">
        <v>30</v>
      </c>
      <c r="M249" s="20" t="s">
        <v>30</v>
      </c>
      <c r="N249" s="20"/>
      <c r="U249" s="56"/>
    </row>
    <row r="250" spans="1:21" ht="20.25" customHeight="1" x14ac:dyDescent="0.35">
      <c r="A250" s="15" t="s">
        <v>29</v>
      </c>
      <c r="C250" s="19"/>
      <c r="D250" s="34" t="str">
        <f t="shared" ref="D250" si="209">E250</f>
        <v>C100053</v>
      </c>
      <c r="E250" s="35" t="str">
        <f>"C100053"</f>
        <v>C100053</v>
      </c>
      <c r="F250" s="36" t="str">
        <f>"Book Style Photo Frame &amp; Clock"</f>
        <v>Book Style Photo Frame &amp; Clock</v>
      </c>
      <c r="G250" s="36"/>
      <c r="H250" s="37" t="str">
        <f>"EA"</f>
        <v>EA</v>
      </c>
      <c r="I250" s="36"/>
      <c r="J250" s="36"/>
      <c r="K250" s="36"/>
      <c r="L250" s="36"/>
      <c r="M250" s="36"/>
      <c r="N250" s="36"/>
      <c r="O250" s="38">
        <f t="shared" ref="O250:T250" si="210">(SUBTOTAL(9,O251:O253))</f>
        <v>400</v>
      </c>
      <c r="P250" s="38">
        <f t="shared" si="210"/>
        <v>-24</v>
      </c>
      <c r="Q250" s="38">
        <f t="shared" si="210"/>
        <v>0</v>
      </c>
      <c r="R250" s="38">
        <f t="shared" si="210"/>
        <v>0</v>
      </c>
      <c r="S250" s="38">
        <f t="shared" si="210"/>
        <v>0</v>
      </c>
      <c r="T250" s="38">
        <f t="shared" si="210"/>
        <v>0</v>
      </c>
      <c r="U250" s="53">
        <f t="shared" ref="U250" si="211">SUBTOTAL(9,O251:T253)</f>
        <v>376</v>
      </c>
    </row>
    <row r="251" spans="1:21" ht="17.25" customHeight="1" x14ac:dyDescent="0.3">
      <c r="A251" s="15" t="s">
        <v>29</v>
      </c>
      <c r="C251" s="19"/>
      <c r="D251" s="33" t="str">
        <f t="shared" ref="D251" si="212">D250</f>
        <v>C100053</v>
      </c>
      <c r="E251" s="33"/>
      <c r="F251" s="20"/>
      <c r="G251" s="20" t="str">
        <f>"""NAV"",""CRONUS JetCorp USA"",""32"",""1"",""168046"""</f>
        <v>"NAV","CRONUS JetCorp USA","32","1","168046"</v>
      </c>
      <c r="H251" s="39">
        <v>43466</v>
      </c>
      <c r="I251" s="40">
        <v>168046</v>
      </c>
      <c r="J251" s="40" t="str">
        <f>"Vendor"</f>
        <v>Vendor</v>
      </c>
      <c r="K251" s="40" t="str">
        <f>"V100003"</f>
        <v>V100003</v>
      </c>
      <c r="L251" s="40" t="str">
        <f>""</f>
        <v/>
      </c>
      <c r="M251" s="40" t="str">
        <f>"LogoMasters"</f>
        <v>LogoMasters</v>
      </c>
      <c r="N251" s="40" t="str">
        <f>""</f>
        <v/>
      </c>
      <c r="O251" s="41">
        <v>400</v>
      </c>
      <c r="P251" s="41">
        <v>0</v>
      </c>
      <c r="Q251" s="41">
        <v>0</v>
      </c>
      <c r="R251" s="41">
        <v>0</v>
      </c>
      <c r="S251" s="41">
        <v>0</v>
      </c>
      <c r="T251" s="41">
        <v>0</v>
      </c>
      <c r="U251" s="54"/>
    </row>
    <row r="252" spans="1:21" ht="17.25" customHeight="1" x14ac:dyDescent="0.3">
      <c r="A252" s="15" t="s">
        <v>29</v>
      </c>
      <c r="C252" s="19"/>
      <c r="D252" s="33" t="str">
        <f t="shared" ref="D252" si="213">D251</f>
        <v>C100053</v>
      </c>
      <c r="E252" s="33"/>
      <c r="F252" s="20"/>
      <c r="G252" s="20" t="str">
        <f>"""NAV"",""CRONUS JetCorp USA"",""32"",""1"",""116372"""</f>
        <v>"NAV","CRONUS JetCorp USA","32","1","116372"</v>
      </c>
      <c r="H252" s="39">
        <v>43472</v>
      </c>
      <c r="I252" s="40">
        <v>116372</v>
      </c>
      <c r="J252" s="40" t="str">
        <f>"Customer"</f>
        <v>Customer</v>
      </c>
      <c r="K252" s="40" t="str">
        <f>"C100054"</f>
        <v>C100054</v>
      </c>
      <c r="L252" s="40" t="str">
        <f>"London Candoxy Storage Campus"</f>
        <v>London Candoxy Storage Campus</v>
      </c>
      <c r="M252" s="40" t="str">
        <f>""</f>
        <v/>
      </c>
      <c r="N252" s="40" t="str">
        <f>""</f>
        <v/>
      </c>
      <c r="O252" s="41">
        <v>0</v>
      </c>
      <c r="P252" s="41">
        <v>-24</v>
      </c>
      <c r="Q252" s="41">
        <v>0</v>
      </c>
      <c r="R252" s="41">
        <v>0</v>
      </c>
      <c r="S252" s="41">
        <v>0</v>
      </c>
      <c r="T252" s="41">
        <v>0</v>
      </c>
      <c r="U252" s="54"/>
    </row>
    <row r="253" spans="1:21" ht="17.25" customHeight="1" x14ac:dyDescent="0.3">
      <c r="A253" s="15" t="s">
        <v>29</v>
      </c>
      <c r="C253" s="19"/>
      <c r="D253" s="33"/>
      <c r="E253" s="33"/>
      <c r="F253" s="20"/>
      <c r="G253" s="20"/>
      <c r="H253" s="20"/>
      <c r="I253" s="20"/>
      <c r="J253" s="20"/>
      <c r="K253" s="20"/>
      <c r="L253" s="20"/>
      <c r="M253" s="20"/>
      <c r="N253" s="20"/>
      <c r="O253" s="42"/>
      <c r="P253" s="42"/>
      <c r="Q253" s="42"/>
      <c r="R253" s="42"/>
      <c r="S253" s="42"/>
      <c r="T253" s="42"/>
      <c r="U253" s="55"/>
    </row>
    <row r="254" spans="1:21" ht="17.25" customHeight="1" x14ac:dyDescent="0.3">
      <c r="A254" s="15" t="s">
        <v>29</v>
      </c>
      <c r="C254" s="19"/>
      <c r="D254" s="33"/>
      <c r="E254" s="33" t="s">
        <v>30</v>
      </c>
      <c r="F254" s="20" t="s">
        <v>30</v>
      </c>
      <c r="G254" s="20" t="s">
        <v>30</v>
      </c>
      <c r="H254" s="20"/>
      <c r="I254" s="20"/>
      <c r="J254" s="20" t="s">
        <v>30</v>
      </c>
      <c r="K254" s="20" t="s">
        <v>30</v>
      </c>
      <c r="L254" s="20" t="s">
        <v>30</v>
      </c>
      <c r="M254" s="20" t="s">
        <v>30</v>
      </c>
      <c r="N254" s="20"/>
      <c r="U254" s="56"/>
    </row>
    <row r="255" spans="1:21" ht="20.25" customHeight="1" x14ac:dyDescent="0.35">
      <c r="A255" s="15" t="s">
        <v>29</v>
      </c>
      <c r="C255" s="19"/>
      <c r="D255" s="34" t="str">
        <f t="shared" ref="D255" si="214">E255</f>
        <v>C100054</v>
      </c>
      <c r="E255" s="35" t="str">
        <f>"C100054"</f>
        <v>C100054</v>
      </c>
      <c r="F255" s="36" t="str">
        <f>"Cherry Finish Photo Frame &amp; Clock"</f>
        <v>Cherry Finish Photo Frame &amp; Clock</v>
      </c>
      <c r="G255" s="36"/>
      <c r="H255" s="37" t="str">
        <f>"EA"</f>
        <v>EA</v>
      </c>
      <c r="I255" s="36"/>
      <c r="J255" s="36"/>
      <c r="K255" s="36"/>
      <c r="L255" s="36"/>
      <c r="M255" s="36"/>
      <c r="N255" s="36"/>
      <c r="O255" s="38">
        <f t="shared" ref="O255:T255" si="215">(SUBTOTAL(9,O256:O259))</f>
        <v>400</v>
      </c>
      <c r="P255" s="38">
        <f t="shared" si="215"/>
        <v>-198</v>
      </c>
      <c r="Q255" s="38">
        <f t="shared" si="215"/>
        <v>0</v>
      </c>
      <c r="R255" s="38">
        <f t="shared" si="215"/>
        <v>0</v>
      </c>
      <c r="S255" s="38">
        <f t="shared" si="215"/>
        <v>0</v>
      </c>
      <c r="T255" s="38">
        <f t="shared" si="215"/>
        <v>0</v>
      </c>
      <c r="U255" s="53">
        <f t="shared" ref="U255" si="216">SUBTOTAL(9,O256:T259)</f>
        <v>202</v>
      </c>
    </row>
    <row r="256" spans="1:21" ht="17.25" customHeight="1" x14ac:dyDescent="0.3">
      <c r="A256" s="15" t="s">
        <v>29</v>
      </c>
      <c r="C256" s="19"/>
      <c r="D256" s="33" t="str">
        <f t="shared" ref="D256" si="217">D255</f>
        <v>C100054</v>
      </c>
      <c r="E256" s="33"/>
      <c r="F256" s="20"/>
      <c r="G256" s="20" t="str">
        <f>"""NAV"",""CRONUS JetCorp USA"",""32"",""1"",""168045"""</f>
        <v>"NAV","CRONUS JetCorp USA","32","1","168045"</v>
      </c>
      <c r="H256" s="39">
        <v>43466</v>
      </c>
      <c r="I256" s="40">
        <v>168045</v>
      </c>
      <c r="J256" s="40" t="str">
        <f>"Vendor"</f>
        <v>Vendor</v>
      </c>
      <c r="K256" s="40" t="str">
        <f>"V100003"</f>
        <v>V100003</v>
      </c>
      <c r="L256" s="40" t="str">
        <f>""</f>
        <v/>
      </c>
      <c r="M256" s="40" t="str">
        <f>"LogoMasters"</f>
        <v>LogoMasters</v>
      </c>
      <c r="N256" s="40" t="str">
        <f>""</f>
        <v/>
      </c>
      <c r="O256" s="41">
        <v>400</v>
      </c>
      <c r="P256" s="41">
        <v>0</v>
      </c>
      <c r="Q256" s="41">
        <v>0</v>
      </c>
      <c r="R256" s="41">
        <v>0</v>
      </c>
      <c r="S256" s="41">
        <v>0</v>
      </c>
      <c r="T256" s="41">
        <v>0</v>
      </c>
      <c r="U256" s="54"/>
    </row>
    <row r="257" spans="1:21" ht="17.25" customHeight="1" x14ac:dyDescent="0.3">
      <c r="A257" s="15" t="s">
        <v>29</v>
      </c>
      <c r="C257" s="19"/>
      <c r="D257" s="33" t="str">
        <f t="shared" ref="D257:D258" si="218">D256</f>
        <v>C100054</v>
      </c>
      <c r="E257" s="33"/>
      <c r="F257" s="20"/>
      <c r="G257" s="20" t="str">
        <f>"""NAV"",""CRONUS JetCorp USA"",""32"",""1"",""114267"""</f>
        <v>"NAV","CRONUS JetCorp USA","32","1","114267"</v>
      </c>
      <c r="H257" s="39">
        <v>43470</v>
      </c>
      <c r="I257" s="40">
        <v>114267</v>
      </c>
      <c r="J257" s="40" t="str">
        <f>"Customer"</f>
        <v>Customer</v>
      </c>
      <c r="K257" s="40" t="str">
        <f>"C100076"</f>
        <v>C100076</v>
      </c>
      <c r="L257" s="40" t="str">
        <f>"Showmasters"</f>
        <v>Showmasters</v>
      </c>
      <c r="M257" s="40" t="str">
        <f>""</f>
        <v/>
      </c>
      <c r="N257" s="40" t="str">
        <f>""</f>
        <v/>
      </c>
      <c r="O257" s="41">
        <v>0</v>
      </c>
      <c r="P257" s="41">
        <v>-54</v>
      </c>
      <c r="Q257" s="41">
        <v>0</v>
      </c>
      <c r="R257" s="41">
        <v>0</v>
      </c>
      <c r="S257" s="41">
        <v>0</v>
      </c>
      <c r="T257" s="41">
        <v>0</v>
      </c>
      <c r="U257" s="54"/>
    </row>
    <row r="258" spans="1:21" ht="17.25" customHeight="1" x14ac:dyDescent="0.3">
      <c r="A258" s="15" t="s">
        <v>29</v>
      </c>
      <c r="C258" s="19"/>
      <c r="D258" s="33" t="str">
        <f t="shared" si="218"/>
        <v>C100054</v>
      </c>
      <c r="E258" s="33"/>
      <c r="F258" s="20"/>
      <c r="G258" s="20" t="str">
        <f>"""NAV"",""CRONUS JetCorp USA"",""32"",""1"",""114276"""</f>
        <v>"NAV","CRONUS JetCorp USA","32","1","114276"</v>
      </c>
      <c r="H258" s="39">
        <v>43474</v>
      </c>
      <c r="I258" s="40">
        <v>114276</v>
      </c>
      <c r="J258" s="40" t="str">
        <f>"Customer"</f>
        <v>Customer</v>
      </c>
      <c r="K258" s="40" t="str">
        <f>"C100076"</f>
        <v>C100076</v>
      </c>
      <c r="L258" s="40" t="str">
        <f>"Showmasters"</f>
        <v>Showmasters</v>
      </c>
      <c r="M258" s="40" t="str">
        <f>""</f>
        <v/>
      </c>
      <c r="N258" s="40" t="str">
        <f>""</f>
        <v/>
      </c>
      <c r="O258" s="41">
        <v>0</v>
      </c>
      <c r="P258" s="41">
        <v>-144</v>
      </c>
      <c r="Q258" s="41">
        <v>0</v>
      </c>
      <c r="R258" s="41">
        <v>0</v>
      </c>
      <c r="S258" s="41">
        <v>0</v>
      </c>
      <c r="T258" s="41">
        <v>0</v>
      </c>
      <c r="U258" s="54"/>
    </row>
    <row r="259" spans="1:21" ht="17.25" customHeight="1" x14ac:dyDescent="0.3">
      <c r="A259" s="15" t="s">
        <v>29</v>
      </c>
      <c r="C259" s="19"/>
      <c r="D259" s="33"/>
      <c r="E259" s="33"/>
      <c r="F259" s="20"/>
      <c r="G259" s="20"/>
      <c r="H259" s="20"/>
      <c r="I259" s="20"/>
      <c r="J259" s="20"/>
      <c r="K259" s="20"/>
      <c r="L259" s="20"/>
      <c r="M259" s="20"/>
      <c r="N259" s="20"/>
      <c r="O259" s="42"/>
      <c r="P259" s="42"/>
      <c r="Q259" s="42"/>
      <c r="R259" s="42"/>
      <c r="S259" s="42"/>
      <c r="T259" s="42"/>
      <c r="U259" s="55"/>
    </row>
    <row r="260" spans="1:21" ht="17.25" customHeight="1" x14ac:dyDescent="0.3">
      <c r="A260" s="15" t="s">
        <v>29</v>
      </c>
      <c r="C260" s="19"/>
      <c r="D260" s="33"/>
      <c r="E260" s="33" t="s">
        <v>30</v>
      </c>
      <c r="F260" s="20" t="s">
        <v>30</v>
      </c>
      <c r="G260" s="20" t="s">
        <v>30</v>
      </c>
      <c r="H260" s="20"/>
      <c r="I260" s="20"/>
      <c r="J260" s="20" t="s">
        <v>30</v>
      </c>
      <c r="K260" s="20" t="s">
        <v>30</v>
      </c>
      <c r="L260" s="20" t="s">
        <v>30</v>
      </c>
      <c r="M260" s="20" t="s">
        <v>30</v>
      </c>
      <c r="N260" s="20"/>
      <c r="U260" s="56"/>
    </row>
    <row r="261" spans="1:21" ht="20.25" customHeight="1" x14ac:dyDescent="0.35">
      <c r="A261" s="15" t="s">
        <v>29</v>
      </c>
      <c r="C261" s="19"/>
      <c r="D261" s="34" t="str">
        <f t="shared" ref="D261" si="219">E261</f>
        <v>C100055</v>
      </c>
      <c r="E261" s="35" t="str">
        <f>"C100055"</f>
        <v>C100055</v>
      </c>
      <c r="F261" s="36" t="str">
        <f>"Silver Plated Photo Frame"</f>
        <v>Silver Plated Photo Frame</v>
      </c>
      <c r="G261" s="36"/>
      <c r="H261" s="37" t="str">
        <f>"EA"</f>
        <v>EA</v>
      </c>
      <c r="I261" s="36"/>
      <c r="J261" s="36"/>
      <c r="K261" s="36"/>
      <c r="L261" s="36"/>
      <c r="M261" s="36"/>
      <c r="N261" s="36"/>
      <c r="O261" s="38">
        <f t="shared" ref="O261:T261" si="220">(SUBTOTAL(9,O262:O263))</f>
        <v>200</v>
      </c>
      <c r="P261" s="38">
        <f t="shared" si="220"/>
        <v>0</v>
      </c>
      <c r="Q261" s="38">
        <f t="shared" si="220"/>
        <v>0</v>
      </c>
      <c r="R261" s="38">
        <f t="shared" si="220"/>
        <v>0</v>
      </c>
      <c r="S261" s="38">
        <f t="shared" si="220"/>
        <v>0</v>
      </c>
      <c r="T261" s="38">
        <f t="shared" si="220"/>
        <v>0</v>
      </c>
      <c r="U261" s="53">
        <f t="shared" ref="U261" si="221">SUBTOTAL(9,O262:T263)</f>
        <v>200</v>
      </c>
    </row>
    <row r="262" spans="1:21" ht="17.25" customHeight="1" x14ac:dyDescent="0.3">
      <c r="A262" s="15" t="s">
        <v>29</v>
      </c>
      <c r="C262" s="19"/>
      <c r="D262" s="33" t="str">
        <f t="shared" ref="D262" si="222">D261</f>
        <v>C100055</v>
      </c>
      <c r="E262" s="33"/>
      <c r="F262" s="20"/>
      <c r="G262" s="20" t="str">
        <f>"""NAV"",""CRONUS JetCorp USA"",""32"",""1"",""168044"""</f>
        <v>"NAV","CRONUS JetCorp USA","32","1","168044"</v>
      </c>
      <c r="H262" s="39">
        <v>43466</v>
      </c>
      <c r="I262" s="40">
        <v>168044</v>
      </c>
      <c r="J262" s="40" t="str">
        <f>"Vendor"</f>
        <v>Vendor</v>
      </c>
      <c r="K262" s="40" t="str">
        <f>"V100003"</f>
        <v>V100003</v>
      </c>
      <c r="L262" s="40" t="str">
        <f>""</f>
        <v/>
      </c>
      <c r="M262" s="40" t="str">
        <f>"LogoMasters"</f>
        <v>LogoMasters</v>
      </c>
      <c r="N262" s="40" t="str">
        <f>""</f>
        <v/>
      </c>
      <c r="O262" s="41">
        <v>200</v>
      </c>
      <c r="P262" s="41">
        <v>0</v>
      </c>
      <c r="Q262" s="41">
        <v>0</v>
      </c>
      <c r="R262" s="41">
        <v>0</v>
      </c>
      <c r="S262" s="41">
        <v>0</v>
      </c>
      <c r="T262" s="41">
        <v>0</v>
      </c>
      <c r="U262" s="54"/>
    </row>
    <row r="263" spans="1:21" ht="17.25" customHeight="1" x14ac:dyDescent="0.3">
      <c r="A263" s="15" t="s">
        <v>29</v>
      </c>
      <c r="C263" s="19"/>
      <c r="D263" s="33"/>
      <c r="E263" s="33"/>
      <c r="F263" s="20"/>
      <c r="G263" s="20"/>
      <c r="H263" s="20"/>
      <c r="I263" s="20"/>
      <c r="J263" s="20"/>
      <c r="K263" s="20"/>
      <c r="L263" s="20"/>
      <c r="M263" s="20"/>
      <c r="N263" s="20"/>
      <c r="O263" s="42"/>
      <c r="P263" s="42"/>
      <c r="Q263" s="42"/>
      <c r="R263" s="42"/>
      <c r="S263" s="42"/>
      <c r="T263" s="42"/>
      <c r="U263" s="55"/>
    </row>
    <row r="264" spans="1:21" ht="17.25" customHeight="1" x14ac:dyDescent="0.3">
      <c r="A264" s="15" t="s">
        <v>29</v>
      </c>
      <c r="C264" s="19"/>
      <c r="D264" s="33"/>
      <c r="E264" s="33" t="s">
        <v>30</v>
      </c>
      <c r="F264" s="20" t="s">
        <v>30</v>
      </c>
      <c r="G264" s="20" t="s">
        <v>30</v>
      </c>
      <c r="H264" s="20"/>
      <c r="I264" s="20"/>
      <c r="J264" s="20" t="s">
        <v>30</v>
      </c>
      <c r="K264" s="20" t="s">
        <v>30</v>
      </c>
      <c r="L264" s="20" t="s">
        <v>30</v>
      </c>
      <c r="M264" s="20" t="s">
        <v>30</v>
      </c>
      <c r="N264" s="20"/>
      <c r="U264" s="56"/>
    </row>
    <row r="265" spans="1:21" ht="20.25" customHeight="1" x14ac:dyDescent="0.35">
      <c r="A265" s="15" t="s">
        <v>29</v>
      </c>
      <c r="C265" s="19"/>
      <c r="D265" s="34" t="str">
        <f t="shared" ref="D265" si="223">E265</f>
        <v>C100056</v>
      </c>
      <c r="E265" s="35" t="str">
        <f>"C100056"</f>
        <v>C100056</v>
      </c>
      <c r="F265" s="36" t="str">
        <f>"Contemporary Desk Calculator"</f>
        <v>Contemporary Desk Calculator</v>
      </c>
      <c r="G265" s="36"/>
      <c r="H265" s="37" t="str">
        <f>"EA"</f>
        <v>EA</v>
      </c>
      <c r="I265" s="36"/>
      <c r="J265" s="36"/>
      <c r="K265" s="36"/>
      <c r="L265" s="36"/>
      <c r="M265" s="36"/>
      <c r="N265" s="36"/>
      <c r="O265" s="38">
        <f t="shared" ref="O265:T265" si="224">(SUBTOTAL(9,O266:O268))</f>
        <v>1250</v>
      </c>
      <c r="P265" s="38">
        <f t="shared" si="224"/>
        <v>-192</v>
      </c>
      <c r="Q265" s="38">
        <f t="shared" si="224"/>
        <v>0</v>
      </c>
      <c r="R265" s="38">
        <f t="shared" si="224"/>
        <v>0</v>
      </c>
      <c r="S265" s="38">
        <f t="shared" si="224"/>
        <v>0</v>
      </c>
      <c r="T265" s="38">
        <f t="shared" si="224"/>
        <v>0</v>
      </c>
      <c r="U265" s="53">
        <f t="shared" ref="U265" si="225">SUBTOTAL(9,O266:T268)</f>
        <v>1058</v>
      </c>
    </row>
    <row r="266" spans="1:21" ht="17.25" customHeight="1" x14ac:dyDescent="0.3">
      <c r="A266" s="15" t="s">
        <v>29</v>
      </c>
      <c r="C266" s="19"/>
      <c r="D266" s="33" t="str">
        <f t="shared" ref="D266" si="226">D265</f>
        <v>C100056</v>
      </c>
      <c r="E266" s="33"/>
      <c r="F266" s="20"/>
      <c r="G266" s="20" t="str">
        <f>"""NAV"",""CRONUS JetCorp USA"",""32"",""1"",""168360"""</f>
        <v>"NAV","CRONUS JetCorp USA","32","1","168360"</v>
      </c>
      <c r="H266" s="39">
        <v>43466</v>
      </c>
      <c r="I266" s="40">
        <v>168360</v>
      </c>
      <c r="J266" s="40" t="str">
        <f>"Vendor"</f>
        <v>Vendor</v>
      </c>
      <c r="K266" s="40" t="str">
        <f>"V100003"</f>
        <v>V100003</v>
      </c>
      <c r="L266" s="40" t="str">
        <f>""</f>
        <v/>
      </c>
      <c r="M266" s="40" t="str">
        <f>"LogoMasters"</f>
        <v>LogoMasters</v>
      </c>
      <c r="N266" s="40" t="str">
        <f>""</f>
        <v/>
      </c>
      <c r="O266" s="41">
        <v>1250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54"/>
    </row>
    <row r="267" spans="1:21" ht="17.25" customHeight="1" x14ac:dyDescent="0.3">
      <c r="A267" s="15" t="s">
        <v>29</v>
      </c>
      <c r="C267" s="19"/>
      <c r="D267" s="33" t="str">
        <f t="shared" ref="D267" si="227">D266</f>
        <v>C100056</v>
      </c>
      <c r="E267" s="33"/>
      <c r="F267" s="20"/>
      <c r="G267" s="20" t="str">
        <f>"""NAV"",""CRONUS JetCorp USA"",""32"",""1"",""153190"""</f>
        <v>"NAV","CRONUS JetCorp USA","32","1","153190"</v>
      </c>
      <c r="H267" s="39">
        <v>43469</v>
      </c>
      <c r="I267" s="40">
        <v>153190</v>
      </c>
      <c r="J267" s="40" t="str">
        <f>"Customer"</f>
        <v>Customer</v>
      </c>
      <c r="K267" s="40" t="str">
        <f>"C100136"</f>
        <v>C100136</v>
      </c>
      <c r="L267" s="40" t="str">
        <f>"First Bank"</f>
        <v>First Bank</v>
      </c>
      <c r="M267" s="40" t="str">
        <f>""</f>
        <v/>
      </c>
      <c r="N267" s="40" t="str">
        <f>""</f>
        <v/>
      </c>
      <c r="O267" s="41">
        <v>0</v>
      </c>
      <c r="P267" s="41">
        <v>-192</v>
      </c>
      <c r="Q267" s="41">
        <v>0</v>
      </c>
      <c r="R267" s="41">
        <v>0</v>
      </c>
      <c r="S267" s="41">
        <v>0</v>
      </c>
      <c r="T267" s="41">
        <v>0</v>
      </c>
      <c r="U267" s="54"/>
    </row>
    <row r="268" spans="1:21" ht="17.25" customHeight="1" x14ac:dyDescent="0.3">
      <c r="A268" s="15" t="s">
        <v>29</v>
      </c>
      <c r="C268" s="19"/>
      <c r="D268" s="33"/>
      <c r="E268" s="33"/>
      <c r="F268" s="20"/>
      <c r="G268" s="20"/>
      <c r="H268" s="20"/>
      <c r="I268" s="20"/>
      <c r="J268" s="20"/>
      <c r="K268" s="20"/>
      <c r="L268" s="20"/>
      <c r="M268" s="20"/>
      <c r="N268" s="20"/>
      <c r="O268" s="42"/>
      <c r="P268" s="42"/>
      <c r="Q268" s="42"/>
      <c r="R268" s="42"/>
      <c r="S268" s="42"/>
      <c r="T268" s="42"/>
      <c r="U268" s="55"/>
    </row>
    <row r="269" spans="1:21" ht="17.25" customHeight="1" x14ac:dyDescent="0.3">
      <c r="A269" s="15" t="s">
        <v>29</v>
      </c>
      <c r="C269" s="19"/>
      <c r="D269" s="33"/>
      <c r="E269" s="33" t="s">
        <v>30</v>
      </c>
      <c r="F269" s="20" t="s">
        <v>30</v>
      </c>
      <c r="G269" s="20" t="s">
        <v>30</v>
      </c>
      <c r="H269" s="20"/>
      <c r="I269" s="20"/>
      <c r="J269" s="20" t="s">
        <v>30</v>
      </c>
      <c r="K269" s="20" t="s">
        <v>30</v>
      </c>
      <c r="L269" s="20" t="s">
        <v>30</v>
      </c>
      <c r="M269" s="20" t="s">
        <v>30</v>
      </c>
      <c r="N269" s="20"/>
      <c r="U269" s="56"/>
    </row>
    <row r="270" spans="1:21" ht="20.25" customHeight="1" x14ac:dyDescent="0.35">
      <c r="A270" s="15" t="s">
        <v>29</v>
      </c>
      <c r="C270" s="19"/>
      <c r="D270" s="34" t="str">
        <f t="shared" ref="D270" si="228">E270</f>
        <v>C100061</v>
      </c>
      <c r="E270" s="35" t="str">
        <f>"C100061"</f>
        <v>C100061</v>
      </c>
      <c r="F270" s="36" t="str">
        <f>"Bistro Mug"</f>
        <v>Bistro Mug</v>
      </c>
      <c r="G270" s="36"/>
      <c r="H270" s="37" t="str">
        <f>"EA"</f>
        <v>EA</v>
      </c>
      <c r="I270" s="36"/>
      <c r="J270" s="36"/>
      <c r="K270" s="36"/>
      <c r="L270" s="36"/>
      <c r="M270" s="36"/>
      <c r="N270" s="36"/>
      <c r="O270" s="38">
        <f t="shared" ref="O270:T270" si="229">(SUBTOTAL(9,O271:O274))</f>
        <v>1000</v>
      </c>
      <c r="P270" s="38">
        <f t="shared" si="229"/>
        <v>-48</v>
      </c>
      <c r="Q270" s="38">
        <f t="shared" si="229"/>
        <v>0</v>
      </c>
      <c r="R270" s="38">
        <f t="shared" si="229"/>
        <v>0</v>
      </c>
      <c r="S270" s="38">
        <f t="shared" si="229"/>
        <v>0</v>
      </c>
      <c r="T270" s="38">
        <f t="shared" si="229"/>
        <v>0</v>
      </c>
      <c r="U270" s="53">
        <f t="shared" ref="U270" si="230">SUBTOTAL(9,O271:T274)</f>
        <v>952</v>
      </c>
    </row>
    <row r="271" spans="1:21" ht="17.25" customHeight="1" x14ac:dyDescent="0.3">
      <c r="A271" s="15" t="s">
        <v>29</v>
      </c>
      <c r="C271" s="19"/>
      <c r="D271" s="33" t="str">
        <f t="shared" ref="D271" si="231">D270</f>
        <v>C100061</v>
      </c>
      <c r="E271" s="33"/>
      <c r="F271" s="20"/>
      <c r="G271" s="20" t="str">
        <f>"""NAV"",""CRONUS JetCorp USA"",""32"",""1"",""168670"""</f>
        <v>"NAV","CRONUS JetCorp USA","32","1","168670"</v>
      </c>
      <c r="H271" s="39">
        <v>43466</v>
      </c>
      <c r="I271" s="40">
        <v>168670</v>
      </c>
      <c r="J271" s="40" t="str">
        <f>"Vendor"</f>
        <v>Vendor</v>
      </c>
      <c r="K271" s="40" t="str">
        <f>"V100003"</f>
        <v>V100003</v>
      </c>
      <c r="L271" s="40" t="str">
        <f>""</f>
        <v/>
      </c>
      <c r="M271" s="40" t="str">
        <f>"LogoMasters"</f>
        <v>LogoMasters</v>
      </c>
      <c r="N271" s="40" t="str">
        <f>""</f>
        <v/>
      </c>
      <c r="O271" s="41">
        <v>750</v>
      </c>
      <c r="P271" s="41">
        <v>0</v>
      </c>
      <c r="Q271" s="41">
        <v>0</v>
      </c>
      <c r="R271" s="41">
        <v>0</v>
      </c>
      <c r="S271" s="41">
        <v>0</v>
      </c>
      <c r="T271" s="41">
        <v>0</v>
      </c>
      <c r="U271" s="54"/>
    </row>
    <row r="272" spans="1:21" ht="17.25" customHeight="1" x14ac:dyDescent="0.3">
      <c r="A272" s="15" t="s">
        <v>29</v>
      </c>
      <c r="C272" s="19"/>
      <c r="D272" s="33" t="str">
        <f t="shared" ref="D272:D273" si="232">D271</f>
        <v>C100061</v>
      </c>
      <c r="E272" s="33"/>
      <c r="F272" s="20"/>
      <c r="G272" s="20" t="str">
        <f>"""NAV"",""CRONUS JetCorp USA"",""32"",""1"",""168682"""</f>
        <v>"NAV","CRONUS JetCorp USA","32","1","168682"</v>
      </c>
      <c r="H272" s="39">
        <v>43466</v>
      </c>
      <c r="I272" s="40">
        <v>168682</v>
      </c>
      <c r="J272" s="40" t="str">
        <f>"Vendor"</f>
        <v>Vendor</v>
      </c>
      <c r="K272" s="40" t="str">
        <f>"V100001"</f>
        <v>V100001</v>
      </c>
      <c r="L272" s="40" t="str">
        <f>""</f>
        <v/>
      </c>
      <c r="M272" s="40" t="str">
        <f>"Greigner, Inc."</f>
        <v>Greigner, Inc.</v>
      </c>
      <c r="N272" s="40" t="str">
        <f>""</f>
        <v/>
      </c>
      <c r="O272" s="41">
        <v>250</v>
      </c>
      <c r="P272" s="41">
        <v>0</v>
      </c>
      <c r="Q272" s="41">
        <v>0</v>
      </c>
      <c r="R272" s="41">
        <v>0</v>
      </c>
      <c r="S272" s="41">
        <v>0</v>
      </c>
      <c r="T272" s="41">
        <v>0</v>
      </c>
      <c r="U272" s="54"/>
    </row>
    <row r="273" spans="1:21" ht="17.25" customHeight="1" x14ac:dyDescent="0.3">
      <c r="A273" s="15" t="s">
        <v>29</v>
      </c>
      <c r="C273" s="19"/>
      <c r="D273" s="33" t="str">
        <f t="shared" si="232"/>
        <v>C100061</v>
      </c>
      <c r="E273" s="33"/>
      <c r="F273" s="20"/>
      <c r="G273" s="20" t="str">
        <f>"""NAV"",""CRONUS JetCorp USA"",""32"",""1"",""64629"""</f>
        <v>"NAV","CRONUS JetCorp USA","32","1","64629"</v>
      </c>
      <c r="H273" s="39">
        <v>43475</v>
      </c>
      <c r="I273" s="40">
        <v>64629</v>
      </c>
      <c r="J273" s="40" t="str">
        <f>"Customer"</f>
        <v>Customer</v>
      </c>
      <c r="K273" s="40" t="str">
        <f>"C100136"</f>
        <v>C100136</v>
      </c>
      <c r="L273" s="40" t="str">
        <f>"First Bank"</f>
        <v>First Bank</v>
      </c>
      <c r="M273" s="40" t="str">
        <f>""</f>
        <v/>
      </c>
      <c r="N273" s="40" t="str">
        <f>""</f>
        <v/>
      </c>
      <c r="O273" s="41">
        <v>0</v>
      </c>
      <c r="P273" s="41">
        <v>-48</v>
      </c>
      <c r="Q273" s="41">
        <v>0</v>
      </c>
      <c r="R273" s="41">
        <v>0</v>
      </c>
      <c r="S273" s="41">
        <v>0</v>
      </c>
      <c r="T273" s="41">
        <v>0</v>
      </c>
      <c r="U273" s="54"/>
    </row>
    <row r="274" spans="1:21" ht="17.25" customHeight="1" x14ac:dyDescent="0.3">
      <c r="A274" s="15" t="s">
        <v>29</v>
      </c>
      <c r="C274" s="19"/>
      <c r="D274" s="33"/>
      <c r="E274" s="33"/>
      <c r="F274" s="20"/>
      <c r="G274" s="20"/>
      <c r="H274" s="20"/>
      <c r="I274" s="20"/>
      <c r="J274" s="20"/>
      <c r="K274" s="20"/>
      <c r="L274" s="20"/>
      <c r="M274" s="20"/>
      <c r="N274" s="20"/>
      <c r="O274" s="42"/>
      <c r="P274" s="42"/>
      <c r="Q274" s="42"/>
      <c r="R274" s="42"/>
      <c r="S274" s="42"/>
      <c r="T274" s="42"/>
      <c r="U274" s="55"/>
    </row>
    <row r="275" spans="1:21" ht="17.25" customHeight="1" x14ac:dyDescent="0.3">
      <c r="A275" s="15" t="s">
        <v>29</v>
      </c>
      <c r="C275" s="19"/>
      <c r="D275" s="33"/>
      <c r="E275" s="33" t="s">
        <v>30</v>
      </c>
      <c r="F275" s="20" t="s">
        <v>30</v>
      </c>
      <c r="G275" s="20" t="s">
        <v>30</v>
      </c>
      <c r="H275" s="20"/>
      <c r="I275" s="20"/>
      <c r="J275" s="20" t="s">
        <v>30</v>
      </c>
      <c r="K275" s="20" t="s">
        <v>30</v>
      </c>
      <c r="L275" s="20" t="s">
        <v>30</v>
      </c>
      <c r="M275" s="20" t="s">
        <v>30</v>
      </c>
      <c r="N275" s="20"/>
      <c r="U275" s="56"/>
    </row>
    <row r="276" spans="1:21" ht="20.25" customHeight="1" x14ac:dyDescent="0.35">
      <c r="A276" s="15" t="s">
        <v>29</v>
      </c>
      <c r="C276" s="19"/>
      <c r="D276" s="34" t="str">
        <f t="shared" ref="D276" si="233">E276</f>
        <v>C100062</v>
      </c>
      <c r="E276" s="35" t="str">
        <f>"C100062"</f>
        <v>C100062</v>
      </c>
      <c r="F276" s="36" t="str">
        <f>"Tall Matte Finish Mug"</f>
        <v>Tall Matte Finish Mug</v>
      </c>
      <c r="G276" s="36"/>
      <c r="H276" s="37" t="str">
        <f>"EA"</f>
        <v>EA</v>
      </c>
      <c r="I276" s="36"/>
      <c r="J276" s="36"/>
      <c r="K276" s="36"/>
      <c r="L276" s="36"/>
      <c r="M276" s="36"/>
      <c r="N276" s="36"/>
      <c r="O276" s="38">
        <f t="shared" ref="O276:T276" si="234">(SUBTOTAL(9,O277:O279))</f>
        <v>1000</v>
      </c>
      <c r="P276" s="38">
        <f t="shared" si="234"/>
        <v>0</v>
      </c>
      <c r="Q276" s="38">
        <f t="shared" si="234"/>
        <v>0</v>
      </c>
      <c r="R276" s="38">
        <f t="shared" si="234"/>
        <v>0</v>
      </c>
      <c r="S276" s="38">
        <f t="shared" si="234"/>
        <v>0</v>
      </c>
      <c r="T276" s="38">
        <f t="shared" si="234"/>
        <v>0</v>
      </c>
      <c r="U276" s="53">
        <f t="shared" ref="U276" si="235">SUBTOTAL(9,O277:T279)</f>
        <v>1000</v>
      </c>
    </row>
    <row r="277" spans="1:21" ht="17.25" customHeight="1" x14ac:dyDescent="0.3">
      <c r="A277" s="15" t="s">
        <v>29</v>
      </c>
      <c r="C277" s="19"/>
      <c r="D277" s="33" t="str">
        <f t="shared" ref="D277" si="236">D276</f>
        <v>C100062</v>
      </c>
      <c r="E277" s="33"/>
      <c r="F277" s="20"/>
      <c r="G277" s="20" t="str">
        <f>"""NAV"",""CRONUS JetCorp USA"",""32"",""1"",""168669"""</f>
        <v>"NAV","CRONUS JetCorp USA","32","1","168669"</v>
      </c>
      <c r="H277" s="39">
        <v>43466</v>
      </c>
      <c r="I277" s="40">
        <v>168669</v>
      </c>
      <c r="J277" s="40" t="str">
        <f>"Vendor"</f>
        <v>Vendor</v>
      </c>
      <c r="K277" s="40" t="str">
        <f>"V100003"</f>
        <v>V100003</v>
      </c>
      <c r="L277" s="40" t="str">
        <f>""</f>
        <v/>
      </c>
      <c r="M277" s="40" t="str">
        <f>"LogoMasters"</f>
        <v>LogoMasters</v>
      </c>
      <c r="N277" s="40" t="str">
        <f>""</f>
        <v/>
      </c>
      <c r="O277" s="41">
        <v>750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54"/>
    </row>
    <row r="278" spans="1:21" ht="17.25" customHeight="1" x14ac:dyDescent="0.3">
      <c r="A278" s="15" t="s">
        <v>29</v>
      </c>
      <c r="C278" s="19"/>
      <c r="D278" s="33" t="str">
        <f t="shared" ref="D278" si="237">D277</f>
        <v>C100062</v>
      </c>
      <c r="E278" s="33"/>
      <c r="F278" s="20"/>
      <c r="G278" s="20" t="str">
        <f>"""NAV"",""CRONUS JetCorp USA"",""32"",""1"",""168681"""</f>
        <v>"NAV","CRONUS JetCorp USA","32","1","168681"</v>
      </c>
      <c r="H278" s="39">
        <v>43466</v>
      </c>
      <c r="I278" s="40">
        <v>168681</v>
      </c>
      <c r="J278" s="40" t="str">
        <f>"Vendor"</f>
        <v>Vendor</v>
      </c>
      <c r="K278" s="40" t="str">
        <f>"V100001"</f>
        <v>V100001</v>
      </c>
      <c r="L278" s="40" t="str">
        <f>""</f>
        <v/>
      </c>
      <c r="M278" s="40" t="str">
        <f>"Greigner, Inc."</f>
        <v>Greigner, Inc.</v>
      </c>
      <c r="N278" s="40" t="str">
        <f>""</f>
        <v/>
      </c>
      <c r="O278" s="41">
        <v>249.99999999999997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54"/>
    </row>
    <row r="279" spans="1:21" ht="17.25" customHeight="1" x14ac:dyDescent="0.3">
      <c r="A279" s="15" t="s">
        <v>29</v>
      </c>
      <c r="C279" s="19"/>
      <c r="D279" s="33"/>
      <c r="E279" s="33"/>
      <c r="F279" s="20"/>
      <c r="G279" s="20"/>
      <c r="H279" s="20"/>
      <c r="I279" s="20"/>
      <c r="J279" s="20"/>
      <c r="K279" s="20"/>
      <c r="L279" s="20"/>
      <c r="M279" s="20"/>
      <c r="N279" s="20"/>
      <c r="O279" s="42"/>
      <c r="P279" s="42"/>
      <c r="Q279" s="42"/>
      <c r="R279" s="42"/>
      <c r="S279" s="42"/>
      <c r="T279" s="42"/>
      <c r="U279" s="55"/>
    </row>
    <row r="280" spans="1:21" ht="17.25" customHeight="1" x14ac:dyDescent="0.3">
      <c r="A280" s="15" t="s">
        <v>29</v>
      </c>
      <c r="C280" s="19"/>
      <c r="D280" s="33"/>
      <c r="E280" s="33" t="s">
        <v>30</v>
      </c>
      <c r="F280" s="20" t="s">
        <v>30</v>
      </c>
      <c r="G280" s="20" t="s">
        <v>30</v>
      </c>
      <c r="H280" s="20"/>
      <c r="I280" s="20"/>
      <c r="J280" s="20" t="s">
        <v>30</v>
      </c>
      <c r="K280" s="20" t="s">
        <v>30</v>
      </c>
      <c r="L280" s="20" t="s">
        <v>30</v>
      </c>
      <c r="M280" s="20" t="s">
        <v>30</v>
      </c>
      <c r="N280" s="20"/>
      <c r="U280" s="56"/>
    </row>
    <row r="281" spans="1:21" ht="20.25" customHeight="1" x14ac:dyDescent="0.35">
      <c r="A281" s="15" t="s">
        <v>29</v>
      </c>
      <c r="C281" s="19"/>
      <c r="D281" s="34" t="str">
        <f t="shared" ref="D281" si="238">E281</f>
        <v>C100063</v>
      </c>
      <c r="E281" s="35" t="str">
        <f>"C100063"</f>
        <v>C100063</v>
      </c>
      <c r="F281" s="36" t="str">
        <f>"Soup Mug"</f>
        <v>Soup Mug</v>
      </c>
      <c r="G281" s="36"/>
      <c r="H281" s="37" t="str">
        <f>"EA"</f>
        <v>EA</v>
      </c>
      <c r="I281" s="36"/>
      <c r="J281" s="36"/>
      <c r="K281" s="36"/>
      <c r="L281" s="36"/>
      <c r="M281" s="36"/>
      <c r="N281" s="36"/>
      <c r="O281" s="38">
        <f t="shared" ref="O281:T281" si="239">(SUBTOTAL(9,O282:O283))</f>
        <v>999.99999999999989</v>
      </c>
      <c r="P281" s="38">
        <f t="shared" si="239"/>
        <v>0</v>
      </c>
      <c r="Q281" s="38">
        <f t="shared" si="239"/>
        <v>0</v>
      </c>
      <c r="R281" s="38">
        <f t="shared" si="239"/>
        <v>0</v>
      </c>
      <c r="S281" s="38">
        <f t="shared" si="239"/>
        <v>0</v>
      </c>
      <c r="T281" s="38">
        <f t="shared" si="239"/>
        <v>0</v>
      </c>
      <c r="U281" s="53">
        <f t="shared" ref="U281" si="240">SUBTOTAL(9,O282:T283)</f>
        <v>999.99999999999989</v>
      </c>
    </row>
    <row r="282" spans="1:21" ht="17.25" customHeight="1" x14ac:dyDescent="0.3">
      <c r="A282" s="15" t="s">
        <v>29</v>
      </c>
      <c r="C282" s="19"/>
      <c r="D282" s="33" t="str">
        <f t="shared" ref="D282" si="241">D281</f>
        <v>C100063</v>
      </c>
      <c r="E282" s="33"/>
      <c r="F282" s="20"/>
      <c r="G282" s="20" t="str">
        <f>"""NAV"",""CRONUS JetCorp USA"",""32"",""1"",""168668"""</f>
        <v>"NAV","CRONUS JetCorp USA","32","1","168668"</v>
      </c>
      <c r="H282" s="39">
        <v>43466</v>
      </c>
      <c r="I282" s="40">
        <v>168668</v>
      </c>
      <c r="J282" s="40" t="str">
        <f>"Vendor"</f>
        <v>Vendor</v>
      </c>
      <c r="K282" s="40" t="str">
        <f>"V100003"</f>
        <v>V100003</v>
      </c>
      <c r="L282" s="40" t="str">
        <f>""</f>
        <v/>
      </c>
      <c r="M282" s="40" t="str">
        <f>"LogoMasters"</f>
        <v>LogoMasters</v>
      </c>
      <c r="N282" s="40" t="str">
        <f>""</f>
        <v/>
      </c>
      <c r="O282" s="41">
        <v>999.99999999999989</v>
      </c>
      <c r="P282" s="41">
        <v>0</v>
      </c>
      <c r="Q282" s="41">
        <v>0</v>
      </c>
      <c r="R282" s="41">
        <v>0</v>
      </c>
      <c r="S282" s="41">
        <v>0</v>
      </c>
      <c r="T282" s="41">
        <v>0</v>
      </c>
      <c r="U282" s="54"/>
    </row>
    <row r="283" spans="1:21" ht="17.25" customHeight="1" x14ac:dyDescent="0.3">
      <c r="A283" s="15" t="s">
        <v>29</v>
      </c>
      <c r="C283" s="19"/>
      <c r="D283" s="33"/>
      <c r="E283" s="33"/>
      <c r="F283" s="20"/>
      <c r="G283" s="20"/>
      <c r="H283" s="20"/>
      <c r="I283" s="20"/>
      <c r="J283" s="20"/>
      <c r="K283" s="20"/>
      <c r="L283" s="20"/>
      <c r="M283" s="20"/>
      <c r="N283" s="20"/>
      <c r="O283" s="42"/>
      <c r="P283" s="42"/>
      <c r="Q283" s="42"/>
      <c r="R283" s="42"/>
      <c r="S283" s="42"/>
      <c r="T283" s="42"/>
      <c r="U283" s="55"/>
    </row>
    <row r="284" spans="1:21" ht="17.25" customHeight="1" x14ac:dyDescent="0.3">
      <c r="A284" s="15" t="s">
        <v>29</v>
      </c>
      <c r="C284" s="19"/>
      <c r="D284" s="33"/>
      <c r="E284" s="33" t="s">
        <v>30</v>
      </c>
      <c r="F284" s="20" t="s">
        <v>30</v>
      </c>
      <c r="G284" s="20" t="s">
        <v>30</v>
      </c>
      <c r="H284" s="20"/>
      <c r="I284" s="20"/>
      <c r="J284" s="20" t="s">
        <v>30</v>
      </c>
      <c r="K284" s="20" t="s">
        <v>30</v>
      </c>
      <c r="L284" s="20" t="s">
        <v>30</v>
      </c>
      <c r="M284" s="20" t="s">
        <v>30</v>
      </c>
      <c r="N284" s="20"/>
      <c r="U284" s="56"/>
    </row>
    <row r="285" spans="1:21" ht="20.25" customHeight="1" x14ac:dyDescent="0.35">
      <c r="A285" s="15" t="s">
        <v>29</v>
      </c>
      <c r="C285" s="19"/>
      <c r="D285" s="34" t="str">
        <f t="shared" ref="D285" si="242">E285</f>
        <v>C100066</v>
      </c>
      <c r="E285" s="35" t="str">
        <f>"C100066"</f>
        <v>C100066</v>
      </c>
      <c r="F285" s="36" t="str">
        <f>"Fashion Travel Mug"</f>
        <v>Fashion Travel Mug</v>
      </c>
      <c r="G285" s="36"/>
      <c r="H285" s="37" t="str">
        <f>"EA"</f>
        <v>EA</v>
      </c>
      <c r="I285" s="36"/>
      <c r="J285" s="36"/>
      <c r="K285" s="36"/>
      <c r="L285" s="36"/>
      <c r="M285" s="36"/>
      <c r="N285" s="36"/>
      <c r="O285" s="38">
        <f t="shared" ref="O285:T285" si="243">(SUBTOTAL(9,O286:O289))</f>
        <v>1500</v>
      </c>
      <c r="P285" s="38">
        <f t="shared" si="243"/>
        <v>-144</v>
      </c>
      <c r="Q285" s="38">
        <f t="shared" si="243"/>
        <v>0</v>
      </c>
      <c r="R285" s="38">
        <f t="shared" si="243"/>
        <v>0</v>
      </c>
      <c r="S285" s="38">
        <f t="shared" si="243"/>
        <v>0</v>
      </c>
      <c r="T285" s="38">
        <f t="shared" si="243"/>
        <v>0</v>
      </c>
      <c r="U285" s="53">
        <f t="shared" ref="U285" si="244">SUBTOTAL(9,O286:T289)</f>
        <v>1356</v>
      </c>
    </row>
    <row r="286" spans="1:21" ht="17.25" customHeight="1" x14ac:dyDescent="0.3">
      <c r="A286" s="15" t="s">
        <v>29</v>
      </c>
      <c r="C286" s="19"/>
      <c r="D286" s="33" t="str">
        <f t="shared" ref="D286" si="245">D285</f>
        <v>C100066</v>
      </c>
      <c r="E286" s="33"/>
      <c r="F286" s="20"/>
      <c r="G286" s="20" t="str">
        <f>"""NAV"",""CRONUS JetCorp USA"",""32"",""1"",""168667"""</f>
        <v>"NAV","CRONUS JetCorp USA","32","1","168667"</v>
      </c>
      <c r="H286" s="39">
        <v>43466</v>
      </c>
      <c r="I286" s="40">
        <v>168667</v>
      </c>
      <c r="J286" s="40" t="str">
        <f>"Vendor"</f>
        <v>Vendor</v>
      </c>
      <c r="K286" s="40" t="str">
        <f>"V100003"</f>
        <v>V100003</v>
      </c>
      <c r="L286" s="40" t="str">
        <f>""</f>
        <v/>
      </c>
      <c r="M286" s="40" t="str">
        <f>"LogoMasters"</f>
        <v>LogoMasters</v>
      </c>
      <c r="N286" s="40" t="str">
        <f>""</f>
        <v/>
      </c>
      <c r="O286" s="41">
        <v>1250</v>
      </c>
      <c r="P286" s="41">
        <v>0</v>
      </c>
      <c r="Q286" s="41">
        <v>0</v>
      </c>
      <c r="R286" s="41">
        <v>0</v>
      </c>
      <c r="S286" s="41">
        <v>0</v>
      </c>
      <c r="T286" s="41">
        <v>0</v>
      </c>
      <c r="U286" s="54"/>
    </row>
    <row r="287" spans="1:21" ht="17.25" customHeight="1" x14ac:dyDescent="0.3">
      <c r="A287" s="15" t="s">
        <v>29</v>
      </c>
      <c r="C287" s="19"/>
      <c r="D287" s="33" t="str">
        <f t="shared" ref="D287:D288" si="246">D286</f>
        <v>C100066</v>
      </c>
      <c r="E287" s="33"/>
      <c r="F287" s="20"/>
      <c r="G287" s="20" t="str">
        <f>"""NAV"",""CRONUS JetCorp USA"",""32"",""1"",""168680"""</f>
        <v>"NAV","CRONUS JetCorp USA","32","1","168680"</v>
      </c>
      <c r="H287" s="39">
        <v>43466</v>
      </c>
      <c r="I287" s="40">
        <v>168680</v>
      </c>
      <c r="J287" s="40" t="str">
        <f>"Vendor"</f>
        <v>Vendor</v>
      </c>
      <c r="K287" s="40" t="str">
        <f>"V100001"</f>
        <v>V100001</v>
      </c>
      <c r="L287" s="40" t="str">
        <f>""</f>
        <v/>
      </c>
      <c r="M287" s="40" t="str">
        <f>"Greigner, Inc."</f>
        <v>Greigner, Inc.</v>
      </c>
      <c r="N287" s="40" t="str">
        <f>""</f>
        <v/>
      </c>
      <c r="O287" s="41">
        <v>250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54"/>
    </row>
    <row r="288" spans="1:21" ht="17.25" customHeight="1" x14ac:dyDescent="0.3">
      <c r="A288" s="15" t="s">
        <v>29</v>
      </c>
      <c r="C288" s="19"/>
      <c r="D288" s="33" t="str">
        <f t="shared" si="246"/>
        <v>C100066</v>
      </c>
      <c r="E288" s="33"/>
      <c r="F288" s="20"/>
      <c r="G288" s="20" t="str">
        <f>"""NAV"",""CRONUS JetCorp USA"",""32"",""1"",""64616"""</f>
        <v>"NAV","CRONUS JetCorp USA","32","1","64616"</v>
      </c>
      <c r="H288" s="39">
        <v>43475</v>
      </c>
      <c r="I288" s="40">
        <v>64616</v>
      </c>
      <c r="J288" s="40" t="str">
        <f>"Customer"</f>
        <v>Customer</v>
      </c>
      <c r="K288" s="40" t="str">
        <f>"C100136"</f>
        <v>C100136</v>
      </c>
      <c r="L288" s="40" t="str">
        <f>"First Bank"</f>
        <v>First Bank</v>
      </c>
      <c r="M288" s="40" t="str">
        <f>""</f>
        <v/>
      </c>
      <c r="N288" s="40" t="str">
        <f>""</f>
        <v/>
      </c>
      <c r="O288" s="41">
        <v>0</v>
      </c>
      <c r="P288" s="41">
        <v>-144</v>
      </c>
      <c r="Q288" s="41">
        <v>0</v>
      </c>
      <c r="R288" s="41">
        <v>0</v>
      </c>
      <c r="S288" s="41">
        <v>0</v>
      </c>
      <c r="T288" s="41">
        <v>0</v>
      </c>
      <c r="U288" s="54"/>
    </row>
    <row r="289" spans="1:21" ht="17.25" customHeight="1" x14ac:dyDescent="0.3">
      <c r="A289" s="15" t="s">
        <v>29</v>
      </c>
      <c r="C289" s="19"/>
      <c r="D289" s="33"/>
      <c r="E289" s="33"/>
      <c r="F289" s="20"/>
      <c r="G289" s="20"/>
      <c r="H289" s="20"/>
      <c r="I289" s="20"/>
      <c r="J289" s="20"/>
      <c r="K289" s="20"/>
      <c r="L289" s="20"/>
      <c r="M289" s="20"/>
      <c r="N289" s="20"/>
      <c r="O289" s="42"/>
      <c r="P289" s="42"/>
      <c r="Q289" s="42"/>
      <c r="R289" s="42"/>
      <c r="S289" s="42"/>
      <c r="T289" s="42"/>
      <c r="U289" s="55"/>
    </row>
    <row r="290" spans="1:21" ht="17.25" customHeight="1" x14ac:dyDescent="0.3">
      <c r="A290" s="15" t="s">
        <v>29</v>
      </c>
      <c r="C290" s="19"/>
      <c r="D290" s="33"/>
      <c r="E290" s="33" t="s">
        <v>30</v>
      </c>
      <c r="F290" s="20" t="s">
        <v>30</v>
      </c>
      <c r="G290" s="20" t="s">
        <v>30</v>
      </c>
      <c r="H290" s="20"/>
      <c r="I290" s="20"/>
      <c r="J290" s="20" t="s">
        <v>30</v>
      </c>
      <c r="K290" s="20" t="s">
        <v>30</v>
      </c>
      <c r="L290" s="20" t="s">
        <v>30</v>
      </c>
      <c r="M290" s="20" t="s">
        <v>30</v>
      </c>
      <c r="N290" s="20"/>
      <c r="U290" s="56"/>
    </row>
    <row r="291" spans="1:21" ht="20.25" customHeight="1" x14ac:dyDescent="0.35">
      <c r="A291" s="15" t="s">
        <v>29</v>
      </c>
      <c r="C291" s="19"/>
      <c r="D291" s="34" t="str">
        <f t="shared" ref="D291" si="247">E291</f>
        <v>C100067</v>
      </c>
      <c r="E291" s="35" t="str">
        <f>"C100067"</f>
        <v>C100067</v>
      </c>
      <c r="F291" s="36" t="str">
        <f>"Stainless Thermos"</f>
        <v>Stainless Thermos</v>
      </c>
      <c r="G291" s="36"/>
      <c r="H291" s="37" t="str">
        <f>"EA"</f>
        <v>EA</v>
      </c>
      <c r="I291" s="36"/>
      <c r="J291" s="36"/>
      <c r="K291" s="36"/>
      <c r="L291" s="36"/>
      <c r="M291" s="36"/>
      <c r="N291" s="36"/>
      <c r="O291" s="38">
        <f t="shared" ref="O291:T291" si="248">(SUBTOTAL(9,O292:O293))</f>
        <v>1250</v>
      </c>
      <c r="P291" s="38">
        <f t="shared" si="248"/>
        <v>0</v>
      </c>
      <c r="Q291" s="38">
        <f t="shared" si="248"/>
        <v>0</v>
      </c>
      <c r="R291" s="38">
        <f t="shared" si="248"/>
        <v>0</v>
      </c>
      <c r="S291" s="38">
        <f t="shared" si="248"/>
        <v>0</v>
      </c>
      <c r="T291" s="38">
        <f t="shared" si="248"/>
        <v>0</v>
      </c>
      <c r="U291" s="53">
        <f t="shared" ref="U291" si="249">SUBTOTAL(9,O292:T293)</f>
        <v>1250</v>
      </c>
    </row>
    <row r="292" spans="1:21" ht="17.25" customHeight="1" x14ac:dyDescent="0.3">
      <c r="A292" s="15" t="s">
        <v>29</v>
      </c>
      <c r="C292" s="19"/>
      <c r="D292" s="33" t="str">
        <f t="shared" ref="D292" si="250">D291</f>
        <v>C100067</v>
      </c>
      <c r="E292" s="33"/>
      <c r="F292" s="20"/>
      <c r="G292" s="20" t="str">
        <f>"""NAV"",""CRONUS JetCorp USA"",""32"",""1"",""168666"""</f>
        <v>"NAV","CRONUS JetCorp USA","32","1","168666"</v>
      </c>
      <c r="H292" s="39">
        <v>43466</v>
      </c>
      <c r="I292" s="40">
        <v>168666</v>
      </c>
      <c r="J292" s="40" t="str">
        <f>"Vendor"</f>
        <v>Vendor</v>
      </c>
      <c r="K292" s="40" t="str">
        <f>"V100003"</f>
        <v>V100003</v>
      </c>
      <c r="L292" s="40" t="str">
        <f>""</f>
        <v/>
      </c>
      <c r="M292" s="40" t="str">
        <f>"LogoMasters"</f>
        <v>LogoMasters</v>
      </c>
      <c r="N292" s="40" t="str">
        <f>""</f>
        <v/>
      </c>
      <c r="O292" s="41">
        <v>1250</v>
      </c>
      <c r="P292" s="41">
        <v>0</v>
      </c>
      <c r="Q292" s="41">
        <v>0</v>
      </c>
      <c r="R292" s="41">
        <v>0</v>
      </c>
      <c r="S292" s="41">
        <v>0</v>
      </c>
      <c r="T292" s="41">
        <v>0</v>
      </c>
      <c r="U292" s="54"/>
    </row>
    <row r="293" spans="1:21" ht="17.25" customHeight="1" x14ac:dyDescent="0.3">
      <c r="A293" s="15" t="s">
        <v>29</v>
      </c>
      <c r="C293" s="19"/>
      <c r="D293" s="33"/>
      <c r="E293" s="33"/>
      <c r="F293" s="20"/>
      <c r="G293" s="20"/>
      <c r="H293" s="20"/>
      <c r="I293" s="20"/>
      <c r="J293" s="20"/>
      <c r="K293" s="20"/>
      <c r="L293" s="20"/>
      <c r="M293" s="20"/>
      <c r="N293" s="20"/>
      <c r="O293" s="42"/>
      <c r="P293" s="42"/>
      <c r="Q293" s="42"/>
      <c r="R293" s="42"/>
      <c r="S293" s="42"/>
      <c r="T293" s="42"/>
      <c r="U293" s="55"/>
    </row>
    <row r="294" spans="1:21" ht="17.25" customHeight="1" x14ac:dyDescent="0.3">
      <c r="A294" s="15" t="s">
        <v>29</v>
      </c>
      <c r="C294" s="19"/>
      <c r="D294" s="33"/>
      <c r="E294" s="33" t="s">
        <v>30</v>
      </c>
      <c r="F294" s="20" t="s">
        <v>30</v>
      </c>
      <c r="G294" s="20" t="s">
        <v>30</v>
      </c>
      <c r="H294" s="20"/>
      <c r="I294" s="20"/>
      <c r="J294" s="20" t="s">
        <v>30</v>
      </c>
      <c r="K294" s="20" t="s">
        <v>30</v>
      </c>
      <c r="L294" s="20" t="s">
        <v>30</v>
      </c>
      <c r="M294" s="20" t="s">
        <v>30</v>
      </c>
      <c r="N294" s="20"/>
      <c r="U294" s="56"/>
    </row>
    <row r="295" spans="1:21" ht="20.25" customHeight="1" x14ac:dyDescent="0.35">
      <c r="A295" s="15" t="s">
        <v>29</v>
      </c>
      <c r="C295" s="19"/>
      <c r="D295" s="34" t="str">
        <f t="shared" ref="D295" si="251">E295</f>
        <v>E100001</v>
      </c>
      <c r="E295" s="35" t="str">
        <f>"E100001"</f>
        <v>E100001</v>
      </c>
      <c r="F295" s="36" t="str">
        <f>"Sport Bag"</f>
        <v>Sport Bag</v>
      </c>
      <c r="G295" s="36"/>
      <c r="H295" s="37" t="str">
        <f>"EA"</f>
        <v>EA</v>
      </c>
      <c r="I295" s="36"/>
      <c r="J295" s="36"/>
      <c r="K295" s="36"/>
      <c r="L295" s="36"/>
      <c r="M295" s="36"/>
      <c r="N295" s="36"/>
      <c r="O295" s="38">
        <f t="shared" ref="O295:T295" si="252">(SUBTOTAL(9,O296:O301))</f>
        <v>1600</v>
      </c>
      <c r="P295" s="38">
        <f t="shared" si="252"/>
        <v>-289</v>
      </c>
      <c r="Q295" s="38">
        <f t="shared" si="252"/>
        <v>0</v>
      </c>
      <c r="R295" s="38">
        <f t="shared" si="252"/>
        <v>0</v>
      </c>
      <c r="S295" s="38">
        <f t="shared" si="252"/>
        <v>0</v>
      </c>
      <c r="T295" s="38">
        <f t="shared" si="252"/>
        <v>0</v>
      </c>
      <c r="U295" s="53">
        <f t="shared" ref="U295" si="253">SUBTOTAL(9,O296:T301)</f>
        <v>1311</v>
      </c>
    </row>
    <row r="296" spans="1:21" ht="17.25" customHeight="1" x14ac:dyDescent="0.3">
      <c r="A296" s="15" t="s">
        <v>29</v>
      </c>
      <c r="C296" s="19"/>
      <c r="D296" s="33" t="str">
        <f t="shared" ref="D296" si="254">D295</f>
        <v>E100001</v>
      </c>
      <c r="E296" s="33"/>
      <c r="F296" s="20"/>
      <c r="G296" s="20" t="str">
        <f>"""NAV"",""CRONUS JetCorp USA"",""32"",""1"",""166794"""</f>
        <v>"NAV","CRONUS JetCorp USA","32","1","166794"</v>
      </c>
      <c r="H296" s="39">
        <v>43466</v>
      </c>
      <c r="I296" s="40">
        <v>166794</v>
      </c>
      <c r="J296" s="40" t="str">
        <f>"Vendor"</f>
        <v>Vendor</v>
      </c>
      <c r="K296" s="40" t="str">
        <f>"V100003"</f>
        <v>V100003</v>
      </c>
      <c r="L296" s="40" t="str">
        <f>""</f>
        <v/>
      </c>
      <c r="M296" s="40" t="str">
        <f>"LogoMasters"</f>
        <v>LogoMasters</v>
      </c>
      <c r="N296" s="40" t="str">
        <f>""</f>
        <v/>
      </c>
      <c r="O296" s="41">
        <v>1400</v>
      </c>
      <c r="P296" s="41">
        <v>0</v>
      </c>
      <c r="Q296" s="41">
        <v>0</v>
      </c>
      <c r="R296" s="41">
        <v>0</v>
      </c>
      <c r="S296" s="41">
        <v>0</v>
      </c>
      <c r="T296" s="41">
        <v>0</v>
      </c>
      <c r="U296" s="54"/>
    </row>
    <row r="297" spans="1:21" ht="17.25" customHeight="1" x14ac:dyDescent="0.3">
      <c r="A297" s="15" t="s">
        <v>29</v>
      </c>
      <c r="C297" s="19"/>
      <c r="D297" s="33" t="str">
        <f t="shared" ref="D297:D300" si="255">D296</f>
        <v>E100001</v>
      </c>
      <c r="E297" s="33"/>
      <c r="F297" s="20"/>
      <c r="G297" s="20" t="str">
        <f>"""NAV"",""CRONUS JetCorp USA"",""32"",""1"",""166803"""</f>
        <v>"NAV","CRONUS JetCorp USA","32","1","166803"</v>
      </c>
      <c r="H297" s="39">
        <v>43466</v>
      </c>
      <c r="I297" s="40">
        <v>166803</v>
      </c>
      <c r="J297" s="40" t="str">
        <f>"Vendor"</f>
        <v>Vendor</v>
      </c>
      <c r="K297" s="40" t="str">
        <f>"V100001"</f>
        <v>V100001</v>
      </c>
      <c r="L297" s="40" t="str">
        <f>""</f>
        <v/>
      </c>
      <c r="M297" s="40" t="str">
        <f>"Greigner, Inc."</f>
        <v>Greigner, Inc.</v>
      </c>
      <c r="N297" s="40" t="str">
        <f>""</f>
        <v/>
      </c>
      <c r="O297" s="41">
        <v>200</v>
      </c>
      <c r="P297" s="41">
        <v>0</v>
      </c>
      <c r="Q297" s="41">
        <v>0</v>
      </c>
      <c r="R297" s="41">
        <v>0</v>
      </c>
      <c r="S297" s="41">
        <v>0</v>
      </c>
      <c r="T297" s="41">
        <v>0</v>
      </c>
      <c r="U297" s="54"/>
    </row>
    <row r="298" spans="1:21" ht="17.25" customHeight="1" x14ac:dyDescent="0.3">
      <c r="A298" s="15" t="s">
        <v>29</v>
      </c>
      <c r="C298" s="19"/>
      <c r="D298" s="33" t="str">
        <f t="shared" si="255"/>
        <v>E100001</v>
      </c>
      <c r="E298" s="33"/>
      <c r="F298" s="20"/>
      <c r="G298" s="20" t="str">
        <f>"""NAV"",""CRONUS JetCorp USA"",""32"",""1"",""153193"""</f>
        <v>"NAV","CRONUS JetCorp USA","32","1","153193"</v>
      </c>
      <c r="H298" s="39">
        <v>43469</v>
      </c>
      <c r="I298" s="40">
        <v>153193</v>
      </c>
      <c r="J298" s="40" t="str">
        <f>"Customer"</f>
        <v>Customer</v>
      </c>
      <c r="K298" s="40" t="str">
        <f>"C100136"</f>
        <v>C100136</v>
      </c>
      <c r="L298" s="40" t="str">
        <f>"First Bank"</f>
        <v>First Bank</v>
      </c>
      <c r="M298" s="40" t="str">
        <f>""</f>
        <v/>
      </c>
      <c r="N298" s="40" t="str">
        <f>""</f>
        <v/>
      </c>
      <c r="O298" s="41">
        <v>0</v>
      </c>
      <c r="P298" s="41">
        <v>-144</v>
      </c>
      <c r="Q298" s="41">
        <v>0</v>
      </c>
      <c r="R298" s="41">
        <v>0</v>
      </c>
      <c r="S298" s="41">
        <v>0</v>
      </c>
      <c r="T298" s="41">
        <v>0</v>
      </c>
      <c r="U298" s="54"/>
    </row>
    <row r="299" spans="1:21" ht="17.25" customHeight="1" x14ac:dyDescent="0.3">
      <c r="A299" s="15" t="s">
        <v>29</v>
      </c>
      <c r="C299" s="19"/>
      <c r="D299" s="33" t="str">
        <f t="shared" si="255"/>
        <v>E100001</v>
      </c>
      <c r="E299" s="33"/>
      <c r="F299" s="20"/>
      <c r="G299" s="20" t="str">
        <f>"""NAV"",""CRONUS JetCorp USA"",""32"",""1"",""30043"""</f>
        <v>"NAV","CRONUS JetCorp USA","32","1","30043"</v>
      </c>
      <c r="H299" s="39">
        <v>43471</v>
      </c>
      <c r="I299" s="40">
        <v>30043</v>
      </c>
      <c r="J299" s="40" t="str">
        <f>"Customer"</f>
        <v>Customer</v>
      </c>
      <c r="K299" s="40" t="str">
        <f>"C100012"</f>
        <v>C100012</v>
      </c>
      <c r="L299" s="40" t="str">
        <f>"Bainbridges"</f>
        <v>Bainbridges</v>
      </c>
      <c r="M299" s="40" t="str">
        <f>""</f>
        <v/>
      </c>
      <c r="N299" s="40" t="str">
        <f>""</f>
        <v/>
      </c>
      <c r="O299" s="41">
        <v>0</v>
      </c>
      <c r="P299" s="41">
        <v>-1</v>
      </c>
      <c r="Q299" s="41">
        <v>0</v>
      </c>
      <c r="R299" s="41">
        <v>0</v>
      </c>
      <c r="S299" s="41">
        <v>0</v>
      </c>
      <c r="T299" s="41">
        <v>0</v>
      </c>
      <c r="U299" s="54"/>
    </row>
    <row r="300" spans="1:21" ht="17.25" customHeight="1" x14ac:dyDescent="0.3">
      <c r="A300" s="15" t="s">
        <v>29</v>
      </c>
      <c r="C300" s="19"/>
      <c r="D300" s="33" t="str">
        <f t="shared" si="255"/>
        <v>E100001</v>
      </c>
      <c r="E300" s="33"/>
      <c r="F300" s="20"/>
      <c r="G300" s="20" t="str">
        <f>"""NAV"",""CRONUS JetCorp USA"",""32"",""1"",""20391"""</f>
        <v>"NAV","CRONUS JetCorp USA","32","1","20391"</v>
      </c>
      <c r="H300" s="39">
        <v>43473</v>
      </c>
      <c r="I300" s="40">
        <v>20391</v>
      </c>
      <c r="J300" s="40" t="str">
        <f>"Customer"</f>
        <v>Customer</v>
      </c>
      <c r="K300" s="40" t="str">
        <f>"C100130"</f>
        <v>C100130</v>
      </c>
      <c r="L300" s="40" t="str">
        <f>"Hotspot Systems"</f>
        <v>Hotspot Systems</v>
      </c>
      <c r="M300" s="40" t="str">
        <f>""</f>
        <v/>
      </c>
      <c r="N300" s="40" t="str">
        <f>""</f>
        <v/>
      </c>
      <c r="O300" s="41">
        <v>0</v>
      </c>
      <c r="P300" s="41">
        <v>-144</v>
      </c>
      <c r="Q300" s="41">
        <v>0</v>
      </c>
      <c r="R300" s="41">
        <v>0</v>
      </c>
      <c r="S300" s="41">
        <v>0</v>
      </c>
      <c r="T300" s="41">
        <v>0</v>
      </c>
      <c r="U300" s="54"/>
    </row>
    <row r="301" spans="1:21" ht="17.25" customHeight="1" x14ac:dyDescent="0.3">
      <c r="A301" s="15" t="s">
        <v>29</v>
      </c>
      <c r="C301" s="19"/>
      <c r="D301" s="33"/>
      <c r="E301" s="33"/>
      <c r="F301" s="20"/>
      <c r="G301" s="20"/>
      <c r="H301" s="20"/>
      <c r="I301" s="20"/>
      <c r="J301" s="20"/>
      <c r="K301" s="20"/>
      <c r="L301" s="20"/>
      <c r="M301" s="20"/>
      <c r="N301" s="20"/>
      <c r="O301" s="42"/>
      <c r="P301" s="42"/>
      <c r="Q301" s="42"/>
      <c r="R301" s="42"/>
      <c r="S301" s="42"/>
      <c r="T301" s="42"/>
      <c r="U301" s="55"/>
    </row>
    <row r="302" spans="1:21" ht="17.25" customHeight="1" x14ac:dyDescent="0.3">
      <c r="A302" s="15" t="s">
        <v>29</v>
      </c>
      <c r="C302" s="19"/>
      <c r="D302" s="33"/>
      <c r="E302" s="33" t="s">
        <v>30</v>
      </c>
      <c r="F302" s="20" t="s">
        <v>30</v>
      </c>
      <c r="G302" s="20" t="s">
        <v>30</v>
      </c>
      <c r="H302" s="20"/>
      <c r="I302" s="20"/>
      <c r="J302" s="20" t="s">
        <v>30</v>
      </c>
      <c r="K302" s="20" t="s">
        <v>30</v>
      </c>
      <c r="L302" s="20" t="s">
        <v>30</v>
      </c>
      <c r="M302" s="20" t="s">
        <v>30</v>
      </c>
      <c r="N302" s="20"/>
      <c r="U302" s="56"/>
    </row>
    <row r="303" spans="1:21" ht="20.25" customHeight="1" x14ac:dyDescent="0.35">
      <c r="A303" s="15" t="s">
        <v>29</v>
      </c>
      <c r="C303" s="19"/>
      <c r="D303" s="34" t="str">
        <f t="shared" ref="D303" si="256">E303</f>
        <v>E100002</v>
      </c>
      <c r="E303" s="35" t="str">
        <f>"E100002"</f>
        <v>E100002</v>
      </c>
      <c r="F303" s="36" t="str">
        <f>"Cotton Classic Tote"</f>
        <v>Cotton Classic Tote</v>
      </c>
      <c r="G303" s="36"/>
      <c r="H303" s="37" t="str">
        <f>"EA"</f>
        <v>EA</v>
      </c>
      <c r="I303" s="36"/>
      <c r="J303" s="36"/>
      <c r="K303" s="36"/>
      <c r="L303" s="36"/>
      <c r="M303" s="36"/>
      <c r="N303" s="36"/>
      <c r="O303" s="38">
        <f t="shared" ref="O303:T303" si="257">(SUBTOTAL(9,O304:O305))</f>
        <v>999.99999999999989</v>
      </c>
      <c r="P303" s="38">
        <f t="shared" si="257"/>
        <v>0</v>
      </c>
      <c r="Q303" s="38">
        <f t="shared" si="257"/>
        <v>0</v>
      </c>
      <c r="R303" s="38">
        <f t="shared" si="257"/>
        <v>0</v>
      </c>
      <c r="S303" s="38">
        <f t="shared" si="257"/>
        <v>0</v>
      </c>
      <c r="T303" s="38">
        <f t="shared" si="257"/>
        <v>0</v>
      </c>
      <c r="U303" s="53">
        <f t="shared" ref="U303" si="258">SUBTOTAL(9,O304:T305)</f>
        <v>999.99999999999989</v>
      </c>
    </row>
    <row r="304" spans="1:21" ht="17.25" customHeight="1" x14ac:dyDescent="0.3">
      <c r="A304" s="15" t="s">
        <v>29</v>
      </c>
      <c r="C304" s="19"/>
      <c r="D304" s="33" t="str">
        <f t="shared" ref="D304" si="259">D303</f>
        <v>E100002</v>
      </c>
      <c r="E304" s="33"/>
      <c r="F304" s="20"/>
      <c r="G304" s="20" t="str">
        <f>"""NAV"",""CRONUS JetCorp USA"",""32"",""1"",""166793"""</f>
        <v>"NAV","CRONUS JetCorp USA","32","1","166793"</v>
      </c>
      <c r="H304" s="39">
        <v>43466</v>
      </c>
      <c r="I304" s="40">
        <v>166793</v>
      </c>
      <c r="J304" s="40" t="str">
        <f>"Vendor"</f>
        <v>Vendor</v>
      </c>
      <c r="K304" s="40" t="str">
        <f>"V100003"</f>
        <v>V100003</v>
      </c>
      <c r="L304" s="40" t="str">
        <f>""</f>
        <v/>
      </c>
      <c r="M304" s="40" t="str">
        <f>"LogoMasters"</f>
        <v>LogoMasters</v>
      </c>
      <c r="N304" s="40" t="str">
        <f>""</f>
        <v/>
      </c>
      <c r="O304" s="41">
        <v>999.99999999999989</v>
      </c>
      <c r="P304" s="41">
        <v>0</v>
      </c>
      <c r="Q304" s="41">
        <v>0</v>
      </c>
      <c r="R304" s="41">
        <v>0</v>
      </c>
      <c r="S304" s="41">
        <v>0</v>
      </c>
      <c r="T304" s="41">
        <v>0</v>
      </c>
      <c r="U304" s="54"/>
    </row>
    <row r="305" spans="1:21" ht="17.25" customHeight="1" x14ac:dyDescent="0.3">
      <c r="A305" s="15" t="s">
        <v>29</v>
      </c>
      <c r="C305" s="19"/>
      <c r="D305" s="33"/>
      <c r="E305" s="33"/>
      <c r="F305" s="20"/>
      <c r="G305" s="20"/>
      <c r="H305" s="20"/>
      <c r="I305" s="20"/>
      <c r="J305" s="20"/>
      <c r="K305" s="20"/>
      <c r="L305" s="20"/>
      <c r="M305" s="20"/>
      <c r="N305" s="20"/>
      <c r="O305" s="42"/>
      <c r="P305" s="42"/>
      <c r="Q305" s="42"/>
      <c r="R305" s="42"/>
      <c r="S305" s="42"/>
      <c r="T305" s="42"/>
      <c r="U305" s="55"/>
    </row>
    <row r="306" spans="1:21" ht="17.25" customHeight="1" x14ac:dyDescent="0.3">
      <c r="A306" s="15" t="s">
        <v>29</v>
      </c>
      <c r="C306" s="19"/>
      <c r="D306" s="33"/>
      <c r="E306" s="33" t="s">
        <v>30</v>
      </c>
      <c r="F306" s="20" t="s">
        <v>30</v>
      </c>
      <c r="G306" s="20" t="s">
        <v>30</v>
      </c>
      <c r="H306" s="20"/>
      <c r="I306" s="20"/>
      <c r="J306" s="20" t="s">
        <v>30</v>
      </c>
      <c r="K306" s="20" t="s">
        <v>30</v>
      </c>
      <c r="L306" s="20" t="s">
        <v>30</v>
      </c>
      <c r="M306" s="20" t="s">
        <v>30</v>
      </c>
      <c r="N306" s="20"/>
      <c r="U306" s="56"/>
    </row>
    <row r="307" spans="1:21" ht="20.25" customHeight="1" x14ac:dyDescent="0.35">
      <c r="A307" s="15" t="s">
        <v>29</v>
      </c>
      <c r="C307" s="19"/>
      <c r="D307" s="34" t="str">
        <f t="shared" ref="D307" si="260">E307</f>
        <v>E100003</v>
      </c>
      <c r="E307" s="35" t="str">
        <f>"E100003"</f>
        <v>E100003</v>
      </c>
      <c r="F307" s="36" t="str">
        <f>"Recycled Tote"</f>
        <v>Recycled Tote</v>
      </c>
      <c r="G307" s="36"/>
      <c r="H307" s="37" t="str">
        <f>"EA"</f>
        <v>EA</v>
      </c>
      <c r="I307" s="36"/>
      <c r="J307" s="36"/>
      <c r="K307" s="36"/>
      <c r="L307" s="36"/>
      <c r="M307" s="36"/>
      <c r="N307" s="36"/>
      <c r="O307" s="38">
        <f t="shared" ref="O307:T307" si="261">(SUBTOTAL(9,O308:O309))</f>
        <v>400</v>
      </c>
      <c r="P307" s="38">
        <f t="shared" si="261"/>
        <v>0</v>
      </c>
      <c r="Q307" s="38">
        <f t="shared" si="261"/>
        <v>0</v>
      </c>
      <c r="R307" s="38">
        <f t="shared" si="261"/>
        <v>0</v>
      </c>
      <c r="S307" s="38">
        <f t="shared" si="261"/>
        <v>0</v>
      </c>
      <c r="T307" s="38">
        <f t="shared" si="261"/>
        <v>0</v>
      </c>
      <c r="U307" s="53">
        <f t="shared" ref="U307" si="262">SUBTOTAL(9,O308:T309)</f>
        <v>400</v>
      </c>
    </row>
    <row r="308" spans="1:21" ht="17.25" customHeight="1" x14ac:dyDescent="0.3">
      <c r="A308" s="15" t="s">
        <v>29</v>
      </c>
      <c r="C308" s="19"/>
      <c r="D308" s="33" t="str">
        <f t="shared" ref="D308" si="263">D307</f>
        <v>E100003</v>
      </c>
      <c r="E308" s="33"/>
      <c r="F308" s="20"/>
      <c r="G308" s="20" t="str">
        <f>"""NAV"",""CRONUS JetCorp USA"",""32"",""1"",""166792"""</f>
        <v>"NAV","CRONUS JetCorp USA","32","1","166792"</v>
      </c>
      <c r="H308" s="39">
        <v>43466</v>
      </c>
      <c r="I308" s="40">
        <v>166792</v>
      </c>
      <c r="J308" s="40" t="str">
        <f>"Vendor"</f>
        <v>Vendor</v>
      </c>
      <c r="K308" s="40" t="str">
        <f>"V100003"</f>
        <v>V100003</v>
      </c>
      <c r="L308" s="40" t="str">
        <f>""</f>
        <v/>
      </c>
      <c r="M308" s="40" t="str">
        <f>"LogoMasters"</f>
        <v>LogoMasters</v>
      </c>
      <c r="N308" s="40" t="str">
        <f>""</f>
        <v/>
      </c>
      <c r="O308" s="41">
        <v>400</v>
      </c>
      <c r="P308" s="41">
        <v>0</v>
      </c>
      <c r="Q308" s="41">
        <v>0</v>
      </c>
      <c r="R308" s="41">
        <v>0</v>
      </c>
      <c r="S308" s="41">
        <v>0</v>
      </c>
      <c r="T308" s="41">
        <v>0</v>
      </c>
      <c r="U308" s="54"/>
    </row>
    <row r="309" spans="1:21" ht="17.25" customHeight="1" x14ac:dyDescent="0.3">
      <c r="A309" s="15" t="s">
        <v>29</v>
      </c>
      <c r="C309" s="19"/>
      <c r="D309" s="33"/>
      <c r="E309" s="33"/>
      <c r="F309" s="20"/>
      <c r="G309" s="20"/>
      <c r="H309" s="20"/>
      <c r="I309" s="20"/>
      <c r="J309" s="20"/>
      <c r="K309" s="20"/>
      <c r="L309" s="20"/>
      <c r="M309" s="20"/>
      <c r="N309" s="20"/>
      <c r="O309" s="42"/>
      <c r="P309" s="42"/>
      <c r="Q309" s="42"/>
      <c r="R309" s="42"/>
      <c r="S309" s="42"/>
      <c r="T309" s="42"/>
      <c r="U309" s="55"/>
    </row>
    <row r="310" spans="1:21" ht="17.25" customHeight="1" x14ac:dyDescent="0.3">
      <c r="A310" s="15" t="s">
        <v>29</v>
      </c>
      <c r="C310" s="19"/>
      <c r="D310" s="33"/>
      <c r="E310" s="33" t="s">
        <v>30</v>
      </c>
      <c r="F310" s="20" t="s">
        <v>30</v>
      </c>
      <c r="G310" s="20" t="s">
        <v>30</v>
      </c>
      <c r="H310" s="20"/>
      <c r="I310" s="20"/>
      <c r="J310" s="20" t="s">
        <v>30</v>
      </c>
      <c r="K310" s="20" t="s">
        <v>30</v>
      </c>
      <c r="L310" s="20" t="s">
        <v>30</v>
      </c>
      <c r="M310" s="20" t="s">
        <v>30</v>
      </c>
      <c r="N310" s="20"/>
      <c r="U310" s="56"/>
    </row>
    <row r="311" spans="1:21" ht="20.25" customHeight="1" x14ac:dyDescent="0.35">
      <c r="A311" s="15" t="s">
        <v>29</v>
      </c>
      <c r="C311" s="19"/>
      <c r="D311" s="34" t="str">
        <f t="shared" ref="D311" si="264">E311</f>
        <v>E100004</v>
      </c>
      <c r="E311" s="35" t="str">
        <f>"E100004"</f>
        <v>E100004</v>
      </c>
      <c r="F311" s="36" t="str">
        <f>"Laminated Tote"</f>
        <v>Laminated Tote</v>
      </c>
      <c r="G311" s="36"/>
      <c r="H311" s="37" t="str">
        <f>"EA"</f>
        <v>EA</v>
      </c>
      <c r="I311" s="36"/>
      <c r="J311" s="36"/>
      <c r="K311" s="36"/>
      <c r="L311" s="36"/>
      <c r="M311" s="36"/>
      <c r="N311" s="36"/>
      <c r="O311" s="38">
        <f t="shared" ref="O311:T311" si="265">(SUBTOTAL(9,O312:O314))</f>
        <v>400</v>
      </c>
      <c r="P311" s="38">
        <f t="shared" si="265"/>
        <v>-144</v>
      </c>
      <c r="Q311" s="38">
        <f t="shared" si="265"/>
        <v>0</v>
      </c>
      <c r="R311" s="38">
        <f t="shared" si="265"/>
        <v>0</v>
      </c>
      <c r="S311" s="38">
        <f t="shared" si="265"/>
        <v>0</v>
      </c>
      <c r="T311" s="38">
        <f t="shared" si="265"/>
        <v>0</v>
      </c>
      <c r="U311" s="53">
        <f t="shared" ref="U311" si="266">SUBTOTAL(9,O312:T314)</f>
        <v>256</v>
      </c>
    </row>
    <row r="312" spans="1:21" ht="17.25" customHeight="1" x14ac:dyDescent="0.3">
      <c r="A312" s="15" t="s">
        <v>29</v>
      </c>
      <c r="C312" s="19"/>
      <c r="D312" s="33" t="str">
        <f t="shared" ref="D312" si="267">D311</f>
        <v>E100004</v>
      </c>
      <c r="E312" s="33"/>
      <c r="F312" s="20"/>
      <c r="G312" s="20" t="str">
        <f>"""NAV"",""CRONUS JetCorp USA"",""32"",""1"",""166791"""</f>
        <v>"NAV","CRONUS JetCorp USA","32","1","166791"</v>
      </c>
      <c r="H312" s="39">
        <v>43466</v>
      </c>
      <c r="I312" s="40">
        <v>166791</v>
      </c>
      <c r="J312" s="40" t="str">
        <f>"Vendor"</f>
        <v>Vendor</v>
      </c>
      <c r="K312" s="40" t="str">
        <f>"V100003"</f>
        <v>V100003</v>
      </c>
      <c r="L312" s="40" t="str">
        <f>""</f>
        <v/>
      </c>
      <c r="M312" s="40" t="str">
        <f>"LogoMasters"</f>
        <v>LogoMasters</v>
      </c>
      <c r="N312" s="40" t="str">
        <f>""</f>
        <v/>
      </c>
      <c r="O312" s="41">
        <v>400</v>
      </c>
      <c r="P312" s="41">
        <v>0</v>
      </c>
      <c r="Q312" s="41">
        <v>0</v>
      </c>
      <c r="R312" s="41">
        <v>0</v>
      </c>
      <c r="S312" s="41">
        <v>0</v>
      </c>
      <c r="T312" s="41">
        <v>0</v>
      </c>
      <c r="U312" s="54"/>
    </row>
    <row r="313" spans="1:21" ht="17.25" customHeight="1" x14ac:dyDescent="0.3">
      <c r="A313" s="15" t="s">
        <v>29</v>
      </c>
      <c r="C313" s="19"/>
      <c r="D313" s="33" t="str">
        <f t="shared" ref="D313" si="268">D312</f>
        <v>E100004</v>
      </c>
      <c r="E313" s="33"/>
      <c r="F313" s="20"/>
      <c r="G313" s="20" t="str">
        <f>"""NAV"",""CRONUS JetCorp USA"",""32"",""1"",""64620"""</f>
        <v>"NAV","CRONUS JetCorp USA","32","1","64620"</v>
      </c>
      <c r="H313" s="39">
        <v>43475</v>
      </c>
      <c r="I313" s="40">
        <v>64620</v>
      </c>
      <c r="J313" s="40" t="str">
        <f>"Customer"</f>
        <v>Customer</v>
      </c>
      <c r="K313" s="40" t="str">
        <f>"C100136"</f>
        <v>C100136</v>
      </c>
      <c r="L313" s="40" t="str">
        <f>"First Bank"</f>
        <v>First Bank</v>
      </c>
      <c r="M313" s="40" t="str">
        <f>""</f>
        <v/>
      </c>
      <c r="N313" s="40" t="str">
        <f>""</f>
        <v/>
      </c>
      <c r="O313" s="41">
        <v>0</v>
      </c>
      <c r="P313" s="41">
        <v>-144</v>
      </c>
      <c r="Q313" s="41">
        <v>0</v>
      </c>
      <c r="R313" s="41">
        <v>0</v>
      </c>
      <c r="S313" s="41">
        <v>0</v>
      </c>
      <c r="T313" s="41">
        <v>0</v>
      </c>
      <c r="U313" s="54"/>
    </row>
    <row r="314" spans="1:21" ht="17.25" customHeight="1" x14ac:dyDescent="0.3">
      <c r="A314" s="15" t="s">
        <v>29</v>
      </c>
      <c r="C314" s="19"/>
      <c r="D314" s="33"/>
      <c r="E314" s="33"/>
      <c r="F314" s="20"/>
      <c r="G314" s="20"/>
      <c r="H314" s="20"/>
      <c r="I314" s="20"/>
      <c r="J314" s="20"/>
      <c r="K314" s="20"/>
      <c r="L314" s="20"/>
      <c r="M314" s="20"/>
      <c r="N314" s="20"/>
      <c r="O314" s="42"/>
      <c r="P314" s="42"/>
      <c r="Q314" s="42"/>
      <c r="R314" s="42"/>
      <c r="S314" s="42"/>
      <c r="T314" s="42"/>
      <c r="U314" s="55"/>
    </row>
    <row r="315" spans="1:21" ht="17.25" customHeight="1" x14ac:dyDescent="0.3">
      <c r="A315" s="15" t="s">
        <v>29</v>
      </c>
      <c r="C315" s="19"/>
      <c r="D315" s="33"/>
      <c r="E315" s="33" t="s">
        <v>30</v>
      </c>
      <c r="F315" s="20" t="s">
        <v>30</v>
      </c>
      <c r="G315" s="20" t="s">
        <v>30</v>
      </c>
      <c r="H315" s="20"/>
      <c r="I315" s="20"/>
      <c r="J315" s="20" t="s">
        <v>30</v>
      </c>
      <c r="K315" s="20" t="s">
        <v>30</v>
      </c>
      <c r="L315" s="20" t="s">
        <v>30</v>
      </c>
      <c r="M315" s="20" t="s">
        <v>30</v>
      </c>
      <c r="N315" s="20"/>
      <c r="U315" s="56"/>
    </row>
    <row r="316" spans="1:21" ht="20.25" customHeight="1" x14ac:dyDescent="0.35">
      <c r="A316" s="15" t="s">
        <v>29</v>
      </c>
      <c r="C316" s="19"/>
      <c r="D316" s="34" t="str">
        <f t="shared" ref="D316" si="269">E316</f>
        <v>E100005</v>
      </c>
      <c r="E316" s="35" t="str">
        <f>"E100005"</f>
        <v>E100005</v>
      </c>
      <c r="F316" s="36" t="str">
        <f>"All Purpose Tote"</f>
        <v>All Purpose Tote</v>
      </c>
      <c r="G316" s="36"/>
      <c r="H316" s="37" t="str">
        <f>"EA"</f>
        <v>EA</v>
      </c>
      <c r="I316" s="36"/>
      <c r="J316" s="36"/>
      <c r="K316" s="36"/>
      <c r="L316" s="36"/>
      <c r="M316" s="36"/>
      <c r="N316" s="36"/>
      <c r="O316" s="38">
        <f t="shared" ref="O316:T316" si="270">(SUBTOTAL(9,O317:O319))</f>
        <v>0</v>
      </c>
      <c r="P316" s="38">
        <f t="shared" si="270"/>
        <v>-145</v>
      </c>
      <c r="Q316" s="38">
        <f t="shared" si="270"/>
        <v>0</v>
      </c>
      <c r="R316" s="38">
        <f t="shared" si="270"/>
        <v>0</v>
      </c>
      <c r="S316" s="38">
        <f t="shared" si="270"/>
        <v>0</v>
      </c>
      <c r="T316" s="38">
        <f t="shared" si="270"/>
        <v>0</v>
      </c>
      <c r="U316" s="53">
        <f t="shared" ref="U316" si="271">SUBTOTAL(9,O317:T319)</f>
        <v>-145</v>
      </c>
    </row>
    <row r="317" spans="1:21" ht="17.25" customHeight="1" x14ac:dyDescent="0.3">
      <c r="A317" s="15" t="s">
        <v>29</v>
      </c>
      <c r="C317" s="19"/>
      <c r="D317" s="33" t="str">
        <f t="shared" ref="D317" si="272">D316</f>
        <v>E100005</v>
      </c>
      <c r="E317" s="33"/>
      <c r="F317" s="20"/>
      <c r="G317" s="20" t="str">
        <f>"""NAV"",""CRONUS JetCorp USA"",""32"",""1"",""153198"""</f>
        <v>"NAV","CRONUS JetCorp USA","32","1","153198"</v>
      </c>
      <c r="H317" s="39">
        <v>43469</v>
      </c>
      <c r="I317" s="40">
        <v>153198</v>
      </c>
      <c r="J317" s="40" t="str">
        <f>"Customer"</f>
        <v>Customer</v>
      </c>
      <c r="K317" s="40" t="str">
        <f>"C100136"</f>
        <v>C100136</v>
      </c>
      <c r="L317" s="40" t="str">
        <f>"First Bank"</f>
        <v>First Bank</v>
      </c>
      <c r="M317" s="40" t="str">
        <f>""</f>
        <v/>
      </c>
      <c r="N317" s="40" t="str">
        <f>""</f>
        <v/>
      </c>
      <c r="O317" s="41">
        <v>0</v>
      </c>
      <c r="P317" s="41">
        <v>-1</v>
      </c>
      <c r="Q317" s="41">
        <v>0</v>
      </c>
      <c r="R317" s="41">
        <v>0</v>
      </c>
      <c r="S317" s="41">
        <v>0</v>
      </c>
      <c r="T317" s="41">
        <v>0</v>
      </c>
      <c r="U317" s="54"/>
    </row>
    <row r="318" spans="1:21" ht="17.25" customHeight="1" x14ac:dyDescent="0.3">
      <c r="A318" s="15" t="s">
        <v>29</v>
      </c>
      <c r="C318" s="19"/>
      <c r="D318" s="33" t="str">
        <f t="shared" ref="D318" si="273">D317</f>
        <v>E100005</v>
      </c>
      <c r="E318" s="33"/>
      <c r="F318" s="20"/>
      <c r="G318" s="20" t="str">
        <f>"""NAV"",""CRONUS JetCorp USA"",""32"",""1"",""153168"""</f>
        <v>"NAV","CRONUS JetCorp USA","32","1","153168"</v>
      </c>
      <c r="H318" s="39">
        <v>43470</v>
      </c>
      <c r="I318" s="40">
        <v>153168</v>
      </c>
      <c r="J318" s="40" t="str">
        <f>"Customer"</f>
        <v>Customer</v>
      </c>
      <c r="K318" s="40" t="str">
        <f>"C100136"</f>
        <v>C100136</v>
      </c>
      <c r="L318" s="40" t="str">
        <f>"First Bank"</f>
        <v>First Bank</v>
      </c>
      <c r="M318" s="40" t="str">
        <f>""</f>
        <v/>
      </c>
      <c r="N318" s="40" t="str">
        <f>""</f>
        <v/>
      </c>
      <c r="O318" s="41">
        <v>0</v>
      </c>
      <c r="P318" s="41">
        <v>-144</v>
      </c>
      <c r="Q318" s="41">
        <v>0</v>
      </c>
      <c r="R318" s="41">
        <v>0</v>
      </c>
      <c r="S318" s="41">
        <v>0</v>
      </c>
      <c r="T318" s="41">
        <v>0</v>
      </c>
      <c r="U318" s="54"/>
    </row>
    <row r="319" spans="1:21" ht="17.25" customHeight="1" x14ac:dyDescent="0.3">
      <c r="A319" s="15" t="s">
        <v>29</v>
      </c>
      <c r="C319" s="19"/>
      <c r="D319" s="33"/>
      <c r="E319" s="33"/>
      <c r="F319" s="20"/>
      <c r="G319" s="20"/>
      <c r="H319" s="20"/>
      <c r="I319" s="20"/>
      <c r="J319" s="20"/>
      <c r="K319" s="20"/>
      <c r="L319" s="20"/>
      <c r="M319" s="20"/>
      <c r="N319" s="20"/>
      <c r="O319" s="42"/>
      <c r="P319" s="42"/>
      <c r="Q319" s="42"/>
      <c r="R319" s="42"/>
      <c r="S319" s="42"/>
      <c r="T319" s="42"/>
      <c r="U319" s="55"/>
    </row>
    <row r="320" spans="1:21" ht="17.25" customHeight="1" x14ac:dyDescent="0.3">
      <c r="A320" s="15" t="s">
        <v>29</v>
      </c>
      <c r="C320" s="19"/>
      <c r="D320" s="33"/>
      <c r="E320" s="33" t="s">
        <v>30</v>
      </c>
      <c r="F320" s="20" t="s">
        <v>30</v>
      </c>
      <c r="G320" s="20" t="s">
        <v>30</v>
      </c>
      <c r="H320" s="20"/>
      <c r="I320" s="20"/>
      <c r="J320" s="20" t="s">
        <v>30</v>
      </c>
      <c r="K320" s="20" t="s">
        <v>30</v>
      </c>
      <c r="L320" s="20" t="s">
        <v>30</v>
      </c>
      <c r="M320" s="20" t="s">
        <v>30</v>
      </c>
      <c r="N320" s="20"/>
      <c r="U320" s="56"/>
    </row>
    <row r="321" spans="1:21" ht="20.25" customHeight="1" x14ac:dyDescent="0.35">
      <c r="A321" s="15" t="s">
        <v>29</v>
      </c>
      <c r="C321" s="19"/>
      <c r="D321" s="34" t="str">
        <f t="shared" ref="D321" si="274">E321</f>
        <v>E100006</v>
      </c>
      <c r="E321" s="35" t="str">
        <f>"E100006"</f>
        <v>E100006</v>
      </c>
      <c r="F321" s="36" t="str">
        <f>"Budget Tote Bag"</f>
        <v>Budget Tote Bag</v>
      </c>
      <c r="G321" s="36"/>
      <c r="H321" s="37" t="str">
        <f>"EA"</f>
        <v>EA</v>
      </c>
      <c r="I321" s="36"/>
      <c r="J321" s="36"/>
      <c r="K321" s="36"/>
      <c r="L321" s="36"/>
      <c r="M321" s="36"/>
      <c r="N321" s="36"/>
      <c r="O321" s="38">
        <f t="shared" ref="O321:T321" si="275">(SUBTOTAL(9,O322:O326))</f>
        <v>600</v>
      </c>
      <c r="P321" s="38">
        <f t="shared" si="275"/>
        <v>-2</v>
      </c>
      <c r="Q321" s="38">
        <f t="shared" si="275"/>
        <v>0</v>
      </c>
      <c r="R321" s="38">
        <f t="shared" si="275"/>
        <v>0</v>
      </c>
      <c r="S321" s="38">
        <f t="shared" si="275"/>
        <v>0</v>
      </c>
      <c r="T321" s="38">
        <f t="shared" si="275"/>
        <v>0</v>
      </c>
      <c r="U321" s="53">
        <f t="shared" ref="U321" si="276">SUBTOTAL(9,O322:T326)</f>
        <v>598</v>
      </c>
    </row>
    <row r="322" spans="1:21" ht="17.25" customHeight="1" x14ac:dyDescent="0.3">
      <c r="A322" s="15" t="s">
        <v>29</v>
      </c>
      <c r="C322" s="19"/>
      <c r="D322" s="33" t="str">
        <f t="shared" ref="D322" si="277">D321</f>
        <v>E100006</v>
      </c>
      <c r="E322" s="33"/>
      <c r="F322" s="20"/>
      <c r="G322" s="20" t="str">
        <f>"""NAV"",""CRONUS JetCorp USA"",""32"",""1"",""166790"""</f>
        <v>"NAV","CRONUS JetCorp USA","32","1","166790"</v>
      </c>
      <c r="H322" s="39">
        <v>43466</v>
      </c>
      <c r="I322" s="40">
        <v>166790</v>
      </c>
      <c r="J322" s="40" t="str">
        <f>"Vendor"</f>
        <v>Vendor</v>
      </c>
      <c r="K322" s="40" t="str">
        <f>"V100003"</f>
        <v>V100003</v>
      </c>
      <c r="L322" s="40" t="str">
        <f>""</f>
        <v/>
      </c>
      <c r="M322" s="40" t="str">
        <f>"LogoMasters"</f>
        <v>LogoMasters</v>
      </c>
      <c r="N322" s="40" t="str">
        <f>""</f>
        <v/>
      </c>
      <c r="O322" s="41">
        <v>400</v>
      </c>
      <c r="P322" s="41">
        <v>0</v>
      </c>
      <c r="Q322" s="41">
        <v>0</v>
      </c>
      <c r="R322" s="41">
        <v>0</v>
      </c>
      <c r="S322" s="41">
        <v>0</v>
      </c>
      <c r="T322" s="41">
        <v>0</v>
      </c>
      <c r="U322" s="54"/>
    </row>
    <row r="323" spans="1:21" ht="17.25" customHeight="1" x14ac:dyDescent="0.3">
      <c r="A323" s="15" t="s">
        <v>29</v>
      </c>
      <c r="C323" s="19"/>
      <c r="D323" s="33" t="str">
        <f t="shared" ref="D323:D325" si="278">D322</f>
        <v>E100006</v>
      </c>
      <c r="E323" s="33"/>
      <c r="F323" s="20"/>
      <c r="G323" s="20" t="str">
        <f>"""NAV"",""CRONUS JetCorp USA"",""32"",""1"",""166802"""</f>
        <v>"NAV","CRONUS JetCorp USA","32","1","166802"</v>
      </c>
      <c r="H323" s="39">
        <v>43466</v>
      </c>
      <c r="I323" s="40">
        <v>166802</v>
      </c>
      <c r="J323" s="40" t="str">
        <f>"Vendor"</f>
        <v>Vendor</v>
      </c>
      <c r="K323" s="40" t="str">
        <f>"V100001"</f>
        <v>V100001</v>
      </c>
      <c r="L323" s="40" t="str">
        <f>""</f>
        <v/>
      </c>
      <c r="M323" s="40" t="str">
        <f>"Greigner, Inc."</f>
        <v>Greigner, Inc.</v>
      </c>
      <c r="N323" s="40" t="str">
        <f>""</f>
        <v/>
      </c>
      <c r="O323" s="41">
        <v>200</v>
      </c>
      <c r="P323" s="41">
        <v>0</v>
      </c>
      <c r="Q323" s="41">
        <v>0</v>
      </c>
      <c r="R323" s="41">
        <v>0</v>
      </c>
      <c r="S323" s="41">
        <v>0</v>
      </c>
      <c r="T323" s="41">
        <v>0</v>
      </c>
      <c r="U323" s="54"/>
    </row>
    <row r="324" spans="1:21" ht="17.25" customHeight="1" x14ac:dyDescent="0.3">
      <c r="A324" s="15" t="s">
        <v>29</v>
      </c>
      <c r="C324" s="19"/>
      <c r="D324" s="33" t="str">
        <f t="shared" si="278"/>
        <v>E100006</v>
      </c>
      <c r="E324" s="33"/>
      <c r="F324" s="20"/>
      <c r="G324" s="20" t="str">
        <f>"""NAV"",""CRONUS JetCorp USA"",""32"",""1"",""153200"""</f>
        <v>"NAV","CRONUS JetCorp USA","32","1","153200"</v>
      </c>
      <c r="H324" s="39">
        <v>43469</v>
      </c>
      <c r="I324" s="40">
        <v>153200</v>
      </c>
      <c r="J324" s="40" t="str">
        <f>"Customer"</f>
        <v>Customer</v>
      </c>
      <c r="K324" s="40" t="str">
        <f>"C100136"</f>
        <v>C100136</v>
      </c>
      <c r="L324" s="40" t="str">
        <f>"First Bank"</f>
        <v>First Bank</v>
      </c>
      <c r="M324" s="40" t="str">
        <f>""</f>
        <v/>
      </c>
      <c r="N324" s="40" t="str">
        <f>""</f>
        <v/>
      </c>
      <c r="O324" s="41">
        <v>0</v>
      </c>
      <c r="P324" s="41">
        <v>-1</v>
      </c>
      <c r="Q324" s="41">
        <v>0</v>
      </c>
      <c r="R324" s="41">
        <v>0</v>
      </c>
      <c r="S324" s="41">
        <v>0</v>
      </c>
      <c r="T324" s="41">
        <v>0</v>
      </c>
      <c r="U324" s="54"/>
    </row>
    <row r="325" spans="1:21" ht="17.25" customHeight="1" x14ac:dyDescent="0.3">
      <c r="A325" s="15" t="s">
        <v>29</v>
      </c>
      <c r="C325" s="19"/>
      <c r="D325" s="33" t="str">
        <f t="shared" si="278"/>
        <v>E100006</v>
      </c>
      <c r="E325" s="33"/>
      <c r="F325" s="20"/>
      <c r="G325" s="20" t="str">
        <f>"""NAV"",""CRONUS JetCorp USA"",""32"",""1"",""153176"""</f>
        <v>"NAV","CRONUS JetCorp USA","32","1","153176"</v>
      </c>
      <c r="H325" s="39">
        <v>43470</v>
      </c>
      <c r="I325" s="40">
        <v>153176</v>
      </c>
      <c r="J325" s="40" t="str">
        <f>"Customer"</f>
        <v>Customer</v>
      </c>
      <c r="K325" s="40" t="str">
        <f>"C100136"</f>
        <v>C100136</v>
      </c>
      <c r="L325" s="40" t="str">
        <f>"First Bank"</f>
        <v>First Bank</v>
      </c>
      <c r="M325" s="40" t="str">
        <f>""</f>
        <v/>
      </c>
      <c r="N325" s="40" t="str">
        <f>""</f>
        <v/>
      </c>
      <c r="O325" s="41">
        <v>0</v>
      </c>
      <c r="P325" s="41">
        <v>-1</v>
      </c>
      <c r="Q325" s="41">
        <v>0</v>
      </c>
      <c r="R325" s="41">
        <v>0</v>
      </c>
      <c r="S325" s="41">
        <v>0</v>
      </c>
      <c r="T325" s="41">
        <v>0</v>
      </c>
      <c r="U325" s="54"/>
    </row>
    <row r="326" spans="1:21" ht="17.25" customHeight="1" x14ac:dyDescent="0.3">
      <c r="A326" s="15" t="s">
        <v>29</v>
      </c>
      <c r="C326" s="19"/>
      <c r="D326" s="33"/>
      <c r="E326" s="33"/>
      <c r="F326" s="20"/>
      <c r="G326" s="20"/>
      <c r="H326" s="20"/>
      <c r="I326" s="20"/>
      <c r="J326" s="20"/>
      <c r="K326" s="20"/>
      <c r="L326" s="20"/>
      <c r="M326" s="20"/>
      <c r="N326" s="20"/>
      <c r="O326" s="42"/>
      <c r="P326" s="42"/>
      <c r="Q326" s="42"/>
      <c r="R326" s="42"/>
      <c r="S326" s="42"/>
      <c r="T326" s="42"/>
      <c r="U326" s="55"/>
    </row>
    <row r="327" spans="1:21" ht="17.25" customHeight="1" x14ac:dyDescent="0.3">
      <c r="A327" s="15" t="s">
        <v>29</v>
      </c>
      <c r="C327" s="19"/>
      <c r="D327" s="33"/>
      <c r="E327" s="33" t="s">
        <v>30</v>
      </c>
      <c r="F327" s="20" t="s">
        <v>30</v>
      </c>
      <c r="G327" s="20" t="s">
        <v>30</v>
      </c>
      <c r="H327" s="20"/>
      <c r="I327" s="20"/>
      <c r="J327" s="20" t="s">
        <v>30</v>
      </c>
      <c r="K327" s="20" t="s">
        <v>30</v>
      </c>
      <c r="L327" s="20" t="s">
        <v>30</v>
      </c>
      <c r="M327" s="20" t="s">
        <v>30</v>
      </c>
      <c r="N327" s="20"/>
      <c r="U327" s="56"/>
    </row>
    <row r="328" spans="1:21" ht="20.25" customHeight="1" x14ac:dyDescent="0.35">
      <c r="A328" s="15" t="s">
        <v>29</v>
      </c>
      <c r="C328" s="19"/>
      <c r="D328" s="34" t="str">
        <f t="shared" ref="D328" si="279">E328</f>
        <v>E100007</v>
      </c>
      <c r="E328" s="35" t="str">
        <f>"E100007"</f>
        <v>E100007</v>
      </c>
      <c r="F328" s="36" t="str">
        <f>"Plastic Handle Bag"</f>
        <v>Plastic Handle Bag</v>
      </c>
      <c r="G328" s="36"/>
      <c r="H328" s="37" t="str">
        <f>"EA"</f>
        <v>EA</v>
      </c>
      <c r="I328" s="36"/>
      <c r="J328" s="36"/>
      <c r="K328" s="36"/>
      <c r="L328" s="36"/>
      <c r="M328" s="36"/>
      <c r="N328" s="36"/>
      <c r="O328" s="38">
        <f t="shared" ref="O328:T328" si="280">(SUBTOTAL(9,O329:O330))</f>
        <v>400</v>
      </c>
      <c r="P328" s="38">
        <f t="shared" si="280"/>
        <v>0</v>
      </c>
      <c r="Q328" s="38">
        <f t="shared" si="280"/>
        <v>0</v>
      </c>
      <c r="R328" s="38">
        <f t="shared" si="280"/>
        <v>0</v>
      </c>
      <c r="S328" s="38">
        <f t="shared" si="280"/>
        <v>0</v>
      </c>
      <c r="T328" s="38">
        <f t="shared" si="280"/>
        <v>0</v>
      </c>
      <c r="U328" s="53">
        <f t="shared" ref="U328" si="281">SUBTOTAL(9,O329:T330)</f>
        <v>400</v>
      </c>
    </row>
    <row r="329" spans="1:21" ht="17.25" customHeight="1" x14ac:dyDescent="0.3">
      <c r="A329" s="15" t="s">
        <v>29</v>
      </c>
      <c r="C329" s="19"/>
      <c r="D329" s="33" t="str">
        <f t="shared" ref="D329" si="282">D328</f>
        <v>E100007</v>
      </c>
      <c r="E329" s="33"/>
      <c r="F329" s="20"/>
      <c r="G329" s="20" t="str">
        <f>"""NAV"",""CRONUS JetCorp USA"",""32"",""1"",""166789"""</f>
        <v>"NAV","CRONUS JetCorp USA","32","1","166789"</v>
      </c>
      <c r="H329" s="39">
        <v>43466</v>
      </c>
      <c r="I329" s="40">
        <v>166789</v>
      </c>
      <c r="J329" s="40" t="str">
        <f>"Vendor"</f>
        <v>Vendor</v>
      </c>
      <c r="K329" s="40" t="str">
        <f>"V100003"</f>
        <v>V100003</v>
      </c>
      <c r="L329" s="40" t="str">
        <f>""</f>
        <v/>
      </c>
      <c r="M329" s="40" t="str">
        <f>"LogoMasters"</f>
        <v>LogoMasters</v>
      </c>
      <c r="N329" s="40" t="str">
        <f>""</f>
        <v/>
      </c>
      <c r="O329" s="41">
        <v>400</v>
      </c>
      <c r="P329" s="41">
        <v>0</v>
      </c>
      <c r="Q329" s="41">
        <v>0</v>
      </c>
      <c r="R329" s="41">
        <v>0</v>
      </c>
      <c r="S329" s="41">
        <v>0</v>
      </c>
      <c r="T329" s="41">
        <v>0</v>
      </c>
      <c r="U329" s="54"/>
    </row>
    <row r="330" spans="1:21" ht="17.25" customHeight="1" x14ac:dyDescent="0.3">
      <c r="A330" s="15" t="s">
        <v>29</v>
      </c>
      <c r="C330" s="19"/>
      <c r="D330" s="33"/>
      <c r="E330" s="33"/>
      <c r="F330" s="20"/>
      <c r="G330" s="20"/>
      <c r="H330" s="20"/>
      <c r="I330" s="20"/>
      <c r="J330" s="20"/>
      <c r="K330" s="20"/>
      <c r="L330" s="20"/>
      <c r="M330" s="20"/>
      <c r="N330" s="20"/>
      <c r="O330" s="42"/>
      <c r="P330" s="42"/>
      <c r="Q330" s="42"/>
      <c r="R330" s="42"/>
      <c r="S330" s="42"/>
      <c r="T330" s="42"/>
      <c r="U330" s="55"/>
    </row>
    <row r="331" spans="1:21" ht="17.25" customHeight="1" x14ac:dyDescent="0.3">
      <c r="A331" s="15" t="s">
        <v>29</v>
      </c>
      <c r="C331" s="19"/>
      <c r="D331" s="33"/>
      <c r="E331" s="33" t="s">
        <v>30</v>
      </c>
      <c r="F331" s="20" t="s">
        <v>30</v>
      </c>
      <c r="G331" s="20" t="s">
        <v>30</v>
      </c>
      <c r="H331" s="20"/>
      <c r="I331" s="20"/>
      <c r="J331" s="20" t="s">
        <v>30</v>
      </c>
      <c r="K331" s="20" t="s">
        <v>30</v>
      </c>
      <c r="L331" s="20" t="s">
        <v>30</v>
      </c>
      <c r="M331" s="20" t="s">
        <v>30</v>
      </c>
      <c r="N331" s="20"/>
      <c r="U331" s="56"/>
    </row>
    <row r="332" spans="1:21" ht="20.25" customHeight="1" x14ac:dyDescent="0.35">
      <c r="A332" s="15" t="s">
        <v>29</v>
      </c>
      <c r="C332" s="19"/>
      <c r="D332" s="34" t="str">
        <f t="shared" ref="D332" si="283">E332</f>
        <v>E100008</v>
      </c>
      <c r="E332" s="35" t="str">
        <f>"E100008"</f>
        <v>E100008</v>
      </c>
      <c r="F332" s="36" t="str">
        <f>"Super Shopper"</f>
        <v>Super Shopper</v>
      </c>
      <c r="G332" s="36"/>
      <c r="H332" s="37" t="str">
        <f>"EA"</f>
        <v>EA</v>
      </c>
      <c r="I332" s="36"/>
      <c r="J332" s="36"/>
      <c r="K332" s="36"/>
      <c r="L332" s="36"/>
      <c r="M332" s="36"/>
      <c r="N332" s="36"/>
      <c r="O332" s="38">
        <f t="shared" ref="O332:T332" si="284">(SUBTOTAL(9,O333:O337))</f>
        <v>800</v>
      </c>
      <c r="P332" s="38">
        <f t="shared" si="284"/>
        <v>-146</v>
      </c>
      <c r="Q332" s="38">
        <f t="shared" si="284"/>
        <v>0</v>
      </c>
      <c r="R332" s="38">
        <f t="shared" si="284"/>
        <v>0</v>
      </c>
      <c r="S332" s="38">
        <f t="shared" si="284"/>
        <v>0</v>
      </c>
      <c r="T332" s="38">
        <f t="shared" si="284"/>
        <v>0</v>
      </c>
      <c r="U332" s="53">
        <f t="shared" ref="U332" si="285">SUBTOTAL(9,O333:T337)</f>
        <v>654</v>
      </c>
    </row>
    <row r="333" spans="1:21" ht="17.25" customHeight="1" x14ac:dyDescent="0.3">
      <c r="A333" s="15" t="s">
        <v>29</v>
      </c>
      <c r="C333" s="19"/>
      <c r="D333" s="33" t="str">
        <f t="shared" ref="D333" si="286">D332</f>
        <v>E100008</v>
      </c>
      <c r="E333" s="33"/>
      <c r="F333" s="20"/>
      <c r="G333" s="20" t="str">
        <f>"""NAV"",""CRONUS JetCorp USA"",""32"",""1"",""166788"""</f>
        <v>"NAV","CRONUS JetCorp USA","32","1","166788"</v>
      </c>
      <c r="H333" s="39">
        <v>43466</v>
      </c>
      <c r="I333" s="40">
        <v>166788</v>
      </c>
      <c r="J333" s="40" t="str">
        <f>"Vendor"</f>
        <v>Vendor</v>
      </c>
      <c r="K333" s="40" t="str">
        <f>"V100003"</f>
        <v>V100003</v>
      </c>
      <c r="L333" s="40" t="str">
        <f>""</f>
        <v/>
      </c>
      <c r="M333" s="40" t="str">
        <f>"LogoMasters"</f>
        <v>LogoMasters</v>
      </c>
      <c r="N333" s="40" t="str">
        <f>""</f>
        <v/>
      </c>
      <c r="O333" s="41">
        <v>400</v>
      </c>
      <c r="P333" s="41">
        <v>0</v>
      </c>
      <c r="Q333" s="41">
        <v>0</v>
      </c>
      <c r="R333" s="41">
        <v>0</v>
      </c>
      <c r="S333" s="41">
        <v>0</v>
      </c>
      <c r="T333" s="41">
        <v>0</v>
      </c>
      <c r="U333" s="54"/>
    </row>
    <row r="334" spans="1:21" ht="17.25" customHeight="1" x14ac:dyDescent="0.3">
      <c r="A334" s="15" t="s">
        <v>29</v>
      </c>
      <c r="C334" s="19"/>
      <c r="D334" s="33" t="str">
        <f t="shared" ref="D334:D336" si="287">D333</f>
        <v>E100008</v>
      </c>
      <c r="E334" s="33"/>
      <c r="F334" s="20"/>
      <c r="G334" s="20" t="str">
        <f>"""NAV"",""CRONUS JetCorp USA"",""32"",""1"",""166801"""</f>
        <v>"NAV","CRONUS JetCorp USA","32","1","166801"</v>
      </c>
      <c r="H334" s="39">
        <v>43466</v>
      </c>
      <c r="I334" s="40">
        <v>166801</v>
      </c>
      <c r="J334" s="40" t="str">
        <f>"Vendor"</f>
        <v>Vendor</v>
      </c>
      <c r="K334" s="40" t="str">
        <f>"V100001"</f>
        <v>V100001</v>
      </c>
      <c r="L334" s="40" t="str">
        <f>""</f>
        <v/>
      </c>
      <c r="M334" s="40" t="str">
        <f>"Greigner, Inc."</f>
        <v>Greigner, Inc.</v>
      </c>
      <c r="N334" s="40" t="str">
        <f>""</f>
        <v/>
      </c>
      <c r="O334" s="41">
        <v>400</v>
      </c>
      <c r="P334" s="41">
        <v>0</v>
      </c>
      <c r="Q334" s="41">
        <v>0</v>
      </c>
      <c r="R334" s="41">
        <v>0</v>
      </c>
      <c r="S334" s="41">
        <v>0</v>
      </c>
      <c r="T334" s="41">
        <v>0</v>
      </c>
      <c r="U334" s="54"/>
    </row>
    <row r="335" spans="1:21" ht="17.25" customHeight="1" x14ac:dyDescent="0.3">
      <c r="A335" s="15" t="s">
        <v>29</v>
      </c>
      <c r="C335" s="19"/>
      <c r="D335" s="33" t="str">
        <f t="shared" si="287"/>
        <v>E100008</v>
      </c>
      <c r="E335" s="33"/>
      <c r="F335" s="20"/>
      <c r="G335" s="20" t="str">
        <f>"""NAV"",""CRONUS JetCorp USA"",""32"",""1"",""153173"""</f>
        <v>"NAV","CRONUS JetCorp USA","32","1","153173"</v>
      </c>
      <c r="H335" s="39">
        <v>43470</v>
      </c>
      <c r="I335" s="40">
        <v>153173</v>
      </c>
      <c r="J335" s="40" t="str">
        <f>"Customer"</f>
        <v>Customer</v>
      </c>
      <c r="K335" s="40" t="str">
        <f>"C100136"</f>
        <v>C100136</v>
      </c>
      <c r="L335" s="40" t="str">
        <f>"First Bank"</f>
        <v>First Bank</v>
      </c>
      <c r="M335" s="40" t="str">
        <f>""</f>
        <v/>
      </c>
      <c r="N335" s="40" t="str">
        <f>""</f>
        <v/>
      </c>
      <c r="O335" s="41">
        <v>0</v>
      </c>
      <c r="P335" s="41">
        <v>-144</v>
      </c>
      <c r="Q335" s="41">
        <v>0</v>
      </c>
      <c r="R335" s="41">
        <v>0</v>
      </c>
      <c r="S335" s="41">
        <v>0</v>
      </c>
      <c r="T335" s="41">
        <v>0</v>
      </c>
      <c r="U335" s="54"/>
    </row>
    <row r="336" spans="1:21" ht="17.25" customHeight="1" x14ac:dyDescent="0.3">
      <c r="A336" s="15" t="s">
        <v>29</v>
      </c>
      <c r="C336" s="19"/>
      <c r="D336" s="33" t="str">
        <f t="shared" si="287"/>
        <v>E100008</v>
      </c>
      <c r="E336" s="33"/>
      <c r="F336" s="20"/>
      <c r="G336" s="20" t="str">
        <f>"""NAV"",""CRONUS JetCorp USA"",""32"",""1"",""64631"""</f>
        <v>"NAV","CRONUS JetCorp USA","32","1","64631"</v>
      </c>
      <c r="H336" s="39">
        <v>43475</v>
      </c>
      <c r="I336" s="40">
        <v>64631</v>
      </c>
      <c r="J336" s="40" t="str">
        <f>"Customer"</f>
        <v>Customer</v>
      </c>
      <c r="K336" s="40" t="str">
        <f>"C100136"</f>
        <v>C100136</v>
      </c>
      <c r="L336" s="40" t="str">
        <f>"First Bank"</f>
        <v>First Bank</v>
      </c>
      <c r="M336" s="40" t="str">
        <f>""</f>
        <v/>
      </c>
      <c r="N336" s="40" t="str">
        <f>""</f>
        <v/>
      </c>
      <c r="O336" s="41">
        <v>0</v>
      </c>
      <c r="P336" s="41">
        <v>-2</v>
      </c>
      <c r="Q336" s="41">
        <v>0</v>
      </c>
      <c r="R336" s="41">
        <v>0</v>
      </c>
      <c r="S336" s="41">
        <v>0</v>
      </c>
      <c r="T336" s="41">
        <v>0</v>
      </c>
      <c r="U336" s="54"/>
    </row>
    <row r="337" spans="1:21" ht="17.25" customHeight="1" x14ac:dyDescent="0.3">
      <c r="A337" s="15" t="s">
        <v>29</v>
      </c>
      <c r="C337" s="19"/>
      <c r="D337" s="33"/>
      <c r="E337" s="33"/>
      <c r="F337" s="20"/>
      <c r="G337" s="20"/>
      <c r="H337" s="20"/>
      <c r="I337" s="20"/>
      <c r="J337" s="20"/>
      <c r="K337" s="20"/>
      <c r="L337" s="20"/>
      <c r="M337" s="20"/>
      <c r="N337" s="20"/>
      <c r="O337" s="42"/>
      <c r="P337" s="42"/>
      <c r="Q337" s="42"/>
      <c r="R337" s="42"/>
      <c r="S337" s="42"/>
      <c r="T337" s="42"/>
      <c r="U337" s="55"/>
    </row>
    <row r="338" spans="1:21" ht="17.25" customHeight="1" x14ac:dyDescent="0.3">
      <c r="A338" s="15" t="s">
        <v>29</v>
      </c>
      <c r="C338" s="19"/>
      <c r="D338" s="33"/>
      <c r="E338" s="33" t="s">
        <v>30</v>
      </c>
      <c r="F338" s="20" t="s">
        <v>30</v>
      </c>
      <c r="G338" s="20" t="s">
        <v>30</v>
      </c>
      <c r="H338" s="20"/>
      <c r="I338" s="20"/>
      <c r="J338" s="20" t="s">
        <v>30</v>
      </c>
      <c r="K338" s="20" t="s">
        <v>30</v>
      </c>
      <c r="L338" s="20" t="s">
        <v>30</v>
      </c>
      <c r="M338" s="20" t="s">
        <v>30</v>
      </c>
      <c r="N338" s="20"/>
      <c r="U338" s="56"/>
    </row>
    <row r="339" spans="1:21" ht="20.25" customHeight="1" x14ac:dyDescent="0.35">
      <c r="A339" s="15" t="s">
        <v>29</v>
      </c>
      <c r="C339" s="19"/>
      <c r="D339" s="34" t="str">
        <f t="shared" ref="D339" si="288">E339</f>
        <v>E100009</v>
      </c>
      <c r="E339" s="35" t="str">
        <f>"E100009"</f>
        <v>E100009</v>
      </c>
      <c r="F339" s="36" t="str">
        <f>"Die-Cut Tote"</f>
        <v>Die-Cut Tote</v>
      </c>
      <c r="G339" s="36"/>
      <c r="H339" s="37" t="str">
        <f>"EA"</f>
        <v>EA</v>
      </c>
      <c r="I339" s="36"/>
      <c r="J339" s="36"/>
      <c r="K339" s="36"/>
      <c r="L339" s="36"/>
      <c r="M339" s="36"/>
      <c r="N339" s="36"/>
      <c r="O339" s="38">
        <f t="shared" ref="O339:T339" si="289">(SUBTOTAL(9,O340:O342))</f>
        <v>400</v>
      </c>
      <c r="P339" s="38">
        <f t="shared" si="289"/>
        <v>-145</v>
      </c>
      <c r="Q339" s="38">
        <f t="shared" si="289"/>
        <v>0</v>
      </c>
      <c r="R339" s="38">
        <f t="shared" si="289"/>
        <v>0</v>
      </c>
      <c r="S339" s="38">
        <f t="shared" si="289"/>
        <v>0</v>
      </c>
      <c r="T339" s="38">
        <f t="shared" si="289"/>
        <v>0</v>
      </c>
      <c r="U339" s="53">
        <f t="shared" ref="U339" si="290">SUBTOTAL(9,O340:T342)</f>
        <v>255</v>
      </c>
    </row>
    <row r="340" spans="1:21" ht="17.25" customHeight="1" x14ac:dyDescent="0.3">
      <c r="A340" s="15" t="s">
        <v>29</v>
      </c>
      <c r="C340" s="19"/>
      <c r="D340" s="33" t="str">
        <f t="shared" ref="D340" si="291">D339</f>
        <v>E100009</v>
      </c>
      <c r="E340" s="33"/>
      <c r="F340" s="20"/>
      <c r="G340" s="20" t="str">
        <f>"""NAV"",""CRONUS JetCorp USA"",""32"",""1"",""166787"""</f>
        <v>"NAV","CRONUS JetCorp USA","32","1","166787"</v>
      </c>
      <c r="H340" s="39">
        <v>43466</v>
      </c>
      <c r="I340" s="40">
        <v>166787</v>
      </c>
      <c r="J340" s="40" t="str">
        <f>"Vendor"</f>
        <v>Vendor</v>
      </c>
      <c r="K340" s="40" t="str">
        <f>"V100003"</f>
        <v>V100003</v>
      </c>
      <c r="L340" s="40" t="str">
        <f>""</f>
        <v/>
      </c>
      <c r="M340" s="40" t="str">
        <f>"LogoMasters"</f>
        <v>LogoMasters</v>
      </c>
      <c r="N340" s="40" t="str">
        <f>""</f>
        <v/>
      </c>
      <c r="O340" s="41">
        <v>400</v>
      </c>
      <c r="P340" s="41">
        <v>0</v>
      </c>
      <c r="Q340" s="41">
        <v>0</v>
      </c>
      <c r="R340" s="41">
        <v>0</v>
      </c>
      <c r="S340" s="41">
        <v>0</v>
      </c>
      <c r="T340" s="41">
        <v>0</v>
      </c>
      <c r="U340" s="54"/>
    </row>
    <row r="341" spans="1:21" ht="17.25" customHeight="1" x14ac:dyDescent="0.3">
      <c r="A341" s="15" t="s">
        <v>29</v>
      </c>
      <c r="C341" s="19"/>
      <c r="D341" s="33" t="str">
        <f t="shared" ref="D341" si="292">D340</f>
        <v>E100009</v>
      </c>
      <c r="E341" s="33"/>
      <c r="F341" s="20"/>
      <c r="G341" s="20" t="str">
        <f>"""NAV"",""CRONUS JetCorp USA"",""32"",""1"",""64630"""</f>
        <v>"NAV","CRONUS JetCorp USA","32","1","64630"</v>
      </c>
      <c r="H341" s="39">
        <v>43475</v>
      </c>
      <c r="I341" s="40">
        <v>64630</v>
      </c>
      <c r="J341" s="40" t="str">
        <f>"Customer"</f>
        <v>Customer</v>
      </c>
      <c r="K341" s="40" t="str">
        <f>"C100136"</f>
        <v>C100136</v>
      </c>
      <c r="L341" s="40" t="str">
        <f>"First Bank"</f>
        <v>First Bank</v>
      </c>
      <c r="M341" s="40" t="str">
        <f>""</f>
        <v/>
      </c>
      <c r="N341" s="40" t="str">
        <f>""</f>
        <v/>
      </c>
      <c r="O341" s="41">
        <v>0</v>
      </c>
      <c r="P341" s="41">
        <v>-145</v>
      </c>
      <c r="Q341" s="41">
        <v>0</v>
      </c>
      <c r="R341" s="41">
        <v>0</v>
      </c>
      <c r="S341" s="41">
        <v>0</v>
      </c>
      <c r="T341" s="41">
        <v>0</v>
      </c>
      <c r="U341" s="54"/>
    </row>
    <row r="342" spans="1:21" ht="17.25" customHeight="1" x14ac:dyDescent="0.3">
      <c r="A342" s="15" t="s">
        <v>29</v>
      </c>
      <c r="C342" s="19"/>
      <c r="D342" s="33"/>
      <c r="E342" s="33"/>
      <c r="F342" s="20"/>
      <c r="G342" s="20"/>
      <c r="H342" s="20"/>
      <c r="I342" s="20"/>
      <c r="J342" s="20"/>
      <c r="K342" s="20"/>
      <c r="L342" s="20"/>
      <c r="M342" s="20"/>
      <c r="N342" s="20"/>
      <c r="O342" s="42"/>
      <c r="P342" s="42"/>
      <c r="Q342" s="42"/>
      <c r="R342" s="42"/>
      <c r="S342" s="42"/>
      <c r="T342" s="42"/>
      <c r="U342" s="55"/>
    </row>
    <row r="343" spans="1:21" ht="17.25" customHeight="1" x14ac:dyDescent="0.3">
      <c r="A343" s="15" t="s">
        <v>29</v>
      </c>
      <c r="C343" s="19"/>
      <c r="D343" s="33"/>
      <c r="E343" s="33" t="s">
        <v>30</v>
      </c>
      <c r="F343" s="20" t="s">
        <v>30</v>
      </c>
      <c r="G343" s="20" t="s">
        <v>30</v>
      </c>
      <c r="H343" s="20"/>
      <c r="I343" s="20"/>
      <c r="J343" s="20" t="s">
        <v>30</v>
      </c>
      <c r="K343" s="20" t="s">
        <v>30</v>
      </c>
      <c r="L343" s="20" t="s">
        <v>30</v>
      </c>
      <c r="M343" s="20" t="s">
        <v>30</v>
      </c>
      <c r="N343" s="20"/>
      <c r="U343" s="56"/>
    </row>
    <row r="344" spans="1:21" ht="20.25" customHeight="1" x14ac:dyDescent="0.35">
      <c r="A344" s="15" t="s">
        <v>29</v>
      </c>
      <c r="C344" s="19"/>
      <c r="D344" s="34" t="str">
        <f t="shared" ref="D344" si="293">E344</f>
        <v>E100010</v>
      </c>
      <c r="E344" s="35" t="str">
        <f>"E100010"</f>
        <v>E100010</v>
      </c>
      <c r="F344" s="36" t="str">
        <f>"Vinyl Tote"</f>
        <v>Vinyl Tote</v>
      </c>
      <c r="G344" s="36"/>
      <c r="H344" s="37" t="str">
        <f>"EA"</f>
        <v>EA</v>
      </c>
      <c r="I344" s="36"/>
      <c r="J344" s="36"/>
      <c r="K344" s="36"/>
      <c r="L344" s="36"/>
      <c r="M344" s="36"/>
      <c r="N344" s="36"/>
      <c r="O344" s="38">
        <f t="shared" ref="O344:T344" si="294">(SUBTOTAL(9,O345:O348))</f>
        <v>1000</v>
      </c>
      <c r="P344" s="38">
        <f t="shared" si="294"/>
        <v>-288</v>
      </c>
      <c r="Q344" s="38">
        <f t="shared" si="294"/>
        <v>0</v>
      </c>
      <c r="R344" s="38">
        <f t="shared" si="294"/>
        <v>0</v>
      </c>
      <c r="S344" s="38">
        <f t="shared" si="294"/>
        <v>0</v>
      </c>
      <c r="T344" s="38">
        <f t="shared" si="294"/>
        <v>0</v>
      </c>
      <c r="U344" s="53">
        <f t="shared" ref="U344" si="295">SUBTOTAL(9,O345:T348)</f>
        <v>712</v>
      </c>
    </row>
    <row r="345" spans="1:21" ht="17.25" customHeight="1" x14ac:dyDescent="0.3">
      <c r="A345" s="15" t="s">
        <v>29</v>
      </c>
      <c r="C345" s="19"/>
      <c r="D345" s="33" t="str">
        <f t="shared" ref="D345" si="296">D344</f>
        <v>E100010</v>
      </c>
      <c r="E345" s="33"/>
      <c r="F345" s="20"/>
      <c r="G345" s="20" t="str">
        <f>"""NAV"",""CRONUS JetCorp USA"",""32"",""1"",""166786"""</f>
        <v>"NAV","CRONUS JetCorp USA","32","1","166786"</v>
      </c>
      <c r="H345" s="39">
        <v>43466</v>
      </c>
      <c r="I345" s="40">
        <v>166786</v>
      </c>
      <c r="J345" s="40" t="str">
        <f>"Vendor"</f>
        <v>Vendor</v>
      </c>
      <c r="K345" s="40" t="str">
        <f>"V100003"</f>
        <v>V100003</v>
      </c>
      <c r="L345" s="40" t="str">
        <f>""</f>
        <v/>
      </c>
      <c r="M345" s="40" t="str">
        <f>"LogoMasters"</f>
        <v>LogoMasters</v>
      </c>
      <c r="N345" s="40" t="str">
        <f>""</f>
        <v/>
      </c>
      <c r="O345" s="41">
        <v>800</v>
      </c>
      <c r="P345" s="41">
        <v>0</v>
      </c>
      <c r="Q345" s="41">
        <v>0</v>
      </c>
      <c r="R345" s="41">
        <v>0</v>
      </c>
      <c r="S345" s="41">
        <v>0</v>
      </c>
      <c r="T345" s="41">
        <v>0</v>
      </c>
      <c r="U345" s="54"/>
    </row>
    <row r="346" spans="1:21" ht="17.25" customHeight="1" x14ac:dyDescent="0.3">
      <c r="A346" s="15" t="s">
        <v>29</v>
      </c>
      <c r="C346" s="19"/>
      <c r="D346" s="33" t="str">
        <f t="shared" ref="D346:D347" si="297">D345</f>
        <v>E100010</v>
      </c>
      <c r="E346" s="33"/>
      <c r="F346" s="20"/>
      <c r="G346" s="20" t="str">
        <f>"""NAV"",""CRONUS JetCorp USA"",""32"",""1"",""166800"""</f>
        <v>"NAV","CRONUS JetCorp USA","32","1","166800"</v>
      </c>
      <c r="H346" s="39">
        <v>43466</v>
      </c>
      <c r="I346" s="40">
        <v>166800</v>
      </c>
      <c r="J346" s="40" t="str">
        <f>"Vendor"</f>
        <v>Vendor</v>
      </c>
      <c r="K346" s="40" t="str">
        <f>"V100001"</f>
        <v>V100001</v>
      </c>
      <c r="L346" s="40" t="str">
        <f>""</f>
        <v/>
      </c>
      <c r="M346" s="40" t="str">
        <f>"Greigner, Inc."</f>
        <v>Greigner, Inc.</v>
      </c>
      <c r="N346" s="40" t="str">
        <f>""</f>
        <v/>
      </c>
      <c r="O346" s="41">
        <v>200</v>
      </c>
      <c r="P346" s="41">
        <v>0</v>
      </c>
      <c r="Q346" s="41">
        <v>0</v>
      </c>
      <c r="R346" s="41">
        <v>0</v>
      </c>
      <c r="S346" s="41">
        <v>0</v>
      </c>
      <c r="T346" s="41">
        <v>0</v>
      </c>
      <c r="U346" s="54"/>
    </row>
    <row r="347" spans="1:21" ht="17.25" customHeight="1" x14ac:dyDescent="0.3">
      <c r="A347" s="15" t="s">
        <v>29</v>
      </c>
      <c r="C347" s="19"/>
      <c r="D347" s="33" t="str">
        <f t="shared" si="297"/>
        <v>E100010</v>
      </c>
      <c r="E347" s="33"/>
      <c r="F347" s="20"/>
      <c r="G347" s="20" t="str">
        <f>"""NAV"",""CRONUS JetCorp USA"",""32"",""1"",""64627"""</f>
        <v>"NAV","CRONUS JetCorp USA","32","1","64627"</v>
      </c>
      <c r="H347" s="39">
        <v>43475</v>
      </c>
      <c r="I347" s="40">
        <v>64627</v>
      </c>
      <c r="J347" s="40" t="str">
        <f>"Customer"</f>
        <v>Customer</v>
      </c>
      <c r="K347" s="40" t="str">
        <f>"C100136"</f>
        <v>C100136</v>
      </c>
      <c r="L347" s="40" t="str">
        <f>"First Bank"</f>
        <v>First Bank</v>
      </c>
      <c r="M347" s="40" t="str">
        <f>""</f>
        <v/>
      </c>
      <c r="N347" s="40" t="str">
        <f>""</f>
        <v/>
      </c>
      <c r="O347" s="41">
        <v>0</v>
      </c>
      <c r="P347" s="41">
        <v>-288</v>
      </c>
      <c r="Q347" s="41">
        <v>0</v>
      </c>
      <c r="R347" s="41">
        <v>0</v>
      </c>
      <c r="S347" s="41">
        <v>0</v>
      </c>
      <c r="T347" s="41">
        <v>0</v>
      </c>
      <c r="U347" s="54"/>
    </row>
    <row r="348" spans="1:21" ht="17.25" customHeight="1" x14ac:dyDescent="0.3">
      <c r="A348" s="15" t="s">
        <v>29</v>
      </c>
      <c r="C348" s="19"/>
      <c r="D348" s="33"/>
      <c r="E348" s="33"/>
      <c r="F348" s="20"/>
      <c r="G348" s="20"/>
      <c r="H348" s="20"/>
      <c r="I348" s="20"/>
      <c r="J348" s="20"/>
      <c r="K348" s="20"/>
      <c r="L348" s="20"/>
      <c r="M348" s="20"/>
      <c r="N348" s="20"/>
      <c r="O348" s="42"/>
      <c r="P348" s="42"/>
      <c r="Q348" s="42"/>
      <c r="R348" s="42"/>
      <c r="S348" s="42"/>
      <c r="T348" s="42"/>
      <c r="U348" s="55"/>
    </row>
    <row r="349" spans="1:21" ht="17.25" customHeight="1" x14ac:dyDescent="0.3">
      <c r="A349" s="15" t="s">
        <v>29</v>
      </c>
      <c r="C349" s="19"/>
      <c r="D349" s="33"/>
      <c r="E349" s="33" t="s">
        <v>30</v>
      </c>
      <c r="F349" s="20" t="s">
        <v>30</v>
      </c>
      <c r="G349" s="20" t="s">
        <v>30</v>
      </c>
      <c r="H349" s="20"/>
      <c r="I349" s="20"/>
      <c r="J349" s="20" t="s">
        <v>30</v>
      </c>
      <c r="K349" s="20" t="s">
        <v>30</v>
      </c>
      <c r="L349" s="20" t="s">
        <v>30</v>
      </c>
      <c r="M349" s="20" t="s">
        <v>30</v>
      </c>
      <c r="N349" s="20"/>
      <c r="U349" s="56"/>
    </row>
    <row r="350" spans="1:21" ht="20.25" customHeight="1" x14ac:dyDescent="0.35">
      <c r="A350" s="15" t="s">
        <v>29</v>
      </c>
      <c r="C350" s="19"/>
      <c r="D350" s="34" t="str">
        <f t="shared" ref="D350" si="298">E350</f>
        <v>E100011</v>
      </c>
      <c r="E350" s="35" t="str">
        <f>"E100011"</f>
        <v>E100011</v>
      </c>
      <c r="F350" s="36" t="str">
        <f>"Plastic Sun Visor"</f>
        <v>Plastic Sun Visor</v>
      </c>
      <c r="G350" s="36"/>
      <c r="H350" s="37" t="str">
        <f>"EA"</f>
        <v>EA</v>
      </c>
      <c r="I350" s="36"/>
      <c r="J350" s="36"/>
      <c r="K350" s="36"/>
      <c r="L350" s="36"/>
      <c r="M350" s="36"/>
      <c r="N350" s="36"/>
      <c r="O350" s="38">
        <f t="shared" ref="O350:T350" si="299">(SUBTOTAL(9,O351:O357))</f>
        <v>2000</v>
      </c>
      <c r="P350" s="38">
        <f t="shared" si="299"/>
        <v>-1010</v>
      </c>
      <c r="Q350" s="38">
        <f t="shared" si="299"/>
        <v>0</v>
      </c>
      <c r="R350" s="38">
        <f t="shared" si="299"/>
        <v>0</v>
      </c>
      <c r="S350" s="38">
        <f t="shared" si="299"/>
        <v>0</v>
      </c>
      <c r="T350" s="38">
        <f t="shared" si="299"/>
        <v>0</v>
      </c>
      <c r="U350" s="53">
        <f t="shared" ref="U350" si="300">SUBTOTAL(9,O351:T357)</f>
        <v>990</v>
      </c>
    </row>
    <row r="351" spans="1:21" ht="17.25" customHeight="1" x14ac:dyDescent="0.3">
      <c r="A351" s="15" t="s">
        <v>29</v>
      </c>
      <c r="C351" s="19"/>
      <c r="D351" s="33" t="str">
        <f t="shared" ref="D351" si="301">D350</f>
        <v>E100011</v>
      </c>
      <c r="E351" s="33"/>
      <c r="F351" s="20"/>
      <c r="G351" s="20" t="str">
        <f>"""NAV"",""CRONUS JetCorp USA"",""32"",""1"",""167160"""</f>
        <v>"NAV","CRONUS JetCorp USA","32","1","167160"</v>
      </c>
      <c r="H351" s="39">
        <v>43466</v>
      </c>
      <c r="I351" s="40">
        <v>167160</v>
      </c>
      <c r="J351" s="40" t="str">
        <f>"Vendor"</f>
        <v>Vendor</v>
      </c>
      <c r="K351" s="40" t="str">
        <f>"V100003"</f>
        <v>V100003</v>
      </c>
      <c r="L351" s="40" t="str">
        <f>""</f>
        <v/>
      </c>
      <c r="M351" s="40" t="str">
        <f>"LogoMasters"</f>
        <v>LogoMasters</v>
      </c>
      <c r="N351" s="40" t="str">
        <f>""</f>
        <v/>
      </c>
      <c r="O351" s="41">
        <v>1600</v>
      </c>
      <c r="P351" s="41">
        <v>0</v>
      </c>
      <c r="Q351" s="41">
        <v>0</v>
      </c>
      <c r="R351" s="41">
        <v>0</v>
      </c>
      <c r="S351" s="41">
        <v>0</v>
      </c>
      <c r="T351" s="41">
        <v>0</v>
      </c>
      <c r="U351" s="54"/>
    </row>
    <row r="352" spans="1:21" ht="17.25" customHeight="1" x14ac:dyDescent="0.3">
      <c r="A352" s="15" t="s">
        <v>29</v>
      </c>
      <c r="C352" s="19"/>
      <c r="D352" s="33" t="str">
        <f t="shared" ref="D352:D356" si="302">D351</f>
        <v>E100011</v>
      </c>
      <c r="E352" s="33"/>
      <c r="F352" s="20"/>
      <c r="G352" s="20" t="str">
        <f>"""NAV"",""CRONUS JetCorp USA"",""32"",""1"",""167170"""</f>
        <v>"NAV","CRONUS JetCorp USA","32","1","167170"</v>
      </c>
      <c r="H352" s="39">
        <v>43466</v>
      </c>
      <c r="I352" s="40">
        <v>167170</v>
      </c>
      <c r="J352" s="40" t="str">
        <f>"Vendor"</f>
        <v>Vendor</v>
      </c>
      <c r="K352" s="40" t="str">
        <f>"V100001"</f>
        <v>V100001</v>
      </c>
      <c r="L352" s="40" t="str">
        <f>""</f>
        <v/>
      </c>
      <c r="M352" s="40" t="str">
        <f>"Greigner, Inc."</f>
        <v>Greigner, Inc.</v>
      </c>
      <c r="N352" s="40" t="str">
        <f>""</f>
        <v/>
      </c>
      <c r="O352" s="41">
        <v>400</v>
      </c>
      <c r="P352" s="41">
        <v>0</v>
      </c>
      <c r="Q352" s="41">
        <v>0</v>
      </c>
      <c r="R352" s="41">
        <v>0</v>
      </c>
      <c r="S352" s="41">
        <v>0</v>
      </c>
      <c r="T352" s="41">
        <v>0</v>
      </c>
      <c r="U352" s="54"/>
    </row>
    <row r="353" spans="1:21" ht="17.25" customHeight="1" x14ac:dyDescent="0.3">
      <c r="A353" s="15" t="s">
        <v>29</v>
      </c>
      <c r="C353" s="19"/>
      <c r="D353" s="33" t="str">
        <f t="shared" si="302"/>
        <v>E100011</v>
      </c>
      <c r="E353" s="33"/>
      <c r="F353" s="20"/>
      <c r="G353" s="20" t="str">
        <f>"""NAV"",""CRONUS JetCorp USA"",""32"",""1"",""30039"""</f>
        <v>"NAV","CRONUS JetCorp USA","32","1","30039"</v>
      </c>
      <c r="H353" s="39">
        <v>43471</v>
      </c>
      <c r="I353" s="40">
        <v>30039</v>
      </c>
      <c r="J353" s="40" t="str">
        <f>"Customer"</f>
        <v>Customer</v>
      </c>
      <c r="K353" s="40" t="str">
        <f>"C100012"</f>
        <v>C100012</v>
      </c>
      <c r="L353" s="40" t="str">
        <f>"Bainbridges"</f>
        <v>Bainbridges</v>
      </c>
      <c r="M353" s="40" t="str">
        <f>""</f>
        <v/>
      </c>
      <c r="N353" s="40" t="str">
        <f>""</f>
        <v/>
      </c>
      <c r="O353" s="41">
        <v>0</v>
      </c>
      <c r="P353" s="41">
        <v>-289</v>
      </c>
      <c r="Q353" s="41">
        <v>0</v>
      </c>
      <c r="R353" s="41">
        <v>0</v>
      </c>
      <c r="S353" s="41">
        <v>0</v>
      </c>
      <c r="T353" s="41">
        <v>0</v>
      </c>
      <c r="U353" s="54"/>
    </row>
    <row r="354" spans="1:21" ht="17.25" customHeight="1" x14ac:dyDescent="0.3">
      <c r="A354" s="15" t="s">
        <v>29</v>
      </c>
      <c r="C354" s="19"/>
      <c r="D354" s="33" t="str">
        <f t="shared" si="302"/>
        <v>E100011</v>
      </c>
      <c r="E354" s="33"/>
      <c r="F354" s="20"/>
      <c r="G354" s="20" t="str">
        <f>"""NAV"",""CRONUS JetCorp USA"",""32"",""1"",""20392"""</f>
        <v>"NAV","CRONUS JetCorp USA","32","1","20392"</v>
      </c>
      <c r="H354" s="39">
        <v>43473</v>
      </c>
      <c r="I354" s="40">
        <v>20392</v>
      </c>
      <c r="J354" s="40" t="str">
        <f>"Customer"</f>
        <v>Customer</v>
      </c>
      <c r="K354" s="40" t="str">
        <f>"C100130"</f>
        <v>C100130</v>
      </c>
      <c r="L354" s="40" t="str">
        <f>"Hotspot Systems"</f>
        <v>Hotspot Systems</v>
      </c>
      <c r="M354" s="40" t="str">
        <f>""</f>
        <v/>
      </c>
      <c r="N354" s="40" t="str">
        <f>""</f>
        <v/>
      </c>
      <c r="O354" s="41">
        <v>0</v>
      </c>
      <c r="P354" s="41">
        <v>-289</v>
      </c>
      <c r="Q354" s="41">
        <v>0</v>
      </c>
      <c r="R354" s="41">
        <v>0</v>
      </c>
      <c r="S354" s="41">
        <v>0</v>
      </c>
      <c r="T354" s="41">
        <v>0</v>
      </c>
      <c r="U354" s="54"/>
    </row>
    <row r="355" spans="1:21" ht="17.25" customHeight="1" x14ac:dyDescent="0.3">
      <c r="A355" s="15" t="s">
        <v>29</v>
      </c>
      <c r="C355" s="19"/>
      <c r="D355" s="33" t="str">
        <f t="shared" si="302"/>
        <v>E100011</v>
      </c>
      <c r="E355" s="33"/>
      <c r="F355" s="20"/>
      <c r="G355" s="20" t="str">
        <f>"""NAV"",""CRONUS JetCorp USA"",""32"",""1"",""20412"""</f>
        <v>"NAV","CRONUS JetCorp USA","32","1","20412"</v>
      </c>
      <c r="H355" s="39">
        <v>43475</v>
      </c>
      <c r="I355" s="40">
        <v>20412</v>
      </c>
      <c r="J355" s="40" t="str">
        <f>"Customer"</f>
        <v>Customer</v>
      </c>
      <c r="K355" s="40" t="str">
        <f>"C100130"</f>
        <v>C100130</v>
      </c>
      <c r="L355" s="40" t="str">
        <f>"Hotspot Systems"</f>
        <v>Hotspot Systems</v>
      </c>
      <c r="M355" s="40" t="str">
        <f>""</f>
        <v/>
      </c>
      <c r="N355" s="40" t="str">
        <f>""</f>
        <v/>
      </c>
      <c r="O355" s="41">
        <v>0</v>
      </c>
      <c r="P355" s="41">
        <v>-144</v>
      </c>
      <c r="Q355" s="41">
        <v>0</v>
      </c>
      <c r="R355" s="41">
        <v>0</v>
      </c>
      <c r="S355" s="41">
        <v>0</v>
      </c>
      <c r="T355" s="41">
        <v>0</v>
      </c>
      <c r="U355" s="54"/>
    </row>
    <row r="356" spans="1:21" ht="17.25" customHeight="1" x14ac:dyDescent="0.3">
      <c r="A356" s="15" t="s">
        <v>29</v>
      </c>
      <c r="C356" s="19"/>
      <c r="D356" s="33" t="str">
        <f t="shared" si="302"/>
        <v>E100011</v>
      </c>
      <c r="E356" s="33"/>
      <c r="F356" s="20"/>
      <c r="G356" s="20" t="str">
        <f>"""NAV"",""CRONUS JetCorp USA"",""32"",""1"",""64623"""</f>
        <v>"NAV","CRONUS JetCorp USA","32","1","64623"</v>
      </c>
      <c r="H356" s="39">
        <v>43475</v>
      </c>
      <c r="I356" s="40">
        <v>64623</v>
      </c>
      <c r="J356" s="40" t="str">
        <f>"Customer"</f>
        <v>Customer</v>
      </c>
      <c r="K356" s="40" t="str">
        <f>"C100136"</f>
        <v>C100136</v>
      </c>
      <c r="L356" s="40" t="str">
        <f>"First Bank"</f>
        <v>First Bank</v>
      </c>
      <c r="M356" s="40" t="str">
        <f>""</f>
        <v/>
      </c>
      <c r="N356" s="40" t="str">
        <f>""</f>
        <v/>
      </c>
      <c r="O356" s="41">
        <v>0</v>
      </c>
      <c r="P356" s="41">
        <v>-288</v>
      </c>
      <c r="Q356" s="41">
        <v>0</v>
      </c>
      <c r="R356" s="41">
        <v>0</v>
      </c>
      <c r="S356" s="41">
        <v>0</v>
      </c>
      <c r="T356" s="41">
        <v>0</v>
      </c>
      <c r="U356" s="54"/>
    </row>
    <row r="357" spans="1:21" ht="17.25" customHeight="1" x14ac:dyDescent="0.3">
      <c r="A357" s="15" t="s">
        <v>29</v>
      </c>
      <c r="C357" s="19"/>
      <c r="D357" s="33"/>
      <c r="E357" s="33"/>
      <c r="F357" s="20"/>
      <c r="G357" s="20"/>
      <c r="H357" s="20"/>
      <c r="I357" s="20"/>
      <c r="J357" s="20"/>
      <c r="K357" s="20"/>
      <c r="L357" s="20"/>
      <c r="M357" s="20"/>
      <c r="N357" s="20"/>
      <c r="O357" s="42"/>
      <c r="P357" s="42"/>
      <c r="Q357" s="42"/>
      <c r="R357" s="42"/>
      <c r="S357" s="42"/>
      <c r="T357" s="42"/>
      <c r="U357" s="55"/>
    </row>
    <row r="358" spans="1:21" ht="17.25" customHeight="1" x14ac:dyDescent="0.3">
      <c r="A358" s="15" t="s">
        <v>29</v>
      </c>
      <c r="C358" s="19"/>
      <c r="D358" s="33"/>
      <c r="E358" s="33" t="s">
        <v>30</v>
      </c>
      <c r="F358" s="20" t="s">
        <v>30</v>
      </c>
      <c r="G358" s="20" t="s">
        <v>30</v>
      </c>
      <c r="H358" s="20"/>
      <c r="I358" s="20"/>
      <c r="J358" s="20" t="s">
        <v>30</v>
      </c>
      <c r="K358" s="20" t="s">
        <v>30</v>
      </c>
      <c r="L358" s="20" t="s">
        <v>30</v>
      </c>
      <c r="M358" s="20" t="s">
        <v>30</v>
      </c>
      <c r="N358" s="20"/>
      <c r="U358" s="56"/>
    </row>
    <row r="359" spans="1:21" ht="20.25" customHeight="1" x14ac:dyDescent="0.35">
      <c r="A359" s="15" t="s">
        <v>29</v>
      </c>
      <c r="C359" s="19"/>
      <c r="D359" s="34" t="str">
        <f t="shared" ref="D359" si="303">E359</f>
        <v>E100012</v>
      </c>
      <c r="E359" s="35" t="str">
        <f>"E100012"</f>
        <v>E100012</v>
      </c>
      <c r="F359" s="36" t="str">
        <f>"Canvas Stopwatch"</f>
        <v>Canvas Stopwatch</v>
      </c>
      <c r="G359" s="36"/>
      <c r="H359" s="37" t="str">
        <f>"EA"</f>
        <v>EA</v>
      </c>
      <c r="I359" s="36"/>
      <c r="J359" s="36"/>
      <c r="K359" s="36"/>
      <c r="L359" s="36"/>
      <c r="M359" s="36"/>
      <c r="N359" s="36"/>
      <c r="O359" s="38">
        <f t="shared" ref="O359:T359" si="304">(SUBTOTAL(9,O360:O362))</f>
        <v>1400</v>
      </c>
      <c r="P359" s="38">
        <f t="shared" si="304"/>
        <v>-144</v>
      </c>
      <c r="Q359" s="38">
        <f t="shared" si="304"/>
        <v>0</v>
      </c>
      <c r="R359" s="38">
        <f t="shared" si="304"/>
        <v>0</v>
      </c>
      <c r="S359" s="38">
        <f t="shared" si="304"/>
        <v>0</v>
      </c>
      <c r="T359" s="38">
        <f t="shared" si="304"/>
        <v>0</v>
      </c>
      <c r="U359" s="53">
        <f t="shared" ref="U359" si="305">SUBTOTAL(9,O360:T362)</f>
        <v>1256</v>
      </c>
    </row>
    <row r="360" spans="1:21" ht="17.25" customHeight="1" x14ac:dyDescent="0.3">
      <c r="A360" s="15" t="s">
        <v>29</v>
      </c>
      <c r="C360" s="19"/>
      <c r="D360" s="33" t="str">
        <f t="shared" ref="D360" si="306">D359</f>
        <v>E100012</v>
      </c>
      <c r="E360" s="33"/>
      <c r="F360" s="20"/>
      <c r="G360" s="20" t="str">
        <f>"""NAV"",""CRONUS JetCorp USA"",""32"",""1"",""167609"""</f>
        <v>"NAV","CRONUS JetCorp USA","32","1","167609"</v>
      </c>
      <c r="H360" s="39">
        <v>43466</v>
      </c>
      <c r="I360" s="40">
        <v>167609</v>
      </c>
      <c r="J360" s="40" t="str">
        <f>"Vendor"</f>
        <v>Vendor</v>
      </c>
      <c r="K360" s="40" t="str">
        <f>"V100003"</f>
        <v>V100003</v>
      </c>
      <c r="L360" s="40" t="str">
        <f>""</f>
        <v/>
      </c>
      <c r="M360" s="40" t="str">
        <f>"LogoMasters"</f>
        <v>LogoMasters</v>
      </c>
      <c r="N360" s="40" t="str">
        <f>""</f>
        <v/>
      </c>
      <c r="O360" s="41">
        <v>1400</v>
      </c>
      <c r="P360" s="41">
        <v>0</v>
      </c>
      <c r="Q360" s="41">
        <v>0</v>
      </c>
      <c r="R360" s="41">
        <v>0</v>
      </c>
      <c r="S360" s="41">
        <v>0</v>
      </c>
      <c r="T360" s="41">
        <v>0</v>
      </c>
      <c r="U360" s="54"/>
    </row>
    <row r="361" spans="1:21" ht="17.25" customHeight="1" x14ac:dyDescent="0.3">
      <c r="A361" s="15" t="s">
        <v>29</v>
      </c>
      <c r="C361" s="19"/>
      <c r="D361" s="33" t="str">
        <f t="shared" ref="D361" si="307">D360</f>
        <v>E100012</v>
      </c>
      <c r="E361" s="33"/>
      <c r="F361" s="20"/>
      <c r="G361" s="20" t="str">
        <f>"""NAV"",""CRONUS JetCorp USA"",""32"",""1"",""30115"""</f>
        <v>"NAV","CRONUS JetCorp USA","32","1","30115"</v>
      </c>
      <c r="H361" s="39">
        <v>43475</v>
      </c>
      <c r="I361" s="40">
        <v>30115</v>
      </c>
      <c r="J361" s="40" t="str">
        <f>"Customer"</f>
        <v>Customer</v>
      </c>
      <c r="K361" s="40" t="str">
        <f>"C100012"</f>
        <v>C100012</v>
      </c>
      <c r="L361" s="40" t="str">
        <f>"Bainbridges"</f>
        <v>Bainbridges</v>
      </c>
      <c r="M361" s="40" t="str">
        <f>""</f>
        <v/>
      </c>
      <c r="N361" s="40" t="str">
        <f>""</f>
        <v/>
      </c>
      <c r="O361" s="41">
        <v>0</v>
      </c>
      <c r="P361" s="41">
        <v>-144</v>
      </c>
      <c r="Q361" s="41">
        <v>0</v>
      </c>
      <c r="R361" s="41">
        <v>0</v>
      </c>
      <c r="S361" s="41">
        <v>0</v>
      </c>
      <c r="T361" s="41">
        <v>0</v>
      </c>
      <c r="U361" s="54"/>
    </row>
    <row r="362" spans="1:21" ht="17.25" customHeight="1" x14ac:dyDescent="0.3">
      <c r="A362" s="15" t="s">
        <v>29</v>
      </c>
      <c r="C362" s="19"/>
      <c r="D362" s="33"/>
      <c r="E362" s="33"/>
      <c r="F362" s="20"/>
      <c r="G362" s="20"/>
      <c r="H362" s="20"/>
      <c r="I362" s="20"/>
      <c r="J362" s="20"/>
      <c r="K362" s="20"/>
      <c r="L362" s="20"/>
      <c r="M362" s="20"/>
      <c r="N362" s="20"/>
      <c r="O362" s="42"/>
      <c r="P362" s="42"/>
      <c r="Q362" s="42"/>
      <c r="R362" s="42"/>
      <c r="S362" s="42"/>
      <c r="T362" s="42"/>
      <c r="U362" s="55"/>
    </row>
    <row r="363" spans="1:21" ht="17.25" customHeight="1" x14ac:dyDescent="0.3">
      <c r="A363" s="15" t="s">
        <v>29</v>
      </c>
      <c r="C363" s="19"/>
      <c r="D363" s="33"/>
      <c r="E363" s="33" t="s">
        <v>30</v>
      </c>
      <c r="F363" s="20" t="s">
        <v>30</v>
      </c>
      <c r="G363" s="20" t="s">
        <v>30</v>
      </c>
      <c r="H363" s="20"/>
      <c r="I363" s="20"/>
      <c r="J363" s="20" t="s">
        <v>30</v>
      </c>
      <c r="K363" s="20" t="s">
        <v>30</v>
      </c>
      <c r="L363" s="20" t="s">
        <v>30</v>
      </c>
      <c r="M363" s="20" t="s">
        <v>30</v>
      </c>
      <c r="N363" s="20"/>
      <c r="U363" s="56"/>
    </row>
    <row r="364" spans="1:21" ht="20.25" customHeight="1" x14ac:dyDescent="0.35">
      <c r="A364" s="15" t="s">
        <v>29</v>
      </c>
      <c r="C364" s="19"/>
      <c r="D364" s="34" t="str">
        <f t="shared" ref="D364" si="308">E364</f>
        <v>E100013</v>
      </c>
      <c r="E364" s="35" t="str">
        <f>"E100013"</f>
        <v>E100013</v>
      </c>
      <c r="F364" s="36" t="str">
        <f>"Clip-on Stopwatch"</f>
        <v>Clip-on Stopwatch</v>
      </c>
      <c r="G364" s="36"/>
      <c r="H364" s="37" t="str">
        <f>"EA"</f>
        <v>EA</v>
      </c>
      <c r="I364" s="36"/>
      <c r="J364" s="36"/>
      <c r="K364" s="36"/>
      <c r="L364" s="36"/>
      <c r="M364" s="36"/>
      <c r="N364" s="36"/>
      <c r="O364" s="38">
        <f t="shared" ref="O364:T364" si="309">(SUBTOTAL(9,O365:O367))</f>
        <v>999.99999999999989</v>
      </c>
      <c r="P364" s="38">
        <f t="shared" si="309"/>
        <v>-144</v>
      </c>
      <c r="Q364" s="38">
        <f t="shared" si="309"/>
        <v>0</v>
      </c>
      <c r="R364" s="38">
        <f t="shared" si="309"/>
        <v>0</v>
      </c>
      <c r="S364" s="38">
        <f t="shared" si="309"/>
        <v>0</v>
      </c>
      <c r="T364" s="38">
        <f t="shared" si="309"/>
        <v>0</v>
      </c>
      <c r="U364" s="53">
        <f t="shared" ref="U364" si="310">SUBTOTAL(9,O365:T367)</f>
        <v>855.99999999999989</v>
      </c>
    </row>
    <row r="365" spans="1:21" ht="17.25" customHeight="1" x14ac:dyDescent="0.3">
      <c r="A365" s="15" t="s">
        <v>29</v>
      </c>
      <c r="C365" s="19"/>
      <c r="D365" s="33" t="str">
        <f t="shared" ref="D365" si="311">D364</f>
        <v>E100013</v>
      </c>
      <c r="E365" s="33"/>
      <c r="F365" s="20"/>
      <c r="G365" s="20" t="str">
        <f>"""NAV"",""CRONUS JetCorp USA"",""32"",""1"",""167608"""</f>
        <v>"NAV","CRONUS JetCorp USA","32","1","167608"</v>
      </c>
      <c r="H365" s="39">
        <v>43466</v>
      </c>
      <c r="I365" s="40">
        <v>167608</v>
      </c>
      <c r="J365" s="40" t="str">
        <f>"Vendor"</f>
        <v>Vendor</v>
      </c>
      <c r="K365" s="40" t="str">
        <f>"V100003"</f>
        <v>V100003</v>
      </c>
      <c r="L365" s="40" t="str">
        <f>""</f>
        <v/>
      </c>
      <c r="M365" s="40" t="str">
        <f>"LogoMasters"</f>
        <v>LogoMasters</v>
      </c>
      <c r="N365" s="40" t="str">
        <f>""</f>
        <v/>
      </c>
      <c r="O365" s="41">
        <v>999.99999999999989</v>
      </c>
      <c r="P365" s="41">
        <v>0</v>
      </c>
      <c r="Q365" s="41">
        <v>0</v>
      </c>
      <c r="R365" s="41">
        <v>0</v>
      </c>
      <c r="S365" s="41">
        <v>0</v>
      </c>
      <c r="T365" s="41">
        <v>0</v>
      </c>
      <c r="U365" s="54"/>
    </row>
    <row r="366" spans="1:21" ht="17.25" customHeight="1" x14ac:dyDescent="0.3">
      <c r="A366" s="15" t="s">
        <v>29</v>
      </c>
      <c r="C366" s="19"/>
      <c r="D366" s="33" t="str">
        <f t="shared" ref="D366" si="312">D365</f>
        <v>E100013</v>
      </c>
      <c r="E366" s="33"/>
      <c r="F366" s="20"/>
      <c r="G366" s="20" t="str">
        <f>"""NAV"",""CRONUS JetCorp USA"",""32"",""1"",""64619"""</f>
        <v>"NAV","CRONUS JetCorp USA","32","1","64619"</v>
      </c>
      <c r="H366" s="39">
        <v>43475</v>
      </c>
      <c r="I366" s="40">
        <v>64619</v>
      </c>
      <c r="J366" s="40" t="str">
        <f>"Customer"</f>
        <v>Customer</v>
      </c>
      <c r="K366" s="40" t="str">
        <f>"C100136"</f>
        <v>C100136</v>
      </c>
      <c r="L366" s="40" t="str">
        <f>"First Bank"</f>
        <v>First Bank</v>
      </c>
      <c r="M366" s="40" t="str">
        <f>""</f>
        <v/>
      </c>
      <c r="N366" s="40" t="str">
        <f>""</f>
        <v/>
      </c>
      <c r="O366" s="41">
        <v>0</v>
      </c>
      <c r="P366" s="41">
        <v>-144</v>
      </c>
      <c r="Q366" s="41">
        <v>0</v>
      </c>
      <c r="R366" s="41">
        <v>0</v>
      </c>
      <c r="S366" s="41">
        <v>0</v>
      </c>
      <c r="T366" s="41">
        <v>0</v>
      </c>
      <c r="U366" s="54"/>
    </row>
    <row r="367" spans="1:21" ht="17.25" customHeight="1" x14ac:dyDescent="0.3">
      <c r="A367" s="15" t="s">
        <v>29</v>
      </c>
      <c r="C367" s="19"/>
      <c r="D367" s="33"/>
      <c r="E367" s="33"/>
      <c r="F367" s="20"/>
      <c r="G367" s="20"/>
      <c r="H367" s="20"/>
      <c r="I367" s="20"/>
      <c r="J367" s="20"/>
      <c r="K367" s="20"/>
      <c r="L367" s="20"/>
      <c r="M367" s="20"/>
      <c r="N367" s="20"/>
      <c r="O367" s="42"/>
      <c r="P367" s="42"/>
      <c r="Q367" s="42"/>
      <c r="R367" s="42"/>
      <c r="S367" s="42"/>
      <c r="T367" s="42"/>
      <c r="U367" s="55"/>
    </row>
    <row r="368" spans="1:21" ht="17.25" customHeight="1" x14ac:dyDescent="0.3">
      <c r="A368" s="15" t="s">
        <v>29</v>
      </c>
      <c r="C368" s="19"/>
      <c r="D368" s="33"/>
      <c r="E368" s="33" t="s">
        <v>30</v>
      </c>
      <c r="F368" s="20" t="s">
        <v>30</v>
      </c>
      <c r="G368" s="20" t="s">
        <v>30</v>
      </c>
      <c r="H368" s="20"/>
      <c r="I368" s="20"/>
      <c r="J368" s="20" t="s">
        <v>30</v>
      </c>
      <c r="K368" s="20" t="s">
        <v>30</v>
      </c>
      <c r="L368" s="20" t="s">
        <v>30</v>
      </c>
      <c r="M368" s="20" t="s">
        <v>30</v>
      </c>
      <c r="N368" s="20"/>
      <c r="U368" s="56"/>
    </row>
    <row r="369" spans="1:21" ht="20.25" customHeight="1" x14ac:dyDescent="0.35">
      <c r="A369" s="15" t="s">
        <v>29</v>
      </c>
      <c r="C369" s="19"/>
      <c r="D369" s="34" t="str">
        <f t="shared" ref="D369" si="313">E369</f>
        <v>E100014</v>
      </c>
      <c r="E369" s="35" t="str">
        <f>"E100014"</f>
        <v>E100014</v>
      </c>
      <c r="F369" s="36" t="str">
        <f>"Stopwatch with Neck Rope"</f>
        <v>Stopwatch with Neck Rope</v>
      </c>
      <c r="G369" s="36"/>
      <c r="H369" s="37" t="str">
        <f>"EA"</f>
        <v>EA</v>
      </c>
      <c r="I369" s="36"/>
      <c r="J369" s="36"/>
      <c r="K369" s="36"/>
      <c r="L369" s="36"/>
      <c r="M369" s="36"/>
      <c r="N369" s="36"/>
      <c r="O369" s="38">
        <f t="shared" ref="O369:T369" si="314">(SUBTOTAL(9,O370:O374))</f>
        <v>1200</v>
      </c>
      <c r="P369" s="38">
        <f t="shared" si="314"/>
        <v>-288</v>
      </c>
      <c r="Q369" s="38">
        <f t="shared" si="314"/>
        <v>0</v>
      </c>
      <c r="R369" s="38">
        <f t="shared" si="314"/>
        <v>0</v>
      </c>
      <c r="S369" s="38">
        <f t="shared" si="314"/>
        <v>0</v>
      </c>
      <c r="T369" s="38">
        <f t="shared" si="314"/>
        <v>0</v>
      </c>
      <c r="U369" s="53">
        <f t="shared" ref="U369" si="315">SUBTOTAL(9,O370:T374)</f>
        <v>912</v>
      </c>
    </row>
    <row r="370" spans="1:21" ht="17.25" customHeight="1" x14ac:dyDescent="0.3">
      <c r="A370" s="15" t="s">
        <v>29</v>
      </c>
      <c r="C370" s="19"/>
      <c r="D370" s="33" t="str">
        <f t="shared" ref="D370" si="316">D369</f>
        <v>E100014</v>
      </c>
      <c r="E370" s="33"/>
      <c r="F370" s="20"/>
      <c r="G370" s="20" t="str">
        <f>"""NAV"",""CRONUS JetCorp USA"",""32"",""1"",""167607"""</f>
        <v>"NAV","CRONUS JetCorp USA","32","1","167607"</v>
      </c>
      <c r="H370" s="39">
        <v>43466</v>
      </c>
      <c r="I370" s="40">
        <v>167607</v>
      </c>
      <c r="J370" s="40" t="str">
        <f>"Vendor"</f>
        <v>Vendor</v>
      </c>
      <c r="K370" s="40" t="str">
        <f>"V100003"</f>
        <v>V100003</v>
      </c>
      <c r="L370" s="40" t="str">
        <f>""</f>
        <v/>
      </c>
      <c r="M370" s="40" t="str">
        <f>"LogoMasters"</f>
        <v>LogoMasters</v>
      </c>
      <c r="N370" s="40" t="str">
        <f>""</f>
        <v/>
      </c>
      <c r="O370" s="41">
        <v>1000</v>
      </c>
      <c r="P370" s="41">
        <v>0</v>
      </c>
      <c r="Q370" s="41">
        <v>0</v>
      </c>
      <c r="R370" s="41">
        <v>0</v>
      </c>
      <c r="S370" s="41">
        <v>0</v>
      </c>
      <c r="T370" s="41">
        <v>0</v>
      </c>
      <c r="U370" s="54"/>
    </row>
    <row r="371" spans="1:21" ht="17.25" customHeight="1" x14ac:dyDescent="0.3">
      <c r="A371" s="15" t="s">
        <v>29</v>
      </c>
      <c r="C371" s="19"/>
      <c r="D371" s="33" t="str">
        <f t="shared" ref="D371:D373" si="317">D370</f>
        <v>E100014</v>
      </c>
      <c r="E371" s="33"/>
      <c r="F371" s="20"/>
      <c r="G371" s="20" t="str">
        <f>"""NAV"",""CRONUS JetCorp USA"",""32"",""1"",""167622"""</f>
        <v>"NAV","CRONUS JetCorp USA","32","1","167622"</v>
      </c>
      <c r="H371" s="39">
        <v>43466</v>
      </c>
      <c r="I371" s="40">
        <v>167622</v>
      </c>
      <c r="J371" s="40" t="str">
        <f>"Vendor"</f>
        <v>Vendor</v>
      </c>
      <c r="K371" s="40" t="str">
        <f>"V100001"</f>
        <v>V100001</v>
      </c>
      <c r="L371" s="40" t="str">
        <f>""</f>
        <v/>
      </c>
      <c r="M371" s="40" t="str">
        <f>"Greigner, Inc."</f>
        <v>Greigner, Inc.</v>
      </c>
      <c r="N371" s="40" t="str">
        <f>""</f>
        <v/>
      </c>
      <c r="O371" s="41">
        <v>200</v>
      </c>
      <c r="P371" s="41">
        <v>0</v>
      </c>
      <c r="Q371" s="41">
        <v>0</v>
      </c>
      <c r="R371" s="41">
        <v>0</v>
      </c>
      <c r="S371" s="41">
        <v>0</v>
      </c>
      <c r="T371" s="41">
        <v>0</v>
      </c>
      <c r="U371" s="54"/>
    </row>
    <row r="372" spans="1:21" ht="17.25" customHeight="1" x14ac:dyDescent="0.3">
      <c r="A372" s="15" t="s">
        <v>29</v>
      </c>
      <c r="C372" s="19"/>
      <c r="D372" s="33" t="str">
        <f t="shared" si="317"/>
        <v>E100014</v>
      </c>
      <c r="E372" s="33"/>
      <c r="F372" s="20"/>
      <c r="G372" s="20" t="str">
        <f>"""NAV"",""CRONUS JetCorp USA"",""32"",""1"",""30037"""</f>
        <v>"NAV","CRONUS JetCorp USA","32","1","30037"</v>
      </c>
      <c r="H372" s="39">
        <v>43471</v>
      </c>
      <c r="I372" s="40">
        <v>30037</v>
      </c>
      <c r="J372" s="40" t="str">
        <f>"Customer"</f>
        <v>Customer</v>
      </c>
      <c r="K372" s="40" t="str">
        <f>"C100012"</f>
        <v>C100012</v>
      </c>
      <c r="L372" s="40" t="str">
        <f>"Bainbridges"</f>
        <v>Bainbridges</v>
      </c>
      <c r="M372" s="40" t="str">
        <f>""</f>
        <v/>
      </c>
      <c r="N372" s="40" t="str">
        <f>""</f>
        <v/>
      </c>
      <c r="O372" s="41">
        <v>0</v>
      </c>
      <c r="P372" s="41">
        <v>-144</v>
      </c>
      <c r="Q372" s="41">
        <v>0</v>
      </c>
      <c r="R372" s="41">
        <v>0</v>
      </c>
      <c r="S372" s="41">
        <v>0</v>
      </c>
      <c r="T372" s="41">
        <v>0</v>
      </c>
      <c r="U372" s="54"/>
    </row>
    <row r="373" spans="1:21" ht="17.25" customHeight="1" x14ac:dyDescent="0.3">
      <c r="A373" s="15" t="s">
        <v>29</v>
      </c>
      <c r="C373" s="19"/>
      <c r="D373" s="33" t="str">
        <f t="shared" si="317"/>
        <v>E100014</v>
      </c>
      <c r="E373" s="33"/>
      <c r="F373" s="20"/>
      <c r="G373" s="20" t="str">
        <f>"""NAV"",""CRONUS JetCorp USA"",""32"",""1"",""20389"""</f>
        <v>"NAV","CRONUS JetCorp USA","32","1","20389"</v>
      </c>
      <c r="H373" s="39">
        <v>43473</v>
      </c>
      <c r="I373" s="40">
        <v>20389</v>
      </c>
      <c r="J373" s="40" t="str">
        <f>"Customer"</f>
        <v>Customer</v>
      </c>
      <c r="K373" s="40" t="str">
        <f>"C100130"</f>
        <v>C100130</v>
      </c>
      <c r="L373" s="40" t="str">
        <f>"Hotspot Systems"</f>
        <v>Hotspot Systems</v>
      </c>
      <c r="M373" s="40" t="str">
        <f>""</f>
        <v/>
      </c>
      <c r="N373" s="40" t="str">
        <f>""</f>
        <v/>
      </c>
      <c r="O373" s="41">
        <v>0</v>
      </c>
      <c r="P373" s="41">
        <v>-144</v>
      </c>
      <c r="Q373" s="41">
        <v>0</v>
      </c>
      <c r="R373" s="41">
        <v>0</v>
      </c>
      <c r="S373" s="41">
        <v>0</v>
      </c>
      <c r="T373" s="41">
        <v>0</v>
      </c>
      <c r="U373" s="54"/>
    </row>
    <row r="374" spans="1:21" ht="17.25" customHeight="1" x14ac:dyDescent="0.3">
      <c r="A374" s="15" t="s">
        <v>29</v>
      </c>
      <c r="C374" s="19"/>
      <c r="D374" s="33"/>
      <c r="E374" s="33"/>
      <c r="F374" s="20"/>
      <c r="G374" s="20"/>
      <c r="H374" s="20"/>
      <c r="I374" s="20"/>
      <c r="J374" s="20"/>
      <c r="K374" s="20"/>
      <c r="L374" s="20"/>
      <c r="M374" s="20"/>
      <c r="N374" s="20"/>
      <c r="O374" s="42"/>
      <c r="P374" s="42"/>
      <c r="Q374" s="42"/>
      <c r="R374" s="42"/>
      <c r="S374" s="42"/>
      <c r="T374" s="42"/>
      <c r="U374" s="55"/>
    </row>
    <row r="375" spans="1:21" ht="17.25" customHeight="1" x14ac:dyDescent="0.3">
      <c r="A375" s="15" t="s">
        <v>29</v>
      </c>
      <c r="C375" s="19"/>
      <c r="D375" s="33"/>
      <c r="E375" s="33" t="s">
        <v>30</v>
      </c>
      <c r="F375" s="20" t="s">
        <v>30</v>
      </c>
      <c r="G375" s="20" t="s">
        <v>30</v>
      </c>
      <c r="H375" s="20"/>
      <c r="I375" s="20"/>
      <c r="J375" s="20" t="s">
        <v>30</v>
      </c>
      <c r="K375" s="20" t="s">
        <v>30</v>
      </c>
      <c r="L375" s="20" t="s">
        <v>30</v>
      </c>
      <c r="M375" s="20" t="s">
        <v>30</v>
      </c>
      <c r="N375" s="20"/>
      <c r="U375" s="56"/>
    </row>
    <row r="376" spans="1:21" ht="20.25" customHeight="1" x14ac:dyDescent="0.35">
      <c r="A376" s="15" t="s">
        <v>29</v>
      </c>
      <c r="C376" s="19"/>
      <c r="D376" s="34" t="str">
        <f t="shared" ref="D376" si="318">E376</f>
        <v>E100015</v>
      </c>
      <c r="E376" s="35" t="str">
        <f>"E100015"</f>
        <v>E100015</v>
      </c>
      <c r="F376" s="36" t="str">
        <f>"360 Clip Watch"</f>
        <v>360 Clip Watch</v>
      </c>
      <c r="G376" s="36"/>
      <c r="H376" s="37" t="str">
        <f>"EA"</f>
        <v>EA</v>
      </c>
      <c r="I376" s="36"/>
      <c r="J376" s="36"/>
      <c r="K376" s="36"/>
      <c r="L376" s="36"/>
      <c r="M376" s="36"/>
      <c r="N376" s="36"/>
      <c r="O376" s="38">
        <f t="shared" ref="O376:T376" si="319">(SUBTOTAL(9,O377:O378))</f>
        <v>400</v>
      </c>
      <c r="P376" s="38">
        <f t="shared" si="319"/>
        <v>0</v>
      </c>
      <c r="Q376" s="38">
        <f t="shared" si="319"/>
        <v>0</v>
      </c>
      <c r="R376" s="38">
        <f t="shared" si="319"/>
        <v>0</v>
      </c>
      <c r="S376" s="38">
        <f t="shared" si="319"/>
        <v>0</v>
      </c>
      <c r="T376" s="38">
        <f t="shared" si="319"/>
        <v>0</v>
      </c>
      <c r="U376" s="53">
        <f t="shared" ref="U376" si="320">SUBTOTAL(9,O377:T378)</f>
        <v>400</v>
      </c>
    </row>
    <row r="377" spans="1:21" ht="17.25" customHeight="1" x14ac:dyDescent="0.3">
      <c r="A377" s="15" t="s">
        <v>29</v>
      </c>
      <c r="C377" s="19"/>
      <c r="D377" s="33" t="str">
        <f t="shared" ref="D377" si="321">D376</f>
        <v>E100015</v>
      </c>
      <c r="E377" s="33"/>
      <c r="F377" s="20"/>
      <c r="G377" s="20" t="str">
        <f>"""NAV"",""CRONUS JetCorp USA"",""32"",""1"",""167606"""</f>
        <v>"NAV","CRONUS JetCorp USA","32","1","167606"</v>
      </c>
      <c r="H377" s="39">
        <v>43466</v>
      </c>
      <c r="I377" s="40">
        <v>167606</v>
      </c>
      <c r="J377" s="40" t="str">
        <f>"Vendor"</f>
        <v>Vendor</v>
      </c>
      <c r="K377" s="40" t="str">
        <f>"V100003"</f>
        <v>V100003</v>
      </c>
      <c r="L377" s="40" t="str">
        <f>""</f>
        <v/>
      </c>
      <c r="M377" s="40" t="str">
        <f>"LogoMasters"</f>
        <v>LogoMasters</v>
      </c>
      <c r="N377" s="40" t="str">
        <f>""</f>
        <v/>
      </c>
      <c r="O377" s="41">
        <v>400</v>
      </c>
      <c r="P377" s="41">
        <v>0</v>
      </c>
      <c r="Q377" s="41">
        <v>0</v>
      </c>
      <c r="R377" s="41">
        <v>0</v>
      </c>
      <c r="S377" s="41">
        <v>0</v>
      </c>
      <c r="T377" s="41">
        <v>0</v>
      </c>
      <c r="U377" s="54"/>
    </row>
    <row r="378" spans="1:21" ht="17.25" customHeight="1" x14ac:dyDescent="0.3">
      <c r="A378" s="15" t="s">
        <v>29</v>
      </c>
      <c r="C378" s="19"/>
      <c r="D378" s="33"/>
      <c r="E378" s="33"/>
      <c r="F378" s="20"/>
      <c r="G378" s="20"/>
      <c r="H378" s="20"/>
      <c r="I378" s="20"/>
      <c r="J378" s="20"/>
      <c r="K378" s="20"/>
      <c r="L378" s="20"/>
      <c r="M378" s="20"/>
      <c r="N378" s="20"/>
      <c r="O378" s="42"/>
      <c r="P378" s="42"/>
      <c r="Q378" s="42"/>
      <c r="R378" s="42"/>
      <c r="S378" s="42"/>
      <c r="T378" s="42"/>
      <c r="U378" s="55"/>
    </row>
    <row r="379" spans="1:21" ht="17.25" customHeight="1" x14ac:dyDescent="0.3">
      <c r="A379" s="15" t="s">
        <v>29</v>
      </c>
      <c r="C379" s="19"/>
      <c r="D379" s="33"/>
      <c r="E379" s="33" t="s">
        <v>30</v>
      </c>
      <c r="F379" s="20" t="s">
        <v>30</v>
      </c>
      <c r="G379" s="20" t="s">
        <v>30</v>
      </c>
      <c r="H379" s="20"/>
      <c r="I379" s="20"/>
      <c r="J379" s="20" t="s">
        <v>30</v>
      </c>
      <c r="K379" s="20" t="s">
        <v>30</v>
      </c>
      <c r="L379" s="20" t="s">
        <v>30</v>
      </c>
      <c r="M379" s="20" t="s">
        <v>30</v>
      </c>
      <c r="N379" s="20"/>
      <c r="U379" s="56"/>
    </row>
    <row r="380" spans="1:21" ht="20.25" customHeight="1" x14ac:dyDescent="0.35">
      <c r="A380" s="15" t="s">
        <v>29</v>
      </c>
      <c r="C380" s="19"/>
      <c r="D380" s="34" t="str">
        <f t="shared" ref="D380" si="322">E380</f>
        <v>E100016</v>
      </c>
      <c r="E380" s="35" t="str">
        <f>"E100016"</f>
        <v>E100016</v>
      </c>
      <c r="F380" s="36" t="str">
        <f>"4 Function Rotating Carabiner Watch"</f>
        <v>4 Function Rotating Carabiner Watch</v>
      </c>
      <c r="G380" s="36"/>
      <c r="H380" s="37" t="str">
        <f>"EA"</f>
        <v>EA</v>
      </c>
      <c r="I380" s="36"/>
      <c r="J380" s="36"/>
      <c r="K380" s="36"/>
      <c r="L380" s="36"/>
      <c r="M380" s="36"/>
      <c r="N380" s="36"/>
      <c r="O380" s="38">
        <f t="shared" ref="O380:T380" si="323">(SUBTOTAL(9,O381:O387))</f>
        <v>1200</v>
      </c>
      <c r="P380" s="38">
        <f t="shared" si="323"/>
        <v>-433</v>
      </c>
      <c r="Q380" s="38">
        <f t="shared" si="323"/>
        <v>0</v>
      </c>
      <c r="R380" s="38">
        <f t="shared" si="323"/>
        <v>0</v>
      </c>
      <c r="S380" s="38">
        <f t="shared" si="323"/>
        <v>0</v>
      </c>
      <c r="T380" s="38">
        <f t="shared" si="323"/>
        <v>0</v>
      </c>
      <c r="U380" s="53">
        <f t="shared" ref="U380" si="324">SUBTOTAL(9,O381:T387)</f>
        <v>767</v>
      </c>
    </row>
    <row r="381" spans="1:21" ht="17.25" customHeight="1" x14ac:dyDescent="0.3">
      <c r="A381" s="15" t="s">
        <v>29</v>
      </c>
      <c r="C381" s="19"/>
      <c r="D381" s="33" t="str">
        <f t="shared" ref="D381" si="325">D380</f>
        <v>E100016</v>
      </c>
      <c r="E381" s="33"/>
      <c r="F381" s="20"/>
      <c r="G381" s="20" t="str">
        <f>"""NAV"",""CRONUS JetCorp USA"",""32"",""1"",""167605"""</f>
        <v>"NAV","CRONUS JetCorp USA","32","1","167605"</v>
      </c>
      <c r="H381" s="39">
        <v>43466</v>
      </c>
      <c r="I381" s="40">
        <v>167605</v>
      </c>
      <c r="J381" s="40" t="str">
        <f>"Vendor"</f>
        <v>Vendor</v>
      </c>
      <c r="K381" s="40" t="str">
        <f>"V100003"</f>
        <v>V100003</v>
      </c>
      <c r="L381" s="40" t="str">
        <f>""</f>
        <v/>
      </c>
      <c r="M381" s="40" t="str">
        <f>"LogoMasters"</f>
        <v>LogoMasters</v>
      </c>
      <c r="N381" s="40" t="str">
        <f>""</f>
        <v/>
      </c>
      <c r="O381" s="41">
        <v>800</v>
      </c>
      <c r="P381" s="41">
        <v>0</v>
      </c>
      <c r="Q381" s="41">
        <v>0</v>
      </c>
      <c r="R381" s="41">
        <v>0</v>
      </c>
      <c r="S381" s="41">
        <v>0</v>
      </c>
      <c r="T381" s="41">
        <v>0</v>
      </c>
      <c r="U381" s="54"/>
    </row>
    <row r="382" spans="1:21" ht="17.25" customHeight="1" x14ac:dyDescent="0.3">
      <c r="A382" s="15" t="s">
        <v>29</v>
      </c>
      <c r="C382" s="19"/>
      <c r="D382" s="33" t="str">
        <f t="shared" ref="D382:D386" si="326">D381</f>
        <v>E100016</v>
      </c>
      <c r="E382" s="33"/>
      <c r="F382" s="20"/>
      <c r="G382" s="20" t="str">
        <f>"""NAV"",""CRONUS JetCorp USA"",""32"",""1"",""167621"""</f>
        <v>"NAV","CRONUS JetCorp USA","32","1","167621"</v>
      </c>
      <c r="H382" s="39">
        <v>43466</v>
      </c>
      <c r="I382" s="40">
        <v>167621</v>
      </c>
      <c r="J382" s="40" t="str">
        <f>"Vendor"</f>
        <v>Vendor</v>
      </c>
      <c r="K382" s="40" t="str">
        <f>"V100001"</f>
        <v>V100001</v>
      </c>
      <c r="L382" s="40" t="str">
        <f>""</f>
        <v/>
      </c>
      <c r="M382" s="40" t="str">
        <f>"Greigner, Inc."</f>
        <v>Greigner, Inc.</v>
      </c>
      <c r="N382" s="40" t="str">
        <f>""</f>
        <v/>
      </c>
      <c r="O382" s="41">
        <v>400</v>
      </c>
      <c r="P382" s="41">
        <v>0</v>
      </c>
      <c r="Q382" s="41">
        <v>0</v>
      </c>
      <c r="R382" s="41">
        <v>0</v>
      </c>
      <c r="S382" s="41">
        <v>0</v>
      </c>
      <c r="T382" s="41">
        <v>0</v>
      </c>
      <c r="U382" s="54"/>
    </row>
    <row r="383" spans="1:21" ht="17.25" customHeight="1" x14ac:dyDescent="0.3">
      <c r="A383" s="15" t="s">
        <v>29</v>
      </c>
      <c r="C383" s="19"/>
      <c r="D383" s="33" t="str">
        <f t="shared" si="326"/>
        <v>E100016</v>
      </c>
      <c r="E383" s="33"/>
      <c r="F383" s="20"/>
      <c r="G383" s="20" t="str">
        <f>"""NAV"",""CRONUS JetCorp USA"",""32"",""1"",""30036"""</f>
        <v>"NAV","CRONUS JetCorp USA","32","1","30036"</v>
      </c>
      <c r="H383" s="39">
        <v>43471</v>
      </c>
      <c r="I383" s="40">
        <v>30036</v>
      </c>
      <c r="J383" s="40" t="str">
        <f>"Customer"</f>
        <v>Customer</v>
      </c>
      <c r="K383" s="40" t="str">
        <f>"C100012"</f>
        <v>C100012</v>
      </c>
      <c r="L383" s="40" t="str">
        <f>"Bainbridges"</f>
        <v>Bainbridges</v>
      </c>
      <c r="M383" s="40" t="str">
        <f>""</f>
        <v/>
      </c>
      <c r="N383" s="40" t="str">
        <f>""</f>
        <v/>
      </c>
      <c r="O383" s="41">
        <v>0</v>
      </c>
      <c r="P383" s="41">
        <v>-144</v>
      </c>
      <c r="Q383" s="41">
        <v>0</v>
      </c>
      <c r="R383" s="41">
        <v>0</v>
      </c>
      <c r="S383" s="41">
        <v>0</v>
      </c>
      <c r="T383" s="41">
        <v>0</v>
      </c>
      <c r="U383" s="54"/>
    </row>
    <row r="384" spans="1:21" ht="17.25" customHeight="1" x14ac:dyDescent="0.3">
      <c r="A384" s="15" t="s">
        <v>29</v>
      </c>
      <c r="C384" s="19"/>
      <c r="D384" s="33" t="str">
        <f t="shared" si="326"/>
        <v>E100016</v>
      </c>
      <c r="E384" s="33"/>
      <c r="F384" s="20"/>
      <c r="G384" s="20" t="str">
        <f>"""NAV"",""CRONUS JetCorp USA"",""32"",""1"",""20388"""</f>
        <v>"NAV","CRONUS JetCorp USA","32","1","20388"</v>
      </c>
      <c r="H384" s="39">
        <v>43473</v>
      </c>
      <c r="I384" s="40">
        <v>20388</v>
      </c>
      <c r="J384" s="40" t="str">
        <f>"Customer"</f>
        <v>Customer</v>
      </c>
      <c r="K384" s="40" t="str">
        <f>"C100130"</f>
        <v>C100130</v>
      </c>
      <c r="L384" s="40" t="str">
        <f>"Hotspot Systems"</f>
        <v>Hotspot Systems</v>
      </c>
      <c r="M384" s="40" t="str">
        <f>""</f>
        <v/>
      </c>
      <c r="N384" s="40" t="str">
        <f>""</f>
        <v/>
      </c>
      <c r="O384" s="41">
        <v>0</v>
      </c>
      <c r="P384" s="41">
        <v>-144</v>
      </c>
      <c r="Q384" s="41">
        <v>0</v>
      </c>
      <c r="R384" s="41">
        <v>0</v>
      </c>
      <c r="S384" s="41">
        <v>0</v>
      </c>
      <c r="T384" s="41">
        <v>0</v>
      </c>
      <c r="U384" s="54"/>
    </row>
    <row r="385" spans="1:21" ht="17.25" customHeight="1" x14ac:dyDescent="0.3">
      <c r="A385" s="15" t="s">
        <v>29</v>
      </c>
      <c r="C385" s="19"/>
      <c r="D385" s="33" t="str">
        <f t="shared" si="326"/>
        <v>E100016</v>
      </c>
      <c r="E385" s="33"/>
      <c r="F385" s="20"/>
      <c r="G385" s="20" t="str">
        <f>"""NAV"",""CRONUS JetCorp USA"",""32"",""1"",""20416"""</f>
        <v>"NAV","CRONUS JetCorp USA","32","1","20416"</v>
      </c>
      <c r="H385" s="39">
        <v>43475</v>
      </c>
      <c r="I385" s="40">
        <v>20416</v>
      </c>
      <c r="J385" s="40" t="str">
        <f>"Customer"</f>
        <v>Customer</v>
      </c>
      <c r="K385" s="40" t="str">
        <f>"C100130"</f>
        <v>C100130</v>
      </c>
      <c r="L385" s="40" t="str">
        <f>"Hotspot Systems"</f>
        <v>Hotspot Systems</v>
      </c>
      <c r="M385" s="40" t="str">
        <f>""</f>
        <v/>
      </c>
      <c r="N385" s="40" t="str">
        <f>""</f>
        <v/>
      </c>
      <c r="O385" s="41">
        <v>0</v>
      </c>
      <c r="P385" s="41">
        <v>-1</v>
      </c>
      <c r="Q385" s="41">
        <v>0</v>
      </c>
      <c r="R385" s="41">
        <v>0</v>
      </c>
      <c r="S385" s="41">
        <v>0</v>
      </c>
      <c r="T385" s="41">
        <v>0</v>
      </c>
      <c r="U385" s="54"/>
    </row>
    <row r="386" spans="1:21" ht="17.25" customHeight="1" x14ac:dyDescent="0.3">
      <c r="A386" s="15" t="s">
        <v>29</v>
      </c>
      <c r="C386" s="19"/>
      <c r="D386" s="33" t="str">
        <f t="shared" si="326"/>
        <v>E100016</v>
      </c>
      <c r="E386" s="33"/>
      <c r="F386" s="20"/>
      <c r="G386" s="20" t="str">
        <f>"""NAV"",""CRONUS JetCorp USA"",""32"",""1"",""64617"""</f>
        <v>"NAV","CRONUS JetCorp USA","32","1","64617"</v>
      </c>
      <c r="H386" s="39">
        <v>43475</v>
      </c>
      <c r="I386" s="40">
        <v>64617</v>
      </c>
      <c r="J386" s="40" t="str">
        <f>"Customer"</f>
        <v>Customer</v>
      </c>
      <c r="K386" s="40" t="str">
        <f>"C100136"</f>
        <v>C100136</v>
      </c>
      <c r="L386" s="40" t="str">
        <f>"First Bank"</f>
        <v>First Bank</v>
      </c>
      <c r="M386" s="40" t="str">
        <f>""</f>
        <v/>
      </c>
      <c r="N386" s="40" t="str">
        <f>""</f>
        <v/>
      </c>
      <c r="O386" s="41">
        <v>0</v>
      </c>
      <c r="P386" s="41">
        <v>-144</v>
      </c>
      <c r="Q386" s="41">
        <v>0</v>
      </c>
      <c r="R386" s="41">
        <v>0</v>
      </c>
      <c r="S386" s="41">
        <v>0</v>
      </c>
      <c r="T386" s="41">
        <v>0</v>
      </c>
      <c r="U386" s="54"/>
    </row>
    <row r="387" spans="1:21" ht="17.25" customHeight="1" x14ac:dyDescent="0.3">
      <c r="A387" s="15" t="s">
        <v>29</v>
      </c>
      <c r="C387" s="19"/>
      <c r="D387" s="33"/>
      <c r="E387" s="33"/>
      <c r="F387" s="20"/>
      <c r="G387" s="20"/>
      <c r="H387" s="20"/>
      <c r="I387" s="20"/>
      <c r="J387" s="20"/>
      <c r="K387" s="20"/>
      <c r="L387" s="20"/>
      <c r="M387" s="20"/>
      <c r="N387" s="20"/>
      <c r="O387" s="42"/>
      <c r="P387" s="42"/>
      <c r="Q387" s="42"/>
      <c r="R387" s="42"/>
      <c r="S387" s="42"/>
      <c r="T387" s="42"/>
      <c r="U387" s="55"/>
    </row>
    <row r="388" spans="1:21" ht="17.25" customHeight="1" x14ac:dyDescent="0.3">
      <c r="A388" s="15" t="s">
        <v>29</v>
      </c>
      <c r="C388" s="19"/>
      <c r="D388" s="33"/>
      <c r="E388" s="33" t="s">
        <v>30</v>
      </c>
      <c r="F388" s="20" t="s">
        <v>30</v>
      </c>
      <c r="G388" s="20" t="s">
        <v>30</v>
      </c>
      <c r="H388" s="20"/>
      <c r="I388" s="20"/>
      <c r="J388" s="20" t="s">
        <v>30</v>
      </c>
      <c r="K388" s="20" t="s">
        <v>30</v>
      </c>
      <c r="L388" s="20" t="s">
        <v>30</v>
      </c>
      <c r="M388" s="20" t="s">
        <v>30</v>
      </c>
      <c r="N388" s="20"/>
      <c r="U388" s="56"/>
    </row>
    <row r="389" spans="1:21" ht="20.25" customHeight="1" x14ac:dyDescent="0.35">
      <c r="A389" s="15" t="s">
        <v>29</v>
      </c>
      <c r="C389" s="19"/>
      <c r="D389" s="34" t="str">
        <f t="shared" ref="D389" si="327">E389</f>
        <v>E100017</v>
      </c>
      <c r="E389" s="35" t="str">
        <f>"E100017"</f>
        <v>E100017</v>
      </c>
      <c r="F389" s="36" t="str">
        <f>"Clip-on Clock with Compass"</f>
        <v>Clip-on Clock with Compass</v>
      </c>
      <c r="G389" s="36"/>
      <c r="H389" s="37" t="str">
        <f>"EA"</f>
        <v>EA</v>
      </c>
      <c r="I389" s="36"/>
      <c r="J389" s="36"/>
      <c r="K389" s="36"/>
      <c r="L389" s="36"/>
      <c r="M389" s="36"/>
      <c r="N389" s="36"/>
      <c r="O389" s="38">
        <f t="shared" ref="O389:T389" si="328">(SUBTOTAL(9,O390:O395))</f>
        <v>2200</v>
      </c>
      <c r="P389" s="38">
        <f t="shared" si="328"/>
        <v>-336</v>
      </c>
      <c r="Q389" s="38">
        <f t="shared" si="328"/>
        <v>0</v>
      </c>
      <c r="R389" s="38">
        <f t="shared" si="328"/>
        <v>0</v>
      </c>
      <c r="S389" s="38">
        <f t="shared" si="328"/>
        <v>0</v>
      </c>
      <c r="T389" s="38">
        <f t="shared" si="328"/>
        <v>0</v>
      </c>
      <c r="U389" s="53">
        <f t="shared" ref="U389" si="329">SUBTOTAL(9,O390:T395)</f>
        <v>1864</v>
      </c>
    </row>
    <row r="390" spans="1:21" ht="17.25" customHeight="1" x14ac:dyDescent="0.3">
      <c r="A390" s="15" t="s">
        <v>29</v>
      </c>
      <c r="C390" s="19"/>
      <c r="D390" s="33" t="str">
        <f t="shared" ref="D390" si="330">D389</f>
        <v>E100017</v>
      </c>
      <c r="E390" s="33"/>
      <c r="F390" s="20"/>
      <c r="G390" s="20" t="str">
        <f>"""NAV"",""CRONUS JetCorp USA"",""32"",""1"",""167604"""</f>
        <v>"NAV","CRONUS JetCorp USA","32","1","167604"</v>
      </c>
      <c r="H390" s="39">
        <v>43466</v>
      </c>
      <c r="I390" s="40">
        <v>167604</v>
      </c>
      <c r="J390" s="40" t="str">
        <f>"Vendor"</f>
        <v>Vendor</v>
      </c>
      <c r="K390" s="40" t="str">
        <f>"V100003"</f>
        <v>V100003</v>
      </c>
      <c r="L390" s="40" t="str">
        <f>""</f>
        <v/>
      </c>
      <c r="M390" s="40" t="str">
        <f>"LogoMasters"</f>
        <v>LogoMasters</v>
      </c>
      <c r="N390" s="40" t="str">
        <f>""</f>
        <v/>
      </c>
      <c r="O390" s="41">
        <v>1800</v>
      </c>
      <c r="P390" s="41">
        <v>0</v>
      </c>
      <c r="Q390" s="41">
        <v>0</v>
      </c>
      <c r="R390" s="41">
        <v>0</v>
      </c>
      <c r="S390" s="41">
        <v>0</v>
      </c>
      <c r="T390" s="41">
        <v>0</v>
      </c>
      <c r="U390" s="54"/>
    </row>
    <row r="391" spans="1:21" ht="17.25" customHeight="1" x14ac:dyDescent="0.3">
      <c r="A391" s="15" t="s">
        <v>29</v>
      </c>
      <c r="C391" s="19"/>
      <c r="D391" s="33" t="str">
        <f t="shared" ref="D391:D394" si="331">D390</f>
        <v>E100017</v>
      </c>
      <c r="E391" s="33"/>
      <c r="F391" s="20"/>
      <c r="G391" s="20" t="str">
        <f>"""NAV"",""CRONUS JetCorp USA"",""32"",""1"",""167620"""</f>
        <v>"NAV","CRONUS JetCorp USA","32","1","167620"</v>
      </c>
      <c r="H391" s="39">
        <v>43466</v>
      </c>
      <c r="I391" s="40">
        <v>167620</v>
      </c>
      <c r="J391" s="40" t="str">
        <f>"Vendor"</f>
        <v>Vendor</v>
      </c>
      <c r="K391" s="40" t="str">
        <f>"V100001"</f>
        <v>V100001</v>
      </c>
      <c r="L391" s="40" t="str">
        <f>""</f>
        <v/>
      </c>
      <c r="M391" s="40" t="str">
        <f>"Greigner, Inc."</f>
        <v>Greigner, Inc.</v>
      </c>
      <c r="N391" s="40" t="str">
        <f>""</f>
        <v/>
      </c>
      <c r="O391" s="41">
        <v>400</v>
      </c>
      <c r="P391" s="41">
        <v>0</v>
      </c>
      <c r="Q391" s="41">
        <v>0</v>
      </c>
      <c r="R391" s="41">
        <v>0</v>
      </c>
      <c r="S391" s="41">
        <v>0</v>
      </c>
      <c r="T391" s="41">
        <v>0</v>
      </c>
      <c r="U391" s="54"/>
    </row>
    <row r="392" spans="1:21" ht="17.25" customHeight="1" x14ac:dyDescent="0.3">
      <c r="A392" s="15" t="s">
        <v>29</v>
      </c>
      <c r="C392" s="19"/>
      <c r="D392" s="33" t="str">
        <f t="shared" si="331"/>
        <v>E100017</v>
      </c>
      <c r="E392" s="33"/>
      <c r="F392" s="20"/>
      <c r="G392" s="20" t="str">
        <f>"""NAV"",""CRONUS JetCorp USA"",""32"",""1"",""153169"""</f>
        <v>"NAV","CRONUS JetCorp USA","32","1","153169"</v>
      </c>
      <c r="H392" s="39">
        <v>43470</v>
      </c>
      <c r="I392" s="40">
        <v>153169</v>
      </c>
      <c r="J392" s="40" t="str">
        <f>"Customer"</f>
        <v>Customer</v>
      </c>
      <c r="K392" s="40" t="str">
        <f>"C100136"</f>
        <v>C100136</v>
      </c>
      <c r="L392" s="40" t="str">
        <f>"First Bank"</f>
        <v>First Bank</v>
      </c>
      <c r="M392" s="40" t="str">
        <f>""</f>
        <v/>
      </c>
      <c r="N392" s="40" t="str">
        <f>""</f>
        <v/>
      </c>
      <c r="O392" s="41">
        <v>0</v>
      </c>
      <c r="P392" s="41">
        <v>-144</v>
      </c>
      <c r="Q392" s="41">
        <v>0</v>
      </c>
      <c r="R392" s="41">
        <v>0</v>
      </c>
      <c r="S392" s="41">
        <v>0</v>
      </c>
      <c r="T392" s="41">
        <v>0</v>
      </c>
      <c r="U392" s="54"/>
    </row>
    <row r="393" spans="1:21" ht="17.25" customHeight="1" x14ac:dyDescent="0.3">
      <c r="A393" s="15" t="s">
        <v>29</v>
      </c>
      <c r="C393" s="19"/>
      <c r="D393" s="33" t="str">
        <f t="shared" si="331"/>
        <v>E100017</v>
      </c>
      <c r="E393" s="33"/>
      <c r="F393" s="20"/>
      <c r="G393" s="20" t="str">
        <f>"""NAV"",""CRONUS JetCorp USA"",""32"",""1"",""30041"""</f>
        <v>"NAV","CRONUS JetCorp USA","32","1","30041"</v>
      </c>
      <c r="H393" s="39">
        <v>43471</v>
      </c>
      <c r="I393" s="40">
        <v>30041</v>
      </c>
      <c r="J393" s="40" t="str">
        <f>"Customer"</f>
        <v>Customer</v>
      </c>
      <c r="K393" s="40" t="str">
        <f>"C100012"</f>
        <v>C100012</v>
      </c>
      <c r="L393" s="40" t="str">
        <f>"Bainbridges"</f>
        <v>Bainbridges</v>
      </c>
      <c r="M393" s="40" t="str">
        <f>""</f>
        <v/>
      </c>
      <c r="N393" s="40" t="str">
        <f>""</f>
        <v/>
      </c>
      <c r="O393" s="41">
        <v>0</v>
      </c>
      <c r="P393" s="41">
        <v>-48</v>
      </c>
      <c r="Q393" s="41">
        <v>0</v>
      </c>
      <c r="R393" s="41">
        <v>0</v>
      </c>
      <c r="S393" s="41">
        <v>0</v>
      </c>
      <c r="T393" s="41">
        <v>0</v>
      </c>
      <c r="U393" s="54"/>
    </row>
    <row r="394" spans="1:21" ht="17.25" customHeight="1" x14ac:dyDescent="0.3">
      <c r="A394" s="15" t="s">
        <v>29</v>
      </c>
      <c r="C394" s="19"/>
      <c r="D394" s="33" t="str">
        <f t="shared" si="331"/>
        <v>E100017</v>
      </c>
      <c r="E394" s="33"/>
      <c r="F394" s="20"/>
      <c r="G394" s="20" t="str">
        <f>"""NAV"",""CRONUS JetCorp USA"",""32"",""1"",""64624"""</f>
        <v>"NAV","CRONUS JetCorp USA","32","1","64624"</v>
      </c>
      <c r="H394" s="39">
        <v>43475</v>
      </c>
      <c r="I394" s="40">
        <v>64624</v>
      </c>
      <c r="J394" s="40" t="str">
        <f>"Customer"</f>
        <v>Customer</v>
      </c>
      <c r="K394" s="40" t="str">
        <f>"C100136"</f>
        <v>C100136</v>
      </c>
      <c r="L394" s="40" t="str">
        <f>"First Bank"</f>
        <v>First Bank</v>
      </c>
      <c r="M394" s="40" t="str">
        <f>""</f>
        <v/>
      </c>
      <c r="N394" s="40" t="str">
        <f>""</f>
        <v/>
      </c>
      <c r="O394" s="41">
        <v>0</v>
      </c>
      <c r="P394" s="41">
        <v>-144</v>
      </c>
      <c r="Q394" s="41">
        <v>0</v>
      </c>
      <c r="R394" s="41">
        <v>0</v>
      </c>
      <c r="S394" s="41">
        <v>0</v>
      </c>
      <c r="T394" s="41">
        <v>0</v>
      </c>
      <c r="U394" s="54"/>
    </row>
    <row r="395" spans="1:21" ht="17.25" customHeight="1" x14ac:dyDescent="0.3">
      <c r="A395" s="15" t="s">
        <v>29</v>
      </c>
      <c r="C395" s="19"/>
      <c r="D395" s="33"/>
      <c r="E395" s="33"/>
      <c r="F395" s="20"/>
      <c r="G395" s="20"/>
      <c r="H395" s="20"/>
      <c r="I395" s="20"/>
      <c r="J395" s="20"/>
      <c r="K395" s="20"/>
      <c r="L395" s="20"/>
      <c r="M395" s="20"/>
      <c r="N395" s="20"/>
      <c r="O395" s="42"/>
      <c r="P395" s="42"/>
      <c r="Q395" s="42"/>
      <c r="R395" s="42"/>
      <c r="S395" s="42"/>
      <c r="T395" s="42"/>
      <c r="U395" s="55"/>
    </row>
    <row r="396" spans="1:21" ht="17.25" customHeight="1" x14ac:dyDescent="0.3">
      <c r="A396" s="15" t="s">
        <v>29</v>
      </c>
      <c r="C396" s="19"/>
      <c r="D396" s="33"/>
      <c r="E396" s="33" t="s">
        <v>30</v>
      </c>
      <c r="F396" s="20" t="s">
        <v>30</v>
      </c>
      <c r="G396" s="20" t="s">
        <v>30</v>
      </c>
      <c r="H396" s="20"/>
      <c r="I396" s="20"/>
      <c r="J396" s="20" t="s">
        <v>30</v>
      </c>
      <c r="K396" s="20" t="s">
        <v>30</v>
      </c>
      <c r="L396" s="20" t="s">
        <v>30</v>
      </c>
      <c r="M396" s="20" t="s">
        <v>30</v>
      </c>
      <c r="N396" s="20"/>
      <c r="U396" s="56"/>
    </row>
    <row r="397" spans="1:21" ht="20.25" customHeight="1" x14ac:dyDescent="0.35">
      <c r="A397" s="15" t="s">
        <v>29</v>
      </c>
      <c r="C397" s="19"/>
      <c r="D397" s="34" t="str">
        <f t="shared" ref="D397" si="332">E397</f>
        <v>E100018</v>
      </c>
      <c r="E397" s="35" t="str">
        <f>"E100018"</f>
        <v>E100018</v>
      </c>
      <c r="F397" s="36" t="str">
        <f>"Flexi-Clock &amp; Clip"</f>
        <v>Flexi-Clock &amp; Clip</v>
      </c>
      <c r="G397" s="36"/>
      <c r="H397" s="37" t="str">
        <f>"EA"</f>
        <v>EA</v>
      </c>
      <c r="I397" s="36"/>
      <c r="J397" s="36"/>
      <c r="K397" s="36"/>
      <c r="L397" s="36"/>
      <c r="M397" s="36"/>
      <c r="N397" s="36"/>
      <c r="O397" s="38">
        <f t="shared" ref="O397:T397" si="333">(SUBTOTAL(9,O398:O404))</f>
        <v>1000</v>
      </c>
      <c r="P397" s="38">
        <f t="shared" si="333"/>
        <v>-205</v>
      </c>
      <c r="Q397" s="38">
        <f t="shared" si="333"/>
        <v>0</v>
      </c>
      <c r="R397" s="38">
        <f t="shared" si="333"/>
        <v>0</v>
      </c>
      <c r="S397" s="38">
        <f t="shared" si="333"/>
        <v>0</v>
      </c>
      <c r="T397" s="38">
        <f t="shared" si="333"/>
        <v>0</v>
      </c>
      <c r="U397" s="53">
        <f t="shared" ref="U397" si="334">SUBTOTAL(9,O398:T404)</f>
        <v>795</v>
      </c>
    </row>
    <row r="398" spans="1:21" ht="17.25" customHeight="1" x14ac:dyDescent="0.3">
      <c r="A398" s="15" t="s">
        <v>29</v>
      </c>
      <c r="C398" s="19"/>
      <c r="D398" s="33" t="str">
        <f t="shared" ref="D398" si="335">D397</f>
        <v>E100018</v>
      </c>
      <c r="E398" s="33"/>
      <c r="F398" s="20"/>
      <c r="G398" s="20" t="str">
        <f>"""NAV"",""CRONUS JetCorp USA"",""32"",""1"",""167603"""</f>
        <v>"NAV","CRONUS JetCorp USA","32","1","167603"</v>
      </c>
      <c r="H398" s="39">
        <v>43466</v>
      </c>
      <c r="I398" s="40">
        <v>167603</v>
      </c>
      <c r="J398" s="40" t="str">
        <f>"Vendor"</f>
        <v>Vendor</v>
      </c>
      <c r="K398" s="40" t="str">
        <f>"V100003"</f>
        <v>V100003</v>
      </c>
      <c r="L398" s="40" t="str">
        <f>""</f>
        <v/>
      </c>
      <c r="M398" s="40" t="str">
        <f>"LogoMasters"</f>
        <v>LogoMasters</v>
      </c>
      <c r="N398" s="40" t="str">
        <f>""</f>
        <v/>
      </c>
      <c r="O398" s="41">
        <v>800</v>
      </c>
      <c r="P398" s="41">
        <v>0</v>
      </c>
      <c r="Q398" s="41">
        <v>0</v>
      </c>
      <c r="R398" s="41">
        <v>0</v>
      </c>
      <c r="S398" s="41">
        <v>0</v>
      </c>
      <c r="T398" s="41">
        <v>0</v>
      </c>
      <c r="U398" s="54"/>
    </row>
    <row r="399" spans="1:21" ht="17.25" customHeight="1" x14ac:dyDescent="0.3">
      <c r="A399" s="15" t="s">
        <v>29</v>
      </c>
      <c r="C399" s="19"/>
      <c r="D399" s="33" t="str">
        <f t="shared" ref="D399:D403" si="336">D398</f>
        <v>E100018</v>
      </c>
      <c r="E399" s="33"/>
      <c r="F399" s="20"/>
      <c r="G399" s="20" t="str">
        <f>"""NAV"",""CRONUS JetCorp USA"",""32"",""1"",""167619"""</f>
        <v>"NAV","CRONUS JetCorp USA","32","1","167619"</v>
      </c>
      <c r="H399" s="39">
        <v>43466</v>
      </c>
      <c r="I399" s="40">
        <v>167619</v>
      </c>
      <c r="J399" s="40" t="str">
        <f>"Vendor"</f>
        <v>Vendor</v>
      </c>
      <c r="K399" s="40" t="str">
        <f>"V100001"</f>
        <v>V100001</v>
      </c>
      <c r="L399" s="40" t="str">
        <f>""</f>
        <v/>
      </c>
      <c r="M399" s="40" t="str">
        <f>"Greigner, Inc."</f>
        <v>Greigner, Inc.</v>
      </c>
      <c r="N399" s="40" t="str">
        <f>""</f>
        <v/>
      </c>
      <c r="O399" s="41">
        <v>200</v>
      </c>
      <c r="P399" s="41">
        <v>0</v>
      </c>
      <c r="Q399" s="41">
        <v>0</v>
      </c>
      <c r="R399" s="41">
        <v>0</v>
      </c>
      <c r="S399" s="41">
        <v>0</v>
      </c>
      <c r="T399" s="41">
        <v>0</v>
      </c>
      <c r="U399" s="54"/>
    </row>
    <row r="400" spans="1:21" ht="17.25" customHeight="1" x14ac:dyDescent="0.3">
      <c r="A400" s="15" t="s">
        <v>29</v>
      </c>
      <c r="C400" s="19"/>
      <c r="D400" s="33" t="str">
        <f t="shared" si="336"/>
        <v>E100018</v>
      </c>
      <c r="E400" s="33"/>
      <c r="F400" s="20"/>
      <c r="G400" s="20" t="str">
        <f>"""NAV"",""CRONUS JetCorp USA"",""32"",""1"",""30040"""</f>
        <v>"NAV","CRONUS JetCorp USA","32","1","30040"</v>
      </c>
      <c r="H400" s="39">
        <v>43471</v>
      </c>
      <c r="I400" s="40">
        <v>30040</v>
      </c>
      <c r="J400" s="40" t="str">
        <f>"Customer"</f>
        <v>Customer</v>
      </c>
      <c r="K400" s="40" t="str">
        <f>"C100012"</f>
        <v>C100012</v>
      </c>
      <c r="L400" s="40" t="str">
        <f>"Bainbridges"</f>
        <v>Bainbridges</v>
      </c>
      <c r="M400" s="40" t="str">
        <f>""</f>
        <v/>
      </c>
      <c r="N400" s="40" t="str">
        <f>""</f>
        <v/>
      </c>
      <c r="O400" s="41">
        <v>0</v>
      </c>
      <c r="P400" s="41">
        <v>-144</v>
      </c>
      <c r="Q400" s="41">
        <v>0</v>
      </c>
      <c r="R400" s="41">
        <v>0</v>
      </c>
      <c r="S400" s="41">
        <v>0</v>
      </c>
      <c r="T400" s="41">
        <v>0</v>
      </c>
      <c r="U400" s="54"/>
    </row>
    <row r="401" spans="1:21" ht="17.25" customHeight="1" x14ac:dyDescent="0.3">
      <c r="A401" s="15" t="s">
        <v>29</v>
      </c>
      <c r="C401" s="19"/>
      <c r="D401" s="33" t="str">
        <f t="shared" si="336"/>
        <v>E100018</v>
      </c>
      <c r="E401" s="33"/>
      <c r="F401" s="20"/>
      <c r="G401" s="20" t="str">
        <f>"""NAV"",""CRONUS JetCorp USA"",""32"",""1"",""116374"""</f>
        <v>"NAV","CRONUS JetCorp USA","32","1","116374"</v>
      </c>
      <c r="H401" s="39">
        <v>43472</v>
      </c>
      <c r="I401" s="40">
        <v>116374</v>
      </c>
      <c r="J401" s="40" t="str">
        <f>"Customer"</f>
        <v>Customer</v>
      </c>
      <c r="K401" s="40" t="str">
        <f>"C100054"</f>
        <v>C100054</v>
      </c>
      <c r="L401" s="40" t="str">
        <f>"London Candoxy Storage Campus"</f>
        <v>London Candoxy Storage Campus</v>
      </c>
      <c r="M401" s="40" t="str">
        <f>""</f>
        <v/>
      </c>
      <c r="N401" s="40" t="str">
        <f>""</f>
        <v/>
      </c>
      <c r="O401" s="41">
        <v>0</v>
      </c>
      <c r="P401" s="41">
        <v>-48</v>
      </c>
      <c r="Q401" s="41">
        <v>0</v>
      </c>
      <c r="R401" s="41">
        <v>0</v>
      </c>
      <c r="S401" s="41">
        <v>0</v>
      </c>
      <c r="T401" s="41">
        <v>0</v>
      </c>
      <c r="U401" s="54"/>
    </row>
    <row r="402" spans="1:21" ht="17.25" customHeight="1" x14ac:dyDescent="0.3">
      <c r="A402" s="15" t="s">
        <v>29</v>
      </c>
      <c r="C402" s="19"/>
      <c r="D402" s="33" t="str">
        <f t="shared" si="336"/>
        <v>E100018</v>
      </c>
      <c r="E402" s="33"/>
      <c r="F402" s="20"/>
      <c r="G402" s="20" t="str">
        <f>"""NAV"",""CRONUS JetCorp USA"",""32"",""1"",""20414"""</f>
        <v>"NAV","CRONUS JetCorp USA","32","1","20414"</v>
      </c>
      <c r="H402" s="39">
        <v>43475</v>
      </c>
      <c r="I402" s="40">
        <v>20414</v>
      </c>
      <c r="J402" s="40" t="str">
        <f>"Customer"</f>
        <v>Customer</v>
      </c>
      <c r="K402" s="40" t="str">
        <f>"C100130"</f>
        <v>C100130</v>
      </c>
      <c r="L402" s="40" t="str">
        <f>"Hotspot Systems"</f>
        <v>Hotspot Systems</v>
      </c>
      <c r="M402" s="40" t="str">
        <f>""</f>
        <v/>
      </c>
      <c r="N402" s="40" t="str">
        <f>""</f>
        <v/>
      </c>
      <c r="O402" s="41">
        <v>0</v>
      </c>
      <c r="P402" s="41">
        <v>-12</v>
      </c>
      <c r="Q402" s="41">
        <v>0</v>
      </c>
      <c r="R402" s="41">
        <v>0</v>
      </c>
      <c r="S402" s="41">
        <v>0</v>
      </c>
      <c r="T402" s="41">
        <v>0</v>
      </c>
      <c r="U402" s="54"/>
    </row>
    <row r="403" spans="1:21" ht="17.25" customHeight="1" x14ac:dyDescent="0.3">
      <c r="A403" s="15" t="s">
        <v>29</v>
      </c>
      <c r="C403" s="19"/>
      <c r="D403" s="33" t="str">
        <f t="shared" si="336"/>
        <v>E100018</v>
      </c>
      <c r="E403" s="33"/>
      <c r="F403" s="20"/>
      <c r="G403" s="20" t="str">
        <f>"""NAV"",""CRONUS JetCorp USA"",""32"",""1"",""30119"""</f>
        <v>"NAV","CRONUS JetCorp USA","32","1","30119"</v>
      </c>
      <c r="H403" s="39">
        <v>43475</v>
      </c>
      <c r="I403" s="40">
        <v>30119</v>
      </c>
      <c r="J403" s="40" t="str">
        <f>"Customer"</f>
        <v>Customer</v>
      </c>
      <c r="K403" s="40" t="str">
        <f>"C100012"</f>
        <v>C100012</v>
      </c>
      <c r="L403" s="40" t="str">
        <f>"Bainbridges"</f>
        <v>Bainbridges</v>
      </c>
      <c r="M403" s="40" t="str">
        <f>""</f>
        <v/>
      </c>
      <c r="N403" s="40" t="str">
        <f>""</f>
        <v/>
      </c>
      <c r="O403" s="41">
        <v>0</v>
      </c>
      <c r="P403" s="41">
        <v>-1</v>
      </c>
      <c r="Q403" s="41">
        <v>0</v>
      </c>
      <c r="R403" s="41">
        <v>0</v>
      </c>
      <c r="S403" s="41">
        <v>0</v>
      </c>
      <c r="T403" s="41">
        <v>0</v>
      </c>
      <c r="U403" s="54"/>
    </row>
    <row r="404" spans="1:21" ht="17.25" customHeight="1" x14ac:dyDescent="0.3">
      <c r="A404" s="15" t="s">
        <v>29</v>
      </c>
      <c r="C404" s="19"/>
      <c r="D404" s="33"/>
      <c r="E404" s="33"/>
      <c r="F404" s="20"/>
      <c r="G404" s="20"/>
      <c r="H404" s="20"/>
      <c r="I404" s="20"/>
      <c r="J404" s="20"/>
      <c r="K404" s="20"/>
      <c r="L404" s="20"/>
      <c r="M404" s="20"/>
      <c r="N404" s="20"/>
      <c r="O404" s="42"/>
      <c r="P404" s="42"/>
      <c r="Q404" s="42"/>
      <c r="R404" s="42"/>
      <c r="S404" s="42"/>
      <c r="T404" s="42"/>
      <c r="U404" s="55"/>
    </row>
    <row r="405" spans="1:21" ht="17.25" customHeight="1" x14ac:dyDescent="0.3">
      <c r="A405" s="15" t="s">
        <v>29</v>
      </c>
      <c r="C405" s="19"/>
      <c r="D405" s="33"/>
      <c r="E405" s="33" t="s">
        <v>30</v>
      </c>
      <c r="F405" s="20" t="s">
        <v>30</v>
      </c>
      <c r="G405" s="20" t="s">
        <v>30</v>
      </c>
      <c r="H405" s="20"/>
      <c r="I405" s="20"/>
      <c r="J405" s="20" t="s">
        <v>30</v>
      </c>
      <c r="K405" s="20" t="s">
        <v>30</v>
      </c>
      <c r="L405" s="20" t="s">
        <v>30</v>
      </c>
      <c r="M405" s="20" t="s">
        <v>30</v>
      </c>
      <c r="N405" s="20"/>
      <c r="U405" s="56"/>
    </row>
    <row r="406" spans="1:21" ht="20.25" customHeight="1" x14ac:dyDescent="0.35">
      <c r="A406" s="15" t="s">
        <v>29</v>
      </c>
      <c r="C406" s="19"/>
      <c r="D406" s="34" t="str">
        <f t="shared" ref="D406" si="337">E406</f>
        <v>E100019</v>
      </c>
      <c r="E406" s="35" t="str">
        <f>"E100019"</f>
        <v>E100019</v>
      </c>
      <c r="F406" s="36" t="str">
        <f>"Mini Travel Alarm"</f>
        <v>Mini Travel Alarm</v>
      </c>
      <c r="G406" s="36"/>
      <c r="H406" s="37" t="str">
        <f>"EA"</f>
        <v>EA</v>
      </c>
      <c r="I406" s="36"/>
      <c r="J406" s="36"/>
      <c r="K406" s="36"/>
      <c r="L406" s="36"/>
      <c r="M406" s="36"/>
      <c r="N406" s="36"/>
      <c r="O406" s="38">
        <f t="shared" ref="O406:T406" si="338">(SUBTOTAL(9,O407:O409))</f>
        <v>999.99999999999989</v>
      </c>
      <c r="P406" s="38">
        <f t="shared" si="338"/>
        <v>-144</v>
      </c>
      <c r="Q406" s="38">
        <f t="shared" si="338"/>
        <v>0</v>
      </c>
      <c r="R406" s="38">
        <f t="shared" si="338"/>
        <v>0</v>
      </c>
      <c r="S406" s="38">
        <f t="shared" si="338"/>
        <v>0</v>
      </c>
      <c r="T406" s="38">
        <f t="shared" si="338"/>
        <v>0</v>
      </c>
      <c r="U406" s="53">
        <f t="shared" ref="U406" si="339">SUBTOTAL(9,O407:T409)</f>
        <v>855.99999999999989</v>
      </c>
    </row>
    <row r="407" spans="1:21" ht="17.25" customHeight="1" x14ac:dyDescent="0.3">
      <c r="A407" s="15" t="s">
        <v>29</v>
      </c>
      <c r="C407" s="19"/>
      <c r="D407" s="33" t="str">
        <f t="shared" ref="D407" si="340">D406</f>
        <v>E100019</v>
      </c>
      <c r="E407" s="33"/>
      <c r="F407" s="20"/>
      <c r="G407" s="20" t="str">
        <f>"""NAV"",""CRONUS JetCorp USA"",""32"",""1"",""167602"""</f>
        <v>"NAV","CRONUS JetCorp USA","32","1","167602"</v>
      </c>
      <c r="H407" s="39">
        <v>43466</v>
      </c>
      <c r="I407" s="40">
        <v>167602</v>
      </c>
      <c r="J407" s="40" t="str">
        <f>"Vendor"</f>
        <v>Vendor</v>
      </c>
      <c r="K407" s="40" t="str">
        <f>"V100003"</f>
        <v>V100003</v>
      </c>
      <c r="L407" s="40" t="str">
        <f>""</f>
        <v/>
      </c>
      <c r="M407" s="40" t="str">
        <f>"LogoMasters"</f>
        <v>LogoMasters</v>
      </c>
      <c r="N407" s="40" t="str">
        <f>""</f>
        <v/>
      </c>
      <c r="O407" s="41">
        <v>999.99999999999989</v>
      </c>
      <c r="P407" s="41">
        <v>0</v>
      </c>
      <c r="Q407" s="41">
        <v>0</v>
      </c>
      <c r="R407" s="41">
        <v>0</v>
      </c>
      <c r="S407" s="41">
        <v>0</v>
      </c>
      <c r="T407" s="41">
        <v>0</v>
      </c>
      <c r="U407" s="54"/>
    </row>
    <row r="408" spans="1:21" ht="17.25" customHeight="1" x14ac:dyDescent="0.3">
      <c r="A408" s="15" t="s">
        <v>29</v>
      </c>
      <c r="C408" s="19"/>
      <c r="D408" s="33" t="str">
        <f t="shared" ref="D408" si="341">D407</f>
        <v>E100019</v>
      </c>
      <c r="E408" s="33"/>
      <c r="F408" s="20"/>
      <c r="G408" s="20" t="str">
        <f>"""NAV"",""CRONUS JetCorp USA"",""32"",""1"",""114269"""</f>
        <v>"NAV","CRONUS JetCorp USA","32","1","114269"</v>
      </c>
      <c r="H408" s="39">
        <v>43470</v>
      </c>
      <c r="I408" s="40">
        <v>114269</v>
      </c>
      <c r="J408" s="40" t="str">
        <f>"Customer"</f>
        <v>Customer</v>
      </c>
      <c r="K408" s="40" t="str">
        <f>"C100076"</f>
        <v>C100076</v>
      </c>
      <c r="L408" s="40" t="str">
        <f>"Showmasters"</f>
        <v>Showmasters</v>
      </c>
      <c r="M408" s="40" t="str">
        <f>""</f>
        <v/>
      </c>
      <c r="N408" s="40" t="str">
        <f>""</f>
        <v/>
      </c>
      <c r="O408" s="41">
        <v>0</v>
      </c>
      <c r="P408" s="41">
        <v>-144</v>
      </c>
      <c r="Q408" s="41">
        <v>0</v>
      </c>
      <c r="R408" s="41">
        <v>0</v>
      </c>
      <c r="S408" s="41">
        <v>0</v>
      </c>
      <c r="T408" s="41">
        <v>0</v>
      </c>
      <c r="U408" s="54"/>
    </row>
    <row r="409" spans="1:21" ht="17.25" customHeight="1" x14ac:dyDescent="0.3">
      <c r="A409" s="15" t="s">
        <v>29</v>
      </c>
      <c r="C409" s="19"/>
      <c r="D409" s="33"/>
      <c r="E409" s="33"/>
      <c r="F409" s="20"/>
      <c r="G409" s="20"/>
      <c r="H409" s="20"/>
      <c r="I409" s="20"/>
      <c r="J409" s="20"/>
      <c r="K409" s="20"/>
      <c r="L409" s="20"/>
      <c r="M409" s="20"/>
      <c r="N409" s="20"/>
      <c r="O409" s="42"/>
      <c r="P409" s="42"/>
      <c r="Q409" s="42"/>
      <c r="R409" s="42"/>
      <c r="S409" s="42"/>
      <c r="T409" s="42"/>
      <c r="U409" s="55"/>
    </row>
    <row r="410" spans="1:21" ht="17.25" customHeight="1" x14ac:dyDescent="0.3">
      <c r="A410" s="15" t="s">
        <v>29</v>
      </c>
      <c r="C410" s="19"/>
      <c r="D410" s="33"/>
      <c r="E410" s="33" t="s">
        <v>30</v>
      </c>
      <c r="F410" s="20" t="s">
        <v>30</v>
      </c>
      <c r="G410" s="20" t="s">
        <v>30</v>
      </c>
      <c r="H410" s="20"/>
      <c r="I410" s="20"/>
      <c r="J410" s="20" t="s">
        <v>30</v>
      </c>
      <c r="K410" s="20" t="s">
        <v>30</v>
      </c>
      <c r="L410" s="20" t="s">
        <v>30</v>
      </c>
      <c r="M410" s="20" t="s">
        <v>30</v>
      </c>
      <c r="N410" s="20"/>
      <c r="U410" s="56"/>
    </row>
    <row r="411" spans="1:21" ht="20.25" customHeight="1" x14ac:dyDescent="0.35">
      <c r="A411" s="15" t="s">
        <v>29</v>
      </c>
      <c r="C411" s="19"/>
      <c r="D411" s="34" t="str">
        <f t="shared" ref="D411" si="342">E411</f>
        <v>E100020</v>
      </c>
      <c r="E411" s="35" t="str">
        <f>"E100020"</f>
        <v>E100020</v>
      </c>
      <c r="F411" s="36" t="str">
        <f>"Flip-up Travel Alarm"</f>
        <v>Flip-up Travel Alarm</v>
      </c>
      <c r="G411" s="36"/>
      <c r="H411" s="37" t="str">
        <f>"EA"</f>
        <v>EA</v>
      </c>
      <c r="I411" s="36"/>
      <c r="J411" s="36"/>
      <c r="K411" s="36"/>
      <c r="L411" s="36"/>
      <c r="M411" s="36"/>
      <c r="N411" s="36"/>
      <c r="O411" s="38">
        <f t="shared" ref="O411:T411" si="343">(SUBTOTAL(9,O412:O414))</f>
        <v>600</v>
      </c>
      <c r="P411" s="38">
        <f t="shared" si="343"/>
        <v>-144</v>
      </c>
      <c r="Q411" s="38">
        <f t="shared" si="343"/>
        <v>0</v>
      </c>
      <c r="R411" s="38">
        <f t="shared" si="343"/>
        <v>0</v>
      </c>
      <c r="S411" s="38">
        <f t="shared" si="343"/>
        <v>0</v>
      </c>
      <c r="T411" s="38">
        <f t="shared" si="343"/>
        <v>0</v>
      </c>
      <c r="U411" s="53">
        <f t="shared" ref="U411" si="344">SUBTOTAL(9,O412:T414)</f>
        <v>456</v>
      </c>
    </row>
    <row r="412" spans="1:21" ht="17.25" customHeight="1" x14ac:dyDescent="0.3">
      <c r="A412" s="15" t="s">
        <v>29</v>
      </c>
      <c r="C412" s="19"/>
      <c r="D412" s="33" t="str">
        <f t="shared" ref="D412" si="345">D411</f>
        <v>E100020</v>
      </c>
      <c r="E412" s="33"/>
      <c r="F412" s="20"/>
      <c r="G412" s="20" t="str">
        <f>"""NAV"",""CRONUS JetCorp USA"",""32"",""1"",""167601"""</f>
        <v>"NAV","CRONUS JetCorp USA","32","1","167601"</v>
      </c>
      <c r="H412" s="39">
        <v>43466</v>
      </c>
      <c r="I412" s="40">
        <v>167601</v>
      </c>
      <c r="J412" s="40" t="str">
        <f>"Vendor"</f>
        <v>Vendor</v>
      </c>
      <c r="K412" s="40" t="str">
        <f>"V100003"</f>
        <v>V100003</v>
      </c>
      <c r="L412" s="40" t="str">
        <f>""</f>
        <v/>
      </c>
      <c r="M412" s="40" t="str">
        <f>"LogoMasters"</f>
        <v>LogoMasters</v>
      </c>
      <c r="N412" s="40" t="str">
        <f>""</f>
        <v/>
      </c>
      <c r="O412" s="41">
        <v>600</v>
      </c>
      <c r="P412" s="41">
        <v>0</v>
      </c>
      <c r="Q412" s="41">
        <v>0</v>
      </c>
      <c r="R412" s="41">
        <v>0</v>
      </c>
      <c r="S412" s="41">
        <v>0</v>
      </c>
      <c r="T412" s="41">
        <v>0</v>
      </c>
      <c r="U412" s="54"/>
    </row>
    <row r="413" spans="1:21" ht="17.25" customHeight="1" x14ac:dyDescent="0.3">
      <c r="A413" s="15" t="s">
        <v>29</v>
      </c>
      <c r="C413" s="19"/>
      <c r="D413" s="33" t="str">
        <f t="shared" ref="D413" si="346">D412</f>
        <v>E100020</v>
      </c>
      <c r="E413" s="33"/>
      <c r="F413" s="20"/>
      <c r="G413" s="20" t="str">
        <f>"""NAV"",""CRONUS JetCorp USA"",""32"",""1"",""114278"""</f>
        <v>"NAV","CRONUS JetCorp USA","32","1","114278"</v>
      </c>
      <c r="H413" s="39">
        <v>43474</v>
      </c>
      <c r="I413" s="40">
        <v>114278</v>
      </c>
      <c r="J413" s="40" t="str">
        <f>"Customer"</f>
        <v>Customer</v>
      </c>
      <c r="K413" s="40" t="str">
        <f>"C100076"</f>
        <v>C100076</v>
      </c>
      <c r="L413" s="40" t="str">
        <f>"Showmasters"</f>
        <v>Showmasters</v>
      </c>
      <c r="M413" s="40" t="str">
        <f>""</f>
        <v/>
      </c>
      <c r="N413" s="40" t="str">
        <f>""</f>
        <v/>
      </c>
      <c r="O413" s="41">
        <v>0</v>
      </c>
      <c r="P413" s="41">
        <v>-144</v>
      </c>
      <c r="Q413" s="41">
        <v>0</v>
      </c>
      <c r="R413" s="41">
        <v>0</v>
      </c>
      <c r="S413" s="41">
        <v>0</v>
      </c>
      <c r="T413" s="41">
        <v>0</v>
      </c>
      <c r="U413" s="54"/>
    </row>
    <row r="414" spans="1:21" ht="17.25" customHeight="1" x14ac:dyDescent="0.3">
      <c r="A414" s="15" t="s">
        <v>29</v>
      </c>
      <c r="C414" s="19"/>
      <c r="D414" s="33"/>
      <c r="E414" s="33"/>
      <c r="F414" s="20"/>
      <c r="G414" s="20"/>
      <c r="H414" s="20"/>
      <c r="I414" s="20"/>
      <c r="J414" s="20"/>
      <c r="K414" s="20"/>
      <c r="L414" s="20"/>
      <c r="M414" s="20"/>
      <c r="N414" s="20"/>
      <c r="O414" s="42"/>
      <c r="P414" s="42"/>
      <c r="Q414" s="42"/>
      <c r="R414" s="42"/>
      <c r="S414" s="42"/>
      <c r="T414" s="42"/>
      <c r="U414" s="55"/>
    </row>
    <row r="415" spans="1:21" ht="17.25" customHeight="1" x14ac:dyDescent="0.3">
      <c r="A415" s="15" t="s">
        <v>29</v>
      </c>
      <c r="C415" s="19"/>
      <c r="D415" s="33"/>
      <c r="E415" s="33" t="s">
        <v>30</v>
      </c>
      <c r="F415" s="20" t="s">
        <v>30</v>
      </c>
      <c r="G415" s="20" t="s">
        <v>30</v>
      </c>
      <c r="H415" s="20"/>
      <c r="I415" s="20"/>
      <c r="J415" s="20" t="s">
        <v>30</v>
      </c>
      <c r="K415" s="20" t="s">
        <v>30</v>
      </c>
      <c r="L415" s="20" t="s">
        <v>30</v>
      </c>
      <c r="M415" s="20" t="s">
        <v>30</v>
      </c>
      <c r="N415" s="20"/>
      <c r="U415" s="56"/>
    </row>
    <row r="416" spans="1:21" ht="20.25" customHeight="1" x14ac:dyDescent="0.35">
      <c r="A416" s="15" t="s">
        <v>29</v>
      </c>
      <c r="C416" s="19"/>
      <c r="D416" s="34" t="str">
        <f t="shared" ref="D416" si="347">E416</f>
        <v>E100021</v>
      </c>
      <c r="E416" s="35" t="str">
        <f>"E100021"</f>
        <v>E100021</v>
      </c>
      <c r="F416" s="36" t="str">
        <f>"Slim Travel Alarm"</f>
        <v>Slim Travel Alarm</v>
      </c>
      <c r="G416" s="36"/>
      <c r="H416" s="37" t="str">
        <f>"EA"</f>
        <v>EA</v>
      </c>
      <c r="I416" s="36"/>
      <c r="J416" s="36"/>
      <c r="K416" s="36"/>
      <c r="L416" s="36"/>
      <c r="M416" s="36"/>
      <c r="N416" s="36"/>
      <c r="O416" s="38">
        <f t="shared" ref="O416:T416" si="348">(SUBTOTAL(9,O417:O422))</f>
        <v>1000</v>
      </c>
      <c r="P416" s="38">
        <f t="shared" si="348"/>
        <v>-199</v>
      </c>
      <c r="Q416" s="38">
        <f t="shared" si="348"/>
        <v>0</v>
      </c>
      <c r="R416" s="38">
        <f t="shared" si="348"/>
        <v>0</v>
      </c>
      <c r="S416" s="38">
        <f t="shared" si="348"/>
        <v>0</v>
      </c>
      <c r="T416" s="38">
        <f t="shared" si="348"/>
        <v>0</v>
      </c>
      <c r="U416" s="53">
        <f t="shared" ref="U416" si="349">SUBTOTAL(9,O417:T422)</f>
        <v>801</v>
      </c>
    </row>
    <row r="417" spans="1:21" ht="17.25" customHeight="1" x14ac:dyDescent="0.3">
      <c r="A417" s="15" t="s">
        <v>29</v>
      </c>
      <c r="C417" s="19"/>
      <c r="D417" s="33" t="str">
        <f t="shared" ref="D417" si="350">D416</f>
        <v>E100021</v>
      </c>
      <c r="E417" s="33"/>
      <c r="F417" s="20"/>
      <c r="G417" s="20" t="str">
        <f>"""NAV"",""CRONUS JetCorp USA"",""32"",""1"",""167600"""</f>
        <v>"NAV","CRONUS JetCorp USA","32","1","167600"</v>
      </c>
      <c r="H417" s="39">
        <v>43466</v>
      </c>
      <c r="I417" s="40">
        <v>167600</v>
      </c>
      <c r="J417" s="40" t="str">
        <f>"Vendor"</f>
        <v>Vendor</v>
      </c>
      <c r="K417" s="40" t="str">
        <f>"V100003"</f>
        <v>V100003</v>
      </c>
      <c r="L417" s="40" t="str">
        <f>""</f>
        <v/>
      </c>
      <c r="M417" s="40" t="str">
        <f>"LogoMasters"</f>
        <v>LogoMasters</v>
      </c>
      <c r="N417" s="40" t="str">
        <f>""</f>
        <v/>
      </c>
      <c r="O417" s="41">
        <v>1000</v>
      </c>
      <c r="P417" s="41">
        <v>0</v>
      </c>
      <c r="Q417" s="41">
        <v>0</v>
      </c>
      <c r="R417" s="41">
        <v>0</v>
      </c>
      <c r="S417" s="41">
        <v>0</v>
      </c>
      <c r="T417" s="41">
        <v>0</v>
      </c>
      <c r="U417" s="54"/>
    </row>
    <row r="418" spans="1:21" ht="17.25" customHeight="1" x14ac:dyDescent="0.3">
      <c r="A418" s="15" t="s">
        <v>29</v>
      </c>
      <c r="C418" s="19"/>
      <c r="D418" s="33" t="str">
        <f t="shared" ref="D418:D421" si="351">D417</f>
        <v>E100021</v>
      </c>
      <c r="E418" s="33"/>
      <c r="F418" s="20"/>
      <c r="G418" s="20" t="str">
        <f>"""NAV"",""CRONUS JetCorp USA"",""32"",""1"",""7563"""</f>
        <v>"NAV","CRONUS JetCorp USA","32","1","7563"</v>
      </c>
      <c r="H418" s="39">
        <v>43469</v>
      </c>
      <c r="I418" s="40">
        <v>7563</v>
      </c>
      <c r="J418" s="40" t="str">
        <f>"Customer"</f>
        <v>Customer</v>
      </c>
      <c r="K418" s="40" t="str">
        <f>"C100030"</f>
        <v>C100030</v>
      </c>
      <c r="L418" s="40" t="str">
        <f>"Stutringers"</f>
        <v>Stutringers</v>
      </c>
      <c r="M418" s="40" t="str">
        <f>""</f>
        <v/>
      </c>
      <c r="N418" s="40" t="str">
        <f>""</f>
        <v/>
      </c>
      <c r="O418" s="41">
        <v>0</v>
      </c>
      <c r="P418" s="41">
        <v>-1</v>
      </c>
      <c r="Q418" s="41">
        <v>0</v>
      </c>
      <c r="R418" s="41">
        <v>0</v>
      </c>
      <c r="S418" s="41">
        <v>0</v>
      </c>
      <c r="T418" s="41">
        <v>0</v>
      </c>
      <c r="U418" s="54"/>
    </row>
    <row r="419" spans="1:21" ht="17.25" customHeight="1" x14ac:dyDescent="0.3">
      <c r="A419" s="15" t="s">
        <v>29</v>
      </c>
      <c r="C419" s="19"/>
      <c r="D419" s="33" t="str">
        <f t="shared" si="351"/>
        <v>E100021</v>
      </c>
      <c r="E419" s="33"/>
      <c r="F419" s="20"/>
      <c r="G419" s="20" t="str">
        <f>"""NAV"",""CRONUS JetCorp USA"",""32"",""1"",""114270"""</f>
        <v>"NAV","CRONUS JetCorp USA","32","1","114270"</v>
      </c>
      <c r="H419" s="39">
        <v>43470</v>
      </c>
      <c r="I419" s="40">
        <v>114270</v>
      </c>
      <c r="J419" s="40" t="str">
        <f>"Customer"</f>
        <v>Customer</v>
      </c>
      <c r="K419" s="40" t="str">
        <f>"C100076"</f>
        <v>C100076</v>
      </c>
      <c r="L419" s="40" t="str">
        <f>"Showmasters"</f>
        <v>Showmasters</v>
      </c>
      <c r="M419" s="40" t="str">
        <f>""</f>
        <v/>
      </c>
      <c r="N419" s="40" t="str">
        <f>""</f>
        <v/>
      </c>
      <c r="O419" s="41">
        <v>0</v>
      </c>
      <c r="P419" s="41">
        <v>-48</v>
      </c>
      <c r="Q419" s="41">
        <v>0</v>
      </c>
      <c r="R419" s="41">
        <v>0</v>
      </c>
      <c r="S419" s="41">
        <v>0</v>
      </c>
      <c r="T419" s="41">
        <v>0</v>
      </c>
      <c r="U419" s="54"/>
    </row>
    <row r="420" spans="1:21" ht="17.25" customHeight="1" x14ac:dyDescent="0.3">
      <c r="A420" s="15" t="s">
        <v>29</v>
      </c>
      <c r="C420" s="19"/>
      <c r="D420" s="33" t="str">
        <f t="shared" si="351"/>
        <v>E100021</v>
      </c>
      <c r="E420" s="33"/>
      <c r="F420" s="20"/>
      <c r="G420" s="20" t="str">
        <f>"""NAV"",""CRONUS JetCorp USA"",""32"",""1"",""153167"""</f>
        <v>"NAV","CRONUS JetCorp USA","32","1","153167"</v>
      </c>
      <c r="H420" s="39">
        <v>43470</v>
      </c>
      <c r="I420" s="40">
        <v>153167</v>
      </c>
      <c r="J420" s="40" t="str">
        <f>"Customer"</f>
        <v>Customer</v>
      </c>
      <c r="K420" s="40" t="str">
        <f>"C100136"</f>
        <v>C100136</v>
      </c>
      <c r="L420" s="40" t="str">
        <f>"First Bank"</f>
        <v>First Bank</v>
      </c>
      <c r="M420" s="40" t="str">
        <f>""</f>
        <v/>
      </c>
      <c r="N420" s="40" t="str">
        <f>""</f>
        <v/>
      </c>
      <c r="O420" s="41">
        <v>0</v>
      </c>
      <c r="P420" s="41">
        <v>-144</v>
      </c>
      <c r="Q420" s="41">
        <v>0</v>
      </c>
      <c r="R420" s="41">
        <v>0</v>
      </c>
      <c r="S420" s="41">
        <v>0</v>
      </c>
      <c r="T420" s="41">
        <v>0</v>
      </c>
      <c r="U420" s="54"/>
    </row>
    <row r="421" spans="1:21" ht="17.25" customHeight="1" x14ac:dyDescent="0.3">
      <c r="A421" s="15" t="s">
        <v>29</v>
      </c>
      <c r="C421" s="19"/>
      <c r="D421" s="33" t="str">
        <f t="shared" si="351"/>
        <v>E100021</v>
      </c>
      <c r="E421" s="33"/>
      <c r="F421" s="20"/>
      <c r="G421" s="20" t="str">
        <f>"""NAV"",""CRONUS JetCorp USA"",""32"",""1"",""114280"""</f>
        <v>"NAV","CRONUS JetCorp USA","32","1","114280"</v>
      </c>
      <c r="H421" s="39">
        <v>43474</v>
      </c>
      <c r="I421" s="40">
        <v>114280</v>
      </c>
      <c r="J421" s="40" t="str">
        <f>"Customer"</f>
        <v>Customer</v>
      </c>
      <c r="K421" s="40" t="str">
        <f>"C100076"</f>
        <v>C100076</v>
      </c>
      <c r="L421" s="40" t="str">
        <f>"Showmasters"</f>
        <v>Showmasters</v>
      </c>
      <c r="M421" s="40" t="str">
        <f>""</f>
        <v/>
      </c>
      <c r="N421" s="40" t="str">
        <f>""</f>
        <v/>
      </c>
      <c r="O421" s="41">
        <v>0</v>
      </c>
      <c r="P421" s="41">
        <v>-6</v>
      </c>
      <c r="Q421" s="41">
        <v>0</v>
      </c>
      <c r="R421" s="41">
        <v>0</v>
      </c>
      <c r="S421" s="41">
        <v>0</v>
      </c>
      <c r="T421" s="41">
        <v>0</v>
      </c>
      <c r="U421" s="54"/>
    </row>
    <row r="422" spans="1:21" ht="17.25" customHeight="1" x14ac:dyDescent="0.3">
      <c r="A422" s="15" t="s">
        <v>29</v>
      </c>
      <c r="C422" s="19"/>
      <c r="D422" s="33"/>
      <c r="E422" s="33"/>
      <c r="F422" s="20"/>
      <c r="G422" s="20"/>
      <c r="H422" s="20"/>
      <c r="I422" s="20"/>
      <c r="J422" s="20"/>
      <c r="K422" s="20"/>
      <c r="L422" s="20"/>
      <c r="M422" s="20"/>
      <c r="N422" s="20"/>
      <c r="O422" s="42"/>
      <c r="P422" s="42"/>
      <c r="Q422" s="42"/>
      <c r="R422" s="42"/>
      <c r="S422" s="42"/>
      <c r="T422" s="42"/>
      <c r="U422" s="55"/>
    </row>
    <row r="423" spans="1:21" ht="17.25" customHeight="1" x14ac:dyDescent="0.3">
      <c r="A423" s="15" t="s">
        <v>29</v>
      </c>
      <c r="C423" s="19"/>
      <c r="D423" s="33"/>
      <c r="E423" s="33" t="s">
        <v>30</v>
      </c>
      <c r="F423" s="20" t="s">
        <v>30</v>
      </c>
      <c r="G423" s="20" t="s">
        <v>30</v>
      </c>
      <c r="H423" s="20"/>
      <c r="I423" s="20"/>
      <c r="J423" s="20" t="s">
        <v>30</v>
      </c>
      <c r="K423" s="20" t="s">
        <v>30</v>
      </c>
      <c r="L423" s="20" t="s">
        <v>30</v>
      </c>
      <c r="M423" s="20" t="s">
        <v>30</v>
      </c>
      <c r="N423" s="20"/>
      <c r="U423" s="56"/>
    </row>
    <row r="424" spans="1:21" ht="20.25" customHeight="1" x14ac:dyDescent="0.35">
      <c r="A424" s="15" t="s">
        <v>29</v>
      </c>
      <c r="C424" s="19"/>
      <c r="D424" s="34" t="str">
        <f t="shared" ref="D424" si="352">E424</f>
        <v>E100022</v>
      </c>
      <c r="E424" s="35" t="str">
        <f>"E100022"</f>
        <v>E100022</v>
      </c>
      <c r="F424" s="36" t="str">
        <f>"Wide Screen Alarm Clock"</f>
        <v>Wide Screen Alarm Clock</v>
      </c>
      <c r="G424" s="36"/>
      <c r="H424" s="37" t="str">
        <f>"EA"</f>
        <v>EA</v>
      </c>
      <c r="I424" s="36"/>
      <c r="J424" s="36"/>
      <c r="K424" s="36"/>
      <c r="L424" s="36"/>
      <c r="M424" s="36"/>
      <c r="N424" s="36"/>
      <c r="O424" s="38">
        <f t="shared" ref="O424:T424" si="353">(SUBTOTAL(9,O425:O426))</f>
        <v>1800</v>
      </c>
      <c r="P424" s="38">
        <f t="shared" si="353"/>
        <v>0</v>
      </c>
      <c r="Q424" s="38">
        <f t="shared" si="353"/>
        <v>0</v>
      </c>
      <c r="R424" s="38">
        <f t="shared" si="353"/>
        <v>0</v>
      </c>
      <c r="S424" s="38">
        <f t="shared" si="353"/>
        <v>0</v>
      </c>
      <c r="T424" s="38">
        <f t="shared" si="353"/>
        <v>0</v>
      </c>
      <c r="U424" s="53">
        <f t="shared" ref="U424" si="354">SUBTOTAL(9,O425:T426)</f>
        <v>1800</v>
      </c>
    </row>
    <row r="425" spans="1:21" ht="17.25" customHeight="1" x14ac:dyDescent="0.3">
      <c r="A425" s="15" t="s">
        <v>29</v>
      </c>
      <c r="C425" s="19"/>
      <c r="D425" s="33" t="str">
        <f t="shared" ref="D425" si="355">D424</f>
        <v>E100022</v>
      </c>
      <c r="E425" s="33"/>
      <c r="F425" s="20"/>
      <c r="G425" s="20" t="str">
        <f>"""NAV"",""CRONUS JetCorp USA"",""32"",""1"",""167599"""</f>
        <v>"NAV","CRONUS JetCorp USA","32","1","167599"</v>
      </c>
      <c r="H425" s="39">
        <v>43466</v>
      </c>
      <c r="I425" s="40">
        <v>167599</v>
      </c>
      <c r="J425" s="40" t="str">
        <f>"Vendor"</f>
        <v>Vendor</v>
      </c>
      <c r="K425" s="40" t="str">
        <f>"V100003"</f>
        <v>V100003</v>
      </c>
      <c r="L425" s="40" t="str">
        <f>""</f>
        <v/>
      </c>
      <c r="M425" s="40" t="str">
        <f>"LogoMasters"</f>
        <v>LogoMasters</v>
      </c>
      <c r="N425" s="40" t="str">
        <f>""</f>
        <v/>
      </c>
      <c r="O425" s="41">
        <v>1800</v>
      </c>
      <c r="P425" s="41">
        <v>0</v>
      </c>
      <c r="Q425" s="41">
        <v>0</v>
      </c>
      <c r="R425" s="41">
        <v>0</v>
      </c>
      <c r="S425" s="41">
        <v>0</v>
      </c>
      <c r="T425" s="41">
        <v>0</v>
      </c>
      <c r="U425" s="54"/>
    </row>
    <row r="426" spans="1:21" ht="17.25" customHeight="1" x14ac:dyDescent="0.3">
      <c r="A426" s="15" t="s">
        <v>29</v>
      </c>
      <c r="C426" s="19"/>
      <c r="D426" s="33"/>
      <c r="E426" s="33"/>
      <c r="F426" s="20"/>
      <c r="G426" s="20"/>
      <c r="H426" s="20"/>
      <c r="I426" s="20"/>
      <c r="J426" s="20"/>
      <c r="K426" s="20"/>
      <c r="L426" s="20"/>
      <c r="M426" s="20"/>
      <c r="N426" s="20"/>
      <c r="O426" s="42"/>
      <c r="P426" s="42"/>
      <c r="Q426" s="42"/>
      <c r="R426" s="42"/>
      <c r="S426" s="42"/>
      <c r="T426" s="42"/>
      <c r="U426" s="55"/>
    </row>
    <row r="427" spans="1:21" ht="17.25" customHeight="1" x14ac:dyDescent="0.3">
      <c r="A427" s="15" t="s">
        <v>29</v>
      </c>
      <c r="C427" s="19"/>
      <c r="D427" s="33"/>
      <c r="E427" s="33" t="s">
        <v>30</v>
      </c>
      <c r="F427" s="20" t="s">
        <v>30</v>
      </c>
      <c r="G427" s="20" t="s">
        <v>30</v>
      </c>
      <c r="H427" s="20"/>
      <c r="I427" s="20"/>
      <c r="J427" s="20" t="s">
        <v>30</v>
      </c>
      <c r="K427" s="20" t="s">
        <v>30</v>
      </c>
      <c r="L427" s="20" t="s">
        <v>30</v>
      </c>
      <c r="M427" s="20" t="s">
        <v>30</v>
      </c>
      <c r="N427" s="20"/>
      <c r="U427" s="56"/>
    </row>
    <row r="428" spans="1:21" ht="20.25" customHeight="1" x14ac:dyDescent="0.35">
      <c r="A428" s="15" t="s">
        <v>29</v>
      </c>
      <c r="C428" s="19"/>
      <c r="D428" s="34" t="str">
        <f t="shared" ref="D428" si="356">E428</f>
        <v>E100023</v>
      </c>
      <c r="E428" s="35" t="str">
        <f>"E100023"</f>
        <v>E100023</v>
      </c>
      <c r="F428" s="36" t="str">
        <f>"Sport Earbuds"</f>
        <v>Sport Earbuds</v>
      </c>
      <c r="G428" s="36"/>
      <c r="H428" s="37" t="str">
        <f>"EA"</f>
        <v>EA</v>
      </c>
      <c r="I428" s="36"/>
      <c r="J428" s="36"/>
      <c r="K428" s="36"/>
      <c r="L428" s="36"/>
      <c r="M428" s="36"/>
      <c r="N428" s="36"/>
      <c r="O428" s="38">
        <f t="shared" ref="O428:T428" si="357">(SUBTOTAL(9,O429:O431))</f>
        <v>700</v>
      </c>
      <c r="P428" s="38">
        <f t="shared" si="357"/>
        <v>-144</v>
      </c>
      <c r="Q428" s="38">
        <f t="shared" si="357"/>
        <v>0</v>
      </c>
      <c r="R428" s="38">
        <f t="shared" si="357"/>
        <v>0</v>
      </c>
      <c r="S428" s="38">
        <f t="shared" si="357"/>
        <v>0</v>
      </c>
      <c r="T428" s="38">
        <f t="shared" si="357"/>
        <v>0</v>
      </c>
      <c r="U428" s="53">
        <f t="shared" ref="U428" si="358">SUBTOTAL(9,O429:T431)</f>
        <v>556</v>
      </c>
    </row>
    <row r="429" spans="1:21" ht="17.25" customHeight="1" x14ac:dyDescent="0.3">
      <c r="A429" s="15" t="s">
        <v>29</v>
      </c>
      <c r="C429" s="19"/>
      <c r="D429" s="33" t="str">
        <f t="shared" ref="D429" si="359">D428</f>
        <v>E100023</v>
      </c>
      <c r="E429" s="33"/>
      <c r="F429" s="20"/>
      <c r="G429" s="20" t="str">
        <f>"""NAV"",""CRONUS JetCorp USA"",""32"",""1"",""168043"""</f>
        <v>"NAV","CRONUS JetCorp USA","32","1","168043"</v>
      </c>
      <c r="H429" s="39">
        <v>43466</v>
      </c>
      <c r="I429" s="40">
        <v>168043</v>
      </c>
      <c r="J429" s="40" t="str">
        <f>"Vendor"</f>
        <v>Vendor</v>
      </c>
      <c r="K429" s="40" t="str">
        <f>"V100003"</f>
        <v>V100003</v>
      </c>
      <c r="L429" s="40" t="str">
        <f>""</f>
        <v/>
      </c>
      <c r="M429" s="40" t="str">
        <f>"LogoMasters"</f>
        <v>LogoMasters</v>
      </c>
      <c r="N429" s="40" t="str">
        <f>""</f>
        <v/>
      </c>
      <c r="O429" s="41">
        <v>700</v>
      </c>
      <c r="P429" s="41">
        <v>0</v>
      </c>
      <c r="Q429" s="41">
        <v>0</v>
      </c>
      <c r="R429" s="41">
        <v>0</v>
      </c>
      <c r="S429" s="41">
        <v>0</v>
      </c>
      <c r="T429" s="41">
        <v>0</v>
      </c>
      <c r="U429" s="54"/>
    </row>
    <row r="430" spans="1:21" ht="17.25" customHeight="1" x14ac:dyDescent="0.3">
      <c r="A430" s="15" t="s">
        <v>29</v>
      </c>
      <c r="C430" s="19"/>
      <c r="D430" s="33" t="str">
        <f t="shared" ref="D430" si="360">D429</f>
        <v>E100023</v>
      </c>
      <c r="E430" s="33"/>
      <c r="F430" s="20"/>
      <c r="G430" s="20" t="str">
        <f>"""NAV"",""CRONUS JetCorp USA"",""32"",""1"",""64615"""</f>
        <v>"NAV","CRONUS JetCorp USA","32","1","64615"</v>
      </c>
      <c r="H430" s="39">
        <v>43475</v>
      </c>
      <c r="I430" s="40">
        <v>64615</v>
      </c>
      <c r="J430" s="40" t="str">
        <f>"Customer"</f>
        <v>Customer</v>
      </c>
      <c r="K430" s="40" t="str">
        <f>"C100136"</f>
        <v>C100136</v>
      </c>
      <c r="L430" s="40" t="str">
        <f>"First Bank"</f>
        <v>First Bank</v>
      </c>
      <c r="M430" s="40" t="str">
        <f>""</f>
        <v/>
      </c>
      <c r="N430" s="40" t="str">
        <f>""</f>
        <v/>
      </c>
      <c r="O430" s="41">
        <v>0</v>
      </c>
      <c r="P430" s="41">
        <v>-144</v>
      </c>
      <c r="Q430" s="41">
        <v>0</v>
      </c>
      <c r="R430" s="41">
        <v>0</v>
      </c>
      <c r="S430" s="41">
        <v>0</v>
      </c>
      <c r="T430" s="41">
        <v>0</v>
      </c>
      <c r="U430" s="54"/>
    </row>
    <row r="431" spans="1:21" ht="17.25" customHeight="1" x14ac:dyDescent="0.3">
      <c r="A431" s="15" t="s">
        <v>29</v>
      </c>
      <c r="C431" s="19"/>
      <c r="D431" s="33"/>
      <c r="E431" s="33"/>
      <c r="F431" s="20"/>
      <c r="G431" s="20"/>
      <c r="H431" s="20"/>
      <c r="I431" s="20"/>
      <c r="J431" s="20"/>
      <c r="K431" s="20"/>
      <c r="L431" s="20"/>
      <c r="M431" s="20"/>
      <c r="N431" s="20"/>
      <c r="O431" s="42"/>
      <c r="P431" s="42"/>
      <c r="Q431" s="42"/>
      <c r="R431" s="42"/>
      <c r="S431" s="42"/>
      <c r="T431" s="42"/>
      <c r="U431" s="55"/>
    </row>
    <row r="432" spans="1:21" ht="17.25" customHeight="1" x14ac:dyDescent="0.3">
      <c r="A432" s="15" t="s">
        <v>29</v>
      </c>
      <c r="C432" s="19"/>
      <c r="D432" s="33"/>
      <c r="E432" s="33" t="s">
        <v>30</v>
      </c>
      <c r="F432" s="20" t="s">
        <v>30</v>
      </c>
      <c r="G432" s="20" t="s">
        <v>30</v>
      </c>
      <c r="H432" s="20"/>
      <c r="I432" s="20"/>
      <c r="J432" s="20" t="s">
        <v>30</v>
      </c>
      <c r="K432" s="20" t="s">
        <v>30</v>
      </c>
      <c r="L432" s="20" t="s">
        <v>30</v>
      </c>
      <c r="M432" s="20" t="s">
        <v>30</v>
      </c>
      <c r="N432" s="20"/>
      <c r="U432" s="56"/>
    </row>
    <row r="433" spans="1:21" ht="20.25" customHeight="1" x14ac:dyDescent="0.35">
      <c r="A433" s="15" t="s">
        <v>29</v>
      </c>
      <c r="C433" s="19"/>
      <c r="D433" s="34" t="str">
        <f t="shared" ref="D433" si="361">E433</f>
        <v>E100024</v>
      </c>
      <c r="E433" s="35" t="str">
        <f>"E100024"</f>
        <v>E100024</v>
      </c>
      <c r="F433" s="36" t="str">
        <f>"Arch Calculator"</f>
        <v>Arch Calculator</v>
      </c>
      <c r="G433" s="36"/>
      <c r="H433" s="37" t="str">
        <f>"EA"</f>
        <v>EA</v>
      </c>
      <c r="I433" s="36"/>
      <c r="J433" s="36"/>
      <c r="K433" s="36"/>
      <c r="L433" s="36"/>
      <c r="M433" s="36"/>
      <c r="N433" s="36"/>
      <c r="O433" s="38">
        <f t="shared" ref="O433:T433" si="362">(SUBTOTAL(9,O434:O437))</f>
        <v>750</v>
      </c>
      <c r="P433" s="38">
        <f t="shared" si="362"/>
        <v>12</v>
      </c>
      <c r="Q433" s="38">
        <f t="shared" si="362"/>
        <v>0</v>
      </c>
      <c r="R433" s="38">
        <f t="shared" si="362"/>
        <v>0</v>
      </c>
      <c r="S433" s="38">
        <f t="shared" si="362"/>
        <v>0</v>
      </c>
      <c r="T433" s="38">
        <f t="shared" si="362"/>
        <v>0</v>
      </c>
      <c r="U433" s="53">
        <f t="shared" ref="U433" si="363">SUBTOTAL(9,O434:T437)</f>
        <v>762</v>
      </c>
    </row>
    <row r="434" spans="1:21" ht="17.25" customHeight="1" x14ac:dyDescent="0.3">
      <c r="A434" s="15" t="s">
        <v>29</v>
      </c>
      <c r="C434" s="19"/>
      <c r="D434" s="33" t="str">
        <f t="shared" ref="D434" si="364">D433</f>
        <v>E100024</v>
      </c>
      <c r="E434" s="33"/>
      <c r="F434" s="20"/>
      <c r="G434" s="20" t="str">
        <f>"""NAV"",""CRONUS JetCorp USA"",""32"",""1"",""168359"""</f>
        <v>"NAV","CRONUS JetCorp USA","32","1","168359"</v>
      </c>
      <c r="H434" s="39">
        <v>43466</v>
      </c>
      <c r="I434" s="40">
        <v>168359</v>
      </c>
      <c r="J434" s="40" t="str">
        <f>"Vendor"</f>
        <v>Vendor</v>
      </c>
      <c r="K434" s="40" t="str">
        <f>"V100003"</f>
        <v>V100003</v>
      </c>
      <c r="L434" s="40" t="str">
        <f>""</f>
        <v/>
      </c>
      <c r="M434" s="40" t="str">
        <f>"LogoMasters"</f>
        <v>LogoMasters</v>
      </c>
      <c r="N434" s="40" t="str">
        <f>""</f>
        <v/>
      </c>
      <c r="O434" s="41">
        <v>250</v>
      </c>
      <c r="P434" s="41">
        <v>0</v>
      </c>
      <c r="Q434" s="41">
        <v>0</v>
      </c>
      <c r="R434" s="41">
        <v>0</v>
      </c>
      <c r="S434" s="41">
        <v>0</v>
      </c>
      <c r="T434" s="41">
        <v>0</v>
      </c>
      <c r="U434" s="54"/>
    </row>
    <row r="435" spans="1:21" ht="17.25" customHeight="1" x14ac:dyDescent="0.3">
      <c r="A435" s="15" t="s">
        <v>29</v>
      </c>
      <c r="C435" s="19"/>
      <c r="D435" s="33" t="str">
        <f t="shared" ref="D435:D436" si="365">D434</f>
        <v>E100024</v>
      </c>
      <c r="E435" s="33"/>
      <c r="F435" s="20"/>
      <c r="G435" s="20" t="str">
        <f>"""NAV"",""CRONUS JetCorp USA"",""32"",""1"",""168366"""</f>
        <v>"NAV","CRONUS JetCorp USA","32","1","168366"</v>
      </c>
      <c r="H435" s="39">
        <v>43466</v>
      </c>
      <c r="I435" s="40">
        <v>168366</v>
      </c>
      <c r="J435" s="40" t="str">
        <f>"Vendor"</f>
        <v>Vendor</v>
      </c>
      <c r="K435" s="40" t="str">
        <f>"V100001"</f>
        <v>V100001</v>
      </c>
      <c r="L435" s="40" t="str">
        <f>""</f>
        <v/>
      </c>
      <c r="M435" s="40" t="str">
        <f>"Greigner, Inc."</f>
        <v>Greigner, Inc.</v>
      </c>
      <c r="N435" s="40" t="str">
        <f>""</f>
        <v/>
      </c>
      <c r="O435" s="41">
        <v>500</v>
      </c>
      <c r="P435" s="41">
        <v>0</v>
      </c>
      <c r="Q435" s="41">
        <v>0</v>
      </c>
      <c r="R435" s="41">
        <v>0</v>
      </c>
      <c r="S435" s="41">
        <v>0</v>
      </c>
      <c r="T435" s="41">
        <v>0</v>
      </c>
      <c r="U435" s="54"/>
    </row>
    <row r="436" spans="1:21" ht="17.25" customHeight="1" x14ac:dyDescent="0.3">
      <c r="A436" s="15" t="s">
        <v>29</v>
      </c>
      <c r="C436" s="19"/>
      <c r="D436" s="33" t="str">
        <f t="shared" si="365"/>
        <v>E100024</v>
      </c>
      <c r="E436" s="33"/>
      <c r="F436" s="20"/>
      <c r="G436" s="20" t="str">
        <f>"""NAV"",""CRONUS JetCorp USA"",""32"",""1"",""158691"""</f>
        <v>"NAV","CRONUS JetCorp USA","32","1","158691"</v>
      </c>
      <c r="H436" s="39">
        <v>43471</v>
      </c>
      <c r="I436" s="40">
        <v>158691</v>
      </c>
      <c r="J436" s="40" t="str">
        <f>"Customer"</f>
        <v>Customer</v>
      </c>
      <c r="K436" s="40" t="str">
        <f>"C100126"</f>
        <v>C100126</v>
      </c>
      <c r="L436" s="40" t="str">
        <f>"Moveex"</f>
        <v>Moveex</v>
      </c>
      <c r="M436" s="40" t="str">
        <f>""</f>
        <v/>
      </c>
      <c r="N436" s="40" t="str">
        <f>""</f>
        <v/>
      </c>
      <c r="O436" s="41">
        <v>0</v>
      </c>
      <c r="P436" s="41">
        <v>12</v>
      </c>
      <c r="Q436" s="41">
        <v>0</v>
      </c>
      <c r="R436" s="41">
        <v>0</v>
      </c>
      <c r="S436" s="41">
        <v>0</v>
      </c>
      <c r="T436" s="41">
        <v>0</v>
      </c>
      <c r="U436" s="54"/>
    </row>
    <row r="437" spans="1:21" ht="17.25" customHeight="1" x14ac:dyDescent="0.3">
      <c r="A437" s="15" t="s">
        <v>29</v>
      </c>
      <c r="C437" s="19"/>
      <c r="D437" s="33"/>
      <c r="E437" s="33"/>
      <c r="F437" s="20"/>
      <c r="G437" s="20"/>
      <c r="H437" s="20"/>
      <c r="I437" s="20"/>
      <c r="J437" s="20"/>
      <c r="K437" s="20"/>
      <c r="L437" s="20"/>
      <c r="M437" s="20"/>
      <c r="N437" s="20"/>
      <c r="O437" s="42"/>
      <c r="P437" s="42"/>
      <c r="Q437" s="42"/>
      <c r="R437" s="42"/>
      <c r="S437" s="42"/>
      <c r="T437" s="42"/>
      <c r="U437" s="55"/>
    </row>
    <row r="438" spans="1:21" ht="17.25" customHeight="1" x14ac:dyDescent="0.3">
      <c r="A438" s="15" t="s">
        <v>29</v>
      </c>
      <c r="C438" s="19"/>
      <c r="D438" s="33"/>
      <c r="E438" s="33" t="s">
        <v>30</v>
      </c>
      <c r="F438" s="20" t="s">
        <v>30</v>
      </c>
      <c r="G438" s="20" t="s">
        <v>30</v>
      </c>
      <c r="H438" s="20"/>
      <c r="I438" s="20"/>
      <c r="J438" s="20" t="s">
        <v>30</v>
      </c>
      <c r="K438" s="20" t="s">
        <v>30</v>
      </c>
      <c r="L438" s="20" t="s">
        <v>30</v>
      </c>
      <c r="M438" s="20" t="s">
        <v>30</v>
      </c>
      <c r="N438" s="20"/>
      <c r="U438" s="56"/>
    </row>
    <row r="439" spans="1:21" ht="20.25" customHeight="1" x14ac:dyDescent="0.35">
      <c r="A439" s="15" t="s">
        <v>29</v>
      </c>
      <c r="C439" s="19"/>
      <c r="D439" s="34" t="str">
        <f t="shared" ref="D439" si="366">E439</f>
        <v>E100025</v>
      </c>
      <c r="E439" s="35" t="str">
        <f>"E100025"</f>
        <v>E100025</v>
      </c>
      <c r="F439" s="36" t="str">
        <f>"Calc-U-Note"</f>
        <v>Calc-U-Note</v>
      </c>
      <c r="G439" s="36"/>
      <c r="H439" s="37" t="str">
        <f>"EA"</f>
        <v>EA</v>
      </c>
      <c r="I439" s="36"/>
      <c r="J439" s="36"/>
      <c r="K439" s="36"/>
      <c r="L439" s="36"/>
      <c r="M439" s="36"/>
      <c r="N439" s="36"/>
      <c r="O439" s="38">
        <f t="shared" ref="O439:T439" si="367">(SUBTOTAL(9,O440:O444))</f>
        <v>1500</v>
      </c>
      <c r="P439" s="38">
        <f t="shared" si="367"/>
        <v>-49</v>
      </c>
      <c r="Q439" s="38">
        <f t="shared" si="367"/>
        <v>0</v>
      </c>
      <c r="R439" s="38">
        <f t="shared" si="367"/>
        <v>0</v>
      </c>
      <c r="S439" s="38">
        <f t="shared" si="367"/>
        <v>0</v>
      </c>
      <c r="T439" s="38">
        <f t="shared" si="367"/>
        <v>0</v>
      </c>
      <c r="U439" s="53">
        <f t="shared" ref="U439" si="368">SUBTOTAL(9,O440:T444)</f>
        <v>1451</v>
      </c>
    </row>
    <row r="440" spans="1:21" ht="17.25" customHeight="1" x14ac:dyDescent="0.3">
      <c r="A440" s="15" t="s">
        <v>29</v>
      </c>
      <c r="C440" s="19"/>
      <c r="D440" s="33" t="str">
        <f t="shared" ref="D440" si="369">D439</f>
        <v>E100025</v>
      </c>
      <c r="E440" s="33"/>
      <c r="F440" s="20"/>
      <c r="G440" s="20" t="str">
        <f>"""NAV"",""CRONUS JetCorp USA"",""32"",""1"",""168358"""</f>
        <v>"NAV","CRONUS JetCorp USA","32","1","168358"</v>
      </c>
      <c r="H440" s="39">
        <v>43466</v>
      </c>
      <c r="I440" s="40">
        <v>168358</v>
      </c>
      <c r="J440" s="40" t="str">
        <f>"Vendor"</f>
        <v>Vendor</v>
      </c>
      <c r="K440" s="40" t="str">
        <f>"V100003"</f>
        <v>V100003</v>
      </c>
      <c r="L440" s="40" t="str">
        <f>""</f>
        <v/>
      </c>
      <c r="M440" s="40" t="str">
        <f>"LogoMasters"</f>
        <v>LogoMasters</v>
      </c>
      <c r="N440" s="40" t="str">
        <f>""</f>
        <v/>
      </c>
      <c r="O440" s="41">
        <v>1250</v>
      </c>
      <c r="P440" s="41">
        <v>0</v>
      </c>
      <c r="Q440" s="41">
        <v>0</v>
      </c>
      <c r="R440" s="41">
        <v>0</v>
      </c>
      <c r="S440" s="41">
        <v>0</v>
      </c>
      <c r="T440" s="41">
        <v>0</v>
      </c>
      <c r="U440" s="54"/>
    </row>
    <row r="441" spans="1:21" ht="17.25" customHeight="1" x14ac:dyDescent="0.3">
      <c r="A441" s="15" t="s">
        <v>29</v>
      </c>
      <c r="C441" s="19"/>
      <c r="D441" s="33" t="str">
        <f t="shared" ref="D441:D443" si="370">D440</f>
        <v>E100025</v>
      </c>
      <c r="E441" s="33"/>
      <c r="F441" s="20"/>
      <c r="G441" s="20" t="str">
        <f>"""NAV"",""CRONUS JetCorp USA"",""32"",""1"",""168365"""</f>
        <v>"NAV","CRONUS JetCorp USA","32","1","168365"</v>
      </c>
      <c r="H441" s="39">
        <v>43466</v>
      </c>
      <c r="I441" s="40">
        <v>168365</v>
      </c>
      <c r="J441" s="40" t="str">
        <f>"Vendor"</f>
        <v>Vendor</v>
      </c>
      <c r="K441" s="40" t="str">
        <f>"V100001"</f>
        <v>V100001</v>
      </c>
      <c r="L441" s="40" t="str">
        <f>""</f>
        <v/>
      </c>
      <c r="M441" s="40" t="str">
        <f>"Greigner, Inc."</f>
        <v>Greigner, Inc.</v>
      </c>
      <c r="N441" s="40" t="str">
        <f>""</f>
        <v/>
      </c>
      <c r="O441" s="41">
        <v>250</v>
      </c>
      <c r="P441" s="41">
        <v>0</v>
      </c>
      <c r="Q441" s="41">
        <v>0</v>
      </c>
      <c r="R441" s="41">
        <v>0</v>
      </c>
      <c r="S441" s="41">
        <v>0</v>
      </c>
      <c r="T441" s="41">
        <v>0</v>
      </c>
      <c r="U441" s="54"/>
    </row>
    <row r="442" spans="1:21" ht="17.25" customHeight="1" x14ac:dyDescent="0.3">
      <c r="A442" s="15" t="s">
        <v>29</v>
      </c>
      <c r="C442" s="19"/>
      <c r="D442" s="33" t="str">
        <f t="shared" si="370"/>
        <v>E100025</v>
      </c>
      <c r="E442" s="33"/>
      <c r="F442" s="20"/>
      <c r="G442" s="20" t="str">
        <f>"""NAV"",""CRONUS JetCorp USA"",""32"",""1"",""153199"""</f>
        <v>"NAV","CRONUS JetCorp USA","32","1","153199"</v>
      </c>
      <c r="H442" s="39">
        <v>43469</v>
      </c>
      <c r="I442" s="40">
        <v>153199</v>
      </c>
      <c r="J442" s="40" t="str">
        <f>"Customer"</f>
        <v>Customer</v>
      </c>
      <c r="K442" s="40" t="str">
        <f>"C100136"</f>
        <v>C100136</v>
      </c>
      <c r="L442" s="40" t="str">
        <f>"First Bank"</f>
        <v>First Bank</v>
      </c>
      <c r="M442" s="40" t="str">
        <f>""</f>
        <v/>
      </c>
      <c r="N442" s="40" t="str">
        <f>""</f>
        <v/>
      </c>
      <c r="O442" s="41">
        <v>0</v>
      </c>
      <c r="P442" s="41">
        <v>-1</v>
      </c>
      <c r="Q442" s="41">
        <v>0</v>
      </c>
      <c r="R442" s="41">
        <v>0</v>
      </c>
      <c r="S442" s="41">
        <v>0</v>
      </c>
      <c r="T442" s="41">
        <v>0</v>
      </c>
      <c r="U442" s="54"/>
    </row>
    <row r="443" spans="1:21" ht="17.25" customHeight="1" x14ac:dyDescent="0.3">
      <c r="A443" s="15" t="s">
        <v>29</v>
      </c>
      <c r="C443" s="19"/>
      <c r="D443" s="33" t="str">
        <f t="shared" si="370"/>
        <v>E100025</v>
      </c>
      <c r="E443" s="33"/>
      <c r="F443" s="20"/>
      <c r="G443" s="20" t="str">
        <f>"""NAV"",""CRONUS JetCorp USA"",""32"",""1"",""153172"""</f>
        <v>"NAV","CRONUS JetCorp USA","32","1","153172"</v>
      </c>
      <c r="H443" s="39">
        <v>43470</v>
      </c>
      <c r="I443" s="40">
        <v>153172</v>
      </c>
      <c r="J443" s="40" t="str">
        <f>"Customer"</f>
        <v>Customer</v>
      </c>
      <c r="K443" s="40" t="str">
        <f>"C100136"</f>
        <v>C100136</v>
      </c>
      <c r="L443" s="40" t="str">
        <f>"First Bank"</f>
        <v>First Bank</v>
      </c>
      <c r="M443" s="40" t="str">
        <f>""</f>
        <v/>
      </c>
      <c r="N443" s="40" t="str">
        <f>""</f>
        <v/>
      </c>
      <c r="O443" s="41">
        <v>0</v>
      </c>
      <c r="P443" s="41">
        <v>-48</v>
      </c>
      <c r="Q443" s="41">
        <v>0</v>
      </c>
      <c r="R443" s="41">
        <v>0</v>
      </c>
      <c r="S443" s="41">
        <v>0</v>
      </c>
      <c r="T443" s="41">
        <v>0</v>
      </c>
      <c r="U443" s="54"/>
    </row>
    <row r="444" spans="1:21" ht="17.25" customHeight="1" x14ac:dyDescent="0.3">
      <c r="A444" s="15" t="s">
        <v>29</v>
      </c>
      <c r="C444" s="19"/>
      <c r="D444" s="33"/>
      <c r="E444" s="33"/>
      <c r="F444" s="20"/>
      <c r="G444" s="20"/>
      <c r="H444" s="20"/>
      <c r="I444" s="20"/>
      <c r="J444" s="20"/>
      <c r="K444" s="20"/>
      <c r="L444" s="20"/>
      <c r="M444" s="20"/>
      <c r="N444" s="20"/>
      <c r="O444" s="42"/>
      <c r="P444" s="42"/>
      <c r="Q444" s="42"/>
      <c r="R444" s="42"/>
      <c r="S444" s="42"/>
      <c r="T444" s="42"/>
      <c r="U444" s="55"/>
    </row>
    <row r="445" spans="1:21" ht="17.25" customHeight="1" x14ac:dyDescent="0.3">
      <c r="A445" s="15" t="s">
        <v>29</v>
      </c>
      <c r="C445" s="19"/>
      <c r="D445" s="33"/>
      <c r="E445" s="33" t="s">
        <v>30</v>
      </c>
      <c r="F445" s="20" t="s">
        <v>30</v>
      </c>
      <c r="G445" s="20" t="s">
        <v>30</v>
      </c>
      <c r="H445" s="20"/>
      <c r="I445" s="20"/>
      <c r="J445" s="20" t="s">
        <v>30</v>
      </c>
      <c r="K445" s="20" t="s">
        <v>30</v>
      </c>
      <c r="L445" s="20" t="s">
        <v>30</v>
      </c>
      <c r="M445" s="20" t="s">
        <v>30</v>
      </c>
      <c r="N445" s="20"/>
      <c r="U445" s="56"/>
    </row>
    <row r="446" spans="1:21" ht="20.25" customHeight="1" x14ac:dyDescent="0.35">
      <c r="A446" s="15" t="s">
        <v>29</v>
      </c>
      <c r="C446" s="19"/>
      <c r="D446" s="34" t="str">
        <f t="shared" ref="D446" si="371">E446</f>
        <v>E100026</v>
      </c>
      <c r="E446" s="35" t="str">
        <f>"E100026"</f>
        <v>E100026</v>
      </c>
      <c r="F446" s="36" t="str">
        <f>"Desk Calculator"</f>
        <v>Desk Calculator</v>
      </c>
      <c r="G446" s="36"/>
      <c r="H446" s="37" t="str">
        <f>"EA"</f>
        <v>EA</v>
      </c>
      <c r="I446" s="36"/>
      <c r="J446" s="36"/>
      <c r="K446" s="36"/>
      <c r="L446" s="36"/>
      <c r="M446" s="36"/>
      <c r="N446" s="36"/>
      <c r="O446" s="38">
        <f t="shared" ref="O446:T446" si="372">(SUBTOTAL(9,O447:O449))</f>
        <v>499.99999999999994</v>
      </c>
      <c r="P446" s="38">
        <f t="shared" si="372"/>
        <v>-144</v>
      </c>
      <c r="Q446" s="38">
        <f t="shared" si="372"/>
        <v>0</v>
      </c>
      <c r="R446" s="38">
        <f t="shared" si="372"/>
        <v>0</v>
      </c>
      <c r="S446" s="38">
        <f t="shared" si="372"/>
        <v>0</v>
      </c>
      <c r="T446" s="38">
        <f t="shared" si="372"/>
        <v>0</v>
      </c>
      <c r="U446" s="53">
        <f t="shared" ref="U446" si="373">SUBTOTAL(9,O447:T449)</f>
        <v>355.99999999999994</v>
      </c>
    </row>
    <row r="447" spans="1:21" ht="17.25" customHeight="1" x14ac:dyDescent="0.3">
      <c r="A447" s="15" t="s">
        <v>29</v>
      </c>
      <c r="C447" s="19"/>
      <c r="D447" s="33" t="str">
        <f t="shared" ref="D447" si="374">D446</f>
        <v>E100026</v>
      </c>
      <c r="E447" s="33"/>
      <c r="F447" s="20"/>
      <c r="G447" s="20" t="str">
        <f>"""NAV"",""CRONUS JetCorp USA"",""32"",""1"",""168357"""</f>
        <v>"NAV","CRONUS JetCorp USA","32","1","168357"</v>
      </c>
      <c r="H447" s="39">
        <v>43466</v>
      </c>
      <c r="I447" s="40">
        <v>168357</v>
      </c>
      <c r="J447" s="40" t="str">
        <f>"Vendor"</f>
        <v>Vendor</v>
      </c>
      <c r="K447" s="40" t="str">
        <f>"V100003"</f>
        <v>V100003</v>
      </c>
      <c r="L447" s="40" t="str">
        <f>""</f>
        <v/>
      </c>
      <c r="M447" s="40" t="str">
        <f>"LogoMasters"</f>
        <v>LogoMasters</v>
      </c>
      <c r="N447" s="40" t="str">
        <f>""</f>
        <v/>
      </c>
      <c r="O447" s="41">
        <v>499.99999999999994</v>
      </c>
      <c r="P447" s="41">
        <v>0</v>
      </c>
      <c r="Q447" s="41">
        <v>0</v>
      </c>
      <c r="R447" s="41">
        <v>0</v>
      </c>
      <c r="S447" s="41">
        <v>0</v>
      </c>
      <c r="T447" s="41">
        <v>0</v>
      </c>
      <c r="U447" s="54"/>
    </row>
    <row r="448" spans="1:21" ht="17.25" customHeight="1" x14ac:dyDescent="0.3">
      <c r="A448" s="15" t="s">
        <v>29</v>
      </c>
      <c r="C448" s="19"/>
      <c r="D448" s="33" t="str">
        <f t="shared" ref="D448" si="375">D447</f>
        <v>E100026</v>
      </c>
      <c r="E448" s="33"/>
      <c r="F448" s="20"/>
      <c r="G448" s="20" t="str">
        <f>"""NAV"",""CRONUS JetCorp USA"",""32"",""1"",""64626"""</f>
        <v>"NAV","CRONUS JetCorp USA","32","1","64626"</v>
      </c>
      <c r="H448" s="39">
        <v>43475</v>
      </c>
      <c r="I448" s="40">
        <v>64626</v>
      </c>
      <c r="J448" s="40" t="str">
        <f>"Customer"</f>
        <v>Customer</v>
      </c>
      <c r="K448" s="40" t="str">
        <f>"C100136"</f>
        <v>C100136</v>
      </c>
      <c r="L448" s="40" t="str">
        <f>"First Bank"</f>
        <v>First Bank</v>
      </c>
      <c r="M448" s="40" t="str">
        <f>""</f>
        <v/>
      </c>
      <c r="N448" s="40" t="str">
        <f>""</f>
        <v/>
      </c>
      <c r="O448" s="41">
        <v>0</v>
      </c>
      <c r="P448" s="41">
        <v>-144</v>
      </c>
      <c r="Q448" s="41">
        <v>0</v>
      </c>
      <c r="R448" s="41">
        <v>0</v>
      </c>
      <c r="S448" s="41">
        <v>0</v>
      </c>
      <c r="T448" s="41">
        <v>0</v>
      </c>
      <c r="U448" s="54"/>
    </row>
    <row r="449" spans="1:21" ht="17.25" customHeight="1" x14ac:dyDescent="0.3">
      <c r="A449" s="15" t="s">
        <v>29</v>
      </c>
      <c r="C449" s="19"/>
      <c r="D449" s="33"/>
      <c r="E449" s="33"/>
      <c r="F449" s="20"/>
      <c r="G449" s="20"/>
      <c r="H449" s="20"/>
      <c r="I449" s="20"/>
      <c r="J449" s="20"/>
      <c r="K449" s="20"/>
      <c r="L449" s="20"/>
      <c r="M449" s="20"/>
      <c r="N449" s="20"/>
      <c r="O449" s="42"/>
      <c r="P449" s="42"/>
      <c r="Q449" s="42"/>
      <c r="R449" s="42"/>
      <c r="S449" s="42"/>
      <c r="T449" s="42"/>
      <c r="U449" s="55"/>
    </row>
    <row r="450" spans="1:21" ht="17.25" customHeight="1" x14ac:dyDescent="0.3">
      <c r="A450" s="15" t="s">
        <v>29</v>
      </c>
      <c r="C450" s="19"/>
      <c r="D450" s="33"/>
      <c r="E450" s="33" t="s">
        <v>30</v>
      </c>
      <c r="F450" s="20" t="s">
        <v>30</v>
      </c>
      <c r="G450" s="20" t="s">
        <v>30</v>
      </c>
      <c r="H450" s="20"/>
      <c r="I450" s="20"/>
      <c r="J450" s="20" t="s">
        <v>30</v>
      </c>
      <c r="K450" s="20" t="s">
        <v>30</v>
      </c>
      <c r="L450" s="20" t="s">
        <v>30</v>
      </c>
      <c r="M450" s="20" t="s">
        <v>30</v>
      </c>
      <c r="N450" s="20"/>
      <c r="U450" s="56"/>
    </row>
    <row r="451" spans="1:21" ht="20.25" customHeight="1" x14ac:dyDescent="0.35">
      <c r="A451" s="15" t="s">
        <v>29</v>
      </c>
      <c r="C451" s="19"/>
      <c r="D451" s="34" t="str">
        <f t="shared" ref="D451" si="376">E451</f>
        <v>E100027</v>
      </c>
      <c r="E451" s="35" t="str">
        <f>"E100027"</f>
        <v>E100027</v>
      </c>
      <c r="F451" s="36" t="str">
        <f>"Ergo-Calculator"</f>
        <v>Ergo-Calculator</v>
      </c>
      <c r="G451" s="36"/>
      <c r="H451" s="37" t="str">
        <f>"EA"</f>
        <v>EA</v>
      </c>
      <c r="I451" s="36"/>
      <c r="J451" s="36"/>
      <c r="K451" s="36"/>
      <c r="L451" s="36"/>
      <c r="M451" s="36"/>
      <c r="N451" s="36"/>
      <c r="O451" s="38">
        <f t="shared" ref="O451:T451" si="377">(SUBTOTAL(9,O452:O455))</f>
        <v>1500</v>
      </c>
      <c r="P451" s="38">
        <f t="shared" si="377"/>
        <v>-144</v>
      </c>
      <c r="Q451" s="38">
        <f t="shared" si="377"/>
        <v>0</v>
      </c>
      <c r="R451" s="38">
        <f t="shared" si="377"/>
        <v>0</v>
      </c>
      <c r="S451" s="38">
        <f t="shared" si="377"/>
        <v>0</v>
      </c>
      <c r="T451" s="38">
        <f t="shared" si="377"/>
        <v>0</v>
      </c>
      <c r="U451" s="53">
        <f t="shared" ref="U451" si="378">SUBTOTAL(9,O452:T455)</f>
        <v>1356</v>
      </c>
    </row>
    <row r="452" spans="1:21" ht="17.25" customHeight="1" x14ac:dyDescent="0.3">
      <c r="A452" s="15" t="s">
        <v>29</v>
      </c>
      <c r="C452" s="19"/>
      <c r="D452" s="33" t="str">
        <f t="shared" ref="D452" si="379">D451</f>
        <v>E100027</v>
      </c>
      <c r="E452" s="33"/>
      <c r="F452" s="20"/>
      <c r="G452" s="20" t="str">
        <f>"""NAV"",""CRONUS JetCorp USA"",""32"",""1"",""168356"""</f>
        <v>"NAV","CRONUS JetCorp USA","32","1","168356"</v>
      </c>
      <c r="H452" s="39">
        <v>43466</v>
      </c>
      <c r="I452" s="40">
        <v>168356</v>
      </c>
      <c r="J452" s="40" t="str">
        <f>"Vendor"</f>
        <v>Vendor</v>
      </c>
      <c r="K452" s="40" t="str">
        <f>"V100003"</f>
        <v>V100003</v>
      </c>
      <c r="L452" s="40" t="str">
        <f>""</f>
        <v/>
      </c>
      <c r="M452" s="40" t="str">
        <f>"LogoMasters"</f>
        <v>LogoMasters</v>
      </c>
      <c r="N452" s="40" t="str">
        <f>""</f>
        <v/>
      </c>
      <c r="O452" s="41">
        <v>750</v>
      </c>
      <c r="P452" s="41">
        <v>0</v>
      </c>
      <c r="Q452" s="41">
        <v>0</v>
      </c>
      <c r="R452" s="41">
        <v>0</v>
      </c>
      <c r="S452" s="41">
        <v>0</v>
      </c>
      <c r="T452" s="41">
        <v>0</v>
      </c>
      <c r="U452" s="54"/>
    </row>
    <row r="453" spans="1:21" ht="17.25" customHeight="1" x14ac:dyDescent="0.3">
      <c r="A453" s="15" t="s">
        <v>29</v>
      </c>
      <c r="C453" s="19"/>
      <c r="D453" s="33" t="str">
        <f t="shared" ref="D453:D454" si="380">D452</f>
        <v>E100027</v>
      </c>
      <c r="E453" s="33"/>
      <c r="F453" s="20"/>
      <c r="G453" s="20" t="str">
        <f>"""NAV"",""CRONUS JetCorp USA"",""32"",""1"",""168364"""</f>
        <v>"NAV","CRONUS JetCorp USA","32","1","168364"</v>
      </c>
      <c r="H453" s="39">
        <v>43466</v>
      </c>
      <c r="I453" s="40">
        <v>168364</v>
      </c>
      <c r="J453" s="40" t="str">
        <f>"Vendor"</f>
        <v>Vendor</v>
      </c>
      <c r="K453" s="40" t="str">
        <f>"V100001"</f>
        <v>V100001</v>
      </c>
      <c r="L453" s="40" t="str">
        <f>""</f>
        <v/>
      </c>
      <c r="M453" s="40" t="str">
        <f>"Greigner, Inc."</f>
        <v>Greigner, Inc.</v>
      </c>
      <c r="N453" s="40" t="str">
        <f>""</f>
        <v/>
      </c>
      <c r="O453" s="41">
        <v>750</v>
      </c>
      <c r="P453" s="41">
        <v>0</v>
      </c>
      <c r="Q453" s="41">
        <v>0</v>
      </c>
      <c r="R453" s="41">
        <v>0</v>
      </c>
      <c r="S453" s="41">
        <v>0</v>
      </c>
      <c r="T453" s="41">
        <v>0</v>
      </c>
      <c r="U453" s="54"/>
    </row>
    <row r="454" spans="1:21" ht="17.25" customHeight="1" x14ac:dyDescent="0.3">
      <c r="A454" s="15" t="s">
        <v>29</v>
      </c>
      <c r="C454" s="19"/>
      <c r="D454" s="33" t="str">
        <f t="shared" si="380"/>
        <v>E100027</v>
      </c>
      <c r="E454" s="33"/>
      <c r="F454" s="20"/>
      <c r="G454" s="20" t="str">
        <f>"""NAV"",""CRONUS JetCorp USA"",""32"",""1"",""153192"""</f>
        <v>"NAV","CRONUS JetCorp USA","32","1","153192"</v>
      </c>
      <c r="H454" s="39">
        <v>43469</v>
      </c>
      <c r="I454" s="40">
        <v>153192</v>
      </c>
      <c r="J454" s="40" t="str">
        <f>"Customer"</f>
        <v>Customer</v>
      </c>
      <c r="K454" s="40" t="str">
        <f>"C100136"</f>
        <v>C100136</v>
      </c>
      <c r="L454" s="40" t="str">
        <f>"First Bank"</f>
        <v>First Bank</v>
      </c>
      <c r="M454" s="40" t="str">
        <f>""</f>
        <v/>
      </c>
      <c r="N454" s="40" t="str">
        <f>""</f>
        <v/>
      </c>
      <c r="O454" s="41">
        <v>0</v>
      </c>
      <c r="P454" s="41">
        <v>-144</v>
      </c>
      <c r="Q454" s="41">
        <v>0</v>
      </c>
      <c r="R454" s="41">
        <v>0</v>
      </c>
      <c r="S454" s="41">
        <v>0</v>
      </c>
      <c r="T454" s="41">
        <v>0</v>
      </c>
      <c r="U454" s="54"/>
    </row>
    <row r="455" spans="1:21" ht="17.25" customHeight="1" x14ac:dyDescent="0.3">
      <c r="A455" s="15" t="s">
        <v>29</v>
      </c>
      <c r="C455" s="19"/>
      <c r="D455" s="33"/>
      <c r="E455" s="33"/>
      <c r="F455" s="20"/>
      <c r="G455" s="20"/>
      <c r="H455" s="20"/>
      <c r="I455" s="20"/>
      <c r="J455" s="20"/>
      <c r="K455" s="20"/>
      <c r="L455" s="20"/>
      <c r="M455" s="20"/>
      <c r="N455" s="20"/>
      <c r="O455" s="42"/>
      <c r="P455" s="42"/>
      <c r="Q455" s="42"/>
      <c r="R455" s="42"/>
      <c r="S455" s="42"/>
      <c r="T455" s="42"/>
      <c r="U455" s="55"/>
    </row>
    <row r="456" spans="1:21" ht="17.25" customHeight="1" x14ac:dyDescent="0.3">
      <c r="A456" s="15" t="s">
        <v>29</v>
      </c>
      <c r="C456" s="19"/>
      <c r="D456" s="33"/>
      <c r="E456" s="33" t="s">
        <v>30</v>
      </c>
      <c r="F456" s="20" t="s">
        <v>30</v>
      </c>
      <c r="G456" s="20" t="s">
        <v>30</v>
      </c>
      <c r="H456" s="20"/>
      <c r="I456" s="20"/>
      <c r="J456" s="20" t="s">
        <v>30</v>
      </c>
      <c r="K456" s="20" t="s">
        <v>30</v>
      </c>
      <c r="L456" s="20" t="s">
        <v>30</v>
      </c>
      <c r="M456" s="20" t="s">
        <v>30</v>
      </c>
      <c r="N456" s="20"/>
      <c r="U456" s="56"/>
    </row>
    <row r="457" spans="1:21" ht="20.25" customHeight="1" x14ac:dyDescent="0.35">
      <c r="A457" s="15" t="s">
        <v>29</v>
      </c>
      <c r="C457" s="19"/>
      <c r="D457" s="34" t="str">
        <f t="shared" ref="D457" si="381">E457</f>
        <v>E100028</v>
      </c>
      <c r="E457" s="35" t="str">
        <f>"E100028"</f>
        <v>E100028</v>
      </c>
      <c r="F457" s="36" t="str">
        <f>"USB 4-Port Hub"</f>
        <v>USB 4-Port Hub</v>
      </c>
      <c r="G457" s="36"/>
      <c r="H457" s="37" t="str">
        <f>"EA"</f>
        <v>EA</v>
      </c>
      <c r="I457" s="36"/>
      <c r="J457" s="36"/>
      <c r="K457" s="36"/>
      <c r="L457" s="36"/>
      <c r="M457" s="36"/>
      <c r="N457" s="36"/>
      <c r="O457" s="38">
        <f t="shared" ref="O457:T457" si="382">(SUBTOTAL(9,O458:O459))</f>
        <v>499.99999999999994</v>
      </c>
      <c r="P457" s="38">
        <f t="shared" si="382"/>
        <v>0</v>
      </c>
      <c r="Q457" s="38">
        <f t="shared" si="382"/>
        <v>0</v>
      </c>
      <c r="R457" s="38">
        <f t="shared" si="382"/>
        <v>0</v>
      </c>
      <c r="S457" s="38">
        <f t="shared" si="382"/>
        <v>0</v>
      </c>
      <c r="T457" s="38">
        <f t="shared" si="382"/>
        <v>0</v>
      </c>
      <c r="U457" s="53">
        <f t="shared" ref="U457" si="383">SUBTOTAL(9,O458:T459)</f>
        <v>499.99999999999994</v>
      </c>
    </row>
    <row r="458" spans="1:21" ht="17.25" customHeight="1" x14ac:dyDescent="0.3">
      <c r="A458" s="15" t="s">
        <v>29</v>
      </c>
      <c r="C458" s="19"/>
      <c r="D458" s="33" t="str">
        <f t="shared" ref="D458" si="384">D457</f>
        <v>E100028</v>
      </c>
      <c r="E458" s="33"/>
      <c r="F458" s="20"/>
      <c r="G458" s="20" t="str">
        <f>"""NAV"",""CRONUS JetCorp USA"",""32"",""1"",""168355"""</f>
        <v>"NAV","CRONUS JetCorp USA","32","1","168355"</v>
      </c>
      <c r="H458" s="39">
        <v>43466</v>
      </c>
      <c r="I458" s="40">
        <v>168355</v>
      </c>
      <c r="J458" s="40" t="str">
        <f>"Vendor"</f>
        <v>Vendor</v>
      </c>
      <c r="K458" s="40" t="str">
        <f>"V100003"</f>
        <v>V100003</v>
      </c>
      <c r="L458" s="40" t="str">
        <f>""</f>
        <v/>
      </c>
      <c r="M458" s="40" t="str">
        <f>"LogoMasters"</f>
        <v>LogoMasters</v>
      </c>
      <c r="N458" s="40" t="str">
        <f>""</f>
        <v/>
      </c>
      <c r="O458" s="41">
        <v>499.99999999999994</v>
      </c>
      <c r="P458" s="41">
        <v>0</v>
      </c>
      <c r="Q458" s="41">
        <v>0</v>
      </c>
      <c r="R458" s="41">
        <v>0</v>
      </c>
      <c r="S458" s="41">
        <v>0</v>
      </c>
      <c r="T458" s="41">
        <v>0</v>
      </c>
      <c r="U458" s="54"/>
    </row>
    <row r="459" spans="1:21" ht="17.25" customHeight="1" x14ac:dyDescent="0.3">
      <c r="A459" s="15" t="s">
        <v>29</v>
      </c>
      <c r="C459" s="19"/>
      <c r="D459" s="33"/>
      <c r="E459" s="33"/>
      <c r="F459" s="20"/>
      <c r="G459" s="20"/>
      <c r="H459" s="20"/>
      <c r="I459" s="20"/>
      <c r="J459" s="20"/>
      <c r="K459" s="20"/>
      <c r="L459" s="20"/>
      <c r="M459" s="20"/>
      <c r="N459" s="20"/>
      <c r="O459" s="42"/>
      <c r="P459" s="42"/>
      <c r="Q459" s="42"/>
      <c r="R459" s="42"/>
      <c r="S459" s="42"/>
      <c r="T459" s="42"/>
      <c r="U459" s="55"/>
    </row>
    <row r="460" spans="1:21" ht="17.25" customHeight="1" x14ac:dyDescent="0.3">
      <c r="A460" s="15" t="s">
        <v>29</v>
      </c>
      <c r="C460" s="19"/>
      <c r="D460" s="33"/>
      <c r="E460" s="33" t="s">
        <v>30</v>
      </c>
      <c r="F460" s="20" t="s">
        <v>30</v>
      </c>
      <c r="G460" s="20" t="s">
        <v>30</v>
      </c>
      <c r="H460" s="20"/>
      <c r="I460" s="20"/>
      <c r="J460" s="20" t="s">
        <v>30</v>
      </c>
      <c r="K460" s="20" t="s">
        <v>30</v>
      </c>
      <c r="L460" s="20" t="s">
        <v>30</v>
      </c>
      <c r="M460" s="20" t="s">
        <v>30</v>
      </c>
      <c r="N460" s="20"/>
      <c r="U460" s="56"/>
    </row>
    <row r="461" spans="1:21" ht="20.25" customHeight="1" x14ac:dyDescent="0.35">
      <c r="A461" s="15" t="s">
        <v>29</v>
      </c>
      <c r="C461" s="19"/>
      <c r="D461" s="34" t="str">
        <f t="shared" ref="D461" si="385">E461</f>
        <v>E100029</v>
      </c>
      <c r="E461" s="35" t="str">
        <f>"E100029"</f>
        <v>E100029</v>
      </c>
      <c r="F461" s="36" t="str">
        <f>"LED Flex Light"</f>
        <v>LED Flex Light</v>
      </c>
      <c r="G461" s="36"/>
      <c r="H461" s="37" t="str">
        <f>"EA"</f>
        <v>EA</v>
      </c>
      <c r="I461" s="36"/>
      <c r="J461" s="36"/>
      <c r="K461" s="36"/>
      <c r="L461" s="36"/>
      <c r="M461" s="36"/>
      <c r="N461" s="36"/>
      <c r="O461" s="38">
        <f t="shared" ref="O461:T461" si="386">(SUBTOTAL(9,O462:O463))</f>
        <v>1250</v>
      </c>
      <c r="P461" s="38">
        <f t="shared" si="386"/>
        <v>0</v>
      </c>
      <c r="Q461" s="38">
        <f t="shared" si="386"/>
        <v>0</v>
      </c>
      <c r="R461" s="38">
        <f t="shared" si="386"/>
        <v>0</v>
      </c>
      <c r="S461" s="38">
        <f t="shared" si="386"/>
        <v>0</v>
      </c>
      <c r="T461" s="38">
        <f t="shared" si="386"/>
        <v>0</v>
      </c>
      <c r="U461" s="53">
        <f t="shared" ref="U461" si="387">SUBTOTAL(9,O462:T463)</f>
        <v>1250</v>
      </c>
    </row>
    <row r="462" spans="1:21" ht="17.25" customHeight="1" x14ac:dyDescent="0.3">
      <c r="A462" s="15" t="s">
        <v>29</v>
      </c>
      <c r="C462" s="19"/>
      <c r="D462" s="33" t="str">
        <f t="shared" ref="D462" si="388">D461</f>
        <v>E100029</v>
      </c>
      <c r="E462" s="33"/>
      <c r="F462" s="20"/>
      <c r="G462" s="20" t="str">
        <f>"""NAV"",""CRONUS JetCorp USA"",""32"",""1"",""168354"""</f>
        <v>"NAV","CRONUS JetCorp USA","32","1","168354"</v>
      </c>
      <c r="H462" s="39">
        <v>43466</v>
      </c>
      <c r="I462" s="40">
        <v>168354</v>
      </c>
      <c r="J462" s="40" t="str">
        <f>"Vendor"</f>
        <v>Vendor</v>
      </c>
      <c r="K462" s="40" t="str">
        <f>"V100003"</f>
        <v>V100003</v>
      </c>
      <c r="L462" s="40" t="str">
        <f>""</f>
        <v/>
      </c>
      <c r="M462" s="40" t="str">
        <f>"LogoMasters"</f>
        <v>LogoMasters</v>
      </c>
      <c r="N462" s="40" t="str">
        <f>""</f>
        <v/>
      </c>
      <c r="O462" s="41">
        <v>1250</v>
      </c>
      <c r="P462" s="41">
        <v>0</v>
      </c>
      <c r="Q462" s="41">
        <v>0</v>
      </c>
      <c r="R462" s="41">
        <v>0</v>
      </c>
      <c r="S462" s="41">
        <v>0</v>
      </c>
      <c r="T462" s="41">
        <v>0</v>
      </c>
      <c r="U462" s="54"/>
    </row>
    <row r="463" spans="1:21" ht="17.25" customHeight="1" x14ac:dyDescent="0.3">
      <c r="A463" s="15" t="s">
        <v>29</v>
      </c>
      <c r="C463" s="19"/>
      <c r="D463" s="33"/>
      <c r="E463" s="33"/>
      <c r="F463" s="20"/>
      <c r="G463" s="20"/>
      <c r="H463" s="20"/>
      <c r="I463" s="20"/>
      <c r="J463" s="20"/>
      <c r="K463" s="20"/>
      <c r="L463" s="20"/>
      <c r="M463" s="20"/>
      <c r="N463" s="20"/>
      <c r="O463" s="42"/>
      <c r="P463" s="42"/>
      <c r="Q463" s="42"/>
      <c r="R463" s="42"/>
      <c r="S463" s="42"/>
      <c r="T463" s="42"/>
      <c r="U463" s="55"/>
    </row>
    <row r="464" spans="1:21" ht="17.25" customHeight="1" x14ac:dyDescent="0.3">
      <c r="A464" s="15" t="s">
        <v>29</v>
      </c>
      <c r="C464" s="19"/>
      <c r="D464" s="33"/>
      <c r="E464" s="33" t="s">
        <v>30</v>
      </c>
      <c r="F464" s="20" t="s">
        <v>30</v>
      </c>
      <c r="G464" s="20" t="s">
        <v>30</v>
      </c>
      <c r="H464" s="20"/>
      <c r="I464" s="20"/>
      <c r="J464" s="20" t="s">
        <v>30</v>
      </c>
      <c r="K464" s="20" t="s">
        <v>30</v>
      </c>
      <c r="L464" s="20" t="s">
        <v>30</v>
      </c>
      <c r="M464" s="20" t="s">
        <v>30</v>
      </c>
      <c r="N464" s="20"/>
      <c r="U464" s="56"/>
    </row>
    <row r="465" spans="1:21" ht="20.25" customHeight="1" x14ac:dyDescent="0.35">
      <c r="A465" s="15" t="s">
        <v>29</v>
      </c>
      <c r="C465" s="19"/>
      <c r="D465" s="34" t="str">
        <f t="shared" ref="D465" si="389">E465</f>
        <v>E100030</v>
      </c>
      <c r="E465" s="35" t="str">
        <f>"E100030"</f>
        <v>E100030</v>
      </c>
      <c r="F465" s="36" t="str">
        <f>"LED Keychain"</f>
        <v>LED Keychain</v>
      </c>
      <c r="G465" s="36"/>
      <c r="H465" s="37" t="str">
        <f>"EA"</f>
        <v>EA</v>
      </c>
      <c r="I465" s="36"/>
      <c r="J465" s="36"/>
      <c r="K465" s="36"/>
      <c r="L465" s="36"/>
      <c r="M465" s="36"/>
      <c r="N465" s="36"/>
      <c r="O465" s="38">
        <f t="shared" ref="O465:T465" si="390">(SUBTOTAL(9,O466:O468))</f>
        <v>749.99999999999989</v>
      </c>
      <c r="P465" s="38">
        <f t="shared" si="390"/>
        <v>0</v>
      </c>
      <c r="Q465" s="38">
        <f t="shared" si="390"/>
        <v>0</v>
      </c>
      <c r="R465" s="38">
        <f t="shared" si="390"/>
        <v>0</v>
      </c>
      <c r="S465" s="38">
        <f t="shared" si="390"/>
        <v>0</v>
      </c>
      <c r="T465" s="38">
        <f t="shared" si="390"/>
        <v>0</v>
      </c>
      <c r="U465" s="53">
        <f t="shared" ref="U465" si="391">SUBTOTAL(9,O466:T468)</f>
        <v>749.99999999999989</v>
      </c>
    </row>
    <row r="466" spans="1:21" ht="17.25" customHeight="1" x14ac:dyDescent="0.3">
      <c r="A466" s="15" t="s">
        <v>29</v>
      </c>
      <c r="C466" s="19"/>
      <c r="D466" s="33" t="str">
        <f t="shared" ref="D466" si="392">D465</f>
        <v>E100030</v>
      </c>
      <c r="E466" s="33"/>
      <c r="F466" s="20"/>
      <c r="G466" s="20" t="str">
        <f>"""NAV"",""CRONUS JetCorp USA"",""32"",""1"",""168353"""</f>
        <v>"NAV","CRONUS JetCorp USA","32","1","168353"</v>
      </c>
      <c r="H466" s="39">
        <v>43466</v>
      </c>
      <c r="I466" s="40">
        <v>168353</v>
      </c>
      <c r="J466" s="40" t="str">
        <f>"Vendor"</f>
        <v>Vendor</v>
      </c>
      <c r="K466" s="40" t="str">
        <f>"V100003"</f>
        <v>V100003</v>
      </c>
      <c r="L466" s="40" t="str">
        <f>""</f>
        <v/>
      </c>
      <c r="M466" s="40" t="str">
        <f>"LogoMasters"</f>
        <v>LogoMasters</v>
      </c>
      <c r="N466" s="40" t="str">
        <f>""</f>
        <v/>
      </c>
      <c r="O466" s="41">
        <v>499.99999999999994</v>
      </c>
      <c r="P466" s="41">
        <v>0</v>
      </c>
      <c r="Q466" s="41">
        <v>0</v>
      </c>
      <c r="R466" s="41">
        <v>0</v>
      </c>
      <c r="S466" s="41">
        <v>0</v>
      </c>
      <c r="T466" s="41">
        <v>0</v>
      </c>
      <c r="U466" s="54"/>
    </row>
    <row r="467" spans="1:21" ht="17.25" customHeight="1" x14ac:dyDescent="0.3">
      <c r="A467" s="15" t="s">
        <v>29</v>
      </c>
      <c r="C467" s="19"/>
      <c r="D467" s="33" t="str">
        <f t="shared" ref="D467" si="393">D466</f>
        <v>E100030</v>
      </c>
      <c r="E467" s="33"/>
      <c r="F467" s="20"/>
      <c r="G467" s="20" t="str">
        <f>"""NAV"",""CRONUS JetCorp USA"",""32"",""1"",""168363"""</f>
        <v>"NAV","CRONUS JetCorp USA","32","1","168363"</v>
      </c>
      <c r="H467" s="39">
        <v>43466</v>
      </c>
      <c r="I467" s="40">
        <v>168363</v>
      </c>
      <c r="J467" s="40" t="str">
        <f>"Vendor"</f>
        <v>Vendor</v>
      </c>
      <c r="K467" s="40" t="str">
        <f>"V100001"</f>
        <v>V100001</v>
      </c>
      <c r="L467" s="40" t="str">
        <f>""</f>
        <v/>
      </c>
      <c r="M467" s="40" t="str">
        <f>"Greigner, Inc."</f>
        <v>Greigner, Inc.</v>
      </c>
      <c r="N467" s="40" t="str">
        <f>""</f>
        <v/>
      </c>
      <c r="O467" s="41">
        <v>249.99999999999997</v>
      </c>
      <c r="P467" s="41">
        <v>0</v>
      </c>
      <c r="Q467" s="41">
        <v>0</v>
      </c>
      <c r="R467" s="41">
        <v>0</v>
      </c>
      <c r="S467" s="41">
        <v>0</v>
      </c>
      <c r="T467" s="41">
        <v>0</v>
      </c>
      <c r="U467" s="54"/>
    </row>
    <row r="468" spans="1:21" ht="17.25" customHeight="1" x14ac:dyDescent="0.3">
      <c r="A468" s="15" t="s">
        <v>29</v>
      </c>
      <c r="C468" s="19"/>
      <c r="D468" s="33"/>
      <c r="E468" s="33"/>
      <c r="F468" s="20"/>
      <c r="G468" s="20"/>
      <c r="H468" s="20"/>
      <c r="I468" s="20"/>
      <c r="J468" s="20"/>
      <c r="K468" s="20"/>
      <c r="L468" s="20"/>
      <c r="M468" s="20"/>
      <c r="N468" s="20"/>
      <c r="O468" s="42"/>
      <c r="P468" s="42"/>
      <c r="Q468" s="42"/>
      <c r="R468" s="42"/>
      <c r="S468" s="42"/>
      <c r="T468" s="42"/>
      <c r="U468" s="55"/>
    </row>
    <row r="469" spans="1:21" ht="17.25" customHeight="1" x14ac:dyDescent="0.3">
      <c r="A469" s="15" t="s">
        <v>29</v>
      </c>
      <c r="C469" s="19"/>
      <c r="D469" s="33"/>
      <c r="E469" s="33" t="s">
        <v>30</v>
      </c>
      <c r="F469" s="20" t="s">
        <v>30</v>
      </c>
      <c r="G469" s="20" t="s">
        <v>30</v>
      </c>
      <c r="H469" s="20"/>
      <c r="I469" s="20"/>
      <c r="J469" s="20" t="s">
        <v>30</v>
      </c>
      <c r="K469" s="20" t="s">
        <v>30</v>
      </c>
      <c r="L469" s="20" t="s">
        <v>30</v>
      </c>
      <c r="M469" s="20" t="s">
        <v>30</v>
      </c>
      <c r="N469" s="20"/>
      <c r="U469" s="56"/>
    </row>
    <row r="470" spans="1:21" ht="20.25" customHeight="1" x14ac:dyDescent="0.35">
      <c r="A470" s="15" t="s">
        <v>29</v>
      </c>
      <c r="C470" s="19"/>
      <c r="D470" s="34" t="str">
        <f t="shared" ref="D470" si="394">E470</f>
        <v>E100031</v>
      </c>
      <c r="E470" s="35" t="str">
        <f>"E100031"</f>
        <v>E100031</v>
      </c>
      <c r="F470" s="36" t="str">
        <f>"Ad Torch"</f>
        <v>Ad Torch</v>
      </c>
      <c r="G470" s="36"/>
      <c r="H470" s="37" t="str">
        <f>"EA"</f>
        <v>EA</v>
      </c>
      <c r="I470" s="36"/>
      <c r="J470" s="36"/>
      <c r="K470" s="36"/>
      <c r="L470" s="36"/>
      <c r="M470" s="36"/>
      <c r="N470" s="36"/>
      <c r="O470" s="38">
        <f t="shared" ref="O470:T470" si="395">(SUBTOTAL(9,O471:O472))</f>
        <v>750</v>
      </c>
      <c r="P470" s="38">
        <f t="shared" si="395"/>
        <v>0</v>
      </c>
      <c r="Q470" s="38">
        <f t="shared" si="395"/>
        <v>0</v>
      </c>
      <c r="R470" s="38">
        <f t="shared" si="395"/>
        <v>0</v>
      </c>
      <c r="S470" s="38">
        <f t="shared" si="395"/>
        <v>0</v>
      </c>
      <c r="T470" s="38">
        <f t="shared" si="395"/>
        <v>0</v>
      </c>
      <c r="U470" s="53">
        <f t="shared" ref="U470" si="396">SUBTOTAL(9,O471:T472)</f>
        <v>750</v>
      </c>
    </row>
    <row r="471" spans="1:21" ht="17.25" customHeight="1" x14ac:dyDescent="0.3">
      <c r="A471" s="15" t="s">
        <v>29</v>
      </c>
      <c r="C471" s="19"/>
      <c r="D471" s="33" t="str">
        <f t="shared" ref="D471" si="397">D470</f>
        <v>E100031</v>
      </c>
      <c r="E471" s="33"/>
      <c r="F471" s="20"/>
      <c r="G471" s="20" t="str">
        <f>"""NAV"",""CRONUS JetCorp USA"",""32"",""1"",""168352"""</f>
        <v>"NAV","CRONUS JetCorp USA","32","1","168352"</v>
      </c>
      <c r="H471" s="39">
        <v>43466</v>
      </c>
      <c r="I471" s="40">
        <v>168352</v>
      </c>
      <c r="J471" s="40" t="str">
        <f>"Vendor"</f>
        <v>Vendor</v>
      </c>
      <c r="K471" s="40" t="str">
        <f>"V100003"</f>
        <v>V100003</v>
      </c>
      <c r="L471" s="40" t="str">
        <f>""</f>
        <v/>
      </c>
      <c r="M471" s="40" t="str">
        <f>"LogoMasters"</f>
        <v>LogoMasters</v>
      </c>
      <c r="N471" s="40" t="str">
        <f>""</f>
        <v/>
      </c>
      <c r="O471" s="41">
        <v>750</v>
      </c>
      <c r="P471" s="41">
        <v>0</v>
      </c>
      <c r="Q471" s="41">
        <v>0</v>
      </c>
      <c r="R471" s="41">
        <v>0</v>
      </c>
      <c r="S471" s="41">
        <v>0</v>
      </c>
      <c r="T471" s="41">
        <v>0</v>
      </c>
      <c r="U471" s="54"/>
    </row>
    <row r="472" spans="1:21" ht="17.25" customHeight="1" x14ac:dyDescent="0.3">
      <c r="A472" s="15" t="s">
        <v>29</v>
      </c>
      <c r="C472" s="19"/>
      <c r="D472" s="33"/>
      <c r="E472" s="33"/>
      <c r="F472" s="20"/>
      <c r="G472" s="20"/>
      <c r="H472" s="20"/>
      <c r="I472" s="20"/>
      <c r="J472" s="20"/>
      <c r="K472" s="20"/>
      <c r="L472" s="20"/>
      <c r="M472" s="20"/>
      <c r="N472" s="20"/>
      <c r="O472" s="42"/>
      <c r="P472" s="42"/>
      <c r="Q472" s="42"/>
      <c r="R472" s="42"/>
      <c r="S472" s="42"/>
      <c r="T472" s="42"/>
      <c r="U472" s="55"/>
    </row>
    <row r="473" spans="1:21" ht="17.25" customHeight="1" x14ac:dyDescent="0.3">
      <c r="A473" s="15" t="s">
        <v>29</v>
      </c>
      <c r="C473" s="19"/>
      <c r="D473" s="33"/>
      <c r="E473" s="33" t="s">
        <v>30</v>
      </c>
      <c r="F473" s="20" t="s">
        <v>30</v>
      </c>
      <c r="G473" s="20" t="s">
        <v>30</v>
      </c>
      <c r="H473" s="20"/>
      <c r="I473" s="20"/>
      <c r="J473" s="20" t="s">
        <v>30</v>
      </c>
      <c r="K473" s="20" t="s">
        <v>30</v>
      </c>
      <c r="L473" s="20" t="s">
        <v>30</v>
      </c>
      <c r="M473" s="20" t="s">
        <v>30</v>
      </c>
      <c r="N473" s="20"/>
      <c r="U473" s="56"/>
    </row>
    <row r="474" spans="1:21" ht="20.25" customHeight="1" x14ac:dyDescent="0.35">
      <c r="A474" s="15" t="s">
        <v>29</v>
      </c>
      <c r="C474" s="19"/>
      <c r="D474" s="34" t="str">
        <f t="shared" ref="D474" si="398">E474</f>
        <v>E100032</v>
      </c>
      <c r="E474" s="35" t="str">
        <f>"E100032"</f>
        <v>E100032</v>
      </c>
      <c r="F474" s="36" t="str">
        <f>"Button Key-Light"</f>
        <v>Button Key-Light</v>
      </c>
      <c r="G474" s="36"/>
      <c r="H474" s="37" t="str">
        <f>"EA"</f>
        <v>EA</v>
      </c>
      <c r="I474" s="36"/>
      <c r="J474" s="36"/>
      <c r="K474" s="36"/>
      <c r="L474" s="36"/>
      <c r="M474" s="36"/>
      <c r="N474" s="36"/>
      <c r="O474" s="38">
        <f t="shared" ref="O474:T474" si="399">(SUBTOTAL(9,O475:O478))</f>
        <v>750</v>
      </c>
      <c r="P474" s="38">
        <f t="shared" si="399"/>
        <v>-143</v>
      </c>
      <c r="Q474" s="38">
        <f t="shared" si="399"/>
        <v>0</v>
      </c>
      <c r="R474" s="38">
        <f t="shared" si="399"/>
        <v>0</v>
      </c>
      <c r="S474" s="38">
        <f t="shared" si="399"/>
        <v>0</v>
      </c>
      <c r="T474" s="38">
        <f t="shared" si="399"/>
        <v>0</v>
      </c>
      <c r="U474" s="53">
        <f t="shared" ref="U474" si="400">SUBTOTAL(9,O475:T478)</f>
        <v>607</v>
      </c>
    </row>
    <row r="475" spans="1:21" ht="17.25" customHeight="1" x14ac:dyDescent="0.3">
      <c r="A475" s="15" t="s">
        <v>29</v>
      </c>
      <c r="C475" s="19"/>
      <c r="D475" s="33" t="str">
        <f t="shared" ref="D475" si="401">D474</f>
        <v>E100032</v>
      </c>
      <c r="E475" s="33"/>
      <c r="F475" s="20"/>
      <c r="G475" s="20" t="str">
        <f>"""NAV"",""CRONUS JetCorp USA"",""32"",""1"",""168351"""</f>
        <v>"NAV","CRONUS JetCorp USA","32","1","168351"</v>
      </c>
      <c r="H475" s="39">
        <v>43466</v>
      </c>
      <c r="I475" s="40">
        <v>168351</v>
      </c>
      <c r="J475" s="40" t="str">
        <f>"Vendor"</f>
        <v>Vendor</v>
      </c>
      <c r="K475" s="40" t="str">
        <f>"V100003"</f>
        <v>V100003</v>
      </c>
      <c r="L475" s="40" t="str">
        <f>""</f>
        <v/>
      </c>
      <c r="M475" s="40" t="str">
        <f>"LogoMasters"</f>
        <v>LogoMasters</v>
      </c>
      <c r="N475" s="40" t="str">
        <f>""</f>
        <v/>
      </c>
      <c r="O475" s="41">
        <v>750</v>
      </c>
      <c r="P475" s="41">
        <v>0</v>
      </c>
      <c r="Q475" s="41">
        <v>0</v>
      </c>
      <c r="R475" s="41">
        <v>0</v>
      </c>
      <c r="S475" s="41">
        <v>0</v>
      </c>
      <c r="T475" s="41">
        <v>0</v>
      </c>
      <c r="U475" s="54"/>
    </row>
    <row r="476" spans="1:21" ht="17.25" customHeight="1" x14ac:dyDescent="0.3">
      <c r="A476" s="15" t="s">
        <v>29</v>
      </c>
      <c r="C476" s="19"/>
      <c r="D476" s="33" t="str">
        <f t="shared" ref="D476:D477" si="402">D475</f>
        <v>E100032</v>
      </c>
      <c r="E476" s="33"/>
      <c r="F476" s="20"/>
      <c r="G476" s="20" t="str">
        <f>"""NAV"",""CRONUS JetCorp USA"",""32"",""1"",""158694"""</f>
        <v>"NAV","CRONUS JetCorp USA","32","1","158694"</v>
      </c>
      <c r="H476" s="39">
        <v>43471</v>
      </c>
      <c r="I476" s="40">
        <v>158694</v>
      </c>
      <c r="J476" s="40" t="str">
        <f>"Customer"</f>
        <v>Customer</v>
      </c>
      <c r="K476" s="40" t="str">
        <f>"C100126"</f>
        <v>C100126</v>
      </c>
      <c r="L476" s="40" t="str">
        <f>"Moveex"</f>
        <v>Moveex</v>
      </c>
      <c r="M476" s="40" t="str">
        <f>""</f>
        <v/>
      </c>
      <c r="N476" s="40" t="str">
        <f>""</f>
        <v/>
      </c>
      <c r="O476" s="41">
        <v>0</v>
      </c>
      <c r="P476" s="41">
        <v>1</v>
      </c>
      <c r="Q476" s="41">
        <v>0</v>
      </c>
      <c r="R476" s="41">
        <v>0</v>
      </c>
      <c r="S476" s="41">
        <v>0</v>
      </c>
      <c r="T476" s="41">
        <v>0</v>
      </c>
      <c r="U476" s="54"/>
    </row>
    <row r="477" spans="1:21" ht="17.25" customHeight="1" x14ac:dyDescent="0.3">
      <c r="A477" s="15" t="s">
        <v>29</v>
      </c>
      <c r="C477" s="19"/>
      <c r="D477" s="33" t="str">
        <f t="shared" si="402"/>
        <v>E100032</v>
      </c>
      <c r="E477" s="33"/>
      <c r="F477" s="20"/>
      <c r="G477" s="20" t="str">
        <f>"""NAV"",""CRONUS JetCorp USA"",""32"",""1"",""64628"""</f>
        <v>"NAV","CRONUS JetCorp USA","32","1","64628"</v>
      </c>
      <c r="H477" s="39">
        <v>43475</v>
      </c>
      <c r="I477" s="40">
        <v>64628</v>
      </c>
      <c r="J477" s="40" t="str">
        <f>"Customer"</f>
        <v>Customer</v>
      </c>
      <c r="K477" s="40" t="str">
        <f>"C100136"</f>
        <v>C100136</v>
      </c>
      <c r="L477" s="40" t="str">
        <f>"First Bank"</f>
        <v>First Bank</v>
      </c>
      <c r="M477" s="40" t="str">
        <f>""</f>
        <v/>
      </c>
      <c r="N477" s="40" t="str">
        <f>""</f>
        <v/>
      </c>
      <c r="O477" s="41">
        <v>0</v>
      </c>
      <c r="P477" s="41">
        <v>-144</v>
      </c>
      <c r="Q477" s="41">
        <v>0</v>
      </c>
      <c r="R477" s="41">
        <v>0</v>
      </c>
      <c r="S477" s="41">
        <v>0</v>
      </c>
      <c r="T477" s="41">
        <v>0</v>
      </c>
      <c r="U477" s="54"/>
    </row>
    <row r="478" spans="1:21" ht="17.25" customHeight="1" x14ac:dyDescent="0.3">
      <c r="A478" s="15" t="s">
        <v>29</v>
      </c>
      <c r="C478" s="19"/>
      <c r="D478" s="33"/>
      <c r="E478" s="33"/>
      <c r="F478" s="20"/>
      <c r="G478" s="20"/>
      <c r="H478" s="20"/>
      <c r="I478" s="20"/>
      <c r="J478" s="20"/>
      <c r="K478" s="20"/>
      <c r="L478" s="20"/>
      <c r="M478" s="20"/>
      <c r="N478" s="20"/>
      <c r="O478" s="42"/>
      <c r="P478" s="42"/>
      <c r="Q478" s="42"/>
      <c r="R478" s="42"/>
      <c r="S478" s="42"/>
      <c r="T478" s="42"/>
      <c r="U478" s="55"/>
    </row>
    <row r="479" spans="1:21" ht="17.25" customHeight="1" x14ac:dyDescent="0.3">
      <c r="A479" s="15" t="s">
        <v>29</v>
      </c>
      <c r="C479" s="19"/>
      <c r="D479" s="33"/>
      <c r="E479" s="33" t="s">
        <v>30</v>
      </c>
      <c r="F479" s="20" t="s">
        <v>30</v>
      </c>
      <c r="G479" s="20" t="s">
        <v>30</v>
      </c>
      <c r="H479" s="20"/>
      <c r="I479" s="20"/>
      <c r="J479" s="20" t="s">
        <v>30</v>
      </c>
      <c r="K479" s="20" t="s">
        <v>30</v>
      </c>
      <c r="L479" s="20" t="s">
        <v>30</v>
      </c>
      <c r="M479" s="20" t="s">
        <v>30</v>
      </c>
      <c r="N479" s="20"/>
      <c r="U479" s="56"/>
    </row>
    <row r="480" spans="1:21" ht="20.25" customHeight="1" x14ac:dyDescent="0.35">
      <c r="A480" s="15" t="s">
        <v>29</v>
      </c>
      <c r="C480" s="19"/>
      <c r="D480" s="34" t="str">
        <f t="shared" ref="D480" si="403">E480</f>
        <v>E100033</v>
      </c>
      <c r="E480" s="35" t="str">
        <f>"E100033"</f>
        <v>E100033</v>
      </c>
      <c r="F480" s="36" t="str">
        <f>"Dual Source Flashlight"</f>
        <v>Dual Source Flashlight</v>
      </c>
      <c r="G480" s="36"/>
      <c r="H480" s="37" t="str">
        <f>"EA"</f>
        <v>EA</v>
      </c>
      <c r="I480" s="36"/>
      <c r="J480" s="36"/>
      <c r="K480" s="36"/>
      <c r="L480" s="36"/>
      <c r="M480" s="36"/>
      <c r="N480" s="36"/>
      <c r="O480" s="38">
        <f t="shared" ref="O480:T480" si="404">(SUBTOTAL(9,O481:O485))</f>
        <v>1250</v>
      </c>
      <c r="P480" s="38">
        <f t="shared" si="404"/>
        <v>-192</v>
      </c>
      <c r="Q480" s="38">
        <f t="shared" si="404"/>
        <v>0</v>
      </c>
      <c r="R480" s="38">
        <f t="shared" si="404"/>
        <v>0</v>
      </c>
      <c r="S480" s="38">
        <f t="shared" si="404"/>
        <v>0</v>
      </c>
      <c r="T480" s="38">
        <f t="shared" si="404"/>
        <v>0</v>
      </c>
      <c r="U480" s="53">
        <f t="shared" ref="U480" si="405">SUBTOTAL(9,O481:T485)</f>
        <v>1058</v>
      </c>
    </row>
    <row r="481" spans="1:21" ht="17.25" customHeight="1" x14ac:dyDescent="0.3">
      <c r="A481" s="15" t="s">
        <v>29</v>
      </c>
      <c r="C481" s="19"/>
      <c r="D481" s="33" t="str">
        <f t="shared" ref="D481" si="406">D480</f>
        <v>E100033</v>
      </c>
      <c r="E481" s="33"/>
      <c r="F481" s="20"/>
      <c r="G481" s="20" t="str">
        <f>"""NAV"",""CRONUS JetCorp USA"",""32"",""1"",""168350"""</f>
        <v>"NAV","CRONUS JetCorp USA","32","1","168350"</v>
      </c>
      <c r="H481" s="39">
        <v>43466</v>
      </c>
      <c r="I481" s="40">
        <v>168350</v>
      </c>
      <c r="J481" s="40" t="str">
        <f>"Vendor"</f>
        <v>Vendor</v>
      </c>
      <c r="K481" s="40" t="str">
        <f>"V100003"</f>
        <v>V100003</v>
      </c>
      <c r="L481" s="40" t="str">
        <f>""</f>
        <v/>
      </c>
      <c r="M481" s="40" t="str">
        <f>"LogoMasters"</f>
        <v>LogoMasters</v>
      </c>
      <c r="N481" s="40" t="str">
        <f>""</f>
        <v/>
      </c>
      <c r="O481" s="41">
        <v>1000</v>
      </c>
      <c r="P481" s="41">
        <v>0</v>
      </c>
      <c r="Q481" s="41">
        <v>0</v>
      </c>
      <c r="R481" s="41">
        <v>0</v>
      </c>
      <c r="S481" s="41">
        <v>0</v>
      </c>
      <c r="T481" s="41">
        <v>0</v>
      </c>
      <c r="U481" s="54"/>
    </row>
    <row r="482" spans="1:21" ht="17.25" customHeight="1" x14ac:dyDescent="0.3">
      <c r="A482" s="15" t="s">
        <v>29</v>
      </c>
      <c r="C482" s="19"/>
      <c r="D482" s="33" t="str">
        <f t="shared" ref="D482:D484" si="407">D481</f>
        <v>E100033</v>
      </c>
      <c r="E482" s="33"/>
      <c r="F482" s="20"/>
      <c r="G482" s="20" t="str">
        <f>"""NAV"",""CRONUS JetCorp USA"",""32"",""1"",""168362"""</f>
        <v>"NAV","CRONUS JetCorp USA","32","1","168362"</v>
      </c>
      <c r="H482" s="39">
        <v>43466</v>
      </c>
      <c r="I482" s="40">
        <v>168362</v>
      </c>
      <c r="J482" s="40" t="str">
        <f>"Vendor"</f>
        <v>Vendor</v>
      </c>
      <c r="K482" s="40" t="str">
        <f>"V100001"</f>
        <v>V100001</v>
      </c>
      <c r="L482" s="40" t="str">
        <f>""</f>
        <v/>
      </c>
      <c r="M482" s="40" t="str">
        <f>"Greigner, Inc."</f>
        <v>Greigner, Inc.</v>
      </c>
      <c r="N482" s="40" t="str">
        <f>""</f>
        <v/>
      </c>
      <c r="O482" s="41">
        <v>250</v>
      </c>
      <c r="P482" s="41">
        <v>0</v>
      </c>
      <c r="Q482" s="41">
        <v>0</v>
      </c>
      <c r="R482" s="41">
        <v>0</v>
      </c>
      <c r="S482" s="41">
        <v>0</v>
      </c>
      <c r="T482" s="41">
        <v>0</v>
      </c>
      <c r="U482" s="54"/>
    </row>
    <row r="483" spans="1:21" ht="17.25" customHeight="1" x14ac:dyDescent="0.3">
      <c r="A483" s="15" t="s">
        <v>29</v>
      </c>
      <c r="C483" s="19"/>
      <c r="D483" s="33" t="str">
        <f t="shared" si="407"/>
        <v>E100033</v>
      </c>
      <c r="E483" s="33"/>
      <c r="F483" s="20"/>
      <c r="G483" s="20" t="str">
        <f>"""NAV"",""CRONUS JetCorp USA"",""32"",""1"",""153195"""</f>
        <v>"NAV","CRONUS JetCorp USA","32","1","153195"</v>
      </c>
      <c r="H483" s="39">
        <v>43469</v>
      </c>
      <c r="I483" s="40">
        <v>153195</v>
      </c>
      <c r="J483" s="40" t="str">
        <f>"Customer"</f>
        <v>Customer</v>
      </c>
      <c r="K483" s="40" t="str">
        <f>"C100136"</f>
        <v>C100136</v>
      </c>
      <c r="L483" s="40" t="str">
        <f>"First Bank"</f>
        <v>First Bank</v>
      </c>
      <c r="M483" s="40" t="str">
        <f>""</f>
        <v/>
      </c>
      <c r="N483" s="40" t="str">
        <f>""</f>
        <v/>
      </c>
      <c r="O483" s="41">
        <v>0</v>
      </c>
      <c r="P483" s="41">
        <v>-48</v>
      </c>
      <c r="Q483" s="41">
        <v>0</v>
      </c>
      <c r="R483" s="41">
        <v>0</v>
      </c>
      <c r="S483" s="41">
        <v>0</v>
      </c>
      <c r="T483" s="41">
        <v>0</v>
      </c>
      <c r="U483" s="54"/>
    </row>
    <row r="484" spans="1:21" ht="17.25" customHeight="1" x14ac:dyDescent="0.3">
      <c r="A484" s="15" t="s">
        <v>29</v>
      </c>
      <c r="C484" s="19"/>
      <c r="D484" s="33" t="str">
        <f t="shared" si="407"/>
        <v>E100033</v>
      </c>
      <c r="E484" s="33"/>
      <c r="F484" s="20"/>
      <c r="G484" s="20" t="str">
        <f>"""NAV"",""CRONUS JetCorp USA"",""32"",""1"",""153165"""</f>
        <v>"NAV","CRONUS JetCorp USA","32","1","153165"</v>
      </c>
      <c r="H484" s="39">
        <v>43470</v>
      </c>
      <c r="I484" s="40">
        <v>153165</v>
      </c>
      <c r="J484" s="40" t="str">
        <f>"Customer"</f>
        <v>Customer</v>
      </c>
      <c r="K484" s="40" t="str">
        <f>"C100136"</f>
        <v>C100136</v>
      </c>
      <c r="L484" s="40" t="str">
        <f>"First Bank"</f>
        <v>First Bank</v>
      </c>
      <c r="M484" s="40" t="str">
        <f>""</f>
        <v/>
      </c>
      <c r="N484" s="40" t="str">
        <f>""</f>
        <v/>
      </c>
      <c r="O484" s="41">
        <v>0</v>
      </c>
      <c r="P484" s="41">
        <v>-144</v>
      </c>
      <c r="Q484" s="41">
        <v>0</v>
      </c>
      <c r="R484" s="41">
        <v>0</v>
      </c>
      <c r="S484" s="41">
        <v>0</v>
      </c>
      <c r="T484" s="41">
        <v>0</v>
      </c>
      <c r="U484" s="54"/>
    </row>
    <row r="485" spans="1:21" ht="17.25" customHeight="1" x14ac:dyDescent="0.3">
      <c r="A485" s="15" t="s">
        <v>29</v>
      </c>
      <c r="C485" s="19"/>
      <c r="D485" s="33"/>
      <c r="E485" s="33"/>
      <c r="F485" s="20"/>
      <c r="G485" s="20"/>
      <c r="H485" s="20"/>
      <c r="I485" s="20"/>
      <c r="J485" s="20"/>
      <c r="K485" s="20"/>
      <c r="L485" s="20"/>
      <c r="M485" s="20"/>
      <c r="N485" s="20"/>
      <c r="O485" s="42"/>
      <c r="P485" s="42"/>
      <c r="Q485" s="42"/>
      <c r="R485" s="42"/>
      <c r="S485" s="42"/>
      <c r="T485" s="42"/>
      <c r="U485" s="55"/>
    </row>
    <row r="486" spans="1:21" ht="17.25" customHeight="1" x14ac:dyDescent="0.3">
      <c r="A486" s="15" t="s">
        <v>29</v>
      </c>
      <c r="C486" s="19"/>
      <c r="D486" s="33"/>
      <c r="E486" s="33" t="s">
        <v>30</v>
      </c>
      <c r="F486" s="20" t="s">
        <v>30</v>
      </c>
      <c r="G486" s="20" t="s">
        <v>30</v>
      </c>
      <c r="H486" s="20"/>
      <c r="I486" s="20"/>
      <c r="J486" s="20" t="s">
        <v>30</v>
      </c>
      <c r="K486" s="20" t="s">
        <v>30</v>
      </c>
      <c r="L486" s="20" t="s">
        <v>30</v>
      </c>
      <c r="M486" s="20" t="s">
        <v>30</v>
      </c>
      <c r="N486" s="20"/>
      <c r="U486" s="56"/>
    </row>
    <row r="487" spans="1:21" ht="20.25" customHeight="1" x14ac:dyDescent="0.35">
      <c r="A487" s="15" t="s">
        <v>29</v>
      </c>
      <c r="C487" s="19"/>
      <c r="D487" s="34" t="str">
        <f t="shared" ref="D487" si="408">E487</f>
        <v>E100034</v>
      </c>
      <c r="E487" s="35" t="str">
        <f>"E100034"</f>
        <v>E100034</v>
      </c>
      <c r="F487" s="36" t="str">
        <f>"Bamboo 1GB USB Flash Drive"</f>
        <v>Bamboo 1GB USB Flash Drive</v>
      </c>
      <c r="G487" s="36"/>
      <c r="H487" s="37" t="str">
        <f>"EA"</f>
        <v>EA</v>
      </c>
      <c r="I487" s="36"/>
      <c r="J487" s="36"/>
      <c r="K487" s="36"/>
      <c r="L487" s="36"/>
      <c r="M487" s="36"/>
      <c r="N487" s="36"/>
      <c r="O487" s="38">
        <f t="shared" ref="O487:T487" si="409">(SUBTOTAL(9,O488:O491))</f>
        <v>1250</v>
      </c>
      <c r="P487" s="38">
        <f t="shared" si="409"/>
        <v>1</v>
      </c>
      <c r="Q487" s="38">
        <f t="shared" si="409"/>
        <v>0</v>
      </c>
      <c r="R487" s="38">
        <f t="shared" si="409"/>
        <v>0</v>
      </c>
      <c r="S487" s="38">
        <f t="shared" si="409"/>
        <v>0</v>
      </c>
      <c r="T487" s="38">
        <f t="shared" si="409"/>
        <v>0</v>
      </c>
      <c r="U487" s="53">
        <f t="shared" ref="U487" si="410">SUBTOTAL(9,O488:T491)</f>
        <v>1251</v>
      </c>
    </row>
    <row r="488" spans="1:21" ht="17.25" customHeight="1" x14ac:dyDescent="0.3">
      <c r="A488" s="15" t="s">
        <v>29</v>
      </c>
      <c r="C488" s="19"/>
      <c r="D488" s="33" t="str">
        <f t="shared" ref="D488" si="411">D487</f>
        <v>E100034</v>
      </c>
      <c r="E488" s="33"/>
      <c r="F488" s="20"/>
      <c r="G488" s="20" t="str">
        <f>"""NAV"",""CRONUS JetCorp USA"",""32"",""1"",""168349"""</f>
        <v>"NAV","CRONUS JetCorp USA","32","1","168349"</v>
      </c>
      <c r="H488" s="39">
        <v>43466</v>
      </c>
      <c r="I488" s="40">
        <v>168349</v>
      </c>
      <c r="J488" s="40" t="str">
        <f>"Vendor"</f>
        <v>Vendor</v>
      </c>
      <c r="K488" s="40" t="str">
        <f>"V100003"</f>
        <v>V100003</v>
      </c>
      <c r="L488" s="40" t="str">
        <f>""</f>
        <v/>
      </c>
      <c r="M488" s="40" t="str">
        <f>"LogoMasters"</f>
        <v>LogoMasters</v>
      </c>
      <c r="N488" s="40" t="str">
        <f>""</f>
        <v/>
      </c>
      <c r="O488" s="41">
        <v>1000</v>
      </c>
      <c r="P488" s="41">
        <v>0</v>
      </c>
      <c r="Q488" s="41">
        <v>0</v>
      </c>
      <c r="R488" s="41">
        <v>0</v>
      </c>
      <c r="S488" s="41">
        <v>0</v>
      </c>
      <c r="T488" s="41">
        <v>0</v>
      </c>
      <c r="U488" s="54"/>
    </row>
    <row r="489" spans="1:21" ht="17.25" customHeight="1" x14ac:dyDescent="0.3">
      <c r="A489" s="15" t="s">
        <v>29</v>
      </c>
      <c r="C489" s="19"/>
      <c r="D489" s="33" t="str">
        <f t="shared" ref="D489:D490" si="412">D488</f>
        <v>E100034</v>
      </c>
      <c r="E489" s="33"/>
      <c r="F489" s="20"/>
      <c r="G489" s="20" t="str">
        <f>"""NAV"",""CRONUS JetCorp USA"",""32"",""1"",""168361"""</f>
        <v>"NAV","CRONUS JetCorp USA","32","1","168361"</v>
      </c>
      <c r="H489" s="39">
        <v>43466</v>
      </c>
      <c r="I489" s="40">
        <v>168361</v>
      </c>
      <c r="J489" s="40" t="str">
        <f>"Vendor"</f>
        <v>Vendor</v>
      </c>
      <c r="K489" s="40" t="str">
        <f>"V100001"</f>
        <v>V100001</v>
      </c>
      <c r="L489" s="40" t="str">
        <f>""</f>
        <v/>
      </c>
      <c r="M489" s="40" t="str">
        <f>"Greigner, Inc."</f>
        <v>Greigner, Inc.</v>
      </c>
      <c r="N489" s="40" t="str">
        <f>""</f>
        <v/>
      </c>
      <c r="O489" s="41">
        <v>250</v>
      </c>
      <c r="P489" s="41">
        <v>0</v>
      </c>
      <c r="Q489" s="41">
        <v>0</v>
      </c>
      <c r="R489" s="41">
        <v>0</v>
      </c>
      <c r="S489" s="41">
        <v>0</v>
      </c>
      <c r="T489" s="41">
        <v>0</v>
      </c>
      <c r="U489" s="54"/>
    </row>
    <row r="490" spans="1:21" ht="17.25" customHeight="1" x14ac:dyDescent="0.3">
      <c r="A490" s="15" t="s">
        <v>29</v>
      </c>
      <c r="C490" s="19"/>
      <c r="D490" s="33" t="str">
        <f t="shared" si="412"/>
        <v>E100034</v>
      </c>
      <c r="E490" s="33"/>
      <c r="F490" s="20"/>
      <c r="G490" s="20" t="str">
        <f>"""NAV"",""CRONUS JetCorp USA"",""32"",""1"",""158692"""</f>
        <v>"NAV","CRONUS JetCorp USA","32","1","158692"</v>
      </c>
      <c r="H490" s="39">
        <v>43471</v>
      </c>
      <c r="I490" s="40">
        <v>158692</v>
      </c>
      <c r="J490" s="40" t="str">
        <f>"Customer"</f>
        <v>Customer</v>
      </c>
      <c r="K490" s="40" t="str">
        <f>"C100126"</f>
        <v>C100126</v>
      </c>
      <c r="L490" s="40" t="str">
        <f>"Moveex"</f>
        <v>Moveex</v>
      </c>
      <c r="M490" s="40" t="str">
        <f>""</f>
        <v/>
      </c>
      <c r="N490" s="40" t="str">
        <f>""</f>
        <v/>
      </c>
      <c r="O490" s="41">
        <v>0</v>
      </c>
      <c r="P490" s="41">
        <v>1</v>
      </c>
      <c r="Q490" s="41">
        <v>0</v>
      </c>
      <c r="R490" s="41">
        <v>0</v>
      </c>
      <c r="S490" s="41">
        <v>0</v>
      </c>
      <c r="T490" s="41">
        <v>0</v>
      </c>
      <c r="U490" s="54"/>
    </row>
    <row r="491" spans="1:21" ht="17.25" customHeight="1" x14ac:dyDescent="0.3">
      <c r="A491" s="15" t="s">
        <v>29</v>
      </c>
      <c r="C491" s="19"/>
      <c r="D491" s="33"/>
      <c r="E491" s="33"/>
      <c r="F491" s="20"/>
      <c r="G491" s="20"/>
      <c r="H491" s="20"/>
      <c r="I491" s="20"/>
      <c r="J491" s="20"/>
      <c r="K491" s="20"/>
      <c r="L491" s="20"/>
      <c r="M491" s="20"/>
      <c r="N491" s="20"/>
      <c r="O491" s="42"/>
      <c r="P491" s="42"/>
      <c r="Q491" s="42"/>
      <c r="R491" s="42"/>
      <c r="S491" s="42"/>
      <c r="T491" s="42"/>
      <c r="U491" s="55"/>
    </row>
    <row r="492" spans="1:21" ht="17.25" customHeight="1" x14ac:dyDescent="0.3">
      <c r="A492" s="15" t="s">
        <v>29</v>
      </c>
      <c r="C492" s="19"/>
      <c r="D492" s="33"/>
      <c r="E492" s="33" t="s">
        <v>30</v>
      </c>
      <c r="F492" s="20" t="s">
        <v>30</v>
      </c>
      <c r="G492" s="20" t="s">
        <v>30</v>
      </c>
      <c r="H492" s="20"/>
      <c r="I492" s="20"/>
      <c r="J492" s="20" t="s">
        <v>30</v>
      </c>
      <c r="K492" s="20" t="s">
        <v>30</v>
      </c>
      <c r="L492" s="20" t="s">
        <v>30</v>
      </c>
      <c r="M492" s="20" t="s">
        <v>30</v>
      </c>
      <c r="N492" s="20"/>
      <c r="U492" s="56"/>
    </row>
    <row r="493" spans="1:21" ht="20.25" customHeight="1" x14ac:dyDescent="0.35">
      <c r="A493" s="15" t="s">
        <v>29</v>
      </c>
      <c r="C493" s="19"/>
      <c r="D493" s="34" t="str">
        <f t="shared" ref="D493" si="413">E493</f>
        <v>E100035</v>
      </c>
      <c r="E493" s="35" t="str">
        <f>"E100035"</f>
        <v>E100035</v>
      </c>
      <c r="F493" s="36" t="str">
        <f>"2GB Foldout USB Flash Drive"</f>
        <v>2GB Foldout USB Flash Drive</v>
      </c>
      <c r="G493" s="36"/>
      <c r="H493" s="37" t="str">
        <f>"EA"</f>
        <v>EA</v>
      </c>
      <c r="I493" s="36"/>
      <c r="J493" s="36"/>
      <c r="K493" s="36"/>
      <c r="L493" s="36"/>
      <c r="M493" s="36"/>
      <c r="N493" s="36"/>
      <c r="O493" s="38">
        <f t="shared" ref="O493:T493" si="414">(SUBTOTAL(9,O494:O495))</f>
        <v>750</v>
      </c>
      <c r="P493" s="38">
        <f t="shared" si="414"/>
        <v>0</v>
      </c>
      <c r="Q493" s="38">
        <f t="shared" si="414"/>
        <v>0</v>
      </c>
      <c r="R493" s="38">
        <f t="shared" si="414"/>
        <v>0</v>
      </c>
      <c r="S493" s="38">
        <f t="shared" si="414"/>
        <v>0</v>
      </c>
      <c r="T493" s="38">
        <f t="shared" si="414"/>
        <v>0</v>
      </c>
      <c r="U493" s="53">
        <f t="shared" ref="U493" si="415">SUBTOTAL(9,O494:T495)</f>
        <v>750</v>
      </c>
    </row>
    <row r="494" spans="1:21" ht="17.25" customHeight="1" x14ac:dyDescent="0.3">
      <c r="A494" s="15" t="s">
        <v>29</v>
      </c>
      <c r="C494" s="19"/>
      <c r="D494" s="33" t="str">
        <f t="shared" ref="D494" si="416">D493</f>
        <v>E100035</v>
      </c>
      <c r="E494" s="33"/>
      <c r="F494" s="20"/>
      <c r="G494" s="20" t="str">
        <f>"""NAV"",""CRONUS JetCorp USA"",""32"",""1"",""168348"""</f>
        <v>"NAV","CRONUS JetCorp USA","32","1","168348"</v>
      </c>
      <c r="H494" s="39">
        <v>43466</v>
      </c>
      <c r="I494" s="40">
        <v>168348</v>
      </c>
      <c r="J494" s="40" t="str">
        <f>"Vendor"</f>
        <v>Vendor</v>
      </c>
      <c r="K494" s="40" t="str">
        <f>"V100003"</f>
        <v>V100003</v>
      </c>
      <c r="L494" s="40" t="str">
        <f>""</f>
        <v/>
      </c>
      <c r="M494" s="40" t="str">
        <f>"LogoMasters"</f>
        <v>LogoMasters</v>
      </c>
      <c r="N494" s="40" t="str">
        <f>""</f>
        <v/>
      </c>
      <c r="O494" s="41">
        <v>750</v>
      </c>
      <c r="P494" s="41">
        <v>0</v>
      </c>
      <c r="Q494" s="41">
        <v>0</v>
      </c>
      <c r="R494" s="41">
        <v>0</v>
      </c>
      <c r="S494" s="41">
        <v>0</v>
      </c>
      <c r="T494" s="41">
        <v>0</v>
      </c>
      <c r="U494" s="54"/>
    </row>
    <row r="495" spans="1:21" ht="17.25" customHeight="1" x14ac:dyDescent="0.3">
      <c r="A495" s="15" t="s">
        <v>29</v>
      </c>
      <c r="C495" s="19"/>
      <c r="D495" s="33"/>
      <c r="E495" s="33"/>
      <c r="F495" s="20"/>
      <c r="G495" s="20"/>
      <c r="H495" s="20"/>
      <c r="I495" s="20"/>
      <c r="J495" s="20"/>
      <c r="K495" s="20"/>
      <c r="L495" s="20"/>
      <c r="M495" s="20"/>
      <c r="N495" s="20"/>
      <c r="O495" s="42"/>
      <c r="P495" s="42"/>
      <c r="Q495" s="42"/>
      <c r="R495" s="42"/>
      <c r="S495" s="42"/>
      <c r="T495" s="42"/>
      <c r="U495" s="55"/>
    </row>
    <row r="496" spans="1:21" ht="17.25" customHeight="1" x14ac:dyDescent="0.3">
      <c r="A496" s="15" t="s">
        <v>29</v>
      </c>
      <c r="C496" s="19"/>
      <c r="D496" s="33"/>
      <c r="E496" s="33" t="s">
        <v>30</v>
      </c>
      <c r="F496" s="20" t="s">
        <v>30</v>
      </c>
      <c r="G496" s="20" t="s">
        <v>30</v>
      </c>
      <c r="H496" s="20"/>
      <c r="I496" s="20"/>
      <c r="J496" s="20" t="s">
        <v>30</v>
      </c>
      <c r="K496" s="20" t="s">
        <v>30</v>
      </c>
      <c r="L496" s="20" t="s">
        <v>30</v>
      </c>
      <c r="M496" s="20" t="s">
        <v>30</v>
      </c>
      <c r="N496" s="20"/>
      <c r="U496" s="56"/>
    </row>
    <row r="497" spans="1:21" ht="20.25" customHeight="1" x14ac:dyDescent="0.35">
      <c r="A497" s="15" t="s">
        <v>29</v>
      </c>
      <c r="C497" s="19"/>
      <c r="D497" s="34" t="str">
        <f t="shared" ref="D497" si="417">E497</f>
        <v>E100038</v>
      </c>
      <c r="E497" s="35" t="str">
        <f>"E100038"</f>
        <v>E100038</v>
      </c>
      <c r="F497" s="36" t="str">
        <f>"1GB USB Flash Drive Pen"</f>
        <v>1GB USB Flash Drive Pen</v>
      </c>
      <c r="G497" s="36"/>
      <c r="H497" s="37" t="str">
        <f>"EA"</f>
        <v>EA</v>
      </c>
      <c r="I497" s="36"/>
      <c r="J497" s="36"/>
      <c r="K497" s="36"/>
      <c r="L497" s="36"/>
      <c r="M497" s="36"/>
      <c r="N497" s="36"/>
      <c r="O497" s="38">
        <f t="shared" ref="O497:T497" si="418">(SUBTOTAL(9,O498:O499))</f>
        <v>249.99999999999997</v>
      </c>
      <c r="P497" s="38">
        <f t="shared" si="418"/>
        <v>0</v>
      </c>
      <c r="Q497" s="38">
        <f t="shared" si="418"/>
        <v>0</v>
      </c>
      <c r="R497" s="38">
        <f t="shared" si="418"/>
        <v>0</v>
      </c>
      <c r="S497" s="38">
        <f t="shared" si="418"/>
        <v>0</v>
      </c>
      <c r="T497" s="38">
        <f t="shared" si="418"/>
        <v>0</v>
      </c>
      <c r="U497" s="53">
        <f t="shared" ref="U497" si="419">SUBTOTAL(9,O498:T499)</f>
        <v>249.99999999999997</v>
      </c>
    </row>
    <row r="498" spans="1:21" ht="17.25" customHeight="1" x14ac:dyDescent="0.3">
      <c r="A498" s="15" t="s">
        <v>29</v>
      </c>
      <c r="C498" s="19"/>
      <c r="D498" s="33" t="str">
        <f t="shared" ref="D498" si="420">D497</f>
        <v>E100038</v>
      </c>
      <c r="E498" s="33"/>
      <c r="F498" s="20"/>
      <c r="G498" s="20" t="str">
        <f>"""NAV"",""CRONUS JetCorp USA"",""32"",""1"",""168347"""</f>
        <v>"NAV","CRONUS JetCorp USA","32","1","168347"</v>
      </c>
      <c r="H498" s="39">
        <v>43466</v>
      </c>
      <c r="I498" s="40">
        <v>168347</v>
      </c>
      <c r="J498" s="40" t="str">
        <f>"Vendor"</f>
        <v>Vendor</v>
      </c>
      <c r="K498" s="40" t="str">
        <f>"V100003"</f>
        <v>V100003</v>
      </c>
      <c r="L498" s="40" t="str">
        <f>""</f>
        <v/>
      </c>
      <c r="M498" s="40" t="str">
        <f>"LogoMasters"</f>
        <v>LogoMasters</v>
      </c>
      <c r="N498" s="40" t="str">
        <f>""</f>
        <v/>
      </c>
      <c r="O498" s="41">
        <v>249.99999999999997</v>
      </c>
      <c r="P498" s="41">
        <v>0</v>
      </c>
      <c r="Q498" s="41">
        <v>0</v>
      </c>
      <c r="R498" s="41">
        <v>0</v>
      </c>
      <c r="S498" s="41">
        <v>0</v>
      </c>
      <c r="T498" s="41">
        <v>0</v>
      </c>
      <c r="U498" s="54"/>
    </row>
    <row r="499" spans="1:21" ht="17.25" customHeight="1" x14ac:dyDescent="0.3">
      <c r="A499" s="15" t="s">
        <v>29</v>
      </c>
      <c r="C499" s="19"/>
      <c r="D499" s="33"/>
      <c r="E499" s="33"/>
      <c r="F499" s="20"/>
      <c r="G499" s="20"/>
      <c r="H499" s="20"/>
      <c r="I499" s="20"/>
      <c r="J499" s="20"/>
      <c r="K499" s="20"/>
      <c r="L499" s="20"/>
      <c r="M499" s="20"/>
      <c r="N499" s="20"/>
      <c r="O499" s="42"/>
      <c r="P499" s="42"/>
      <c r="Q499" s="42"/>
      <c r="R499" s="42"/>
      <c r="S499" s="42"/>
      <c r="T499" s="42"/>
      <c r="U499" s="55"/>
    </row>
    <row r="500" spans="1:21" ht="17.25" customHeight="1" x14ac:dyDescent="0.3">
      <c r="A500" s="15" t="s">
        <v>29</v>
      </c>
      <c r="C500" s="19"/>
      <c r="D500" s="33"/>
      <c r="E500" s="33" t="s">
        <v>30</v>
      </c>
      <c r="F500" s="20" t="s">
        <v>30</v>
      </c>
      <c r="G500" s="20" t="s">
        <v>30</v>
      </c>
      <c r="H500" s="20"/>
      <c r="I500" s="20"/>
      <c r="J500" s="20" t="s">
        <v>30</v>
      </c>
      <c r="K500" s="20" t="s">
        <v>30</v>
      </c>
      <c r="L500" s="20" t="s">
        <v>30</v>
      </c>
      <c r="M500" s="20" t="s">
        <v>30</v>
      </c>
      <c r="N500" s="20"/>
      <c r="U500" s="56"/>
    </row>
    <row r="501" spans="1:21" ht="20.25" customHeight="1" x14ac:dyDescent="0.35">
      <c r="A501" s="15" t="s">
        <v>29</v>
      </c>
      <c r="C501" s="19"/>
      <c r="D501" s="34" t="str">
        <f t="shared" ref="D501" si="421">E501</f>
        <v>E100039</v>
      </c>
      <c r="E501" s="35" t="str">
        <f>"E100039"</f>
        <v>E100039</v>
      </c>
      <c r="F501" s="36" t="str">
        <f>"Campfire Mug"</f>
        <v>Campfire Mug</v>
      </c>
      <c r="G501" s="36"/>
      <c r="H501" s="37" t="str">
        <f>"EA"</f>
        <v>EA</v>
      </c>
      <c r="I501" s="36"/>
      <c r="J501" s="36"/>
      <c r="K501" s="36"/>
      <c r="L501" s="36"/>
      <c r="M501" s="36"/>
      <c r="N501" s="36"/>
      <c r="O501" s="38">
        <f t="shared" ref="O501:T501" si="422">(SUBTOTAL(9,O502:O503))</f>
        <v>499.99999999999994</v>
      </c>
      <c r="P501" s="38">
        <f t="shared" si="422"/>
        <v>0</v>
      </c>
      <c r="Q501" s="38">
        <f t="shared" si="422"/>
        <v>0</v>
      </c>
      <c r="R501" s="38">
        <f t="shared" si="422"/>
        <v>0</v>
      </c>
      <c r="S501" s="38">
        <f t="shared" si="422"/>
        <v>0</v>
      </c>
      <c r="T501" s="38">
        <f t="shared" si="422"/>
        <v>0</v>
      </c>
      <c r="U501" s="53">
        <f t="shared" ref="U501" si="423">SUBTOTAL(9,O502:T503)</f>
        <v>499.99999999999994</v>
      </c>
    </row>
    <row r="502" spans="1:21" ht="17.25" customHeight="1" x14ac:dyDescent="0.3">
      <c r="A502" s="15" t="s">
        <v>29</v>
      </c>
      <c r="C502" s="19"/>
      <c r="D502" s="33" t="str">
        <f t="shared" ref="D502" si="424">D501</f>
        <v>E100039</v>
      </c>
      <c r="E502" s="33"/>
      <c r="F502" s="20"/>
      <c r="G502" s="20" t="str">
        <f>"""NAV"",""CRONUS JetCorp USA"",""32"",""1"",""168665"""</f>
        <v>"NAV","CRONUS JetCorp USA","32","1","168665"</v>
      </c>
      <c r="H502" s="39">
        <v>43466</v>
      </c>
      <c r="I502" s="40">
        <v>168665</v>
      </c>
      <c r="J502" s="40" t="str">
        <f>"Vendor"</f>
        <v>Vendor</v>
      </c>
      <c r="K502" s="40" t="str">
        <f>"V100003"</f>
        <v>V100003</v>
      </c>
      <c r="L502" s="40" t="str">
        <f>""</f>
        <v/>
      </c>
      <c r="M502" s="40" t="str">
        <f>"LogoMasters"</f>
        <v>LogoMasters</v>
      </c>
      <c r="N502" s="40" t="str">
        <f>""</f>
        <v/>
      </c>
      <c r="O502" s="41">
        <v>499.99999999999994</v>
      </c>
      <c r="P502" s="41">
        <v>0</v>
      </c>
      <c r="Q502" s="41">
        <v>0</v>
      </c>
      <c r="R502" s="41">
        <v>0</v>
      </c>
      <c r="S502" s="41">
        <v>0</v>
      </c>
      <c r="T502" s="41">
        <v>0</v>
      </c>
      <c r="U502" s="54"/>
    </row>
    <row r="503" spans="1:21" ht="17.25" customHeight="1" x14ac:dyDescent="0.3">
      <c r="A503" s="15" t="s">
        <v>29</v>
      </c>
      <c r="C503" s="19"/>
      <c r="D503" s="33"/>
      <c r="E503" s="33"/>
      <c r="F503" s="20"/>
      <c r="G503" s="20"/>
      <c r="H503" s="20"/>
      <c r="I503" s="20"/>
      <c r="J503" s="20"/>
      <c r="K503" s="20"/>
      <c r="L503" s="20"/>
      <c r="M503" s="20"/>
      <c r="N503" s="20"/>
      <c r="O503" s="42"/>
      <c r="P503" s="42"/>
      <c r="Q503" s="42"/>
      <c r="R503" s="42"/>
      <c r="S503" s="42"/>
      <c r="T503" s="42"/>
      <c r="U503" s="55"/>
    </row>
    <row r="504" spans="1:21" ht="17.25" customHeight="1" x14ac:dyDescent="0.3">
      <c r="A504" s="15" t="s">
        <v>29</v>
      </c>
      <c r="C504" s="19"/>
      <c r="D504" s="33"/>
      <c r="E504" s="33" t="s">
        <v>30</v>
      </c>
      <c r="F504" s="20" t="s">
        <v>30</v>
      </c>
      <c r="G504" s="20" t="s">
        <v>30</v>
      </c>
      <c r="H504" s="20"/>
      <c r="I504" s="20"/>
      <c r="J504" s="20" t="s">
        <v>30</v>
      </c>
      <c r="K504" s="20" t="s">
        <v>30</v>
      </c>
      <c r="L504" s="20" t="s">
        <v>30</v>
      </c>
      <c r="M504" s="20" t="s">
        <v>30</v>
      </c>
      <c r="N504" s="20"/>
      <c r="U504" s="56"/>
    </row>
    <row r="505" spans="1:21" ht="20.25" customHeight="1" x14ac:dyDescent="0.35">
      <c r="A505" s="15" t="s">
        <v>29</v>
      </c>
      <c r="C505" s="19"/>
      <c r="D505" s="34" t="str">
        <f t="shared" ref="D505" si="425">E505</f>
        <v>E100040</v>
      </c>
      <c r="E505" s="35" t="str">
        <f>"E100040"</f>
        <v>E100040</v>
      </c>
      <c r="F505" s="36" t="str">
        <f>"Wave Mug"</f>
        <v>Wave Mug</v>
      </c>
      <c r="G505" s="36"/>
      <c r="H505" s="37" t="str">
        <f>"EA"</f>
        <v>EA</v>
      </c>
      <c r="I505" s="36"/>
      <c r="J505" s="36"/>
      <c r="K505" s="36"/>
      <c r="L505" s="36"/>
      <c r="M505" s="36"/>
      <c r="N505" s="36"/>
      <c r="O505" s="38">
        <f t="shared" ref="O505:T505" si="426">(SUBTOTAL(9,O506:O508))</f>
        <v>1000</v>
      </c>
      <c r="P505" s="38">
        <f t="shared" si="426"/>
        <v>0</v>
      </c>
      <c r="Q505" s="38">
        <f t="shared" si="426"/>
        <v>0</v>
      </c>
      <c r="R505" s="38">
        <f t="shared" si="426"/>
        <v>0</v>
      </c>
      <c r="S505" s="38">
        <f t="shared" si="426"/>
        <v>0</v>
      </c>
      <c r="T505" s="38">
        <f t="shared" si="426"/>
        <v>0</v>
      </c>
      <c r="U505" s="53">
        <f t="shared" ref="U505" si="427">SUBTOTAL(9,O506:T508)</f>
        <v>1000</v>
      </c>
    </row>
    <row r="506" spans="1:21" ht="17.25" customHeight="1" x14ac:dyDescent="0.3">
      <c r="A506" s="15" t="s">
        <v>29</v>
      </c>
      <c r="C506" s="19"/>
      <c r="D506" s="33" t="str">
        <f t="shared" ref="D506" si="428">D505</f>
        <v>E100040</v>
      </c>
      <c r="E506" s="33"/>
      <c r="F506" s="20"/>
      <c r="G506" s="20" t="str">
        <f>"""NAV"",""CRONUS JetCorp USA"",""32"",""1"",""168664"""</f>
        <v>"NAV","CRONUS JetCorp USA","32","1","168664"</v>
      </c>
      <c r="H506" s="39">
        <v>43466</v>
      </c>
      <c r="I506" s="40">
        <v>168664</v>
      </c>
      <c r="J506" s="40" t="str">
        <f>"Vendor"</f>
        <v>Vendor</v>
      </c>
      <c r="K506" s="40" t="str">
        <f>"V100003"</f>
        <v>V100003</v>
      </c>
      <c r="L506" s="40" t="str">
        <f>""</f>
        <v/>
      </c>
      <c r="M506" s="40" t="str">
        <f>"LogoMasters"</f>
        <v>LogoMasters</v>
      </c>
      <c r="N506" s="40" t="str">
        <f>""</f>
        <v/>
      </c>
      <c r="O506" s="41">
        <v>750</v>
      </c>
      <c r="P506" s="41">
        <v>0</v>
      </c>
      <c r="Q506" s="41">
        <v>0</v>
      </c>
      <c r="R506" s="41">
        <v>0</v>
      </c>
      <c r="S506" s="41">
        <v>0</v>
      </c>
      <c r="T506" s="41">
        <v>0</v>
      </c>
      <c r="U506" s="54"/>
    </row>
    <row r="507" spans="1:21" ht="17.25" customHeight="1" x14ac:dyDescent="0.3">
      <c r="A507" s="15" t="s">
        <v>29</v>
      </c>
      <c r="C507" s="19"/>
      <c r="D507" s="33" t="str">
        <f t="shared" ref="D507" si="429">D506</f>
        <v>E100040</v>
      </c>
      <c r="E507" s="33"/>
      <c r="F507" s="20"/>
      <c r="G507" s="20" t="str">
        <f>"""NAV"",""CRONUS JetCorp USA"",""32"",""1"",""168679"""</f>
        <v>"NAV","CRONUS JetCorp USA","32","1","168679"</v>
      </c>
      <c r="H507" s="39">
        <v>43466</v>
      </c>
      <c r="I507" s="40">
        <v>168679</v>
      </c>
      <c r="J507" s="40" t="str">
        <f>"Vendor"</f>
        <v>Vendor</v>
      </c>
      <c r="K507" s="40" t="str">
        <f>"V100001"</f>
        <v>V100001</v>
      </c>
      <c r="L507" s="40" t="str">
        <f>""</f>
        <v/>
      </c>
      <c r="M507" s="40" t="str">
        <f>"Greigner, Inc."</f>
        <v>Greigner, Inc.</v>
      </c>
      <c r="N507" s="40" t="str">
        <f>""</f>
        <v/>
      </c>
      <c r="O507" s="41">
        <v>249.99999999999997</v>
      </c>
      <c r="P507" s="41">
        <v>0</v>
      </c>
      <c r="Q507" s="41">
        <v>0</v>
      </c>
      <c r="R507" s="41">
        <v>0</v>
      </c>
      <c r="S507" s="41">
        <v>0</v>
      </c>
      <c r="T507" s="41">
        <v>0</v>
      </c>
      <c r="U507" s="54"/>
    </row>
    <row r="508" spans="1:21" ht="17.25" customHeight="1" x14ac:dyDescent="0.3">
      <c r="A508" s="15" t="s">
        <v>29</v>
      </c>
      <c r="C508" s="19"/>
      <c r="D508" s="33"/>
      <c r="E508" s="33"/>
      <c r="F508" s="20"/>
      <c r="G508" s="20"/>
      <c r="H508" s="20"/>
      <c r="I508" s="20"/>
      <c r="J508" s="20"/>
      <c r="K508" s="20"/>
      <c r="L508" s="20"/>
      <c r="M508" s="20"/>
      <c r="N508" s="20"/>
      <c r="O508" s="42"/>
      <c r="P508" s="42"/>
      <c r="Q508" s="42"/>
      <c r="R508" s="42"/>
      <c r="S508" s="42"/>
      <c r="T508" s="42"/>
      <c r="U508" s="55"/>
    </row>
    <row r="509" spans="1:21" ht="17.25" customHeight="1" x14ac:dyDescent="0.3">
      <c r="A509" s="15" t="s">
        <v>29</v>
      </c>
      <c r="C509" s="19"/>
      <c r="D509" s="33"/>
      <c r="E509" s="33" t="s">
        <v>30</v>
      </c>
      <c r="F509" s="20" t="s">
        <v>30</v>
      </c>
      <c r="G509" s="20" t="s">
        <v>30</v>
      </c>
      <c r="H509" s="20"/>
      <c r="I509" s="20"/>
      <c r="J509" s="20" t="s">
        <v>30</v>
      </c>
      <c r="K509" s="20" t="s">
        <v>30</v>
      </c>
      <c r="L509" s="20" t="s">
        <v>30</v>
      </c>
      <c r="M509" s="20" t="s">
        <v>30</v>
      </c>
      <c r="N509" s="20"/>
      <c r="U509" s="56"/>
    </row>
    <row r="510" spans="1:21" ht="20.25" customHeight="1" x14ac:dyDescent="0.35">
      <c r="A510" s="15" t="s">
        <v>29</v>
      </c>
      <c r="C510" s="19"/>
      <c r="D510" s="34" t="str">
        <f t="shared" ref="D510" si="430">E510</f>
        <v>E100041</v>
      </c>
      <c r="E510" s="35" t="str">
        <f>"E100041"</f>
        <v>E100041</v>
      </c>
      <c r="F510" s="36" t="str">
        <f>"Biodegradable Colored SPORT BOT"</f>
        <v>Biodegradable Colored SPORT BOT</v>
      </c>
      <c r="G510" s="36"/>
      <c r="H510" s="37" t="str">
        <f>"EA"</f>
        <v>EA</v>
      </c>
      <c r="I510" s="36"/>
      <c r="J510" s="36"/>
      <c r="K510" s="36"/>
      <c r="L510" s="36"/>
      <c r="M510" s="36"/>
      <c r="N510" s="36"/>
      <c r="O510" s="38">
        <f t="shared" ref="O510:T510" si="431">(SUBTOTAL(9,O511:O513))</f>
        <v>1500</v>
      </c>
      <c r="P510" s="38">
        <f t="shared" si="431"/>
        <v>0</v>
      </c>
      <c r="Q510" s="38">
        <f t="shared" si="431"/>
        <v>0</v>
      </c>
      <c r="R510" s="38">
        <f t="shared" si="431"/>
        <v>0</v>
      </c>
      <c r="S510" s="38">
        <f t="shared" si="431"/>
        <v>0</v>
      </c>
      <c r="T510" s="38">
        <f t="shared" si="431"/>
        <v>0</v>
      </c>
      <c r="U510" s="53">
        <f t="shared" ref="U510" si="432">SUBTOTAL(9,O511:T513)</f>
        <v>1500</v>
      </c>
    </row>
    <row r="511" spans="1:21" ht="17.25" customHeight="1" x14ac:dyDescent="0.3">
      <c r="A511" s="15" t="s">
        <v>29</v>
      </c>
      <c r="C511" s="19"/>
      <c r="D511" s="33" t="str">
        <f t="shared" ref="D511" si="433">D510</f>
        <v>E100041</v>
      </c>
      <c r="E511" s="33"/>
      <c r="F511" s="20"/>
      <c r="G511" s="20" t="str">
        <f>"""NAV"",""CRONUS JetCorp USA"",""32"",""1"",""168663"""</f>
        <v>"NAV","CRONUS JetCorp USA","32","1","168663"</v>
      </c>
      <c r="H511" s="39">
        <v>43466</v>
      </c>
      <c r="I511" s="40">
        <v>168663</v>
      </c>
      <c r="J511" s="40" t="str">
        <f>"Vendor"</f>
        <v>Vendor</v>
      </c>
      <c r="K511" s="40" t="str">
        <f>"V100003"</f>
        <v>V100003</v>
      </c>
      <c r="L511" s="40" t="str">
        <f>""</f>
        <v/>
      </c>
      <c r="M511" s="40" t="str">
        <f>"LogoMasters"</f>
        <v>LogoMasters</v>
      </c>
      <c r="N511" s="40" t="str">
        <f>""</f>
        <v/>
      </c>
      <c r="O511" s="41">
        <v>1250</v>
      </c>
      <c r="P511" s="41">
        <v>0</v>
      </c>
      <c r="Q511" s="41">
        <v>0</v>
      </c>
      <c r="R511" s="41">
        <v>0</v>
      </c>
      <c r="S511" s="41">
        <v>0</v>
      </c>
      <c r="T511" s="41">
        <v>0</v>
      </c>
      <c r="U511" s="54"/>
    </row>
    <row r="512" spans="1:21" ht="17.25" customHeight="1" x14ac:dyDescent="0.3">
      <c r="A512" s="15" t="s">
        <v>29</v>
      </c>
      <c r="C512" s="19"/>
      <c r="D512" s="33" t="str">
        <f t="shared" ref="D512" si="434">D511</f>
        <v>E100041</v>
      </c>
      <c r="E512" s="33"/>
      <c r="F512" s="20"/>
      <c r="G512" s="20" t="str">
        <f>"""NAV"",""CRONUS JetCorp USA"",""32"",""1"",""168678"""</f>
        <v>"NAV","CRONUS JetCorp USA","32","1","168678"</v>
      </c>
      <c r="H512" s="39">
        <v>43466</v>
      </c>
      <c r="I512" s="40">
        <v>168678</v>
      </c>
      <c r="J512" s="40" t="str">
        <f>"Vendor"</f>
        <v>Vendor</v>
      </c>
      <c r="K512" s="40" t="str">
        <f>"V100001"</f>
        <v>V100001</v>
      </c>
      <c r="L512" s="40" t="str">
        <f>""</f>
        <v/>
      </c>
      <c r="M512" s="40" t="str">
        <f>"Greigner, Inc."</f>
        <v>Greigner, Inc.</v>
      </c>
      <c r="N512" s="40" t="str">
        <f>""</f>
        <v/>
      </c>
      <c r="O512" s="41">
        <v>249.99999999999997</v>
      </c>
      <c r="P512" s="41">
        <v>0</v>
      </c>
      <c r="Q512" s="41">
        <v>0</v>
      </c>
      <c r="R512" s="41">
        <v>0</v>
      </c>
      <c r="S512" s="41">
        <v>0</v>
      </c>
      <c r="T512" s="41">
        <v>0</v>
      </c>
      <c r="U512" s="54"/>
    </row>
    <row r="513" spans="1:21" ht="17.25" customHeight="1" x14ac:dyDescent="0.3">
      <c r="A513" s="15" t="s">
        <v>29</v>
      </c>
      <c r="C513" s="19"/>
      <c r="D513" s="33"/>
      <c r="E513" s="33"/>
      <c r="F513" s="20"/>
      <c r="G513" s="20"/>
      <c r="H513" s="20"/>
      <c r="I513" s="20"/>
      <c r="J513" s="20"/>
      <c r="K513" s="20"/>
      <c r="L513" s="20"/>
      <c r="M513" s="20"/>
      <c r="N513" s="20"/>
      <c r="O513" s="42"/>
      <c r="P513" s="42"/>
      <c r="Q513" s="42"/>
      <c r="R513" s="42"/>
      <c r="S513" s="42"/>
      <c r="T513" s="42"/>
      <c r="U513" s="55"/>
    </row>
    <row r="514" spans="1:21" ht="17.25" customHeight="1" x14ac:dyDescent="0.3">
      <c r="A514" s="15" t="s">
        <v>29</v>
      </c>
      <c r="C514" s="19"/>
      <c r="D514" s="33"/>
      <c r="E514" s="33" t="s">
        <v>30</v>
      </c>
      <c r="F514" s="20" t="s">
        <v>30</v>
      </c>
      <c r="G514" s="20" t="s">
        <v>30</v>
      </c>
      <c r="H514" s="20"/>
      <c r="I514" s="20"/>
      <c r="J514" s="20" t="s">
        <v>30</v>
      </c>
      <c r="K514" s="20" t="s">
        <v>30</v>
      </c>
      <c r="L514" s="20" t="s">
        <v>30</v>
      </c>
      <c r="M514" s="20" t="s">
        <v>30</v>
      </c>
      <c r="N514" s="20"/>
      <c r="U514" s="56"/>
    </row>
    <row r="515" spans="1:21" ht="20.25" customHeight="1" x14ac:dyDescent="0.35">
      <c r="A515" s="15" t="s">
        <v>29</v>
      </c>
      <c r="C515" s="19"/>
      <c r="D515" s="34" t="str">
        <f t="shared" ref="D515" si="435">E515</f>
        <v>E100042</v>
      </c>
      <c r="E515" s="35" t="str">
        <f>"E100042"</f>
        <v>E100042</v>
      </c>
      <c r="F515" s="36" t="str">
        <f>"Soft Touch Travel Mug"</f>
        <v>Soft Touch Travel Mug</v>
      </c>
      <c r="G515" s="36"/>
      <c r="H515" s="37" t="str">
        <f>"EA"</f>
        <v>EA</v>
      </c>
      <c r="I515" s="36"/>
      <c r="J515" s="36"/>
      <c r="K515" s="36"/>
      <c r="L515" s="36"/>
      <c r="M515" s="36"/>
      <c r="N515" s="36"/>
      <c r="O515" s="38">
        <f t="shared" ref="O515:T515" si="436">(SUBTOTAL(9,O516:O518))</f>
        <v>1500</v>
      </c>
      <c r="P515" s="38">
        <f t="shared" si="436"/>
        <v>0</v>
      </c>
      <c r="Q515" s="38">
        <f t="shared" si="436"/>
        <v>0</v>
      </c>
      <c r="R515" s="38">
        <f t="shared" si="436"/>
        <v>0</v>
      </c>
      <c r="S515" s="38">
        <f t="shared" si="436"/>
        <v>0</v>
      </c>
      <c r="T515" s="38">
        <f t="shared" si="436"/>
        <v>0</v>
      </c>
      <c r="U515" s="53">
        <f t="shared" ref="U515" si="437">SUBTOTAL(9,O516:T518)</f>
        <v>1500</v>
      </c>
    </row>
    <row r="516" spans="1:21" ht="17.25" customHeight="1" x14ac:dyDescent="0.3">
      <c r="A516" s="15" t="s">
        <v>29</v>
      </c>
      <c r="C516" s="19"/>
      <c r="D516" s="33" t="str">
        <f t="shared" ref="D516" si="438">D515</f>
        <v>E100042</v>
      </c>
      <c r="E516" s="33"/>
      <c r="F516" s="20"/>
      <c r="G516" s="20" t="str">
        <f>"""NAV"",""CRONUS JetCorp USA"",""32"",""1"",""168662"""</f>
        <v>"NAV","CRONUS JetCorp USA","32","1","168662"</v>
      </c>
      <c r="H516" s="39">
        <v>43466</v>
      </c>
      <c r="I516" s="40">
        <v>168662</v>
      </c>
      <c r="J516" s="40" t="str">
        <f>"Vendor"</f>
        <v>Vendor</v>
      </c>
      <c r="K516" s="40" t="str">
        <f>"V100003"</f>
        <v>V100003</v>
      </c>
      <c r="L516" s="40" t="str">
        <f>""</f>
        <v/>
      </c>
      <c r="M516" s="40" t="str">
        <f>"LogoMasters"</f>
        <v>LogoMasters</v>
      </c>
      <c r="N516" s="40" t="str">
        <f>""</f>
        <v/>
      </c>
      <c r="O516" s="41">
        <v>1250</v>
      </c>
      <c r="P516" s="41">
        <v>0</v>
      </c>
      <c r="Q516" s="41">
        <v>0</v>
      </c>
      <c r="R516" s="41">
        <v>0</v>
      </c>
      <c r="S516" s="41">
        <v>0</v>
      </c>
      <c r="T516" s="41">
        <v>0</v>
      </c>
      <c r="U516" s="54"/>
    </row>
    <row r="517" spans="1:21" ht="17.25" customHeight="1" x14ac:dyDescent="0.3">
      <c r="A517" s="15" t="s">
        <v>29</v>
      </c>
      <c r="C517" s="19"/>
      <c r="D517" s="33" t="str">
        <f t="shared" ref="D517" si="439">D516</f>
        <v>E100042</v>
      </c>
      <c r="E517" s="33"/>
      <c r="F517" s="20"/>
      <c r="G517" s="20" t="str">
        <f>"""NAV"",""CRONUS JetCorp USA"",""32"",""1"",""168677"""</f>
        <v>"NAV","CRONUS JetCorp USA","32","1","168677"</v>
      </c>
      <c r="H517" s="39">
        <v>43466</v>
      </c>
      <c r="I517" s="40">
        <v>168677</v>
      </c>
      <c r="J517" s="40" t="str">
        <f>"Vendor"</f>
        <v>Vendor</v>
      </c>
      <c r="K517" s="40" t="str">
        <f>"V100001"</f>
        <v>V100001</v>
      </c>
      <c r="L517" s="40" t="str">
        <f>""</f>
        <v/>
      </c>
      <c r="M517" s="40" t="str">
        <f>"Greigner, Inc."</f>
        <v>Greigner, Inc.</v>
      </c>
      <c r="N517" s="40" t="str">
        <f>""</f>
        <v/>
      </c>
      <c r="O517" s="41">
        <v>249.99999999999997</v>
      </c>
      <c r="P517" s="41">
        <v>0</v>
      </c>
      <c r="Q517" s="41">
        <v>0</v>
      </c>
      <c r="R517" s="41">
        <v>0</v>
      </c>
      <c r="S517" s="41">
        <v>0</v>
      </c>
      <c r="T517" s="41">
        <v>0</v>
      </c>
      <c r="U517" s="54"/>
    </row>
    <row r="518" spans="1:21" ht="17.25" customHeight="1" x14ac:dyDescent="0.3">
      <c r="A518" s="15" t="s">
        <v>29</v>
      </c>
      <c r="C518" s="19"/>
      <c r="D518" s="33"/>
      <c r="E518" s="33"/>
      <c r="F518" s="20"/>
      <c r="G518" s="20"/>
      <c r="H518" s="20"/>
      <c r="I518" s="20"/>
      <c r="J518" s="20"/>
      <c r="K518" s="20"/>
      <c r="L518" s="20"/>
      <c r="M518" s="20"/>
      <c r="N518" s="20"/>
      <c r="O518" s="42"/>
      <c r="P518" s="42"/>
      <c r="Q518" s="42"/>
      <c r="R518" s="42"/>
      <c r="S518" s="42"/>
      <c r="T518" s="42"/>
      <c r="U518" s="55"/>
    </row>
    <row r="519" spans="1:21" ht="17.25" customHeight="1" x14ac:dyDescent="0.3">
      <c r="A519" s="15" t="s">
        <v>29</v>
      </c>
      <c r="C519" s="19"/>
      <c r="D519" s="33"/>
      <c r="E519" s="33" t="s">
        <v>30</v>
      </c>
      <c r="F519" s="20" t="s">
        <v>30</v>
      </c>
      <c r="G519" s="20" t="s">
        <v>30</v>
      </c>
      <c r="H519" s="20"/>
      <c r="I519" s="20"/>
      <c r="J519" s="20" t="s">
        <v>30</v>
      </c>
      <c r="K519" s="20" t="s">
        <v>30</v>
      </c>
      <c r="L519" s="20" t="s">
        <v>30</v>
      </c>
      <c r="M519" s="20" t="s">
        <v>30</v>
      </c>
      <c r="N519" s="20"/>
      <c r="U519" s="56"/>
    </row>
    <row r="520" spans="1:21" ht="20.25" customHeight="1" x14ac:dyDescent="0.35">
      <c r="A520" s="15" t="s">
        <v>29</v>
      </c>
      <c r="C520" s="19"/>
      <c r="D520" s="34" t="str">
        <f t="shared" ref="D520" si="440">E520</f>
        <v>E100043</v>
      </c>
      <c r="E520" s="35" t="str">
        <f>"E100043"</f>
        <v>E100043</v>
      </c>
      <c r="F520" s="36" t="str">
        <f>"Pub Glass"</f>
        <v>Pub Glass</v>
      </c>
      <c r="G520" s="36"/>
      <c r="H520" s="37" t="str">
        <f>"EA"</f>
        <v>EA</v>
      </c>
      <c r="I520" s="36"/>
      <c r="J520" s="36"/>
      <c r="K520" s="36"/>
      <c r="L520" s="36"/>
      <c r="M520" s="36"/>
      <c r="N520" s="36"/>
      <c r="O520" s="38">
        <f t="shared" ref="O520:T520" si="441">(SUBTOTAL(9,O521:O523))</f>
        <v>1499.9999999999998</v>
      </c>
      <c r="P520" s="38">
        <f t="shared" si="441"/>
        <v>0</v>
      </c>
      <c r="Q520" s="38">
        <f t="shared" si="441"/>
        <v>0</v>
      </c>
      <c r="R520" s="38">
        <f t="shared" si="441"/>
        <v>0</v>
      </c>
      <c r="S520" s="38">
        <f t="shared" si="441"/>
        <v>0</v>
      </c>
      <c r="T520" s="38">
        <f t="shared" si="441"/>
        <v>0</v>
      </c>
      <c r="U520" s="53">
        <f t="shared" ref="U520" si="442">SUBTOTAL(9,O521:T523)</f>
        <v>1499.9999999999998</v>
      </c>
    </row>
    <row r="521" spans="1:21" ht="17.25" customHeight="1" x14ac:dyDescent="0.3">
      <c r="A521" s="15" t="s">
        <v>29</v>
      </c>
      <c r="C521" s="19"/>
      <c r="D521" s="33" t="str">
        <f t="shared" ref="D521" si="443">D520</f>
        <v>E100043</v>
      </c>
      <c r="E521" s="33"/>
      <c r="F521" s="20"/>
      <c r="G521" s="20" t="str">
        <f>"""NAV"",""CRONUS JetCorp USA"",""32"",""1"",""168661"""</f>
        <v>"NAV","CRONUS JetCorp USA","32","1","168661"</v>
      </c>
      <c r="H521" s="39">
        <v>43466</v>
      </c>
      <c r="I521" s="40">
        <v>168661</v>
      </c>
      <c r="J521" s="40" t="str">
        <f>"Vendor"</f>
        <v>Vendor</v>
      </c>
      <c r="K521" s="40" t="str">
        <f>"V100003"</f>
        <v>V100003</v>
      </c>
      <c r="L521" s="40" t="str">
        <f>""</f>
        <v/>
      </c>
      <c r="M521" s="40" t="str">
        <f>"LogoMasters"</f>
        <v>LogoMasters</v>
      </c>
      <c r="N521" s="40" t="str">
        <f>""</f>
        <v/>
      </c>
      <c r="O521" s="41">
        <v>999.99999999999989</v>
      </c>
      <c r="P521" s="41">
        <v>0</v>
      </c>
      <c r="Q521" s="41">
        <v>0</v>
      </c>
      <c r="R521" s="41">
        <v>0</v>
      </c>
      <c r="S521" s="41">
        <v>0</v>
      </c>
      <c r="T521" s="41">
        <v>0</v>
      </c>
      <c r="U521" s="54"/>
    </row>
    <row r="522" spans="1:21" ht="17.25" customHeight="1" x14ac:dyDescent="0.3">
      <c r="A522" s="15" t="s">
        <v>29</v>
      </c>
      <c r="C522" s="19"/>
      <c r="D522" s="33" t="str">
        <f t="shared" ref="D522" si="444">D521</f>
        <v>E100043</v>
      </c>
      <c r="E522" s="33"/>
      <c r="F522" s="20"/>
      <c r="G522" s="20" t="str">
        <f>"""NAV"",""CRONUS JetCorp USA"",""32"",""1"",""168676"""</f>
        <v>"NAV","CRONUS JetCorp USA","32","1","168676"</v>
      </c>
      <c r="H522" s="39">
        <v>43466</v>
      </c>
      <c r="I522" s="40">
        <v>168676</v>
      </c>
      <c r="J522" s="40" t="str">
        <f>"Vendor"</f>
        <v>Vendor</v>
      </c>
      <c r="K522" s="40" t="str">
        <f>"V100001"</f>
        <v>V100001</v>
      </c>
      <c r="L522" s="40" t="str">
        <f>""</f>
        <v/>
      </c>
      <c r="M522" s="40" t="str">
        <f>"Greigner, Inc."</f>
        <v>Greigner, Inc.</v>
      </c>
      <c r="N522" s="40" t="str">
        <f>""</f>
        <v/>
      </c>
      <c r="O522" s="41">
        <v>499.99999999999994</v>
      </c>
      <c r="P522" s="41">
        <v>0</v>
      </c>
      <c r="Q522" s="41">
        <v>0</v>
      </c>
      <c r="R522" s="41">
        <v>0</v>
      </c>
      <c r="S522" s="41">
        <v>0</v>
      </c>
      <c r="T522" s="41">
        <v>0</v>
      </c>
      <c r="U522" s="54"/>
    </row>
    <row r="523" spans="1:21" ht="17.25" customHeight="1" x14ac:dyDescent="0.3">
      <c r="A523" s="15" t="s">
        <v>29</v>
      </c>
      <c r="C523" s="19"/>
      <c r="D523" s="33"/>
      <c r="E523" s="33"/>
      <c r="F523" s="20"/>
      <c r="G523" s="20"/>
      <c r="H523" s="20"/>
      <c r="I523" s="20"/>
      <c r="J523" s="20"/>
      <c r="K523" s="20"/>
      <c r="L523" s="20"/>
      <c r="M523" s="20"/>
      <c r="N523" s="20"/>
      <c r="O523" s="42"/>
      <c r="P523" s="42"/>
      <c r="Q523" s="42"/>
      <c r="R523" s="42"/>
      <c r="S523" s="42"/>
      <c r="T523" s="42"/>
      <c r="U523" s="55"/>
    </row>
    <row r="524" spans="1:21" ht="17.25" customHeight="1" x14ac:dyDescent="0.3">
      <c r="A524" s="15" t="s">
        <v>29</v>
      </c>
      <c r="C524" s="19"/>
      <c r="D524" s="33"/>
      <c r="E524" s="33" t="s">
        <v>30</v>
      </c>
      <c r="F524" s="20" t="s">
        <v>30</v>
      </c>
      <c r="G524" s="20" t="s">
        <v>30</v>
      </c>
      <c r="H524" s="20"/>
      <c r="I524" s="20"/>
      <c r="J524" s="20" t="s">
        <v>30</v>
      </c>
      <c r="K524" s="20" t="s">
        <v>30</v>
      </c>
      <c r="L524" s="20" t="s">
        <v>30</v>
      </c>
      <c r="M524" s="20" t="s">
        <v>30</v>
      </c>
      <c r="N524" s="20"/>
      <c r="U524" s="56"/>
    </row>
    <row r="525" spans="1:21" ht="20.25" customHeight="1" x14ac:dyDescent="0.35">
      <c r="A525" s="15" t="s">
        <v>29</v>
      </c>
      <c r="C525" s="19"/>
      <c r="D525" s="34" t="str">
        <f t="shared" ref="D525" si="445">E525</f>
        <v>E100044</v>
      </c>
      <c r="E525" s="35" t="str">
        <f>"E100044"</f>
        <v>E100044</v>
      </c>
      <c r="F525" s="36" t="str">
        <f>"Juice Glass"</f>
        <v>Juice Glass</v>
      </c>
      <c r="G525" s="36"/>
      <c r="H525" s="37" t="str">
        <f>"EA"</f>
        <v>EA</v>
      </c>
      <c r="I525" s="36"/>
      <c r="J525" s="36"/>
      <c r="K525" s="36"/>
      <c r="L525" s="36"/>
      <c r="M525" s="36"/>
      <c r="N525" s="36"/>
      <c r="O525" s="38">
        <f t="shared" ref="O525:T525" si="446">(SUBTOTAL(9,O526:O528))</f>
        <v>1750</v>
      </c>
      <c r="P525" s="38">
        <f t="shared" si="446"/>
        <v>0</v>
      </c>
      <c r="Q525" s="38">
        <f t="shared" si="446"/>
        <v>0</v>
      </c>
      <c r="R525" s="38">
        <f t="shared" si="446"/>
        <v>0</v>
      </c>
      <c r="S525" s="38">
        <f t="shared" si="446"/>
        <v>0</v>
      </c>
      <c r="T525" s="38">
        <f t="shared" si="446"/>
        <v>0</v>
      </c>
      <c r="U525" s="53">
        <f t="shared" ref="U525" si="447">SUBTOTAL(9,O526:T528)</f>
        <v>1750</v>
      </c>
    </row>
    <row r="526" spans="1:21" ht="17.25" customHeight="1" x14ac:dyDescent="0.3">
      <c r="A526" s="15" t="s">
        <v>29</v>
      </c>
      <c r="C526" s="19"/>
      <c r="D526" s="33" t="str">
        <f t="shared" ref="D526" si="448">D525</f>
        <v>E100044</v>
      </c>
      <c r="E526" s="33"/>
      <c r="F526" s="20"/>
      <c r="G526" s="20" t="str">
        <f>"""NAV"",""CRONUS JetCorp USA"",""32"",""1"",""168660"""</f>
        <v>"NAV","CRONUS JetCorp USA","32","1","168660"</v>
      </c>
      <c r="H526" s="39">
        <v>43466</v>
      </c>
      <c r="I526" s="40">
        <v>168660</v>
      </c>
      <c r="J526" s="40" t="str">
        <f>"Vendor"</f>
        <v>Vendor</v>
      </c>
      <c r="K526" s="40" t="str">
        <f>"V100003"</f>
        <v>V100003</v>
      </c>
      <c r="L526" s="40" t="str">
        <f>""</f>
        <v/>
      </c>
      <c r="M526" s="40" t="str">
        <f>"LogoMasters"</f>
        <v>LogoMasters</v>
      </c>
      <c r="N526" s="40" t="str">
        <f>""</f>
        <v/>
      </c>
      <c r="O526" s="41">
        <v>1500</v>
      </c>
      <c r="P526" s="41">
        <v>0</v>
      </c>
      <c r="Q526" s="41">
        <v>0</v>
      </c>
      <c r="R526" s="41">
        <v>0</v>
      </c>
      <c r="S526" s="41">
        <v>0</v>
      </c>
      <c r="T526" s="41">
        <v>0</v>
      </c>
      <c r="U526" s="54"/>
    </row>
    <row r="527" spans="1:21" ht="17.25" customHeight="1" x14ac:dyDescent="0.3">
      <c r="A527" s="15" t="s">
        <v>29</v>
      </c>
      <c r="C527" s="19"/>
      <c r="D527" s="33" t="str">
        <f t="shared" ref="D527" si="449">D526</f>
        <v>E100044</v>
      </c>
      <c r="E527" s="33"/>
      <c r="F527" s="20"/>
      <c r="G527" s="20" t="str">
        <f>"""NAV"",""CRONUS JetCorp USA"",""32"",""1"",""168675"""</f>
        <v>"NAV","CRONUS JetCorp USA","32","1","168675"</v>
      </c>
      <c r="H527" s="39">
        <v>43466</v>
      </c>
      <c r="I527" s="40">
        <v>168675</v>
      </c>
      <c r="J527" s="40" t="str">
        <f>"Vendor"</f>
        <v>Vendor</v>
      </c>
      <c r="K527" s="40" t="str">
        <f>"V100001"</f>
        <v>V100001</v>
      </c>
      <c r="L527" s="40" t="str">
        <f>""</f>
        <v/>
      </c>
      <c r="M527" s="40" t="str">
        <f>"Greigner, Inc."</f>
        <v>Greigner, Inc.</v>
      </c>
      <c r="N527" s="40" t="str">
        <f>""</f>
        <v/>
      </c>
      <c r="O527" s="41">
        <v>249.99999999999997</v>
      </c>
      <c r="P527" s="41">
        <v>0</v>
      </c>
      <c r="Q527" s="41">
        <v>0</v>
      </c>
      <c r="R527" s="41">
        <v>0</v>
      </c>
      <c r="S527" s="41">
        <v>0</v>
      </c>
      <c r="T527" s="41">
        <v>0</v>
      </c>
      <c r="U527" s="54"/>
    </row>
    <row r="528" spans="1:21" ht="17.25" customHeight="1" x14ac:dyDescent="0.3">
      <c r="A528" s="15" t="s">
        <v>29</v>
      </c>
      <c r="C528" s="19"/>
      <c r="D528" s="33"/>
      <c r="E528" s="33"/>
      <c r="F528" s="20"/>
      <c r="G528" s="20"/>
      <c r="H528" s="20"/>
      <c r="I528" s="20"/>
      <c r="J528" s="20"/>
      <c r="K528" s="20"/>
      <c r="L528" s="20"/>
      <c r="M528" s="20"/>
      <c r="N528" s="20"/>
      <c r="O528" s="42"/>
      <c r="P528" s="42"/>
      <c r="Q528" s="42"/>
      <c r="R528" s="42"/>
      <c r="S528" s="42"/>
      <c r="T528" s="42"/>
      <c r="U528" s="55"/>
    </row>
    <row r="529" spans="1:21" ht="17.25" customHeight="1" x14ac:dyDescent="0.3">
      <c r="A529" s="15" t="s">
        <v>29</v>
      </c>
      <c r="C529" s="19"/>
      <c r="D529" s="33"/>
      <c r="E529" s="33" t="s">
        <v>30</v>
      </c>
      <c r="F529" s="20" t="s">
        <v>30</v>
      </c>
      <c r="G529" s="20" t="s">
        <v>30</v>
      </c>
      <c r="H529" s="20"/>
      <c r="I529" s="20"/>
      <c r="J529" s="20" t="s">
        <v>30</v>
      </c>
      <c r="K529" s="20" t="s">
        <v>30</v>
      </c>
      <c r="L529" s="20" t="s">
        <v>30</v>
      </c>
      <c r="M529" s="20" t="s">
        <v>30</v>
      </c>
      <c r="N529" s="20"/>
      <c r="U529" s="56"/>
    </row>
    <row r="530" spans="1:21" ht="20.25" customHeight="1" x14ac:dyDescent="0.35">
      <c r="A530" s="15" t="s">
        <v>29</v>
      </c>
      <c r="C530" s="19"/>
      <c r="D530" s="34" t="str">
        <f t="shared" ref="D530" si="450">E530</f>
        <v>E100045</v>
      </c>
      <c r="E530" s="35" t="str">
        <f>"E100045"</f>
        <v>E100045</v>
      </c>
      <c r="F530" s="36" t="str">
        <f>"Flute"</f>
        <v>Flute</v>
      </c>
      <c r="G530" s="36"/>
      <c r="H530" s="37" t="str">
        <f>"EA"</f>
        <v>EA</v>
      </c>
      <c r="I530" s="36"/>
      <c r="J530" s="36"/>
      <c r="K530" s="36"/>
      <c r="L530" s="36"/>
      <c r="M530" s="36"/>
      <c r="N530" s="36"/>
      <c r="O530" s="38">
        <f t="shared" ref="O530:T530" si="451">(SUBTOTAL(9,O531:O533))</f>
        <v>1750</v>
      </c>
      <c r="P530" s="38">
        <f t="shared" si="451"/>
        <v>0</v>
      </c>
      <c r="Q530" s="38">
        <f t="shared" si="451"/>
        <v>0</v>
      </c>
      <c r="R530" s="38">
        <f t="shared" si="451"/>
        <v>0</v>
      </c>
      <c r="S530" s="38">
        <f t="shared" si="451"/>
        <v>0</v>
      </c>
      <c r="T530" s="38">
        <f t="shared" si="451"/>
        <v>0</v>
      </c>
      <c r="U530" s="53">
        <f t="shared" ref="U530" si="452">SUBTOTAL(9,O531:T533)</f>
        <v>1750</v>
      </c>
    </row>
    <row r="531" spans="1:21" ht="17.25" customHeight="1" x14ac:dyDescent="0.3">
      <c r="A531" s="15" t="s">
        <v>29</v>
      </c>
      <c r="C531" s="19"/>
      <c r="D531" s="33" t="str">
        <f t="shared" ref="D531" si="453">D530</f>
        <v>E100045</v>
      </c>
      <c r="E531" s="33"/>
      <c r="F531" s="20"/>
      <c r="G531" s="20" t="str">
        <f>"""NAV"",""CRONUS JetCorp USA"",""32"",""1"",""168659"""</f>
        <v>"NAV","CRONUS JetCorp USA","32","1","168659"</v>
      </c>
      <c r="H531" s="39">
        <v>43466</v>
      </c>
      <c r="I531" s="40">
        <v>168659</v>
      </c>
      <c r="J531" s="40" t="str">
        <f>"Vendor"</f>
        <v>Vendor</v>
      </c>
      <c r="K531" s="40" t="str">
        <f>"V100003"</f>
        <v>V100003</v>
      </c>
      <c r="L531" s="40" t="str">
        <f>""</f>
        <v/>
      </c>
      <c r="M531" s="40" t="str">
        <f>"LogoMasters"</f>
        <v>LogoMasters</v>
      </c>
      <c r="N531" s="40" t="str">
        <f>""</f>
        <v/>
      </c>
      <c r="O531" s="41">
        <v>1500</v>
      </c>
      <c r="P531" s="41">
        <v>0</v>
      </c>
      <c r="Q531" s="41">
        <v>0</v>
      </c>
      <c r="R531" s="41">
        <v>0</v>
      </c>
      <c r="S531" s="41">
        <v>0</v>
      </c>
      <c r="T531" s="41">
        <v>0</v>
      </c>
      <c r="U531" s="54"/>
    </row>
    <row r="532" spans="1:21" ht="17.25" customHeight="1" x14ac:dyDescent="0.3">
      <c r="A532" s="15" t="s">
        <v>29</v>
      </c>
      <c r="C532" s="19"/>
      <c r="D532" s="33" t="str">
        <f t="shared" ref="D532" si="454">D531</f>
        <v>E100045</v>
      </c>
      <c r="E532" s="33"/>
      <c r="F532" s="20"/>
      <c r="G532" s="20" t="str">
        <f>"""NAV"",""CRONUS JetCorp USA"",""32"",""1"",""168674"""</f>
        <v>"NAV","CRONUS JetCorp USA","32","1","168674"</v>
      </c>
      <c r="H532" s="39">
        <v>43466</v>
      </c>
      <c r="I532" s="40">
        <v>168674</v>
      </c>
      <c r="J532" s="40" t="str">
        <f>"Vendor"</f>
        <v>Vendor</v>
      </c>
      <c r="K532" s="40" t="str">
        <f>"V100001"</f>
        <v>V100001</v>
      </c>
      <c r="L532" s="40" t="str">
        <f>""</f>
        <v/>
      </c>
      <c r="M532" s="40" t="str">
        <f>"Greigner, Inc."</f>
        <v>Greigner, Inc.</v>
      </c>
      <c r="N532" s="40" t="str">
        <f>""</f>
        <v/>
      </c>
      <c r="O532" s="41">
        <v>249.99999999999997</v>
      </c>
      <c r="P532" s="41">
        <v>0</v>
      </c>
      <c r="Q532" s="41">
        <v>0</v>
      </c>
      <c r="R532" s="41">
        <v>0</v>
      </c>
      <c r="S532" s="41">
        <v>0</v>
      </c>
      <c r="T532" s="41">
        <v>0</v>
      </c>
      <c r="U532" s="54"/>
    </row>
    <row r="533" spans="1:21" ht="17.25" customHeight="1" x14ac:dyDescent="0.3">
      <c r="A533" s="15" t="s">
        <v>29</v>
      </c>
      <c r="C533" s="19"/>
      <c r="D533" s="33"/>
      <c r="E533" s="33"/>
      <c r="F533" s="20"/>
      <c r="G533" s="20"/>
      <c r="H533" s="20"/>
      <c r="I533" s="20"/>
      <c r="J533" s="20"/>
      <c r="K533" s="20"/>
      <c r="L533" s="20"/>
      <c r="M533" s="20"/>
      <c r="N533" s="20"/>
      <c r="O533" s="42"/>
      <c r="P533" s="42"/>
      <c r="Q533" s="42"/>
      <c r="R533" s="42"/>
      <c r="S533" s="42"/>
      <c r="T533" s="42"/>
      <c r="U533" s="55"/>
    </row>
    <row r="534" spans="1:21" ht="17.25" customHeight="1" x14ac:dyDescent="0.3">
      <c r="A534" s="15" t="s">
        <v>29</v>
      </c>
      <c r="C534" s="19"/>
      <c r="D534" s="33"/>
      <c r="E534" s="33" t="s">
        <v>30</v>
      </c>
      <c r="F534" s="20" t="s">
        <v>30</v>
      </c>
      <c r="G534" s="20" t="s">
        <v>30</v>
      </c>
      <c r="H534" s="20"/>
      <c r="I534" s="20"/>
      <c r="J534" s="20" t="s">
        <v>30</v>
      </c>
      <c r="K534" s="20" t="s">
        <v>30</v>
      </c>
      <c r="L534" s="20" t="s">
        <v>30</v>
      </c>
      <c r="M534" s="20" t="s">
        <v>30</v>
      </c>
      <c r="N534" s="20"/>
      <c r="U534" s="56"/>
    </row>
    <row r="535" spans="1:21" ht="20.25" customHeight="1" x14ac:dyDescent="0.35">
      <c r="A535" s="15" t="s">
        <v>29</v>
      </c>
      <c r="C535" s="19"/>
      <c r="D535" s="34" t="str">
        <f t="shared" ref="D535" si="455">E535</f>
        <v>E100046</v>
      </c>
      <c r="E535" s="35" t="str">
        <f>"E100046"</f>
        <v>E100046</v>
      </c>
      <c r="F535" s="36" t="str">
        <f>"Milk Bottle"</f>
        <v>Milk Bottle</v>
      </c>
      <c r="G535" s="36"/>
      <c r="H535" s="37" t="str">
        <f>"EA"</f>
        <v>EA</v>
      </c>
      <c r="I535" s="36"/>
      <c r="J535" s="36"/>
      <c r="K535" s="36"/>
      <c r="L535" s="36"/>
      <c r="M535" s="36"/>
      <c r="N535" s="36"/>
      <c r="O535" s="38">
        <f t="shared" ref="O535:T535" si="456">(SUBTOTAL(9,O536:O537))</f>
        <v>499.99999999999994</v>
      </c>
      <c r="P535" s="38">
        <f t="shared" si="456"/>
        <v>0</v>
      </c>
      <c r="Q535" s="38">
        <f t="shared" si="456"/>
        <v>0</v>
      </c>
      <c r="R535" s="38">
        <f t="shared" si="456"/>
        <v>0</v>
      </c>
      <c r="S535" s="38">
        <f t="shared" si="456"/>
        <v>0</v>
      </c>
      <c r="T535" s="38">
        <f t="shared" si="456"/>
        <v>0</v>
      </c>
      <c r="U535" s="53">
        <f t="shared" ref="U535" si="457">SUBTOTAL(9,O536:T537)</f>
        <v>499.99999999999994</v>
      </c>
    </row>
    <row r="536" spans="1:21" ht="17.25" customHeight="1" x14ac:dyDescent="0.3">
      <c r="A536" s="15" t="s">
        <v>29</v>
      </c>
      <c r="C536" s="19"/>
      <c r="D536" s="33" t="str">
        <f t="shared" ref="D536" si="458">D535</f>
        <v>E100046</v>
      </c>
      <c r="E536" s="33"/>
      <c r="F536" s="20"/>
      <c r="G536" s="20" t="str">
        <f>"""NAV"",""CRONUS JetCorp USA"",""32"",""1"",""168658"""</f>
        <v>"NAV","CRONUS JetCorp USA","32","1","168658"</v>
      </c>
      <c r="H536" s="39">
        <v>43466</v>
      </c>
      <c r="I536" s="40">
        <v>168658</v>
      </c>
      <c r="J536" s="40" t="str">
        <f>"Vendor"</f>
        <v>Vendor</v>
      </c>
      <c r="K536" s="40" t="str">
        <f>"V100003"</f>
        <v>V100003</v>
      </c>
      <c r="L536" s="40" t="str">
        <f>""</f>
        <v/>
      </c>
      <c r="M536" s="40" t="str">
        <f>"LogoMasters"</f>
        <v>LogoMasters</v>
      </c>
      <c r="N536" s="40" t="str">
        <f>""</f>
        <v/>
      </c>
      <c r="O536" s="41">
        <v>499.99999999999994</v>
      </c>
      <c r="P536" s="41">
        <v>0</v>
      </c>
      <c r="Q536" s="41">
        <v>0</v>
      </c>
      <c r="R536" s="41">
        <v>0</v>
      </c>
      <c r="S536" s="41">
        <v>0</v>
      </c>
      <c r="T536" s="41">
        <v>0</v>
      </c>
      <c r="U536" s="54"/>
    </row>
    <row r="537" spans="1:21" ht="17.25" customHeight="1" x14ac:dyDescent="0.3">
      <c r="A537" s="15" t="s">
        <v>29</v>
      </c>
      <c r="C537" s="19"/>
      <c r="D537" s="33"/>
      <c r="E537" s="33"/>
      <c r="F537" s="20"/>
      <c r="G537" s="20"/>
      <c r="H537" s="20"/>
      <c r="I537" s="20"/>
      <c r="J537" s="20"/>
      <c r="K537" s="20"/>
      <c r="L537" s="20"/>
      <c r="M537" s="20"/>
      <c r="N537" s="20"/>
      <c r="O537" s="42"/>
      <c r="P537" s="42"/>
      <c r="Q537" s="42"/>
      <c r="R537" s="42"/>
      <c r="S537" s="42"/>
      <c r="T537" s="42"/>
      <c r="U537" s="55"/>
    </row>
    <row r="538" spans="1:21" ht="17.25" customHeight="1" x14ac:dyDescent="0.3">
      <c r="A538" s="15" t="s">
        <v>29</v>
      </c>
      <c r="C538" s="19"/>
      <c r="D538" s="33"/>
      <c r="E538" s="33" t="s">
        <v>30</v>
      </c>
      <c r="F538" s="20" t="s">
        <v>30</v>
      </c>
      <c r="G538" s="20" t="s">
        <v>30</v>
      </c>
      <c r="H538" s="20"/>
      <c r="I538" s="20"/>
      <c r="J538" s="20" t="s">
        <v>30</v>
      </c>
      <c r="K538" s="20" t="s">
        <v>30</v>
      </c>
      <c r="L538" s="20" t="s">
        <v>30</v>
      </c>
      <c r="M538" s="20" t="s">
        <v>30</v>
      </c>
      <c r="N538" s="20"/>
      <c r="U538" s="56"/>
    </row>
    <row r="539" spans="1:21" ht="20.25" customHeight="1" x14ac:dyDescent="0.35">
      <c r="A539" s="15" t="s">
        <v>29</v>
      </c>
      <c r="C539" s="19"/>
      <c r="D539" s="34" t="str">
        <f t="shared" ref="D539" si="459">E539</f>
        <v>E100047</v>
      </c>
      <c r="E539" s="35" t="str">
        <f>"E100047"</f>
        <v>E100047</v>
      </c>
      <c r="F539" s="36" t="str">
        <f>"Chardonnay Glass"</f>
        <v>Chardonnay Glass</v>
      </c>
      <c r="G539" s="36"/>
      <c r="H539" s="37" t="str">
        <f>"EA"</f>
        <v>EA</v>
      </c>
      <c r="I539" s="36"/>
      <c r="J539" s="36"/>
      <c r="K539" s="36"/>
      <c r="L539" s="36"/>
      <c r="M539" s="36"/>
      <c r="N539" s="36"/>
      <c r="O539" s="38">
        <f t="shared" ref="O539:T539" si="460">(SUBTOTAL(9,O540:O542))</f>
        <v>1250</v>
      </c>
      <c r="P539" s="38">
        <f t="shared" si="460"/>
        <v>-144</v>
      </c>
      <c r="Q539" s="38">
        <f t="shared" si="460"/>
        <v>0</v>
      </c>
      <c r="R539" s="38">
        <f t="shared" si="460"/>
        <v>0</v>
      </c>
      <c r="S539" s="38">
        <f t="shared" si="460"/>
        <v>0</v>
      </c>
      <c r="T539" s="38">
        <f t="shared" si="460"/>
        <v>0</v>
      </c>
      <c r="U539" s="53">
        <f t="shared" ref="U539" si="461">SUBTOTAL(9,O540:T542)</f>
        <v>1106</v>
      </c>
    </row>
    <row r="540" spans="1:21" ht="17.25" customHeight="1" x14ac:dyDescent="0.3">
      <c r="A540" s="15" t="s">
        <v>29</v>
      </c>
      <c r="C540" s="19"/>
      <c r="D540" s="33" t="str">
        <f t="shared" ref="D540" si="462">D539</f>
        <v>E100047</v>
      </c>
      <c r="E540" s="33"/>
      <c r="F540" s="20"/>
      <c r="G540" s="20" t="str">
        <f>"""NAV"",""CRONUS JetCorp USA"",""32"",""1"",""168657"""</f>
        <v>"NAV","CRONUS JetCorp USA","32","1","168657"</v>
      </c>
      <c r="H540" s="39">
        <v>43466</v>
      </c>
      <c r="I540" s="40">
        <v>168657</v>
      </c>
      <c r="J540" s="40" t="str">
        <f>"Vendor"</f>
        <v>Vendor</v>
      </c>
      <c r="K540" s="40" t="str">
        <f>"V100003"</f>
        <v>V100003</v>
      </c>
      <c r="L540" s="40" t="str">
        <f>""</f>
        <v/>
      </c>
      <c r="M540" s="40" t="str">
        <f>"LogoMasters"</f>
        <v>LogoMasters</v>
      </c>
      <c r="N540" s="40" t="str">
        <f>""</f>
        <v/>
      </c>
      <c r="O540" s="41">
        <v>1250</v>
      </c>
      <c r="P540" s="41">
        <v>0</v>
      </c>
      <c r="Q540" s="41">
        <v>0</v>
      </c>
      <c r="R540" s="41">
        <v>0</v>
      </c>
      <c r="S540" s="41">
        <v>0</v>
      </c>
      <c r="T540" s="41">
        <v>0</v>
      </c>
      <c r="U540" s="54"/>
    </row>
    <row r="541" spans="1:21" ht="17.25" customHeight="1" x14ac:dyDescent="0.3">
      <c r="A541" s="15" t="s">
        <v>29</v>
      </c>
      <c r="C541" s="19"/>
      <c r="D541" s="33" t="str">
        <f t="shared" ref="D541" si="463">D540</f>
        <v>E100047</v>
      </c>
      <c r="E541" s="33"/>
      <c r="F541" s="20"/>
      <c r="G541" s="20" t="str">
        <f>"""NAV"",""CRONUS JetCorp USA"",""32"",""1"",""153194"""</f>
        <v>"NAV","CRONUS JetCorp USA","32","1","153194"</v>
      </c>
      <c r="H541" s="39">
        <v>43469</v>
      </c>
      <c r="I541" s="40">
        <v>153194</v>
      </c>
      <c r="J541" s="40" t="str">
        <f>"Customer"</f>
        <v>Customer</v>
      </c>
      <c r="K541" s="40" t="str">
        <f>"C100136"</f>
        <v>C100136</v>
      </c>
      <c r="L541" s="40" t="str">
        <f>"First Bank"</f>
        <v>First Bank</v>
      </c>
      <c r="M541" s="40" t="str">
        <f>""</f>
        <v/>
      </c>
      <c r="N541" s="40" t="str">
        <f>""</f>
        <v/>
      </c>
      <c r="O541" s="41">
        <v>0</v>
      </c>
      <c r="P541" s="41">
        <v>-144</v>
      </c>
      <c r="Q541" s="41">
        <v>0</v>
      </c>
      <c r="R541" s="41">
        <v>0</v>
      </c>
      <c r="S541" s="41">
        <v>0</v>
      </c>
      <c r="T541" s="41">
        <v>0</v>
      </c>
      <c r="U541" s="54"/>
    </row>
    <row r="542" spans="1:21" ht="17.25" customHeight="1" x14ac:dyDescent="0.3">
      <c r="A542" s="15" t="s">
        <v>29</v>
      </c>
      <c r="C542" s="19"/>
      <c r="D542" s="33"/>
      <c r="E542" s="33"/>
      <c r="F542" s="20"/>
      <c r="G542" s="20"/>
      <c r="H542" s="20"/>
      <c r="I542" s="20"/>
      <c r="J542" s="20"/>
      <c r="K542" s="20"/>
      <c r="L542" s="20"/>
      <c r="M542" s="20"/>
      <c r="N542" s="20"/>
      <c r="O542" s="42"/>
      <c r="P542" s="42"/>
      <c r="Q542" s="42"/>
      <c r="R542" s="42"/>
      <c r="S542" s="42"/>
      <c r="T542" s="42"/>
      <c r="U542" s="55"/>
    </row>
    <row r="543" spans="1:21" ht="17.25" customHeight="1" x14ac:dyDescent="0.3">
      <c r="A543" s="15" t="s">
        <v>29</v>
      </c>
      <c r="C543" s="19"/>
      <c r="D543" s="33"/>
      <c r="E543" s="33" t="s">
        <v>30</v>
      </c>
      <c r="F543" s="20" t="s">
        <v>30</v>
      </c>
      <c r="G543" s="20" t="s">
        <v>30</v>
      </c>
      <c r="H543" s="20"/>
      <c r="I543" s="20"/>
      <c r="J543" s="20" t="s">
        <v>30</v>
      </c>
      <c r="K543" s="20" t="s">
        <v>30</v>
      </c>
      <c r="L543" s="20" t="s">
        <v>30</v>
      </c>
      <c r="M543" s="20" t="s">
        <v>30</v>
      </c>
      <c r="N543" s="20"/>
      <c r="U543" s="56"/>
    </row>
    <row r="544" spans="1:21" ht="20.25" customHeight="1" x14ac:dyDescent="0.35">
      <c r="A544" s="15" t="s">
        <v>29</v>
      </c>
      <c r="C544" s="19"/>
      <c r="D544" s="34" t="str">
        <f t="shared" ref="D544" si="464">E544</f>
        <v>S100001</v>
      </c>
      <c r="E544" s="35" t="str">
        <f>"S100001"</f>
        <v>S100001</v>
      </c>
      <c r="F544" s="36" t="str">
        <f>"Basketball Graphic Plaque"</f>
        <v>Basketball Graphic Plaque</v>
      </c>
      <c r="G544" s="36"/>
      <c r="H544" s="37" t="str">
        <f>"EA"</f>
        <v>EA</v>
      </c>
      <c r="I544" s="36"/>
      <c r="J544" s="36"/>
      <c r="K544" s="36"/>
      <c r="L544" s="36"/>
      <c r="M544" s="36"/>
      <c r="N544" s="36"/>
      <c r="O544" s="38">
        <f t="shared" ref="O544:T544" si="465">(SUBTOTAL(9,O545:O549))</f>
        <v>200</v>
      </c>
      <c r="P544" s="38">
        <f t="shared" si="465"/>
        <v>-288</v>
      </c>
      <c r="Q544" s="38">
        <f t="shared" si="465"/>
        <v>0</v>
      </c>
      <c r="R544" s="38">
        <f t="shared" si="465"/>
        <v>0</v>
      </c>
      <c r="S544" s="38">
        <f t="shared" si="465"/>
        <v>0</v>
      </c>
      <c r="T544" s="38">
        <f t="shared" si="465"/>
        <v>0</v>
      </c>
      <c r="U544" s="53">
        <f t="shared" ref="U544" si="466">SUBTOTAL(9,O545:T549)</f>
        <v>-88</v>
      </c>
    </row>
    <row r="545" spans="1:21" ht="17.25" customHeight="1" x14ac:dyDescent="0.3">
      <c r="A545" s="15" t="s">
        <v>29</v>
      </c>
      <c r="C545" s="19"/>
      <c r="D545" s="33" t="str">
        <f t="shared" ref="D545" si="467">D544</f>
        <v>S100001</v>
      </c>
      <c r="E545" s="33"/>
      <c r="F545" s="20"/>
      <c r="G545" s="20" t="str">
        <f>"""NAV"",""CRONUS JetCorp USA"",""32"",""1"",""166410"""</f>
        <v>"NAV","CRONUS JetCorp USA","32","1","166410"</v>
      </c>
      <c r="H545" s="39">
        <v>43466</v>
      </c>
      <c r="I545" s="40">
        <v>166410</v>
      </c>
      <c r="J545" s="40" t="str">
        <f>"Vendor"</f>
        <v>Vendor</v>
      </c>
      <c r="K545" s="40" t="str">
        <f>"V100003"</f>
        <v>V100003</v>
      </c>
      <c r="L545" s="40" t="str">
        <f>""</f>
        <v/>
      </c>
      <c r="M545" s="40" t="str">
        <f>"LogoMasters"</f>
        <v>LogoMasters</v>
      </c>
      <c r="N545" s="40" t="str">
        <f>""</f>
        <v/>
      </c>
      <c r="O545" s="41">
        <v>100</v>
      </c>
      <c r="P545" s="41">
        <v>0</v>
      </c>
      <c r="Q545" s="41">
        <v>0</v>
      </c>
      <c r="R545" s="41">
        <v>0</v>
      </c>
      <c r="S545" s="41">
        <v>0</v>
      </c>
      <c r="T545" s="41">
        <v>0</v>
      </c>
      <c r="U545" s="54"/>
    </row>
    <row r="546" spans="1:21" ht="17.25" customHeight="1" x14ac:dyDescent="0.3">
      <c r="A546" s="15" t="s">
        <v>29</v>
      </c>
      <c r="C546" s="19"/>
      <c r="D546" s="33" t="str">
        <f t="shared" ref="D546:D548" si="468">D545</f>
        <v>S100001</v>
      </c>
      <c r="E546" s="33"/>
      <c r="F546" s="20"/>
      <c r="G546" s="20" t="str">
        <f>"""NAV"",""CRONUS JetCorp USA"",""32"",""1"",""166426"""</f>
        <v>"NAV","CRONUS JetCorp USA","32","1","166426"</v>
      </c>
      <c r="H546" s="39">
        <v>43466</v>
      </c>
      <c r="I546" s="40">
        <v>166426</v>
      </c>
      <c r="J546" s="40" t="str">
        <f>"Vendor"</f>
        <v>Vendor</v>
      </c>
      <c r="K546" s="40" t="str">
        <f>"V100001"</f>
        <v>V100001</v>
      </c>
      <c r="L546" s="40" t="str">
        <f>""</f>
        <v/>
      </c>
      <c r="M546" s="40" t="str">
        <f>"Greigner, Inc."</f>
        <v>Greigner, Inc.</v>
      </c>
      <c r="N546" s="40" t="str">
        <f>""</f>
        <v/>
      </c>
      <c r="O546" s="41">
        <v>100</v>
      </c>
      <c r="P546" s="41">
        <v>0</v>
      </c>
      <c r="Q546" s="41">
        <v>0</v>
      </c>
      <c r="R546" s="41">
        <v>0</v>
      </c>
      <c r="S546" s="41">
        <v>0</v>
      </c>
      <c r="T546" s="41">
        <v>0</v>
      </c>
      <c r="U546" s="54"/>
    </row>
    <row r="547" spans="1:21" ht="17.25" customHeight="1" x14ac:dyDescent="0.3">
      <c r="A547" s="15" t="s">
        <v>29</v>
      </c>
      <c r="C547" s="19"/>
      <c r="D547" s="33" t="str">
        <f t="shared" si="468"/>
        <v>S100001</v>
      </c>
      <c r="E547" s="33"/>
      <c r="F547" s="20"/>
      <c r="G547" s="20" t="str">
        <f>"""NAV"",""CRONUS JetCorp USA"",""32"",""1"",""30030"""</f>
        <v>"NAV","CRONUS JetCorp USA","32","1","30030"</v>
      </c>
      <c r="H547" s="39">
        <v>43471</v>
      </c>
      <c r="I547" s="40">
        <v>30030</v>
      </c>
      <c r="J547" s="40" t="str">
        <f>"Customer"</f>
        <v>Customer</v>
      </c>
      <c r="K547" s="40" t="str">
        <f>"C100012"</f>
        <v>C100012</v>
      </c>
      <c r="L547" s="40" t="str">
        <f>"Bainbridges"</f>
        <v>Bainbridges</v>
      </c>
      <c r="M547" s="40" t="str">
        <f>""</f>
        <v/>
      </c>
      <c r="N547" s="40" t="str">
        <f>""</f>
        <v/>
      </c>
      <c r="O547" s="41">
        <v>0</v>
      </c>
      <c r="P547" s="41">
        <v>-144</v>
      </c>
      <c r="Q547" s="41">
        <v>0</v>
      </c>
      <c r="R547" s="41">
        <v>0</v>
      </c>
      <c r="S547" s="41">
        <v>0</v>
      </c>
      <c r="T547" s="41">
        <v>0</v>
      </c>
      <c r="U547" s="54"/>
    </row>
    <row r="548" spans="1:21" ht="17.25" customHeight="1" x14ac:dyDescent="0.3">
      <c r="A548" s="15" t="s">
        <v>29</v>
      </c>
      <c r="C548" s="19"/>
      <c r="D548" s="33" t="str">
        <f t="shared" si="468"/>
        <v>S100001</v>
      </c>
      <c r="E548" s="33"/>
      <c r="F548" s="20"/>
      <c r="G548" s="20" t="str">
        <f>"""NAV"",""CRONUS JetCorp USA"",""32"",""1"",""20378"""</f>
        <v>"NAV","CRONUS JetCorp USA","32","1","20378"</v>
      </c>
      <c r="H548" s="39">
        <v>43473</v>
      </c>
      <c r="I548" s="40">
        <v>20378</v>
      </c>
      <c r="J548" s="40" t="str">
        <f>"Customer"</f>
        <v>Customer</v>
      </c>
      <c r="K548" s="40" t="str">
        <f>"C100130"</f>
        <v>C100130</v>
      </c>
      <c r="L548" s="40" t="str">
        <f>"Hotspot Systems"</f>
        <v>Hotspot Systems</v>
      </c>
      <c r="M548" s="40" t="str">
        <f>""</f>
        <v/>
      </c>
      <c r="N548" s="40" t="str">
        <f>""</f>
        <v/>
      </c>
      <c r="O548" s="41">
        <v>0</v>
      </c>
      <c r="P548" s="41">
        <v>-144</v>
      </c>
      <c r="Q548" s="41">
        <v>0</v>
      </c>
      <c r="R548" s="41">
        <v>0</v>
      </c>
      <c r="S548" s="41">
        <v>0</v>
      </c>
      <c r="T548" s="41">
        <v>0</v>
      </c>
      <c r="U548" s="54"/>
    </row>
    <row r="549" spans="1:21" ht="17.25" customHeight="1" x14ac:dyDescent="0.3">
      <c r="A549" s="15" t="s">
        <v>29</v>
      </c>
      <c r="C549" s="19"/>
      <c r="D549" s="33"/>
      <c r="E549" s="33"/>
      <c r="F549" s="20"/>
      <c r="G549" s="20"/>
      <c r="H549" s="20"/>
      <c r="I549" s="20"/>
      <c r="J549" s="20"/>
      <c r="K549" s="20"/>
      <c r="L549" s="20"/>
      <c r="M549" s="20"/>
      <c r="N549" s="20"/>
      <c r="O549" s="42"/>
      <c r="P549" s="42"/>
      <c r="Q549" s="42"/>
      <c r="R549" s="42"/>
      <c r="S549" s="42"/>
      <c r="T549" s="42"/>
      <c r="U549" s="55"/>
    </row>
    <row r="550" spans="1:21" ht="17.25" customHeight="1" x14ac:dyDescent="0.3">
      <c r="A550" s="15" t="s">
        <v>29</v>
      </c>
      <c r="C550" s="19"/>
      <c r="D550" s="33"/>
      <c r="E550" s="33" t="s">
        <v>30</v>
      </c>
      <c r="F550" s="20" t="s">
        <v>30</v>
      </c>
      <c r="G550" s="20" t="s">
        <v>30</v>
      </c>
      <c r="H550" s="20"/>
      <c r="I550" s="20"/>
      <c r="J550" s="20" t="s">
        <v>30</v>
      </c>
      <c r="K550" s="20" t="s">
        <v>30</v>
      </c>
      <c r="L550" s="20" t="s">
        <v>30</v>
      </c>
      <c r="M550" s="20" t="s">
        <v>30</v>
      </c>
      <c r="N550" s="20"/>
      <c r="U550" s="56"/>
    </row>
    <row r="551" spans="1:21" ht="20.25" customHeight="1" x14ac:dyDescent="0.35">
      <c r="A551" s="15" t="s">
        <v>29</v>
      </c>
      <c r="C551" s="19"/>
      <c r="D551" s="34" t="str">
        <f t="shared" ref="D551" si="469">E551</f>
        <v>S100002</v>
      </c>
      <c r="E551" s="35" t="str">
        <f>"S100002"</f>
        <v>S100002</v>
      </c>
      <c r="F551" s="36" t="str">
        <f>"Football Graphic Plaque"</f>
        <v>Football Graphic Plaque</v>
      </c>
      <c r="G551" s="36"/>
      <c r="H551" s="37" t="str">
        <f>"EA"</f>
        <v>EA</v>
      </c>
      <c r="I551" s="36"/>
      <c r="J551" s="36"/>
      <c r="K551" s="36"/>
      <c r="L551" s="36"/>
      <c r="M551" s="36"/>
      <c r="N551" s="36"/>
      <c r="O551" s="38">
        <f t="shared" ref="O551:T551" si="470">(SUBTOTAL(9,O552:O554))</f>
        <v>200</v>
      </c>
      <c r="P551" s="38">
        <f t="shared" si="470"/>
        <v>-144</v>
      </c>
      <c r="Q551" s="38">
        <f t="shared" si="470"/>
        <v>0</v>
      </c>
      <c r="R551" s="38">
        <f t="shared" si="470"/>
        <v>0</v>
      </c>
      <c r="S551" s="38">
        <f t="shared" si="470"/>
        <v>0</v>
      </c>
      <c r="T551" s="38">
        <f t="shared" si="470"/>
        <v>0</v>
      </c>
      <c r="U551" s="53">
        <f t="shared" ref="U551" si="471">SUBTOTAL(9,O552:T554)</f>
        <v>56</v>
      </c>
    </row>
    <row r="552" spans="1:21" ht="17.25" customHeight="1" x14ac:dyDescent="0.3">
      <c r="A552" s="15" t="s">
        <v>29</v>
      </c>
      <c r="C552" s="19"/>
      <c r="D552" s="33" t="str">
        <f t="shared" ref="D552" si="472">D551</f>
        <v>S100002</v>
      </c>
      <c r="E552" s="33"/>
      <c r="F552" s="20"/>
      <c r="G552" s="20" t="str">
        <f>"""NAV"",""CRONUS JetCorp USA"",""32"",""1"",""166409"""</f>
        <v>"NAV","CRONUS JetCorp USA","32","1","166409"</v>
      </c>
      <c r="H552" s="39">
        <v>43466</v>
      </c>
      <c r="I552" s="40">
        <v>166409</v>
      </c>
      <c r="J552" s="40" t="str">
        <f>"Vendor"</f>
        <v>Vendor</v>
      </c>
      <c r="K552" s="40" t="str">
        <f>"V100003"</f>
        <v>V100003</v>
      </c>
      <c r="L552" s="40" t="str">
        <f>""</f>
        <v/>
      </c>
      <c r="M552" s="40" t="str">
        <f>"LogoMasters"</f>
        <v>LogoMasters</v>
      </c>
      <c r="N552" s="40" t="str">
        <f>""</f>
        <v/>
      </c>
      <c r="O552" s="41">
        <v>200</v>
      </c>
      <c r="P552" s="41">
        <v>0</v>
      </c>
      <c r="Q552" s="41">
        <v>0</v>
      </c>
      <c r="R552" s="41">
        <v>0</v>
      </c>
      <c r="S552" s="41">
        <v>0</v>
      </c>
      <c r="T552" s="41">
        <v>0</v>
      </c>
      <c r="U552" s="54"/>
    </row>
    <row r="553" spans="1:21" ht="17.25" customHeight="1" x14ac:dyDescent="0.3">
      <c r="A553" s="15" t="s">
        <v>29</v>
      </c>
      <c r="C553" s="19"/>
      <c r="D553" s="33" t="str">
        <f t="shared" ref="D553" si="473">D552</f>
        <v>S100002</v>
      </c>
      <c r="E553" s="33"/>
      <c r="F553" s="20"/>
      <c r="G553" s="20" t="str">
        <f>"""NAV"",""CRONUS JetCorp USA"",""32"",""1"",""30028"""</f>
        <v>"NAV","CRONUS JetCorp USA","32","1","30028"</v>
      </c>
      <c r="H553" s="39">
        <v>43471</v>
      </c>
      <c r="I553" s="40">
        <v>30028</v>
      </c>
      <c r="J553" s="40" t="str">
        <f>"Customer"</f>
        <v>Customer</v>
      </c>
      <c r="K553" s="40" t="str">
        <f>"C100012"</f>
        <v>C100012</v>
      </c>
      <c r="L553" s="40" t="str">
        <f>"Bainbridges"</f>
        <v>Bainbridges</v>
      </c>
      <c r="M553" s="40" t="str">
        <f>""</f>
        <v/>
      </c>
      <c r="N553" s="40" t="str">
        <f>""</f>
        <v/>
      </c>
      <c r="O553" s="41">
        <v>0</v>
      </c>
      <c r="P553" s="41">
        <v>-144</v>
      </c>
      <c r="Q553" s="41">
        <v>0</v>
      </c>
      <c r="R553" s="41">
        <v>0</v>
      </c>
      <c r="S553" s="41">
        <v>0</v>
      </c>
      <c r="T553" s="41">
        <v>0</v>
      </c>
      <c r="U553" s="54"/>
    </row>
    <row r="554" spans="1:21" ht="17.25" customHeight="1" x14ac:dyDescent="0.3">
      <c r="A554" s="15" t="s">
        <v>29</v>
      </c>
      <c r="C554" s="19"/>
      <c r="D554" s="33"/>
      <c r="E554" s="33"/>
      <c r="F554" s="20"/>
      <c r="G554" s="20"/>
      <c r="H554" s="20"/>
      <c r="I554" s="20"/>
      <c r="J554" s="20"/>
      <c r="K554" s="20"/>
      <c r="L554" s="20"/>
      <c r="M554" s="20"/>
      <c r="N554" s="20"/>
      <c r="O554" s="42"/>
      <c r="P554" s="42"/>
      <c r="Q554" s="42"/>
      <c r="R554" s="42"/>
      <c r="S554" s="42"/>
      <c r="T554" s="42"/>
      <c r="U554" s="55"/>
    </row>
    <row r="555" spans="1:21" ht="17.25" customHeight="1" x14ac:dyDescent="0.3">
      <c r="A555" s="15" t="s">
        <v>29</v>
      </c>
      <c r="C555" s="19"/>
      <c r="D555" s="33"/>
      <c r="E555" s="33" t="s">
        <v>30</v>
      </c>
      <c r="F555" s="20" t="s">
        <v>30</v>
      </c>
      <c r="G555" s="20" t="s">
        <v>30</v>
      </c>
      <c r="H555" s="20"/>
      <c r="I555" s="20"/>
      <c r="J555" s="20" t="s">
        <v>30</v>
      </c>
      <c r="K555" s="20" t="s">
        <v>30</v>
      </c>
      <c r="L555" s="20" t="s">
        <v>30</v>
      </c>
      <c r="M555" s="20" t="s">
        <v>30</v>
      </c>
      <c r="N555" s="20"/>
      <c r="U555" s="56"/>
    </row>
    <row r="556" spans="1:21" ht="20.25" customHeight="1" x14ac:dyDescent="0.35">
      <c r="A556" s="15" t="s">
        <v>29</v>
      </c>
      <c r="C556" s="19"/>
      <c r="D556" s="34" t="str">
        <f t="shared" ref="D556" si="474">E556</f>
        <v>S100003</v>
      </c>
      <c r="E556" s="35" t="str">
        <f>"S100003"</f>
        <v>S100003</v>
      </c>
      <c r="F556" s="36" t="str">
        <f>"Soccer #1 Pin"</f>
        <v>Soccer #1 Pin</v>
      </c>
      <c r="G556" s="36"/>
      <c r="H556" s="37" t="str">
        <f>"EA"</f>
        <v>EA</v>
      </c>
      <c r="I556" s="36"/>
      <c r="J556" s="36"/>
      <c r="K556" s="36"/>
      <c r="L556" s="36"/>
      <c r="M556" s="36"/>
      <c r="N556" s="36"/>
      <c r="O556" s="38">
        <f t="shared" ref="O556:T556" si="475">(SUBTOTAL(9,O557:O561))</f>
        <v>2200</v>
      </c>
      <c r="P556" s="38">
        <f t="shared" si="475"/>
        <v>-288</v>
      </c>
      <c r="Q556" s="38">
        <f t="shared" si="475"/>
        <v>0</v>
      </c>
      <c r="R556" s="38">
        <f t="shared" si="475"/>
        <v>0</v>
      </c>
      <c r="S556" s="38">
        <f t="shared" si="475"/>
        <v>0</v>
      </c>
      <c r="T556" s="38">
        <f t="shared" si="475"/>
        <v>0</v>
      </c>
      <c r="U556" s="53">
        <f t="shared" ref="U556" si="476">SUBTOTAL(9,O557:T561)</f>
        <v>1912</v>
      </c>
    </row>
    <row r="557" spans="1:21" ht="17.25" customHeight="1" x14ac:dyDescent="0.3">
      <c r="A557" s="15" t="s">
        <v>29</v>
      </c>
      <c r="C557" s="19"/>
      <c r="D557" s="33" t="str">
        <f t="shared" ref="D557" si="477">D556</f>
        <v>S100003</v>
      </c>
      <c r="E557" s="33"/>
      <c r="F557" s="20"/>
      <c r="G557" s="20" t="str">
        <f>"""NAV"",""CRONUS JetCorp USA"",""32"",""1"",""166408"""</f>
        <v>"NAV","CRONUS JetCorp USA","32","1","166408"</v>
      </c>
      <c r="H557" s="39">
        <v>43466</v>
      </c>
      <c r="I557" s="40">
        <v>166408</v>
      </c>
      <c r="J557" s="40" t="str">
        <f>"Vendor"</f>
        <v>Vendor</v>
      </c>
      <c r="K557" s="40" t="str">
        <f>"V100003"</f>
        <v>V100003</v>
      </c>
      <c r="L557" s="40" t="str">
        <f>""</f>
        <v/>
      </c>
      <c r="M557" s="40" t="str">
        <f>"LogoMasters"</f>
        <v>LogoMasters</v>
      </c>
      <c r="N557" s="40" t="str">
        <f>""</f>
        <v/>
      </c>
      <c r="O557" s="41">
        <v>1500</v>
      </c>
      <c r="P557" s="41">
        <v>0</v>
      </c>
      <c r="Q557" s="41">
        <v>0</v>
      </c>
      <c r="R557" s="41">
        <v>0</v>
      </c>
      <c r="S557" s="41">
        <v>0</v>
      </c>
      <c r="T557" s="41">
        <v>0</v>
      </c>
      <c r="U557" s="54"/>
    </row>
    <row r="558" spans="1:21" ht="17.25" customHeight="1" x14ac:dyDescent="0.3">
      <c r="A558" s="15" t="s">
        <v>29</v>
      </c>
      <c r="C558" s="19"/>
      <c r="D558" s="33" t="str">
        <f t="shared" ref="D558:D560" si="478">D557</f>
        <v>S100003</v>
      </c>
      <c r="E558" s="33"/>
      <c r="F558" s="20"/>
      <c r="G558" s="20" t="str">
        <f>"""NAV"",""CRONUS JetCorp USA"",""32"",""1"",""166425"""</f>
        <v>"NAV","CRONUS JetCorp USA","32","1","166425"</v>
      </c>
      <c r="H558" s="39">
        <v>43466</v>
      </c>
      <c r="I558" s="40">
        <v>166425</v>
      </c>
      <c r="J558" s="40" t="str">
        <f>"Vendor"</f>
        <v>Vendor</v>
      </c>
      <c r="K558" s="40" t="str">
        <f>"V100001"</f>
        <v>V100001</v>
      </c>
      <c r="L558" s="40" t="str">
        <f>""</f>
        <v/>
      </c>
      <c r="M558" s="40" t="str">
        <f>"Greigner, Inc."</f>
        <v>Greigner, Inc.</v>
      </c>
      <c r="N558" s="40" t="str">
        <f>""</f>
        <v/>
      </c>
      <c r="O558" s="41">
        <v>700</v>
      </c>
      <c r="P558" s="41">
        <v>0</v>
      </c>
      <c r="Q558" s="41">
        <v>0</v>
      </c>
      <c r="R558" s="41">
        <v>0</v>
      </c>
      <c r="S558" s="41">
        <v>0</v>
      </c>
      <c r="T558" s="41">
        <v>0</v>
      </c>
      <c r="U558" s="54"/>
    </row>
    <row r="559" spans="1:21" ht="17.25" customHeight="1" x14ac:dyDescent="0.3">
      <c r="A559" s="15" t="s">
        <v>29</v>
      </c>
      <c r="C559" s="19"/>
      <c r="D559" s="33" t="str">
        <f t="shared" si="478"/>
        <v>S100003</v>
      </c>
      <c r="E559" s="33"/>
      <c r="F559" s="20"/>
      <c r="G559" s="20" t="str">
        <f>"""NAV"",""CRONUS JetCorp USA"",""32"",""1"",""20410"""</f>
        <v>"NAV","CRONUS JetCorp USA","32","1","20410"</v>
      </c>
      <c r="H559" s="39">
        <v>43475</v>
      </c>
      <c r="I559" s="40">
        <v>20410</v>
      </c>
      <c r="J559" s="40" t="str">
        <f>"Customer"</f>
        <v>Customer</v>
      </c>
      <c r="K559" s="40" t="str">
        <f>"C100130"</f>
        <v>C100130</v>
      </c>
      <c r="L559" s="40" t="str">
        <f>"Hotspot Systems"</f>
        <v>Hotspot Systems</v>
      </c>
      <c r="M559" s="40" t="str">
        <f>""</f>
        <v/>
      </c>
      <c r="N559" s="40" t="str">
        <f>""</f>
        <v/>
      </c>
      <c r="O559" s="41">
        <v>0</v>
      </c>
      <c r="P559" s="41">
        <v>-144</v>
      </c>
      <c r="Q559" s="41">
        <v>0</v>
      </c>
      <c r="R559" s="41">
        <v>0</v>
      </c>
      <c r="S559" s="41">
        <v>0</v>
      </c>
      <c r="T559" s="41">
        <v>0</v>
      </c>
      <c r="U559" s="54"/>
    </row>
    <row r="560" spans="1:21" ht="17.25" customHeight="1" x14ac:dyDescent="0.3">
      <c r="A560" s="15" t="s">
        <v>29</v>
      </c>
      <c r="C560" s="19"/>
      <c r="D560" s="33" t="str">
        <f t="shared" si="478"/>
        <v>S100003</v>
      </c>
      <c r="E560" s="33"/>
      <c r="F560" s="20"/>
      <c r="G560" s="20" t="str">
        <f>"""NAV"",""CRONUS JetCorp USA"",""32"",""1"",""64625"""</f>
        <v>"NAV","CRONUS JetCorp USA","32","1","64625"</v>
      </c>
      <c r="H560" s="39">
        <v>43475</v>
      </c>
      <c r="I560" s="40">
        <v>64625</v>
      </c>
      <c r="J560" s="40" t="str">
        <f>"Customer"</f>
        <v>Customer</v>
      </c>
      <c r="K560" s="40" t="str">
        <f>"C100136"</f>
        <v>C100136</v>
      </c>
      <c r="L560" s="40" t="str">
        <f>"First Bank"</f>
        <v>First Bank</v>
      </c>
      <c r="M560" s="40" t="str">
        <f>""</f>
        <v/>
      </c>
      <c r="N560" s="40" t="str">
        <f>""</f>
        <v/>
      </c>
      <c r="O560" s="41">
        <v>0</v>
      </c>
      <c r="P560" s="41">
        <v>-144</v>
      </c>
      <c r="Q560" s="41">
        <v>0</v>
      </c>
      <c r="R560" s="41">
        <v>0</v>
      </c>
      <c r="S560" s="41">
        <v>0</v>
      </c>
      <c r="T560" s="41">
        <v>0</v>
      </c>
      <c r="U560" s="54"/>
    </row>
    <row r="561" spans="1:21" ht="17.25" customHeight="1" x14ac:dyDescent="0.3">
      <c r="A561" s="15" t="s">
        <v>29</v>
      </c>
      <c r="C561" s="19"/>
      <c r="D561" s="33"/>
      <c r="E561" s="33"/>
      <c r="F561" s="20"/>
      <c r="G561" s="20"/>
      <c r="H561" s="20"/>
      <c r="I561" s="20"/>
      <c r="J561" s="20"/>
      <c r="K561" s="20"/>
      <c r="L561" s="20"/>
      <c r="M561" s="20"/>
      <c r="N561" s="20"/>
      <c r="O561" s="42"/>
      <c r="P561" s="42"/>
      <c r="Q561" s="42"/>
      <c r="R561" s="42"/>
      <c r="S561" s="42"/>
      <c r="T561" s="42"/>
      <c r="U561" s="55"/>
    </row>
    <row r="562" spans="1:21" ht="17.25" customHeight="1" x14ac:dyDescent="0.3">
      <c r="A562" s="15" t="s">
        <v>29</v>
      </c>
      <c r="C562" s="19"/>
      <c r="D562" s="33"/>
      <c r="E562" s="33" t="s">
        <v>30</v>
      </c>
      <c r="F562" s="20" t="s">
        <v>30</v>
      </c>
      <c r="G562" s="20" t="s">
        <v>30</v>
      </c>
      <c r="H562" s="20"/>
      <c r="I562" s="20"/>
      <c r="J562" s="20" t="s">
        <v>30</v>
      </c>
      <c r="K562" s="20" t="s">
        <v>30</v>
      </c>
      <c r="L562" s="20" t="s">
        <v>30</v>
      </c>
      <c r="M562" s="20" t="s">
        <v>30</v>
      </c>
      <c r="N562" s="20"/>
      <c r="U562" s="56"/>
    </row>
    <row r="563" spans="1:21" ht="20.25" customHeight="1" x14ac:dyDescent="0.35">
      <c r="A563" s="15" t="s">
        <v>29</v>
      </c>
      <c r="C563" s="19"/>
      <c r="D563" s="34" t="str">
        <f t="shared" ref="D563" si="479">E563</f>
        <v>S100004</v>
      </c>
      <c r="E563" s="35" t="str">
        <f>"S100004"</f>
        <v>S100004</v>
      </c>
      <c r="F563" s="36" t="str">
        <f>"Award Medallian - 2''"</f>
        <v>Award Medallian - 2''</v>
      </c>
      <c r="G563" s="36"/>
      <c r="H563" s="37" t="str">
        <f>"EA"</f>
        <v>EA</v>
      </c>
      <c r="I563" s="36"/>
      <c r="J563" s="36"/>
      <c r="K563" s="36"/>
      <c r="L563" s="36"/>
      <c r="M563" s="36"/>
      <c r="N563" s="36"/>
      <c r="O563" s="38">
        <f t="shared" ref="O563:T563" si="480">(SUBTOTAL(9,O564:O568))</f>
        <v>900</v>
      </c>
      <c r="P563" s="38">
        <f t="shared" si="480"/>
        <v>-289</v>
      </c>
      <c r="Q563" s="38">
        <f t="shared" si="480"/>
        <v>0</v>
      </c>
      <c r="R563" s="38">
        <f t="shared" si="480"/>
        <v>0</v>
      </c>
      <c r="S563" s="38">
        <f t="shared" si="480"/>
        <v>0</v>
      </c>
      <c r="T563" s="38">
        <f t="shared" si="480"/>
        <v>0</v>
      </c>
      <c r="U563" s="53">
        <f t="shared" ref="U563" si="481">SUBTOTAL(9,O564:T568)</f>
        <v>611</v>
      </c>
    </row>
    <row r="564" spans="1:21" ht="17.25" customHeight="1" x14ac:dyDescent="0.3">
      <c r="A564" s="15" t="s">
        <v>29</v>
      </c>
      <c r="C564" s="19"/>
      <c r="D564" s="33" t="str">
        <f t="shared" ref="D564" si="482">D563</f>
        <v>S100004</v>
      </c>
      <c r="E564" s="33"/>
      <c r="F564" s="20"/>
      <c r="G564" s="20" t="str">
        <f>"""NAV"",""CRONUS JetCorp USA"",""32"",""1"",""166407"""</f>
        <v>"NAV","CRONUS JetCorp USA","32","1","166407"</v>
      </c>
      <c r="H564" s="39">
        <v>43466</v>
      </c>
      <c r="I564" s="40">
        <v>166407</v>
      </c>
      <c r="J564" s="40" t="str">
        <f>"Vendor"</f>
        <v>Vendor</v>
      </c>
      <c r="K564" s="40" t="str">
        <f>"V100003"</f>
        <v>V100003</v>
      </c>
      <c r="L564" s="40" t="str">
        <f>""</f>
        <v/>
      </c>
      <c r="M564" s="40" t="str">
        <f>"LogoMasters"</f>
        <v>LogoMasters</v>
      </c>
      <c r="N564" s="40" t="str">
        <f>""</f>
        <v/>
      </c>
      <c r="O564" s="41">
        <v>600</v>
      </c>
      <c r="P564" s="41">
        <v>0</v>
      </c>
      <c r="Q564" s="41">
        <v>0</v>
      </c>
      <c r="R564" s="41">
        <v>0</v>
      </c>
      <c r="S564" s="41">
        <v>0</v>
      </c>
      <c r="T564" s="41">
        <v>0</v>
      </c>
      <c r="U564" s="54"/>
    </row>
    <row r="565" spans="1:21" ht="17.25" customHeight="1" x14ac:dyDescent="0.3">
      <c r="A565" s="15" t="s">
        <v>29</v>
      </c>
      <c r="C565" s="19"/>
      <c r="D565" s="33" t="str">
        <f t="shared" ref="D565:D567" si="483">D564</f>
        <v>S100004</v>
      </c>
      <c r="E565" s="33"/>
      <c r="F565" s="20"/>
      <c r="G565" s="20" t="str">
        <f>"""NAV"",""CRONUS JetCorp USA"",""32"",""1"",""166424"""</f>
        <v>"NAV","CRONUS JetCorp USA","32","1","166424"</v>
      </c>
      <c r="H565" s="39">
        <v>43466</v>
      </c>
      <c r="I565" s="40">
        <v>166424</v>
      </c>
      <c r="J565" s="40" t="str">
        <f>"Vendor"</f>
        <v>Vendor</v>
      </c>
      <c r="K565" s="40" t="str">
        <f>"V100001"</f>
        <v>V100001</v>
      </c>
      <c r="L565" s="40" t="str">
        <f>""</f>
        <v/>
      </c>
      <c r="M565" s="40" t="str">
        <f>"Greigner, Inc."</f>
        <v>Greigner, Inc.</v>
      </c>
      <c r="N565" s="40" t="str">
        <f>""</f>
        <v/>
      </c>
      <c r="O565" s="41">
        <v>300</v>
      </c>
      <c r="P565" s="41">
        <v>0</v>
      </c>
      <c r="Q565" s="41">
        <v>0</v>
      </c>
      <c r="R565" s="41">
        <v>0</v>
      </c>
      <c r="S565" s="41">
        <v>0</v>
      </c>
      <c r="T565" s="41">
        <v>0</v>
      </c>
      <c r="U565" s="54"/>
    </row>
    <row r="566" spans="1:21" ht="17.25" customHeight="1" x14ac:dyDescent="0.3">
      <c r="A566" s="15" t="s">
        <v>29</v>
      </c>
      <c r="C566" s="19"/>
      <c r="D566" s="33" t="str">
        <f t="shared" si="483"/>
        <v>S100004</v>
      </c>
      <c r="E566" s="33"/>
      <c r="F566" s="20"/>
      <c r="G566" s="20" t="str">
        <f>"""NAV"",""CRONUS JetCorp USA"",""32"",""1"",""30031"""</f>
        <v>"NAV","CRONUS JetCorp USA","32","1","30031"</v>
      </c>
      <c r="H566" s="39">
        <v>43471</v>
      </c>
      <c r="I566" s="40">
        <v>30031</v>
      </c>
      <c r="J566" s="40" t="str">
        <f>"Customer"</f>
        <v>Customer</v>
      </c>
      <c r="K566" s="40" t="str">
        <f>"C100012"</f>
        <v>C100012</v>
      </c>
      <c r="L566" s="40" t="str">
        <f>"Bainbridges"</f>
        <v>Bainbridges</v>
      </c>
      <c r="M566" s="40" t="str">
        <f>""</f>
        <v/>
      </c>
      <c r="N566" s="40" t="str">
        <f>""</f>
        <v/>
      </c>
      <c r="O566" s="41">
        <v>0</v>
      </c>
      <c r="P566" s="41">
        <v>-145</v>
      </c>
      <c r="Q566" s="41">
        <v>0</v>
      </c>
      <c r="R566" s="41">
        <v>0</v>
      </c>
      <c r="S566" s="41">
        <v>0</v>
      </c>
      <c r="T566" s="41">
        <v>0</v>
      </c>
      <c r="U566" s="54"/>
    </row>
    <row r="567" spans="1:21" ht="17.25" customHeight="1" x14ac:dyDescent="0.3">
      <c r="A567" s="15" t="s">
        <v>29</v>
      </c>
      <c r="C567" s="19"/>
      <c r="D567" s="33" t="str">
        <f t="shared" si="483"/>
        <v>S100004</v>
      </c>
      <c r="E567" s="33"/>
      <c r="F567" s="20"/>
      <c r="G567" s="20" t="str">
        <f>"""NAV"",""CRONUS JetCorp USA"",""32"",""1"",""20379"""</f>
        <v>"NAV","CRONUS JetCorp USA","32","1","20379"</v>
      </c>
      <c r="H567" s="39">
        <v>43473</v>
      </c>
      <c r="I567" s="40">
        <v>20379</v>
      </c>
      <c r="J567" s="40" t="str">
        <f>"Customer"</f>
        <v>Customer</v>
      </c>
      <c r="K567" s="40" t="str">
        <f>"C100130"</f>
        <v>C100130</v>
      </c>
      <c r="L567" s="40" t="str">
        <f>"Hotspot Systems"</f>
        <v>Hotspot Systems</v>
      </c>
      <c r="M567" s="40" t="str">
        <f>""</f>
        <v/>
      </c>
      <c r="N567" s="40" t="str">
        <f>""</f>
        <v/>
      </c>
      <c r="O567" s="41">
        <v>0</v>
      </c>
      <c r="P567" s="41">
        <v>-144</v>
      </c>
      <c r="Q567" s="41">
        <v>0</v>
      </c>
      <c r="R567" s="41">
        <v>0</v>
      </c>
      <c r="S567" s="41">
        <v>0</v>
      </c>
      <c r="T567" s="41">
        <v>0</v>
      </c>
      <c r="U567" s="54"/>
    </row>
    <row r="568" spans="1:21" ht="17.25" customHeight="1" x14ac:dyDescent="0.3">
      <c r="A568" s="15" t="s">
        <v>29</v>
      </c>
      <c r="C568" s="19"/>
      <c r="D568" s="33"/>
      <c r="E568" s="33"/>
      <c r="F568" s="20"/>
      <c r="G568" s="20"/>
      <c r="H568" s="20"/>
      <c r="I568" s="20"/>
      <c r="J568" s="20"/>
      <c r="K568" s="20"/>
      <c r="L568" s="20"/>
      <c r="M568" s="20"/>
      <c r="N568" s="20"/>
      <c r="O568" s="42"/>
      <c r="P568" s="42"/>
      <c r="Q568" s="42"/>
      <c r="R568" s="42"/>
      <c r="S568" s="42"/>
      <c r="T568" s="42"/>
      <c r="U568" s="55"/>
    </row>
    <row r="569" spans="1:21" ht="17.25" customHeight="1" x14ac:dyDescent="0.3">
      <c r="A569" s="15" t="s">
        <v>29</v>
      </c>
      <c r="C569" s="19"/>
      <c r="D569" s="33"/>
      <c r="E569" s="33" t="s">
        <v>30</v>
      </c>
      <c r="F569" s="20" t="s">
        <v>30</v>
      </c>
      <c r="G569" s="20" t="s">
        <v>30</v>
      </c>
      <c r="H569" s="20"/>
      <c r="I569" s="20"/>
      <c r="J569" s="20" t="s">
        <v>30</v>
      </c>
      <c r="K569" s="20" t="s">
        <v>30</v>
      </c>
      <c r="L569" s="20" t="s">
        <v>30</v>
      </c>
      <c r="M569" s="20" t="s">
        <v>30</v>
      </c>
      <c r="N569" s="20"/>
      <c r="U569" s="56"/>
    </row>
    <row r="570" spans="1:21" ht="20.25" customHeight="1" x14ac:dyDescent="0.35">
      <c r="A570" s="15" t="s">
        <v>29</v>
      </c>
      <c r="C570" s="19"/>
      <c r="D570" s="34" t="str">
        <f t="shared" ref="D570" si="484">E570</f>
        <v>S100005</v>
      </c>
      <c r="E570" s="35" t="str">
        <f>"S100005"</f>
        <v>S100005</v>
      </c>
      <c r="F570" s="36" t="str">
        <f>"Award Medallian - 2.5''"</f>
        <v>Award Medallian - 2.5''</v>
      </c>
      <c r="G570" s="36"/>
      <c r="H570" s="37" t="str">
        <f>"EA"</f>
        <v>EA</v>
      </c>
      <c r="I570" s="36"/>
      <c r="J570" s="36"/>
      <c r="K570" s="36"/>
      <c r="L570" s="36"/>
      <c r="M570" s="36"/>
      <c r="N570" s="36"/>
      <c r="O570" s="38">
        <f t="shared" ref="O570:T570" si="485">(SUBTOTAL(9,O571:O574))</f>
        <v>500</v>
      </c>
      <c r="P570" s="38">
        <f t="shared" si="485"/>
        <v>-144</v>
      </c>
      <c r="Q570" s="38">
        <f t="shared" si="485"/>
        <v>0</v>
      </c>
      <c r="R570" s="38">
        <f t="shared" si="485"/>
        <v>0</v>
      </c>
      <c r="S570" s="38">
        <f t="shared" si="485"/>
        <v>0</v>
      </c>
      <c r="T570" s="38">
        <f t="shared" si="485"/>
        <v>0</v>
      </c>
      <c r="U570" s="53">
        <f t="shared" ref="U570" si="486">SUBTOTAL(9,O571:T574)</f>
        <v>356</v>
      </c>
    </row>
    <row r="571" spans="1:21" ht="17.25" customHeight="1" x14ac:dyDescent="0.3">
      <c r="A571" s="15" t="s">
        <v>29</v>
      </c>
      <c r="C571" s="19"/>
      <c r="D571" s="33" t="str">
        <f t="shared" ref="D571" si="487">D570</f>
        <v>S100005</v>
      </c>
      <c r="E571" s="33"/>
      <c r="F571" s="20"/>
      <c r="G571" s="20" t="str">
        <f>"""NAV"",""CRONUS JetCorp USA"",""32"",""1"",""166406"""</f>
        <v>"NAV","CRONUS JetCorp USA","32","1","166406"</v>
      </c>
      <c r="H571" s="39">
        <v>43466</v>
      </c>
      <c r="I571" s="40">
        <v>166406</v>
      </c>
      <c r="J571" s="40" t="str">
        <f>"Vendor"</f>
        <v>Vendor</v>
      </c>
      <c r="K571" s="40" t="str">
        <f>"V100003"</f>
        <v>V100003</v>
      </c>
      <c r="L571" s="40" t="str">
        <f>""</f>
        <v/>
      </c>
      <c r="M571" s="40" t="str">
        <f>"LogoMasters"</f>
        <v>LogoMasters</v>
      </c>
      <c r="N571" s="40" t="str">
        <f>""</f>
        <v/>
      </c>
      <c r="O571" s="41">
        <v>300</v>
      </c>
      <c r="P571" s="41">
        <v>0</v>
      </c>
      <c r="Q571" s="41">
        <v>0</v>
      </c>
      <c r="R571" s="41">
        <v>0</v>
      </c>
      <c r="S571" s="41">
        <v>0</v>
      </c>
      <c r="T571" s="41">
        <v>0</v>
      </c>
      <c r="U571" s="54"/>
    </row>
    <row r="572" spans="1:21" ht="17.25" customHeight="1" x14ac:dyDescent="0.3">
      <c r="A572" s="15" t="s">
        <v>29</v>
      </c>
      <c r="C572" s="19"/>
      <c r="D572" s="33" t="str">
        <f t="shared" ref="D572:D573" si="488">D571</f>
        <v>S100005</v>
      </c>
      <c r="E572" s="33"/>
      <c r="F572" s="20"/>
      <c r="G572" s="20" t="str">
        <f>"""NAV"",""CRONUS JetCorp USA"",""32"",""1"",""166423"""</f>
        <v>"NAV","CRONUS JetCorp USA","32","1","166423"</v>
      </c>
      <c r="H572" s="39">
        <v>43466</v>
      </c>
      <c r="I572" s="40">
        <v>166423</v>
      </c>
      <c r="J572" s="40" t="str">
        <f>"Vendor"</f>
        <v>Vendor</v>
      </c>
      <c r="K572" s="40" t="str">
        <f>"V100001"</f>
        <v>V100001</v>
      </c>
      <c r="L572" s="40" t="str">
        <f>""</f>
        <v/>
      </c>
      <c r="M572" s="40" t="str">
        <f>"Greigner, Inc."</f>
        <v>Greigner, Inc.</v>
      </c>
      <c r="N572" s="40" t="str">
        <f>""</f>
        <v/>
      </c>
      <c r="O572" s="41">
        <v>200</v>
      </c>
      <c r="P572" s="41">
        <v>0</v>
      </c>
      <c r="Q572" s="41">
        <v>0</v>
      </c>
      <c r="R572" s="41">
        <v>0</v>
      </c>
      <c r="S572" s="41">
        <v>0</v>
      </c>
      <c r="T572" s="41">
        <v>0</v>
      </c>
      <c r="U572" s="54"/>
    </row>
    <row r="573" spans="1:21" ht="17.25" customHeight="1" x14ac:dyDescent="0.3">
      <c r="A573" s="15" t="s">
        <v>29</v>
      </c>
      <c r="C573" s="19"/>
      <c r="D573" s="33" t="str">
        <f t="shared" si="488"/>
        <v>S100005</v>
      </c>
      <c r="E573" s="33"/>
      <c r="F573" s="20"/>
      <c r="G573" s="20" t="str">
        <f>"""NAV"",""CRONUS JetCorp USA"",""32"",""1"",""30107"""</f>
        <v>"NAV","CRONUS JetCorp USA","32","1","30107"</v>
      </c>
      <c r="H573" s="39">
        <v>43475</v>
      </c>
      <c r="I573" s="40">
        <v>30107</v>
      </c>
      <c r="J573" s="40" t="str">
        <f>"Customer"</f>
        <v>Customer</v>
      </c>
      <c r="K573" s="40" t="str">
        <f>"C100012"</f>
        <v>C100012</v>
      </c>
      <c r="L573" s="40" t="str">
        <f>"Bainbridges"</f>
        <v>Bainbridges</v>
      </c>
      <c r="M573" s="40" t="str">
        <f>""</f>
        <v/>
      </c>
      <c r="N573" s="40" t="str">
        <f>""</f>
        <v/>
      </c>
      <c r="O573" s="41">
        <v>0</v>
      </c>
      <c r="P573" s="41">
        <v>-144</v>
      </c>
      <c r="Q573" s="41">
        <v>0</v>
      </c>
      <c r="R573" s="41">
        <v>0</v>
      </c>
      <c r="S573" s="41">
        <v>0</v>
      </c>
      <c r="T573" s="41">
        <v>0</v>
      </c>
      <c r="U573" s="54"/>
    </row>
    <row r="574" spans="1:21" ht="17.25" customHeight="1" x14ac:dyDescent="0.3">
      <c r="A574" s="15" t="s">
        <v>29</v>
      </c>
      <c r="C574" s="19"/>
      <c r="D574" s="33"/>
      <c r="E574" s="33"/>
      <c r="F574" s="20"/>
      <c r="G574" s="20"/>
      <c r="H574" s="20"/>
      <c r="I574" s="20"/>
      <c r="J574" s="20"/>
      <c r="K574" s="20"/>
      <c r="L574" s="20"/>
      <c r="M574" s="20"/>
      <c r="N574" s="20"/>
      <c r="O574" s="42"/>
      <c r="P574" s="42"/>
      <c r="Q574" s="42"/>
      <c r="R574" s="42"/>
      <c r="S574" s="42"/>
      <c r="T574" s="42"/>
      <c r="U574" s="55"/>
    </row>
    <row r="575" spans="1:21" ht="17.25" customHeight="1" x14ac:dyDescent="0.3">
      <c r="A575" s="15" t="s">
        <v>29</v>
      </c>
      <c r="C575" s="19"/>
      <c r="D575" s="33"/>
      <c r="E575" s="33" t="s">
        <v>30</v>
      </c>
      <c r="F575" s="20" t="s">
        <v>30</v>
      </c>
      <c r="G575" s="20" t="s">
        <v>30</v>
      </c>
      <c r="H575" s="20"/>
      <c r="I575" s="20"/>
      <c r="J575" s="20" t="s">
        <v>30</v>
      </c>
      <c r="K575" s="20" t="s">
        <v>30</v>
      </c>
      <c r="L575" s="20" t="s">
        <v>30</v>
      </c>
      <c r="M575" s="20" t="s">
        <v>30</v>
      </c>
      <c r="N575" s="20"/>
      <c r="U575" s="56"/>
    </row>
    <row r="576" spans="1:21" ht="20.25" customHeight="1" x14ac:dyDescent="0.35">
      <c r="A576" s="15" t="s">
        <v>29</v>
      </c>
      <c r="C576" s="19"/>
      <c r="D576" s="34" t="str">
        <f t="shared" ref="D576" si="489">E576</f>
        <v>S100006</v>
      </c>
      <c r="E576" s="35" t="str">
        <f>"S100006"</f>
        <v>S100006</v>
      </c>
      <c r="F576" s="36" t="str">
        <f>"Award Medallian - 3''"</f>
        <v>Award Medallian - 3''</v>
      </c>
      <c r="G576" s="36"/>
      <c r="H576" s="37" t="str">
        <f>"EA"</f>
        <v>EA</v>
      </c>
      <c r="I576" s="36"/>
      <c r="J576" s="36"/>
      <c r="K576" s="36"/>
      <c r="L576" s="36"/>
      <c r="M576" s="36"/>
      <c r="N576" s="36"/>
      <c r="O576" s="38">
        <f t="shared" ref="O576:T576" si="490">(SUBTOTAL(9,O577:O578))</f>
        <v>400</v>
      </c>
      <c r="P576" s="38">
        <f t="shared" si="490"/>
        <v>0</v>
      </c>
      <c r="Q576" s="38">
        <f t="shared" si="490"/>
        <v>0</v>
      </c>
      <c r="R576" s="38">
        <f t="shared" si="490"/>
        <v>0</v>
      </c>
      <c r="S576" s="38">
        <f t="shared" si="490"/>
        <v>0</v>
      </c>
      <c r="T576" s="38">
        <f t="shared" si="490"/>
        <v>0</v>
      </c>
      <c r="U576" s="53">
        <f t="shared" ref="U576" si="491">SUBTOTAL(9,O577:T578)</f>
        <v>400</v>
      </c>
    </row>
    <row r="577" spans="1:21" ht="17.25" customHeight="1" x14ac:dyDescent="0.3">
      <c r="A577" s="15" t="s">
        <v>29</v>
      </c>
      <c r="C577" s="19"/>
      <c r="D577" s="33" t="str">
        <f t="shared" ref="D577" si="492">D576</f>
        <v>S100006</v>
      </c>
      <c r="E577" s="33"/>
      <c r="F577" s="20"/>
      <c r="G577" s="20" t="str">
        <f>"""NAV"",""CRONUS JetCorp USA"",""32"",""1"",""166405"""</f>
        <v>"NAV","CRONUS JetCorp USA","32","1","166405"</v>
      </c>
      <c r="H577" s="39">
        <v>43466</v>
      </c>
      <c r="I577" s="40">
        <v>166405</v>
      </c>
      <c r="J577" s="40" t="str">
        <f>"Vendor"</f>
        <v>Vendor</v>
      </c>
      <c r="K577" s="40" t="str">
        <f>"V100003"</f>
        <v>V100003</v>
      </c>
      <c r="L577" s="40" t="str">
        <f>""</f>
        <v/>
      </c>
      <c r="M577" s="40" t="str">
        <f>"LogoMasters"</f>
        <v>LogoMasters</v>
      </c>
      <c r="N577" s="40" t="str">
        <f>""</f>
        <v/>
      </c>
      <c r="O577" s="41">
        <v>400</v>
      </c>
      <c r="P577" s="41">
        <v>0</v>
      </c>
      <c r="Q577" s="41">
        <v>0</v>
      </c>
      <c r="R577" s="41">
        <v>0</v>
      </c>
      <c r="S577" s="41">
        <v>0</v>
      </c>
      <c r="T577" s="41">
        <v>0</v>
      </c>
      <c r="U577" s="54"/>
    </row>
    <row r="578" spans="1:21" ht="17.25" customHeight="1" x14ac:dyDescent="0.3">
      <c r="A578" s="15" t="s">
        <v>29</v>
      </c>
      <c r="C578" s="19"/>
      <c r="D578" s="33"/>
      <c r="E578" s="33"/>
      <c r="F578" s="20"/>
      <c r="G578" s="20"/>
      <c r="H578" s="20"/>
      <c r="I578" s="20"/>
      <c r="J578" s="20"/>
      <c r="K578" s="20"/>
      <c r="L578" s="20"/>
      <c r="M578" s="20"/>
      <c r="N578" s="20"/>
      <c r="O578" s="42"/>
      <c r="P578" s="42"/>
      <c r="Q578" s="42"/>
      <c r="R578" s="42"/>
      <c r="S578" s="42"/>
      <c r="T578" s="42"/>
      <c r="U578" s="55"/>
    </row>
    <row r="579" spans="1:21" ht="17.25" customHeight="1" x14ac:dyDescent="0.3">
      <c r="A579" s="15" t="s">
        <v>29</v>
      </c>
      <c r="C579" s="19"/>
      <c r="D579" s="33"/>
      <c r="E579" s="33" t="s">
        <v>30</v>
      </c>
      <c r="F579" s="20" t="s">
        <v>30</v>
      </c>
      <c r="G579" s="20" t="s">
        <v>30</v>
      </c>
      <c r="H579" s="20"/>
      <c r="I579" s="20"/>
      <c r="J579" s="20" t="s">
        <v>30</v>
      </c>
      <c r="K579" s="20" t="s">
        <v>30</v>
      </c>
      <c r="L579" s="20" t="s">
        <v>30</v>
      </c>
      <c r="M579" s="20" t="s">
        <v>30</v>
      </c>
      <c r="N579" s="20"/>
      <c r="U579" s="56"/>
    </row>
    <row r="580" spans="1:21" ht="20.25" customHeight="1" x14ac:dyDescent="0.35">
      <c r="A580" s="15" t="s">
        <v>29</v>
      </c>
      <c r="C580" s="19"/>
      <c r="D580" s="34" t="str">
        <f t="shared" ref="D580" si="493">E580</f>
        <v>S100007</v>
      </c>
      <c r="E580" s="35" t="str">
        <f>"S100007"</f>
        <v>S100007</v>
      </c>
      <c r="F580" s="36" t="str">
        <f>"Baseball Figure Trophy"</f>
        <v>Baseball Figure Trophy</v>
      </c>
      <c r="G580" s="36"/>
      <c r="H580" s="37" t="str">
        <f>"EA"</f>
        <v>EA</v>
      </c>
      <c r="I580" s="36"/>
      <c r="J580" s="36"/>
      <c r="K580" s="36"/>
      <c r="L580" s="36"/>
      <c r="M580" s="36"/>
      <c r="N580" s="36"/>
      <c r="O580" s="38">
        <f t="shared" ref="O580:T580" si="494">(SUBTOTAL(9,O581:O584))</f>
        <v>200</v>
      </c>
      <c r="P580" s="38">
        <f t="shared" si="494"/>
        <v>-144</v>
      </c>
      <c r="Q580" s="38">
        <f t="shared" si="494"/>
        <v>0</v>
      </c>
      <c r="R580" s="38">
        <f t="shared" si="494"/>
        <v>0</v>
      </c>
      <c r="S580" s="38">
        <f t="shared" si="494"/>
        <v>0</v>
      </c>
      <c r="T580" s="38">
        <f t="shared" si="494"/>
        <v>0</v>
      </c>
      <c r="U580" s="53">
        <f t="shared" ref="U580" si="495">SUBTOTAL(9,O581:T584)</f>
        <v>56</v>
      </c>
    </row>
    <row r="581" spans="1:21" ht="17.25" customHeight="1" x14ac:dyDescent="0.3">
      <c r="A581" s="15" t="s">
        <v>29</v>
      </c>
      <c r="C581" s="19"/>
      <c r="D581" s="33" t="str">
        <f t="shared" ref="D581" si="496">D580</f>
        <v>S100007</v>
      </c>
      <c r="E581" s="33"/>
      <c r="F581" s="20"/>
      <c r="G581" s="20" t="str">
        <f>"""NAV"",""CRONUS JetCorp USA"",""32"",""1"",""166404"""</f>
        <v>"NAV","CRONUS JetCorp USA","32","1","166404"</v>
      </c>
      <c r="H581" s="39">
        <v>43466</v>
      </c>
      <c r="I581" s="40">
        <v>166404</v>
      </c>
      <c r="J581" s="40" t="str">
        <f>"Vendor"</f>
        <v>Vendor</v>
      </c>
      <c r="K581" s="40" t="str">
        <f>"V100003"</f>
        <v>V100003</v>
      </c>
      <c r="L581" s="40" t="str">
        <f>""</f>
        <v/>
      </c>
      <c r="M581" s="40" t="str">
        <f>"LogoMasters"</f>
        <v>LogoMasters</v>
      </c>
      <c r="N581" s="40" t="str">
        <f>""</f>
        <v/>
      </c>
      <c r="O581" s="41">
        <v>100</v>
      </c>
      <c r="P581" s="41">
        <v>0</v>
      </c>
      <c r="Q581" s="41">
        <v>0</v>
      </c>
      <c r="R581" s="41">
        <v>0</v>
      </c>
      <c r="S581" s="41">
        <v>0</v>
      </c>
      <c r="T581" s="41">
        <v>0</v>
      </c>
      <c r="U581" s="54"/>
    </row>
    <row r="582" spans="1:21" ht="17.25" customHeight="1" x14ac:dyDescent="0.3">
      <c r="A582" s="15" t="s">
        <v>29</v>
      </c>
      <c r="C582" s="19"/>
      <c r="D582" s="33" t="str">
        <f t="shared" ref="D582:D583" si="497">D581</f>
        <v>S100007</v>
      </c>
      <c r="E582" s="33"/>
      <c r="F582" s="20"/>
      <c r="G582" s="20" t="str">
        <f>"""NAV"",""CRONUS JetCorp USA"",""32"",""1"",""166422"""</f>
        <v>"NAV","CRONUS JetCorp USA","32","1","166422"</v>
      </c>
      <c r="H582" s="39">
        <v>43466</v>
      </c>
      <c r="I582" s="40">
        <v>166422</v>
      </c>
      <c r="J582" s="40" t="str">
        <f>"Vendor"</f>
        <v>Vendor</v>
      </c>
      <c r="K582" s="40" t="str">
        <f>"V100001"</f>
        <v>V100001</v>
      </c>
      <c r="L582" s="40" t="str">
        <f>""</f>
        <v/>
      </c>
      <c r="M582" s="40" t="str">
        <f>"Greigner, Inc."</f>
        <v>Greigner, Inc.</v>
      </c>
      <c r="N582" s="40" t="str">
        <f>""</f>
        <v/>
      </c>
      <c r="O582" s="41">
        <v>100</v>
      </c>
      <c r="P582" s="41">
        <v>0</v>
      </c>
      <c r="Q582" s="41">
        <v>0</v>
      </c>
      <c r="R582" s="41">
        <v>0</v>
      </c>
      <c r="S582" s="41">
        <v>0</v>
      </c>
      <c r="T582" s="41">
        <v>0</v>
      </c>
      <c r="U582" s="54"/>
    </row>
    <row r="583" spans="1:21" ht="17.25" customHeight="1" x14ac:dyDescent="0.3">
      <c r="A583" s="15" t="s">
        <v>29</v>
      </c>
      <c r="C583" s="19"/>
      <c r="D583" s="33" t="str">
        <f t="shared" si="497"/>
        <v>S100007</v>
      </c>
      <c r="E583" s="33"/>
      <c r="F583" s="20"/>
      <c r="G583" s="20" t="str">
        <f>"""NAV"",""CRONUS JetCorp USA"",""32"",""1"",""20383"""</f>
        <v>"NAV","CRONUS JetCorp USA","32","1","20383"</v>
      </c>
      <c r="H583" s="39">
        <v>43473</v>
      </c>
      <c r="I583" s="40">
        <v>20383</v>
      </c>
      <c r="J583" s="40" t="str">
        <f>"Customer"</f>
        <v>Customer</v>
      </c>
      <c r="K583" s="40" t="str">
        <f>"C100130"</f>
        <v>C100130</v>
      </c>
      <c r="L583" s="40" t="str">
        <f>"Hotspot Systems"</f>
        <v>Hotspot Systems</v>
      </c>
      <c r="M583" s="40" t="str">
        <f>""</f>
        <v/>
      </c>
      <c r="N583" s="40" t="str">
        <f>""</f>
        <v/>
      </c>
      <c r="O583" s="41">
        <v>0</v>
      </c>
      <c r="P583" s="41">
        <v>-144</v>
      </c>
      <c r="Q583" s="41">
        <v>0</v>
      </c>
      <c r="R583" s="41">
        <v>0</v>
      </c>
      <c r="S583" s="41">
        <v>0</v>
      </c>
      <c r="T583" s="41">
        <v>0</v>
      </c>
      <c r="U583" s="54"/>
    </row>
    <row r="584" spans="1:21" ht="17.25" customHeight="1" x14ac:dyDescent="0.3">
      <c r="A584" s="15" t="s">
        <v>29</v>
      </c>
      <c r="C584" s="19"/>
      <c r="D584" s="33"/>
      <c r="E584" s="33"/>
      <c r="F584" s="20"/>
      <c r="G584" s="20"/>
      <c r="H584" s="20"/>
      <c r="I584" s="20"/>
      <c r="J584" s="20"/>
      <c r="K584" s="20"/>
      <c r="L584" s="20"/>
      <c r="M584" s="20"/>
      <c r="N584" s="20"/>
      <c r="O584" s="42"/>
      <c r="P584" s="42"/>
      <c r="Q584" s="42"/>
      <c r="R584" s="42"/>
      <c r="S584" s="42"/>
      <c r="T584" s="42"/>
      <c r="U584" s="55"/>
    </row>
    <row r="585" spans="1:21" ht="17.25" customHeight="1" x14ac:dyDescent="0.3">
      <c r="A585" s="15" t="s">
        <v>29</v>
      </c>
      <c r="C585" s="19"/>
      <c r="D585" s="33"/>
      <c r="E585" s="33" t="s">
        <v>30</v>
      </c>
      <c r="F585" s="20" t="s">
        <v>30</v>
      </c>
      <c r="G585" s="20" t="s">
        <v>30</v>
      </c>
      <c r="H585" s="20"/>
      <c r="I585" s="20"/>
      <c r="J585" s="20" t="s">
        <v>30</v>
      </c>
      <c r="K585" s="20" t="s">
        <v>30</v>
      </c>
      <c r="L585" s="20" t="s">
        <v>30</v>
      </c>
      <c r="M585" s="20" t="s">
        <v>30</v>
      </c>
      <c r="N585" s="20"/>
      <c r="U585" s="56"/>
    </row>
    <row r="586" spans="1:21" ht="20.25" customHeight="1" x14ac:dyDescent="0.35">
      <c r="A586" s="15" t="s">
        <v>29</v>
      </c>
      <c r="C586" s="19"/>
      <c r="D586" s="34" t="str">
        <f t="shared" ref="D586" si="498">E586</f>
        <v>S100008</v>
      </c>
      <c r="E586" s="35" t="str">
        <f>"S100008"</f>
        <v>S100008</v>
      </c>
      <c r="F586" s="36" t="str">
        <f>"Soccer Figure Trophy"</f>
        <v>Soccer Figure Trophy</v>
      </c>
      <c r="G586" s="36"/>
      <c r="H586" s="37" t="str">
        <f>"EA"</f>
        <v>EA</v>
      </c>
      <c r="I586" s="36"/>
      <c r="J586" s="36"/>
      <c r="K586" s="36"/>
      <c r="L586" s="36"/>
      <c r="M586" s="36"/>
      <c r="N586" s="36"/>
      <c r="O586" s="38">
        <f t="shared" ref="O586:T586" si="499">(SUBTOTAL(9,O587:O590))</f>
        <v>500</v>
      </c>
      <c r="P586" s="38">
        <f t="shared" si="499"/>
        <v>-144</v>
      </c>
      <c r="Q586" s="38">
        <f t="shared" si="499"/>
        <v>0</v>
      </c>
      <c r="R586" s="38">
        <f t="shared" si="499"/>
        <v>0</v>
      </c>
      <c r="S586" s="38">
        <f t="shared" si="499"/>
        <v>0</v>
      </c>
      <c r="T586" s="38">
        <f t="shared" si="499"/>
        <v>0</v>
      </c>
      <c r="U586" s="53">
        <f t="shared" ref="U586" si="500">SUBTOTAL(9,O587:T590)</f>
        <v>356</v>
      </c>
    </row>
    <row r="587" spans="1:21" ht="17.25" customHeight="1" x14ac:dyDescent="0.3">
      <c r="A587" s="15" t="s">
        <v>29</v>
      </c>
      <c r="C587" s="19"/>
      <c r="D587" s="33" t="str">
        <f t="shared" ref="D587" si="501">D586</f>
        <v>S100008</v>
      </c>
      <c r="E587" s="33"/>
      <c r="F587" s="20"/>
      <c r="G587" s="20" t="str">
        <f>"""NAV"",""CRONUS JetCorp USA"",""32"",""1"",""166403"""</f>
        <v>"NAV","CRONUS JetCorp USA","32","1","166403"</v>
      </c>
      <c r="H587" s="39">
        <v>43466</v>
      </c>
      <c r="I587" s="40">
        <v>166403</v>
      </c>
      <c r="J587" s="40" t="str">
        <f>"Vendor"</f>
        <v>Vendor</v>
      </c>
      <c r="K587" s="40" t="str">
        <f>"V100003"</f>
        <v>V100003</v>
      </c>
      <c r="L587" s="40" t="str">
        <f>""</f>
        <v/>
      </c>
      <c r="M587" s="40" t="str">
        <f>"LogoMasters"</f>
        <v>LogoMasters</v>
      </c>
      <c r="N587" s="40" t="str">
        <f>""</f>
        <v/>
      </c>
      <c r="O587" s="41">
        <v>300</v>
      </c>
      <c r="P587" s="41">
        <v>0</v>
      </c>
      <c r="Q587" s="41">
        <v>0</v>
      </c>
      <c r="R587" s="41">
        <v>0</v>
      </c>
      <c r="S587" s="41">
        <v>0</v>
      </c>
      <c r="T587" s="41">
        <v>0</v>
      </c>
      <c r="U587" s="54"/>
    </row>
    <row r="588" spans="1:21" ht="17.25" customHeight="1" x14ac:dyDescent="0.3">
      <c r="A588" s="15" t="s">
        <v>29</v>
      </c>
      <c r="C588" s="19"/>
      <c r="D588" s="33" t="str">
        <f t="shared" ref="D588:D589" si="502">D587</f>
        <v>S100008</v>
      </c>
      <c r="E588" s="33"/>
      <c r="F588" s="20"/>
      <c r="G588" s="20" t="str">
        <f>"""NAV"",""CRONUS JetCorp USA"",""32"",""1"",""166421"""</f>
        <v>"NAV","CRONUS JetCorp USA","32","1","166421"</v>
      </c>
      <c r="H588" s="39">
        <v>43466</v>
      </c>
      <c r="I588" s="40">
        <v>166421</v>
      </c>
      <c r="J588" s="40" t="str">
        <f>"Vendor"</f>
        <v>Vendor</v>
      </c>
      <c r="K588" s="40" t="str">
        <f>"V100001"</f>
        <v>V100001</v>
      </c>
      <c r="L588" s="40" t="str">
        <f>""</f>
        <v/>
      </c>
      <c r="M588" s="40" t="str">
        <f>"Greigner, Inc."</f>
        <v>Greigner, Inc.</v>
      </c>
      <c r="N588" s="40" t="str">
        <f>""</f>
        <v/>
      </c>
      <c r="O588" s="41">
        <v>200</v>
      </c>
      <c r="P588" s="41">
        <v>0</v>
      </c>
      <c r="Q588" s="41">
        <v>0</v>
      </c>
      <c r="R588" s="41">
        <v>0</v>
      </c>
      <c r="S588" s="41">
        <v>0</v>
      </c>
      <c r="T588" s="41">
        <v>0</v>
      </c>
      <c r="U588" s="54"/>
    </row>
    <row r="589" spans="1:21" ht="17.25" customHeight="1" x14ac:dyDescent="0.3">
      <c r="A589" s="15" t="s">
        <v>29</v>
      </c>
      <c r="C589" s="19"/>
      <c r="D589" s="33" t="str">
        <f t="shared" si="502"/>
        <v>S100008</v>
      </c>
      <c r="E589" s="33"/>
      <c r="F589" s="20"/>
      <c r="G589" s="20" t="str">
        <f>"""NAV"",""CRONUS JetCorp USA"",""32"",""1"",""30033"""</f>
        <v>"NAV","CRONUS JetCorp USA","32","1","30033"</v>
      </c>
      <c r="H589" s="39">
        <v>43471</v>
      </c>
      <c r="I589" s="40">
        <v>30033</v>
      </c>
      <c r="J589" s="40" t="str">
        <f>"Customer"</f>
        <v>Customer</v>
      </c>
      <c r="K589" s="40" t="str">
        <f>"C100012"</f>
        <v>C100012</v>
      </c>
      <c r="L589" s="40" t="str">
        <f>"Bainbridges"</f>
        <v>Bainbridges</v>
      </c>
      <c r="M589" s="40" t="str">
        <f>""</f>
        <v/>
      </c>
      <c r="N589" s="40" t="str">
        <f>""</f>
        <v/>
      </c>
      <c r="O589" s="41">
        <v>0</v>
      </c>
      <c r="P589" s="41">
        <v>-144</v>
      </c>
      <c r="Q589" s="41">
        <v>0</v>
      </c>
      <c r="R589" s="41">
        <v>0</v>
      </c>
      <c r="S589" s="41">
        <v>0</v>
      </c>
      <c r="T589" s="41">
        <v>0</v>
      </c>
      <c r="U589" s="54"/>
    </row>
    <row r="590" spans="1:21" ht="17.25" customHeight="1" x14ac:dyDescent="0.3">
      <c r="A590" s="15" t="s">
        <v>29</v>
      </c>
      <c r="C590" s="19"/>
      <c r="D590" s="33"/>
      <c r="E590" s="33"/>
      <c r="F590" s="20"/>
      <c r="G590" s="20"/>
      <c r="H590" s="20"/>
      <c r="I590" s="20"/>
      <c r="J590" s="20"/>
      <c r="K590" s="20"/>
      <c r="L590" s="20"/>
      <c r="M590" s="20"/>
      <c r="N590" s="20"/>
      <c r="O590" s="42"/>
      <c r="P590" s="42"/>
      <c r="Q590" s="42"/>
      <c r="R590" s="42"/>
      <c r="S590" s="42"/>
      <c r="T590" s="42"/>
      <c r="U590" s="55"/>
    </row>
    <row r="591" spans="1:21" ht="17.25" customHeight="1" x14ac:dyDescent="0.3">
      <c r="A591" s="15" t="s">
        <v>29</v>
      </c>
      <c r="C591" s="19"/>
      <c r="D591" s="33"/>
      <c r="E591" s="33" t="s">
        <v>30</v>
      </c>
      <c r="F591" s="20" t="s">
        <v>30</v>
      </c>
      <c r="G591" s="20" t="s">
        <v>30</v>
      </c>
      <c r="H591" s="20"/>
      <c r="I591" s="20"/>
      <c r="J591" s="20" t="s">
        <v>30</v>
      </c>
      <c r="K591" s="20" t="s">
        <v>30</v>
      </c>
      <c r="L591" s="20" t="s">
        <v>30</v>
      </c>
      <c r="M591" s="20" t="s">
        <v>30</v>
      </c>
      <c r="N591" s="20"/>
      <c r="U591" s="56"/>
    </row>
    <row r="592" spans="1:21" ht="20.25" customHeight="1" x14ac:dyDescent="0.35">
      <c r="A592" s="15" t="s">
        <v>29</v>
      </c>
      <c r="C592" s="19"/>
      <c r="D592" s="34" t="str">
        <f t="shared" ref="D592" si="503">E592</f>
        <v>S100009</v>
      </c>
      <c r="E592" s="35" t="str">
        <f>"S100009"</f>
        <v>S100009</v>
      </c>
      <c r="F592" s="36" t="str">
        <f>"Engraved Basketball Award"</f>
        <v>Engraved Basketball Award</v>
      </c>
      <c r="G592" s="36"/>
      <c r="H592" s="37" t="str">
        <f>"EA"</f>
        <v>EA</v>
      </c>
      <c r="I592" s="36"/>
      <c r="J592" s="36"/>
      <c r="K592" s="36"/>
      <c r="L592" s="36"/>
      <c r="M592" s="36"/>
      <c r="N592" s="36"/>
      <c r="O592" s="38">
        <f t="shared" ref="O592:T592" si="504">(SUBTOTAL(9,O593:O595))</f>
        <v>300</v>
      </c>
      <c r="P592" s="38">
        <f t="shared" si="504"/>
        <v>0</v>
      </c>
      <c r="Q592" s="38">
        <f t="shared" si="504"/>
        <v>0</v>
      </c>
      <c r="R592" s="38">
        <f t="shared" si="504"/>
        <v>0</v>
      </c>
      <c r="S592" s="38">
        <f t="shared" si="504"/>
        <v>0</v>
      </c>
      <c r="T592" s="38">
        <f t="shared" si="504"/>
        <v>0</v>
      </c>
      <c r="U592" s="53">
        <f t="shared" ref="U592" si="505">SUBTOTAL(9,O593:T595)</f>
        <v>300</v>
      </c>
    </row>
    <row r="593" spans="1:21" ht="17.25" customHeight="1" x14ac:dyDescent="0.3">
      <c r="A593" s="15" t="s">
        <v>29</v>
      </c>
      <c r="C593" s="19"/>
      <c r="D593" s="33" t="str">
        <f t="shared" ref="D593" si="506">D592</f>
        <v>S100009</v>
      </c>
      <c r="E593" s="33"/>
      <c r="F593" s="20"/>
      <c r="G593" s="20" t="str">
        <f>"""NAV"",""CRONUS JetCorp USA"",""32"",""1"",""166402"""</f>
        <v>"NAV","CRONUS JetCorp USA","32","1","166402"</v>
      </c>
      <c r="H593" s="39">
        <v>43466</v>
      </c>
      <c r="I593" s="40">
        <v>166402</v>
      </c>
      <c r="J593" s="40" t="str">
        <f>"Vendor"</f>
        <v>Vendor</v>
      </c>
      <c r="K593" s="40" t="str">
        <f>"V100003"</f>
        <v>V100003</v>
      </c>
      <c r="L593" s="40" t="str">
        <f>""</f>
        <v/>
      </c>
      <c r="M593" s="40" t="str">
        <f>"LogoMasters"</f>
        <v>LogoMasters</v>
      </c>
      <c r="N593" s="40" t="str">
        <f>""</f>
        <v/>
      </c>
      <c r="O593" s="41">
        <v>100</v>
      </c>
      <c r="P593" s="41">
        <v>0</v>
      </c>
      <c r="Q593" s="41">
        <v>0</v>
      </c>
      <c r="R593" s="41">
        <v>0</v>
      </c>
      <c r="S593" s="41">
        <v>0</v>
      </c>
      <c r="T593" s="41">
        <v>0</v>
      </c>
      <c r="U593" s="54"/>
    </row>
    <row r="594" spans="1:21" ht="17.25" customHeight="1" x14ac:dyDescent="0.3">
      <c r="A594" s="15" t="s">
        <v>29</v>
      </c>
      <c r="C594" s="19"/>
      <c r="D594" s="33" t="str">
        <f t="shared" ref="D594" si="507">D593</f>
        <v>S100009</v>
      </c>
      <c r="E594" s="33"/>
      <c r="F594" s="20"/>
      <c r="G594" s="20" t="str">
        <f>"""NAV"",""CRONUS JetCorp USA"",""32"",""1"",""166420"""</f>
        <v>"NAV","CRONUS JetCorp USA","32","1","166420"</v>
      </c>
      <c r="H594" s="39">
        <v>43466</v>
      </c>
      <c r="I594" s="40">
        <v>166420</v>
      </c>
      <c r="J594" s="40" t="str">
        <f>"Vendor"</f>
        <v>Vendor</v>
      </c>
      <c r="K594" s="40" t="str">
        <f>"V100001"</f>
        <v>V100001</v>
      </c>
      <c r="L594" s="40" t="str">
        <f>""</f>
        <v/>
      </c>
      <c r="M594" s="40" t="str">
        <f>"Greigner, Inc."</f>
        <v>Greigner, Inc.</v>
      </c>
      <c r="N594" s="40" t="str">
        <f>""</f>
        <v/>
      </c>
      <c r="O594" s="41">
        <v>200</v>
      </c>
      <c r="P594" s="41">
        <v>0</v>
      </c>
      <c r="Q594" s="41">
        <v>0</v>
      </c>
      <c r="R594" s="41">
        <v>0</v>
      </c>
      <c r="S594" s="41">
        <v>0</v>
      </c>
      <c r="T594" s="41">
        <v>0</v>
      </c>
      <c r="U594" s="54"/>
    </row>
    <row r="595" spans="1:21" ht="17.25" customHeight="1" x14ac:dyDescent="0.3">
      <c r="A595" s="15" t="s">
        <v>29</v>
      </c>
      <c r="C595" s="19"/>
      <c r="D595" s="33"/>
      <c r="E595" s="33"/>
      <c r="F595" s="20"/>
      <c r="G595" s="20"/>
      <c r="H595" s="20"/>
      <c r="I595" s="20"/>
      <c r="J595" s="20"/>
      <c r="K595" s="20"/>
      <c r="L595" s="20"/>
      <c r="M595" s="20"/>
      <c r="N595" s="20"/>
      <c r="O595" s="42"/>
      <c r="P595" s="42"/>
      <c r="Q595" s="42"/>
      <c r="R595" s="42"/>
      <c r="S595" s="42"/>
      <c r="T595" s="42"/>
      <c r="U595" s="55"/>
    </row>
    <row r="596" spans="1:21" ht="17.25" customHeight="1" x14ac:dyDescent="0.3">
      <c r="A596" s="15" t="s">
        <v>29</v>
      </c>
      <c r="C596" s="19"/>
      <c r="D596" s="33"/>
      <c r="E596" s="33" t="s">
        <v>30</v>
      </c>
      <c r="F596" s="20" t="s">
        <v>30</v>
      </c>
      <c r="G596" s="20" t="s">
        <v>30</v>
      </c>
      <c r="H596" s="20"/>
      <c r="I596" s="20"/>
      <c r="J596" s="20" t="s">
        <v>30</v>
      </c>
      <c r="K596" s="20" t="s">
        <v>30</v>
      </c>
      <c r="L596" s="20" t="s">
        <v>30</v>
      </c>
      <c r="M596" s="20" t="s">
        <v>30</v>
      </c>
      <c r="N596" s="20"/>
      <c r="U596" s="56"/>
    </row>
    <row r="597" spans="1:21" ht="20.25" customHeight="1" x14ac:dyDescent="0.35">
      <c r="A597" s="15" t="s">
        <v>29</v>
      </c>
      <c r="C597" s="19"/>
      <c r="D597" s="34" t="str">
        <f t="shared" ref="D597" si="508">E597</f>
        <v>S100010</v>
      </c>
      <c r="E597" s="35" t="str">
        <f>"S100010"</f>
        <v>S100010</v>
      </c>
      <c r="F597" s="36" t="str">
        <f>"Golf Relaxed Cap"</f>
        <v>Golf Relaxed Cap</v>
      </c>
      <c r="G597" s="36"/>
      <c r="H597" s="37" t="str">
        <f>"EA"</f>
        <v>EA</v>
      </c>
      <c r="I597" s="36"/>
      <c r="J597" s="36"/>
      <c r="K597" s="36"/>
      <c r="L597" s="36"/>
      <c r="M597" s="36"/>
      <c r="N597" s="36"/>
      <c r="O597" s="38">
        <f t="shared" ref="O597:T597" si="509">(SUBTOTAL(9,O598:O600))</f>
        <v>400</v>
      </c>
      <c r="P597" s="38">
        <f t="shared" si="509"/>
        <v>-1</v>
      </c>
      <c r="Q597" s="38">
        <f t="shared" si="509"/>
        <v>0</v>
      </c>
      <c r="R597" s="38">
        <f t="shared" si="509"/>
        <v>0</v>
      </c>
      <c r="S597" s="38">
        <f t="shared" si="509"/>
        <v>0</v>
      </c>
      <c r="T597" s="38">
        <f t="shared" si="509"/>
        <v>0</v>
      </c>
      <c r="U597" s="53">
        <f t="shared" ref="U597" si="510">SUBTOTAL(9,O598:T600)</f>
        <v>399</v>
      </c>
    </row>
    <row r="598" spans="1:21" ht="17.25" customHeight="1" x14ac:dyDescent="0.3">
      <c r="A598" s="15" t="s">
        <v>29</v>
      </c>
      <c r="C598" s="19"/>
      <c r="D598" s="33" t="str">
        <f t="shared" ref="D598" si="511">D597</f>
        <v>S100010</v>
      </c>
      <c r="E598" s="33"/>
      <c r="F598" s="20"/>
      <c r="G598" s="20" t="str">
        <f>"""NAV"",""CRONUS JetCorp USA"",""32"",""1"",""167159"""</f>
        <v>"NAV","CRONUS JetCorp USA","32","1","167159"</v>
      </c>
      <c r="H598" s="39">
        <v>43466</v>
      </c>
      <c r="I598" s="40">
        <v>167159</v>
      </c>
      <c r="J598" s="40" t="str">
        <f>"Vendor"</f>
        <v>Vendor</v>
      </c>
      <c r="K598" s="40" t="str">
        <f>"V100003"</f>
        <v>V100003</v>
      </c>
      <c r="L598" s="40" t="str">
        <f>""</f>
        <v/>
      </c>
      <c r="M598" s="40" t="str">
        <f>"LogoMasters"</f>
        <v>LogoMasters</v>
      </c>
      <c r="N598" s="40" t="str">
        <f>""</f>
        <v/>
      </c>
      <c r="O598" s="41">
        <v>400</v>
      </c>
      <c r="P598" s="41">
        <v>0</v>
      </c>
      <c r="Q598" s="41">
        <v>0</v>
      </c>
      <c r="R598" s="41">
        <v>0</v>
      </c>
      <c r="S598" s="41">
        <v>0</v>
      </c>
      <c r="T598" s="41">
        <v>0</v>
      </c>
      <c r="U598" s="54"/>
    </row>
    <row r="599" spans="1:21" ht="17.25" customHeight="1" x14ac:dyDescent="0.3">
      <c r="A599" s="15" t="s">
        <v>29</v>
      </c>
      <c r="C599" s="19"/>
      <c r="D599" s="33" t="str">
        <f t="shared" ref="D599" si="512">D598</f>
        <v>S100010</v>
      </c>
      <c r="E599" s="33"/>
      <c r="F599" s="20"/>
      <c r="G599" s="20" t="str">
        <f>"""NAV"",""CRONUS JetCorp USA"",""32"",""1"",""30118"""</f>
        <v>"NAV","CRONUS JetCorp USA","32","1","30118"</v>
      </c>
      <c r="H599" s="39">
        <v>43475</v>
      </c>
      <c r="I599" s="40">
        <v>30118</v>
      </c>
      <c r="J599" s="40" t="str">
        <f>"Customer"</f>
        <v>Customer</v>
      </c>
      <c r="K599" s="40" t="str">
        <f>"C100012"</f>
        <v>C100012</v>
      </c>
      <c r="L599" s="40" t="str">
        <f>"Bainbridges"</f>
        <v>Bainbridges</v>
      </c>
      <c r="M599" s="40" t="str">
        <f>""</f>
        <v/>
      </c>
      <c r="N599" s="40" t="str">
        <f>""</f>
        <v/>
      </c>
      <c r="O599" s="41">
        <v>0</v>
      </c>
      <c r="P599" s="41">
        <v>-1</v>
      </c>
      <c r="Q599" s="41">
        <v>0</v>
      </c>
      <c r="R599" s="41">
        <v>0</v>
      </c>
      <c r="S599" s="41">
        <v>0</v>
      </c>
      <c r="T599" s="41">
        <v>0</v>
      </c>
      <c r="U599" s="54"/>
    </row>
    <row r="600" spans="1:21" ht="17.25" customHeight="1" x14ac:dyDescent="0.3">
      <c r="A600" s="15" t="s">
        <v>29</v>
      </c>
      <c r="C600" s="19"/>
      <c r="D600" s="33"/>
      <c r="E600" s="33"/>
      <c r="F600" s="20"/>
      <c r="G600" s="20"/>
      <c r="H600" s="20"/>
      <c r="I600" s="20"/>
      <c r="J600" s="20"/>
      <c r="K600" s="20"/>
      <c r="L600" s="20"/>
      <c r="M600" s="20"/>
      <c r="N600" s="20"/>
      <c r="O600" s="42"/>
      <c r="P600" s="42"/>
      <c r="Q600" s="42"/>
      <c r="R600" s="42"/>
      <c r="S600" s="42"/>
      <c r="T600" s="42"/>
      <c r="U600" s="55"/>
    </row>
    <row r="601" spans="1:21" ht="17.25" customHeight="1" x14ac:dyDescent="0.3">
      <c r="A601" s="15" t="s">
        <v>29</v>
      </c>
      <c r="C601" s="19"/>
      <c r="D601" s="33"/>
      <c r="E601" s="33" t="s">
        <v>30</v>
      </c>
      <c r="F601" s="20" t="s">
        <v>30</v>
      </c>
      <c r="G601" s="20" t="s">
        <v>30</v>
      </c>
      <c r="H601" s="20"/>
      <c r="I601" s="20"/>
      <c r="J601" s="20" t="s">
        <v>30</v>
      </c>
      <c r="K601" s="20" t="s">
        <v>30</v>
      </c>
      <c r="L601" s="20" t="s">
        <v>30</v>
      </c>
      <c r="M601" s="20" t="s">
        <v>30</v>
      </c>
      <c r="N601" s="20"/>
      <c r="U601" s="56"/>
    </row>
    <row r="602" spans="1:21" ht="20.25" customHeight="1" x14ac:dyDescent="0.35">
      <c r="A602" s="15" t="s">
        <v>29</v>
      </c>
      <c r="C602" s="19"/>
      <c r="D602" s="34" t="str">
        <f t="shared" ref="D602" si="513">E602</f>
        <v>S100011</v>
      </c>
      <c r="E602" s="35" t="str">
        <f>"S100011"</f>
        <v>S100011</v>
      </c>
      <c r="F602" s="36" t="str">
        <f>"All Star Cap"</f>
        <v>All Star Cap</v>
      </c>
      <c r="G602" s="36"/>
      <c r="H602" s="37" t="str">
        <f>"EA"</f>
        <v>EA</v>
      </c>
      <c r="I602" s="36"/>
      <c r="J602" s="36"/>
      <c r="K602" s="36"/>
      <c r="L602" s="36"/>
      <c r="M602" s="36"/>
      <c r="N602" s="36"/>
      <c r="O602" s="38">
        <f t="shared" ref="O602:T602" si="514">(SUBTOTAL(9,O603:O606))</f>
        <v>2000</v>
      </c>
      <c r="P602" s="38">
        <f t="shared" si="514"/>
        <v>-1</v>
      </c>
      <c r="Q602" s="38">
        <f t="shared" si="514"/>
        <v>0</v>
      </c>
      <c r="R602" s="38">
        <f t="shared" si="514"/>
        <v>0</v>
      </c>
      <c r="S602" s="38">
        <f t="shared" si="514"/>
        <v>0</v>
      </c>
      <c r="T602" s="38">
        <f t="shared" si="514"/>
        <v>0</v>
      </c>
      <c r="U602" s="53">
        <f t="shared" ref="U602" si="515">SUBTOTAL(9,O603:T606)</f>
        <v>1999</v>
      </c>
    </row>
    <row r="603" spans="1:21" ht="17.25" customHeight="1" x14ac:dyDescent="0.3">
      <c r="A603" s="15" t="s">
        <v>29</v>
      </c>
      <c r="C603" s="19"/>
      <c r="D603" s="33" t="str">
        <f t="shared" ref="D603" si="516">D602</f>
        <v>S100011</v>
      </c>
      <c r="E603" s="33"/>
      <c r="F603" s="20"/>
      <c r="G603" s="20" t="str">
        <f>"""NAV"",""CRONUS JetCorp USA"",""32"",""1"",""167158"""</f>
        <v>"NAV","CRONUS JetCorp USA","32","1","167158"</v>
      </c>
      <c r="H603" s="39">
        <v>43466</v>
      </c>
      <c r="I603" s="40">
        <v>167158</v>
      </c>
      <c r="J603" s="40" t="str">
        <f>"Vendor"</f>
        <v>Vendor</v>
      </c>
      <c r="K603" s="40" t="str">
        <f>"V100003"</f>
        <v>V100003</v>
      </c>
      <c r="L603" s="40" t="str">
        <f>""</f>
        <v/>
      </c>
      <c r="M603" s="40" t="str">
        <f>"LogoMasters"</f>
        <v>LogoMasters</v>
      </c>
      <c r="N603" s="40" t="str">
        <f>""</f>
        <v/>
      </c>
      <c r="O603" s="41">
        <v>1600</v>
      </c>
      <c r="P603" s="41">
        <v>0</v>
      </c>
      <c r="Q603" s="41">
        <v>0</v>
      </c>
      <c r="R603" s="41">
        <v>0</v>
      </c>
      <c r="S603" s="41">
        <v>0</v>
      </c>
      <c r="T603" s="41">
        <v>0</v>
      </c>
      <c r="U603" s="54"/>
    </row>
    <row r="604" spans="1:21" ht="17.25" customHeight="1" x14ac:dyDescent="0.3">
      <c r="A604" s="15" t="s">
        <v>29</v>
      </c>
      <c r="C604" s="19"/>
      <c r="D604" s="33" t="str">
        <f t="shared" ref="D604:D605" si="517">D603</f>
        <v>S100011</v>
      </c>
      <c r="E604" s="33"/>
      <c r="F604" s="20"/>
      <c r="G604" s="20" t="str">
        <f>"""NAV"",""CRONUS JetCorp USA"",""32"",""1"",""167169"""</f>
        <v>"NAV","CRONUS JetCorp USA","32","1","167169"</v>
      </c>
      <c r="H604" s="39">
        <v>43466</v>
      </c>
      <c r="I604" s="40">
        <v>167169</v>
      </c>
      <c r="J604" s="40" t="str">
        <f>"Vendor"</f>
        <v>Vendor</v>
      </c>
      <c r="K604" s="40" t="str">
        <f>"V100001"</f>
        <v>V100001</v>
      </c>
      <c r="L604" s="40" t="str">
        <f>""</f>
        <v/>
      </c>
      <c r="M604" s="40" t="str">
        <f>"Greigner, Inc."</f>
        <v>Greigner, Inc.</v>
      </c>
      <c r="N604" s="40" t="str">
        <f>""</f>
        <v/>
      </c>
      <c r="O604" s="41">
        <v>400</v>
      </c>
      <c r="P604" s="41">
        <v>0</v>
      </c>
      <c r="Q604" s="41">
        <v>0</v>
      </c>
      <c r="R604" s="41">
        <v>0</v>
      </c>
      <c r="S604" s="41">
        <v>0</v>
      </c>
      <c r="T604" s="41">
        <v>0</v>
      </c>
      <c r="U604" s="54"/>
    </row>
    <row r="605" spans="1:21" ht="17.25" customHeight="1" x14ac:dyDescent="0.3">
      <c r="A605" s="15" t="s">
        <v>29</v>
      </c>
      <c r="C605" s="19"/>
      <c r="D605" s="33" t="str">
        <f t="shared" si="517"/>
        <v>S100011</v>
      </c>
      <c r="E605" s="33"/>
      <c r="F605" s="20"/>
      <c r="G605" s="20" t="str">
        <f>"""NAV"",""CRONUS JetCorp USA"",""32"",""1"",""20394"""</f>
        <v>"NAV","CRONUS JetCorp USA","32","1","20394"</v>
      </c>
      <c r="H605" s="39">
        <v>43473</v>
      </c>
      <c r="I605" s="40">
        <v>20394</v>
      </c>
      <c r="J605" s="40" t="str">
        <f>"Customer"</f>
        <v>Customer</v>
      </c>
      <c r="K605" s="40" t="str">
        <f>"C100130"</f>
        <v>C100130</v>
      </c>
      <c r="L605" s="40" t="str">
        <f>"Hotspot Systems"</f>
        <v>Hotspot Systems</v>
      </c>
      <c r="M605" s="40" t="str">
        <f>""</f>
        <v/>
      </c>
      <c r="N605" s="40" t="str">
        <f>""</f>
        <v/>
      </c>
      <c r="O605" s="41">
        <v>0</v>
      </c>
      <c r="P605" s="41">
        <v>-1</v>
      </c>
      <c r="Q605" s="41">
        <v>0</v>
      </c>
      <c r="R605" s="41">
        <v>0</v>
      </c>
      <c r="S605" s="41">
        <v>0</v>
      </c>
      <c r="T605" s="41">
        <v>0</v>
      </c>
      <c r="U605" s="54"/>
    </row>
    <row r="606" spans="1:21" ht="17.25" customHeight="1" x14ac:dyDescent="0.3">
      <c r="A606" s="15" t="s">
        <v>29</v>
      </c>
      <c r="C606" s="19"/>
      <c r="D606" s="33"/>
      <c r="E606" s="33"/>
      <c r="F606" s="20"/>
      <c r="G606" s="20"/>
      <c r="H606" s="20"/>
      <c r="I606" s="20"/>
      <c r="J606" s="20"/>
      <c r="K606" s="20"/>
      <c r="L606" s="20"/>
      <c r="M606" s="20"/>
      <c r="N606" s="20"/>
      <c r="O606" s="42"/>
      <c r="P606" s="42"/>
      <c r="Q606" s="42"/>
      <c r="R606" s="42"/>
      <c r="S606" s="42"/>
      <c r="T606" s="42"/>
      <c r="U606" s="55"/>
    </row>
    <row r="607" spans="1:21" ht="17.25" customHeight="1" x14ac:dyDescent="0.3">
      <c r="A607" s="15" t="s">
        <v>29</v>
      </c>
      <c r="C607" s="19"/>
      <c r="D607" s="33"/>
      <c r="E607" s="33" t="s">
        <v>30</v>
      </c>
      <c r="F607" s="20" t="s">
        <v>30</v>
      </c>
      <c r="G607" s="20" t="s">
        <v>30</v>
      </c>
      <c r="H607" s="20"/>
      <c r="I607" s="20"/>
      <c r="J607" s="20" t="s">
        <v>30</v>
      </c>
      <c r="K607" s="20" t="s">
        <v>30</v>
      </c>
      <c r="L607" s="20" t="s">
        <v>30</v>
      </c>
      <c r="M607" s="20" t="s">
        <v>30</v>
      </c>
      <c r="N607" s="20"/>
      <c r="U607" s="56"/>
    </row>
    <row r="608" spans="1:21" ht="20.25" customHeight="1" x14ac:dyDescent="0.35">
      <c r="A608" s="15" t="s">
        <v>29</v>
      </c>
      <c r="C608" s="19"/>
      <c r="D608" s="34" t="str">
        <f t="shared" ref="D608" si="518">E608</f>
        <v>S100012</v>
      </c>
      <c r="E608" s="35" t="str">
        <f>"S100012"</f>
        <v>S100012</v>
      </c>
      <c r="F608" s="36" t="str">
        <f>"Raw-Edge Patch BALL CAP"</f>
        <v>Raw-Edge Patch BALL CAP</v>
      </c>
      <c r="G608" s="36"/>
      <c r="H608" s="37" t="str">
        <f>"EA"</f>
        <v>EA</v>
      </c>
      <c r="I608" s="36"/>
      <c r="J608" s="36"/>
      <c r="K608" s="36"/>
      <c r="L608" s="36"/>
      <c r="M608" s="36"/>
      <c r="N608" s="36"/>
      <c r="O608" s="38">
        <f t="shared" ref="O608:T608" si="519">(SUBTOTAL(9,O609:O611))</f>
        <v>400</v>
      </c>
      <c r="P608" s="38">
        <f t="shared" si="519"/>
        <v>-288</v>
      </c>
      <c r="Q608" s="38">
        <f t="shared" si="519"/>
        <v>0</v>
      </c>
      <c r="R608" s="38">
        <f t="shared" si="519"/>
        <v>0</v>
      </c>
      <c r="S608" s="38">
        <f t="shared" si="519"/>
        <v>0</v>
      </c>
      <c r="T608" s="38">
        <f t="shared" si="519"/>
        <v>0</v>
      </c>
      <c r="U608" s="53">
        <f t="shared" ref="U608" si="520">SUBTOTAL(9,O609:T611)</f>
        <v>112</v>
      </c>
    </row>
    <row r="609" spans="1:21" ht="17.25" customHeight="1" x14ac:dyDescent="0.3">
      <c r="A609" s="15" t="s">
        <v>29</v>
      </c>
      <c r="C609" s="19"/>
      <c r="D609" s="33" t="str">
        <f t="shared" ref="D609" si="521">D608</f>
        <v>S100012</v>
      </c>
      <c r="E609" s="33"/>
      <c r="F609" s="20"/>
      <c r="G609" s="20" t="str">
        <f>"""NAV"",""CRONUS JetCorp USA"",""32"",""1"",""167157"""</f>
        <v>"NAV","CRONUS JetCorp USA","32","1","167157"</v>
      </c>
      <c r="H609" s="39">
        <v>43466</v>
      </c>
      <c r="I609" s="40">
        <v>167157</v>
      </c>
      <c r="J609" s="40" t="str">
        <f>"Vendor"</f>
        <v>Vendor</v>
      </c>
      <c r="K609" s="40" t="str">
        <f>"V100003"</f>
        <v>V100003</v>
      </c>
      <c r="L609" s="40" t="str">
        <f>""</f>
        <v/>
      </c>
      <c r="M609" s="40" t="str">
        <f>"LogoMasters"</f>
        <v>LogoMasters</v>
      </c>
      <c r="N609" s="40" t="str">
        <f>""</f>
        <v/>
      </c>
      <c r="O609" s="41">
        <v>400</v>
      </c>
      <c r="P609" s="41">
        <v>0</v>
      </c>
      <c r="Q609" s="41">
        <v>0</v>
      </c>
      <c r="R609" s="41">
        <v>0</v>
      </c>
      <c r="S609" s="41">
        <v>0</v>
      </c>
      <c r="T609" s="41">
        <v>0</v>
      </c>
      <c r="U609" s="54"/>
    </row>
    <row r="610" spans="1:21" ht="17.25" customHeight="1" x14ac:dyDescent="0.3">
      <c r="A610" s="15" t="s">
        <v>29</v>
      </c>
      <c r="C610" s="19"/>
      <c r="D610" s="33" t="str">
        <f t="shared" ref="D610" si="522">D609</f>
        <v>S100012</v>
      </c>
      <c r="E610" s="33"/>
      <c r="F610" s="20"/>
      <c r="G610" s="20" t="str">
        <f>"""NAV"",""CRONUS JetCorp USA"",""32"",""1"",""30102"""</f>
        <v>"NAV","CRONUS JetCorp USA","32","1","30102"</v>
      </c>
      <c r="H610" s="39">
        <v>43475</v>
      </c>
      <c r="I610" s="40">
        <v>30102</v>
      </c>
      <c r="J610" s="40" t="str">
        <f>"Customer"</f>
        <v>Customer</v>
      </c>
      <c r="K610" s="40" t="str">
        <f>"C100012"</f>
        <v>C100012</v>
      </c>
      <c r="L610" s="40" t="str">
        <f>"Bainbridges"</f>
        <v>Bainbridges</v>
      </c>
      <c r="M610" s="40" t="str">
        <f>""</f>
        <v/>
      </c>
      <c r="N610" s="40" t="str">
        <f>""</f>
        <v/>
      </c>
      <c r="O610" s="41">
        <v>0</v>
      </c>
      <c r="P610" s="41">
        <v>-288</v>
      </c>
      <c r="Q610" s="41">
        <v>0</v>
      </c>
      <c r="R610" s="41">
        <v>0</v>
      </c>
      <c r="S610" s="41">
        <v>0</v>
      </c>
      <c r="T610" s="41">
        <v>0</v>
      </c>
      <c r="U610" s="54"/>
    </row>
    <row r="611" spans="1:21" ht="17.25" customHeight="1" x14ac:dyDescent="0.3">
      <c r="A611" s="15" t="s">
        <v>29</v>
      </c>
      <c r="C611" s="19"/>
      <c r="D611" s="33"/>
      <c r="E611" s="33"/>
      <c r="F611" s="20"/>
      <c r="G611" s="20"/>
      <c r="H611" s="20"/>
      <c r="I611" s="20"/>
      <c r="J611" s="20"/>
      <c r="K611" s="20"/>
      <c r="L611" s="20"/>
      <c r="M611" s="20"/>
      <c r="N611" s="20"/>
      <c r="O611" s="42"/>
      <c r="P611" s="42"/>
      <c r="Q611" s="42"/>
      <c r="R611" s="42"/>
      <c r="S611" s="42"/>
      <c r="T611" s="42"/>
      <c r="U611" s="55"/>
    </row>
    <row r="612" spans="1:21" ht="17.25" customHeight="1" x14ac:dyDescent="0.3">
      <c r="A612" s="15" t="s">
        <v>29</v>
      </c>
      <c r="C612" s="19"/>
      <c r="D612" s="33"/>
      <c r="E612" s="33" t="s">
        <v>30</v>
      </c>
      <c r="F612" s="20" t="s">
        <v>30</v>
      </c>
      <c r="G612" s="20" t="s">
        <v>30</v>
      </c>
      <c r="H612" s="20"/>
      <c r="I612" s="20"/>
      <c r="J612" s="20" t="s">
        <v>30</v>
      </c>
      <c r="K612" s="20" t="s">
        <v>30</v>
      </c>
      <c r="L612" s="20" t="s">
        <v>30</v>
      </c>
      <c r="M612" s="20" t="s">
        <v>30</v>
      </c>
      <c r="N612" s="20"/>
      <c r="U612" s="56"/>
    </row>
    <row r="613" spans="1:21" ht="20.25" customHeight="1" x14ac:dyDescent="0.35">
      <c r="A613" s="15" t="s">
        <v>29</v>
      </c>
      <c r="C613" s="19"/>
      <c r="D613" s="34" t="str">
        <f t="shared" ref="D613" si="523">E613</f>
        <v>S100015</v>
      </c>
      <c r="E613" s="35" t="str">
        <f>"S100015"</f>
        <v>S100015</v>
      </c>
      <c r="F613" s="36" t="str">
        <f>"Raw-Edge Bucket Hat"</f>
        <v>Raw-Edge Bucket Hat</v>
      </c>
      <c r="G613" s="36"/>
      <c r="H613" s="37" t="str">
        <f>"EA"</f>
        <v>EA</v>
      </c>
      <c r="I613" s="36"/>
      <c r="J613" s="36"/>
      <c r="K613" s="36"/>
      <c r="L613" s="36"/>
      <c r="M613" s="36"/>
      <c r="N613" s="36"/>
      <c r="O613" s="38">
        <f t="shared" ref="O613:T613" si="524">(SUBTOTAL(9,O614:O616))</f>
        <v>400</v>
      </c>
      <c r="P613" s="38">
        <f t="shared" si="524"/>
        <v>-144</v>
      </c>
      <c r="Q613" s="38">
        <f t="shared" si="524"/>
        <v>0</v>
      </c>
      <c r="R613" s="38">
        <f t="shared" si="524"/>
        <v>0</v>
      </c>
      <c r="S613" s="38">
        <f t="shared" si="524"/>
        <v>0</v>
      </c>
      <c r="T613" s="38">
        <f t="shared" si="524"/>
        <v>0</v>
      </c>
      <c r="U613" s="53">
        <f t="shared" ref="U613" si="525">SUBTOTAL(9,O614:T616)</f>
        <v>256</v>
      </c>
    </row>
    <row r="614" spans="1:21" ht="17.25" customHeight="1" x14ac:dyDescent="0.3">
      <c r="A614" s="15" t="s">
        <v>29</v>
      </c>
      <c r="C614" s="19"/>
      <c r="D614" s="33" t="str">
        <f t="shared" ref="D614" si="526">D613</f>
        <v>S100015</v>
      </c>
      <c r="E614" s="33"/>
      <c r="F614" s="20"/>
      <c r="G614" s="20" t="str">
        <f>"""NAV"",""CRONUS JetCorp USA"",""32"",""1"",""167156"""</f>
        <v>"NAV","CRONUS JetCorp USA","32","1","167156"</v>
      </c>
      <c r="H614" s="39">
        <v>43466</v>
      </c>
      <c r="I614" s="40">
        <v>167156</v>
      </c>
      <c r="J614" s="40" t="str">
        <f>"Vendor"</f>
        <v>Vendor</v>
      </c>
      <c r="K614" s="40" t="str">
        <f>"V100003"</f>
        <v>V100003</v>
      </c>
      <c r="L614" s="40" t="str">
        <f>""</f>
        <v/>
      </c>
      <c r="M614" s="40" t="str">
        <f>"LogoMasters"</f>
        <v>LogoMasters</v>
      </c>
      <c r="N614" s="40" t="str">
        <f>""</f>
        <v/>
      </c>
      <c r="O614" s="41">
        <v>400</v>
      </c>
      <c r="P614" s="41">
        <v>0</v>
      </c>
      <c r="Q614" s="41">
        <v>0</v>
      </c>
      <c r="R614" s="41">
        <v>0</v>
      </c>
      <c r="S614" s="41">
        <v>0</v>
      </c>
      <c r="T614" s="41">
        <v>0</v>
      </c>
      <c r="U614" s="54"/>
    </row>
    <row r="615" spans="1:21" ht="17.25" customHeight="1" x14ac:dyDescent="0.3">
      <c r="A615" s="15" t="s">
        <v>29</v>
      </c>
      <c r="C615" s="19"/>
      <c r="D615" s="33" t="str">
        <f t="shared" ref="D615" si="527">D614</f>
        <v>S100015</v>
      </c>
      <c r="E615" s="33"/>
      <c r="F615" s="20"/>
      <c r="G615" s="20" t="str">
        <f>"""NAV"",""CRONUS JetCorp USA"",""32"",""1"",""30109"""</f>
        <v>"NAV","CRONUS JetCorp USA","32","1","30109"</v>
      </c>
      <c r="H615" s="39">
        <v>43475</v>
      </c>
      <c r="I615" s="40">
        <v>30109</v>
      </c>
      <c r="J615" s="40" t="str">
        <f>"Customer"</f>
        <v>Customer</v>
      </c>
      <c r="K615" s="40" t="str">
        <f>"C100012"</f>
        <v>C100012</v>
      </c>
      <c r="L615" s="40" t="str">
        <f>"Bainbridges"</f>
        <v>Bainbridges</v>
      </c>
      <c r="M615" s="40" t="str">
        <f>""</f>
        <v/>
      </c>
      <c r="N615" s="40" t="str">
        <f>""</f>
        <v/>
      </c>
      <c r="O615" s="41">
        <v>0</v>
      </c>
      <c r="P615" s="41">
        <v>-144</v>
      </c>
      <c r="Q615" s="41">
        <v>0</v>
      </c>
      <c r="R615" s="41">
        <v>0</v>
      </c>
      <c r="S615" s="41">
        <v>0</v>
      </c>
      <c r="T615" s="41">
        <v>0</v>
      </c>
      <c r="U615" s="54"/>
    </row>
    <row r="616" spans="1:21" ht="17.25" customHeight="1" x14ac:dyDescent="0.3">
      <c r="A616" s="15" t="s">
        <v>29</v>
      </c>
      <c r="C616" s="19"/>
      <c r="D616" s="33"/>
      <c r="E616" s="33"/>
      <c r="F616" s="20"/>
      <c r="G616" s="20"/>
      <c r="H616" s="20"/>
      <c r="I616" s="20"/>
      <c r="J616" s="20"/>
      <c r="K616" s="20"/>
      <c r="L616" s="20"/>
      <c r="M616" s="20"/>
      <c r="N616" s="20"/>
      <c r="O616" s="42"/>
      <c r="P616" s="42"/>
      <c r="Q616" s="42"/>
      <c r="R616" s="42"/>
      <c r="S616" s="42"/>
      <c r="T616" s="42"/>
      <c r="U616" s="55"/>
    </row>
    <row r="617" spans="1:21" ht="17.25" customHeight="1" x14ac:dyDescent="0.3">
      <c r="A617" s="15" t="s">
        <v>29</v>
      </c>
      <c r="C617" s="19"/>
      <c r="D617" s="33"/>
      <c r="E617" s="33" t="s">
        <v>30</v>
      </c>
      <c r="F617" s="20" t="s">
        <v>30</v>
      </c>
      <c r="G617" s="20" t="s">
        <v>30</v>
      </c>
      <c r="H617" s="20"/>
      <c r="I617" s="20"/>
      <c r="J617" s="20" t="s">
        <v>30</v>
      </c>
      <c r="K617" s="20" t="s">
        <v>30</v>
      </c>
      <c r="L617" s="20" t="s">
        <v>30</v>
      </c>
      <c r="M617" s="20" t="s">
        <v>30</v>
      </c>
      <c r="N617" s="20"/>
      <c r="U617" s="56"/>
    </row>
    <row r="618" spans="1:21" ht="20.25" customHeight="1" x14ac:dyDescent="0.35">
      <c r="A618" s="15" t="s">
        <v>29</v>
      </c>
      <c r="C618" s="19"/>
      <c r="D618" s="34" t="str">
        <f t="shared" ref="D618" si="528">E618</f>
        <v>S100016</v>
      </c>
      <c r="E618" s="35" t="str">
        <f>"S100016"</f>
        <v>S100016</v>
      </c>
      <c r="F618" s="36" t="str">
        <f>"Mesh Bucket Hat"</f>
        <v>Mesh Bucket Hat</v>
      </c>
      <c r="G618" s="36"/>
      <c r="H618" s="37" t="str">
        <f>"EA"</f>
        <v>EA</v>
      </c>
      <c r="I618" s="36"/>
      <c r="J618" s="36"/>
      <c r="K618" s="36"/>
      <c r="L618" s="36"/>
      <c r="M618" s="36"/>
      <c r="N618" s="36"/>
      <c r="O618" s="38">
        <f t="shared" ref="O618:T618" si="529">(SUBTOTAL(9,O619:O624))</f>
        <v>800</v>
      </c>
      <c r="P618" s="38">
        <f t="shared" si="529"/>
        <v>-288</v>
      </c>
      <c r="Q618" s="38">
        <f t="shared" si="529"/>
        <v>0</v>
      </c>
      <c r="R618" s="38">
        <f t="shared" si="529"/>
        <v>0</v>
      </c>
      <c r="S618" s="38">
        <f t="shared" si="529"/>
        <v>0</v>
      </c>
      <c r="T618" s="38">
        <f t="shared" si="529"/>
        <v>0</v>
      </c>
      <c r="U618" s="53">
        <f t="shared" ref="U618" si="530">SUBTOTAL(9,O619:T624)</f>
        <v>512</v>
      </c>
    </row>
    <row r="619" spans="1:21" ht="17.25" customHeight="1" x14ac:dyDescent="0.3">
      <c r="A619" s="15" t="s">
        <v>29</v>
      </c>
      <c r="C619" s="19"/>
      <c r="D619" s="33" t="str">
        <f t="shared" ref="D619" si="531">D618</f>
        <v>S100016</v>
      </c>
      <c r="E619" s="33"/>
      <c r="F619" s="20"/>
      <c r="G619" s="20" t="str">
        <f>"""NAV"",""CRONUS JetCorp USA"",""32"",""1"",""167155"""</f>
        <v>"NAV","CRONUS JetCorp USA","32","1","167155"</v>
      </c>
      <c r="H619" s="39">
        <v>43466</v>
      </c>
      <c r="I619" s="40">
        <v>167155</v>
      </c>
      <c r="J619" s="40" t="str">
        <f>"Vendor"</f>
        <v>Vendor</v>
      </c>
      <c r="K619" s="40" t="str">
        <f>"V100003"</f>
        <v>V100003</v>
      </c>
      <c r="L619" s="40" t="str">
        <f>""</f>
        <v/>
      </c>
      <c r="M619" s="40" t="str">
        <f>"LogoMasters"</f>
        <v>LogoMasters</v>
      </c>
      <c r="N619" s="40" t="str">
        <f>""</f>
        <v/>
      </c>
      <c r="O619" s="41">
        <v>800</v>
      </c>
      <c r="P619" s="41">
        <v>0</v>
      </c>
      <c r="Q619" s="41">
        <v>0</v>
      </c>
      <c r="R619" s="41">
        <v>0</v>
      </c>
      <c r="S619" s="41">
        <v>0</v>
      </c>
      <c r="T619" s="41">
        <v>0</v>
      </c>
      <c r="U619" s="54"/>
    </row>
    <row r="620" spans="1:21" ht="17.25" customHeight="1" x14ac:dyDescent="0.3">
      <c r="A620" s="15" t="s">
        <v>29</v>
      </c>
      <c r="C620" s="19"/>
      <c r="D620" s="33" t="str">
        <f t="shared" ref="D620:D623" si="532">D619</f>
        <v>S100016</v>
      </c>
      <c r="E620" s="33"/>
      <c r="F620" s="20"/>
      <c r="G620" s="20" t="str">
        <f>"""NAV"",""CRONUS JetCorp USA"",""32"",""1"",""30034"""</f>
        <v>"NAV","CRONUS JetCorp USA","32","1","30034"</v>
      </c>
      <c r="H620" s="39">
        <v>43471</v>
      </c>
      <c r="I620" s="40">
        <v>30034</v>
      </c>
      <c r="J620" s="40" t="str">
        <f>"Customer"</f>
        <v>Customer</v>
      </c>
      <c r="K620" s="40" t="str">
        <f>"C100012"</f>
        <v>C100012</v>
      </c>
      <c r="L620" s="40" t="str">
        <f>"Bainbridges"</f>
        <v>Bainbridges</v>
      </c>
      <c r="M620" s="40" t="str">
        <f>""</f>
        <v/>
      </c>
      <c r="N620" s="40" t="str">
        <f>""</f>
        <v/>
      </c>
      <c r="O620" s="41">
        <v>0</v>
      </c>
      <c r="P620" s="41">
        <v>-144</v>
      </c>
      <c r="Q620" s="41">
        <v>0</v>
      </c>
      <c r="R620" s="41">
        <v>0</v>
      </c>
      <c r="S620" s="41">
        <v>0</v>
      </c>
      <c r="T620" s="41">
        <v>0</v>
      </c>
      <c r="U620" s="54"/>
    </row>
    <row r="621" spans="1:21" ht="17.25" customHeight="1" x14ac:dyDescent="0.3">
      <c r="A621" s="15" t="s">
        <v>29</v>
      </c>
      <c r="C621" s="19"/>
      <c r="D621" s="33" t="str">
        <f t="shared" si="532"/>
        <v>S100016</v>
      </c>
      <c r="E621" s="33"/>
      <c r="F621" s="20"/>
      <c r="G621" s="20" t="str">
        <f>"""NAV"",""CRONUS JetCorp USA"",""32"",""1"",""158693"""</f>
        <v>"NAV","CRONUS JetCorp USA","32","1","158693"</v>
      </c>
      <c r="H621" s="39">
        <v>43471</v>
      </c>
      <c r="I621" s="40">
        <v>158693</v>
      </c>
      <c r="J621" s="40" t="str">
        <f>"Customer"</f>
        <v>Customer</v>
      </c>
      <c r="K621" s="40" t="str">
        <f>"C100126"</f>
        <v>C100126</v>
      </c>
      <c r="L621" s="40" t="str">
        <f>"Moveex"</f>
        <v>Moveex</v>
      </c>
      <c r="M621" s="40" t="str">
        <f>""</f>
        <v/>
      </c>
      <c r="N621" s="40" t="str">
        <f>""</f>
        <v/>
      </c>
      <c r="O621" s="41">
        <v>0</v>
      </c>
      <c r="P621" s="41">
        <v>1</v>
      </c>
      <c r="Q621" s="41">
        <v>0</v>
      </c>
      <c r="R621" s="41">
        <v>0</v>
      </c>
      <c r="S621" s="41">
        <v>0</v>
      </c>
      <c r="T621" s="41">
        <v>0</v>
      </c>
      <c r="U621" s="54"/>
    </row>
    <row r="622" spans="1:21" ht="17.25" customHeight="1" x14ac:dyDescent="0.3">
      <c r="A622" s="15" t="s">
        <v>29</v>
      </c>
      <c r="C622" s="19"/>
      <c r="D622" s="33" t="str">
        <f t="shared" si="532"/>
        <v>S100016</v>
      </c>
      <c r="E622" s="33"/>
      <c r="F622" s="20"/>
      <c r="G622" s="20" t="str">
        <f>"""NAV"",""CRONUS JetCorp USA"",""32"",""1"",""20415"""</f>
        <v>"NAV","CRONUS JetCorp USA","32","1","20415"</v>
      </c>
      <c r="H622" s="39">
        <v>43475</v>
      </c>
      <c r="I622" s="40">
        <v>20415</v>
      </c>
      <c r="J622" s="40" t="str">
        <f>"Customer"</f>
        <v>Customer</v>
      </c>
      <c r="K622" s="40" t="str">
        <f>"C100130"</f>
        <v>C100130</v>
      </c>
      <c r="L622" s="40" t="str">
        <f>"Hotspot Systems"</f>
        <v>Hotspot Systems</v>
      </c>
      <c r="M622" s="40" t="str">
        <f>""</f>
        <v/>
      </c>
      <c r="N622" s="40" t="str">
        <f>""</f>
        <v/>
      </c>
      <c r="O622" s="41">
        <v>0</v>
      </c>
      <c r="P622" s="41">
        <v>-1</v>
      </c>
      <c r="Q622" s="41">
        <v>0</v>
      </c>
      <c r="R622" s="41">
        <v>0</v>
      </c>
      <c r="S622" s="41">
        <v>0</v>
      </c>
      <c r="T622" s="41">
        <v>0</v>
      </c>
      <c r="U622" s="54"/>
    </row>
    <row r="623" spans="1:21" ht="17.25" customHeight="1" x14ac:dyDescent="0.3">
      <c r="A623" s="15" t="s">
        <v>29</v>
      </c>
      <c r="C623" s="19"/>
      <c r="D623" s="33" t="str">
        <f t="shared" si="532"/>
        <v>S100016</v>
      </c>
      <c r="E623" s="33"/>
      <c r="F623" s="20"/>
      <c r="G623" s="20" t="str">
        <f>"""NAV"",""CRONUS JetCorp USA"",""32"",""1"",""64613"""</f>
        <v>"NAV","CRONUS JetCorp USA","32","1","64613"</v>
      </c>
      <c r="H623" s="39">
        <v>43475</v>
      </c>
      <c r="I623" s="40">
        <v>64613</v>
      </c>
      <c r="J623" s="40" t="str">
        <f>"Customer"</f>
        <v>Customer</v>
      </c>
      <c r="K623" s="40" t="str">
        <f>"C100136"</f>
        <v>C100136</v>
      </c>
      <c r="L623" s="40" t="str">
        <f>"First Bank"</f>
        <v>First Bank</v>
      </c>
      <c r="M623" s="40" t="str">
        <f>""</f>
        <v/>
      </c>
      <c r="N623" s="40" t="str">
        <f>""</f>
        <v/>
      </c>
      <c r="O623" s="41">
        <v>0</v>
      </c>
      <c r="P623" s="41">
        <v>-144</v>
      </c>
      <c r="Q623" s="41">
        <v>0</v>
      </c>
      <c r="R623" s="41">
        <v>0</v>
      </c>
      <c r="S623" s="41">
        <v>0</v>
      </c>
      <c r="T623" s="41">
        <v>0</v>
      </c>
      <c r="U623" s="54"/>
    </row>
    <row r="624" spans="1:21" ht="17.25" customHeight="1" x14ac:dyDescent="0.3">
      <c r="A624" s="15" t="s">
        <v>29</v>
      </c>
      <c r="C624" s="19"/>
      <c r="D624" s="33"/>
      <c r="E624" s="33"/>
      <c r="F624" s="20"/>
      <c r="G624" s="20"/>
      <c r="H624" s="20"/>
      <c r="I624" s="20"/>
      <c r="J624" s="20"/>
      <c r="K624" s="20"/>
      <c r="L624" s="20"/>
      <c r="M624" s="20"/>
      <c r="N624" s="20"/>
      <c r="O624" s="42"/>
      <c r="P624" s="42"/>
      <c r="Q624" s="42"/>
      <c r="R624" s="42"/>
      <c r="S624" s="42"/>
      <c r="T624" s="42"/>
      <c r="U624" s="55"/>
    </row>
    <row r="625" spans="1:21" ht="17.25" customHeight="1" x14ac:dyDescent="0.3">
      <c r="A625" s="15" t="s">
        <v>29</v>
      </c>
      <c r="C625" s="19"/>
      <c r="D625" s="33"/>
      <c r="E625" s="33" t="s">
        <v>30</v>
      </c>
      <c r="F625" s="20" t="s">
        <v>30</v>
      </c>
      <c r="G625" s="20" t="s">
        <v>30</v>
      </c>
      <c r="H625" s="20"/>
      <c r="I625" s="20"/>
      <c r="J625" s="20" t="s">
        <v>30</v>
      </c>
      <c r="K625" s="20" t="s">
        <v>30</v>
      </c>
      <c r="L625" s="20" t="s">
        <v>30</v>
      </c>
      <c r="M625" s="20" t="s">
        <v>30</v>
      </c>
      <c r="N625" s="20"/>
      <c r="U625" s="56"/>
    </row>
    <row r="626" spans="1:21" ht="20.25" customHeight="1" x14ac:dyDescent="0.35">
      <c r="A626" s="15" t="s">
        <v>29</v>
      </c>
      <c r="C626" s="19"/>
      <c r="D626" s="34" t="str">
        <f t="shared" ref="D626" si="533">E626</f>
        <v>S100017</v>
      </c>
      <c r="E626" s="35" t="str">
        <f>"S100017"</f>
        <v>S100017</v>
      </c>
      <c r="F626" s="36" t="str">
        <f>"Microfiber Bucket Hat"</f>
        <v>Microfiber Bucket Hat</v>
      </c>
      <c r="G626" s="36"/>
      <c r="H626" s="37" t="str">
        <f>"EA"</f>
        <v>EA</v>
      </c>
      <c r="I626" s="36"/>
      <c r="J626" s="36"/>
      <c r="K626" s="36"/>
      <c r="L626" s="36"/>
      <c r="M626" s="36"/>
      <c r="N626" s="36"/>
      <c r="O626" s="38">
        <f t="shared" ref="O626:T626" si="534">(SUBTOTAL(9,O627:O629))</f>
        <v>400</v>
      </c>
      <c r="P626" s="38">
        <f t="shared" si="534"/>
        <v>-144</v>
      </c>
      <c r="Q626" s="38">
        <f t="shared" si="534"/>
        <v>0</v>
      </c>
      <c r="R626" s="38">
        <f t="shared" si="534"/>
        <v>0</v>
      </c>
      <c r="S626" s="38">
        <f t="shared" si="534"/>
        <v>0</v>
      </c>
      <c r="T626" s="38">
        <f t="shared" si="534"/>
        <v>0</v>
      </c>
      <c r="U626" s="53">
        <f t="shared" ref="U626" si="535">SUBTOTAL(9,O627:T629)</f>
        <v>256</v>
      </c>
    </row>
    <row r="627" spans="1:21" ht="17.25" customHeight="1" x14ac:dyDescent="0.3">
      <c r="A627" s="15" t="s">
        <v>29</v>
      </c>
      <c r="C627" s="19"/>
      <c r="D627" s="33" t="str">
        <f t="shared" ref="D627" si="536">D626</f>
        <v>S100017</v>
      </c>
      <c r="E627" s="33"/>
      <c r="F627" s="20"/>
      <c r="G627" s="20" t="str">
        <f>"""NAV"",""CRONUS JetCorp USA"",""32"",""1"",""167154"""</f>
        <v>"NAV","CRONUS JetCorp USA","32","1","167154"</v>
      </c>
      <c r="H627" s="39">
        <v>43466</v>
      </c>
      <c r="I627" s="40">
        <v>167154</v>
      </c>
      <c r="J627" s="40" t="str">
        <f>"Vendor"</f>
        <v>Vendor</v>
      </c>
      <c r="K627" s="40" t="str">
        <f>"V100003"</f>
        <v>V100003</v>
      </c>
      <c r="L627" s="40" t="str">
        <f>""</f>
        <v/>
      </c>
      <c r="M627" s="40" t="str">
        <f>"LogoMasters"</f>
        <v>LogoMasters</v>
      </c>
      <c r="N627" s="40" t="str">
        <f>""</f>
        <v/>
      </c>
      <c r="O627" s="41">
        <v>400</v>
      </c>
      <c r="P627" s="41">
        <v>0</v>
      </c>
      <c r="Q627" s="41">
        <v>0</v>
      </c>
      <c r="R627" s="41">
        <v>0</v>
      </c>
      <c r="S627" s="41">
        <v>0</v>
      </c>
      <c r="T627" s="41">
        <v>0</v>
      </c>
      <c r="U627" s="54"/>
    </row>
    <row r="628" spans="1:21" ht="17.25" customHeight="1" x14ac:dyDescent="0.3">
      <c r="A628" s="15" t="s">
        <v>29</v>
      </c>
      <c r="C628" s="19"/>
      <c r="D628" s="33" t="str">
        <f t="shared" ref="D628" si="537">D627</f>
        <v>S100017</v>
      </c>
      <c r="E628" s="33"/>
      <c r="F628" s="20"/>
      <c r="G628" s="20" t="str">
        <f>"""NAV"",""CRONUS JetCorp USA"",""32"",""1"",""20384"""</f>
        <v>"NAV","CRONUS JetCorp USA","32","1","20384"</v>
      </c>
      <c r="H628" s="39">
        <v>43473</v>
      </c>
      <c r="I628" s="40">
        <v>20384</v>
      </c>
      <c r="J628" s="40" t="str">
        <f>"Customer"</f>
        <v>Customer</v>
      </c>
      <c r="K628" s="40" t="str">
        <f>"C100130"</f>
        <v>C100130</v>
      </c>
      <c r="L628" s="40" t="str">
        <f>"Hotspot Systems"</f>
        <v>Hotspot Systems</v>
      </c>
      <c r="M628" s="40" t="str">
        <f>""</f>
        <v/>
      </c>
      <c r="N628" s="40" t="str">
        <f>""</f>
        <v/>
      </c>
      <c r="O628" s="41">
        <v>0</v>
      </c>
      <c r="P628" s="41">
        <v>-144</v>
      </c>
      <c r="Q628" s="41">
        <v>0</v>
      </c>
      <c r="R628" s="41">
        <v>0</v>
      </c>
      <c r="S628" s="41">
        <v>0</v>
      </c>
      <c r="T628" s="41">
        <v>0</v>
      </c>
      <c r="U628" s="54"/>
    </row>
    <row r="629" spans="1:21" ht="17.25" customHeight="1" x14ac:dyDescent="0.3">
      <c r="A629" s="15" t="s">
        <v>29</v>
      </c>
      <c r="C629" s="19"/>
      <c r="D629" s="33"/>
      <c r="E629" s="33"/>
      <c r="F629" s="20"/>
      <c r="G629" s="20"/>
      <c r="H629" s="20"/>
      <c r="I629" s="20"/>
      <c r="J629" s="20"/>
      <c r="K629" s="20"/>
      <c r="L629" s="20"/>
      <c r="M629" s="20"/>
      <c r="N629" s="20"/>
      <c r="O629" s="42"/>
      <c r="P629" s="42"/>
      <c r="Q629" s="42"/>
      <c r="R629" s="42"/>
      <c r="S629" s="42"/>
      <c r="T629" s="42"/>
      <c r="U629" s="55"/>
    </row>
    <row r="630" spans="1:21" ht="17.25" customHeight="1" x14ac:dyDescent="0.3">
      <c r="A630" s="15" t="s">
        <v>29</v>
      </c>
      <c r="C630" s="19"/>
      <c r="D630" s="33"/>
      <c r="E630" s="33" t="s">
        <v>30</v>
      </c>
      <c r="F630" s="20" t="s">
        <v>30</v>
      </c>
      <c r="G630" s="20" t="s">
        <v>30</v>
      </c>
      <c r="H630" s="20"/>
      <c r="I630" s="20"/>
      <c r="J630" s="20" t="s">
        <v>30</v>
      </c>
      <c r="K630" s="20" t="s">
        <v>30</v>
      </c>
      <c r="L630" s="20" t="s">
        <v>30</v>
      </c>
      <c r="M630" s="20" t="s">
        <v>30</v>
      </c>
      <c r="N630" s="20"/>
      <c r="U630" s="56"/>
    </row>
    <row r="631" spans="1:21" ht="20.25" customHeight="1" x14ac:dyDescent="0.35">
      <c r="A631" s="15" t="s">
        <v>29</v>
      </c>
      <c r="C631" s="19"/>
      <c r="D631" s="34" t="str">
        <f t="shared" ref="D631" si="538">E631</f>
        <v>S100019</v>
      </c>
      <c r="E631" s="35" t="str">
        <f>"S100019"</f>
        <v>S100019</v>
      </c>
      <c r="F631" s="36" t="str">
        <f>"Sportsman Bucket Hat"</f>
        <v>Sportsman Bucket Hat</v>
      </c>
      <c r="G631" s="36"/>
      <c r="H631" s="37" t="str">
        <f>"EA"</f>
        <v>EA</v>
      </c>
      <c r="I631" s="36"/>
      <c r="J631" s="36"/>
      <c r="K631" s="36"/>
      <c r="L631" s="36"/>
      <c r="M631" s="36"/>
      <c r="N631" s="36"/>
      <c r="O631" s="38">
        <f t="shared" ref="O631:T631" si="539">(SUBTOTAL(9,O632:O638))</f>
        <v>1200</v>
      </c>
      <c r="P631" s="38">
        <f t="shared" si="539"/>
        <v>-487</v>
      </c>
      <c r="Q631" s="38">
        <f t="shared" si="539"/>
        <v>0</v>
      </c>
      <c r="R631" s="38">
        <f t="shared" si="539"/>
        <v>0</v>
      </c>
      <c r="S631" s="38">
        <f t="shared" si="539"/>
        <v>0</v>
      </c>
      <c r="T631" s="38">
        <f t="shared" si="539"/>
        <v>0</v>
      </c>
      <c r="U631" s="53">
        <f t="shared" ref="U631" si="540">SUBTOTAL(9,O632:T638)</f>
        <v>713</v>
      </c>
    </row>
    <row r="632" spans="1:21" ht="17.25" customHeight="1" x14ac:dyDescent="0.3">
      <c r="A632" s="15" t="s">
        <v>29</v>
      </c>
      <c r="C632" s="19"/>
      <c r="D632" s="33" t="str">
        <f t="shared" ref="D632" si="541">D631</f>
        <v>S100019</v>
      </c>
      <c r="E632" s="33"/>
      <c r="F632" s="20"/>
      <c r="G632" s="20" t="str">
        <f>"""NAV"",""CRONUS JetCorp USA"",""32"",""1"",""167153"""</f>
        <v>"NAV","CRONUS JetCorp USA","32","1","167153"</v>
      </c>
      <c r="H632" s="39">
        <v>43466</v>
      </c>
      <c r="I632" s="40">
        <v>167153</v>
      </c>
      <c r="J632" s="40" t="str">
        <f>"Vendor"</f>
        <v>Vendor</v>
      </c>
      <c r="K632" s="40" t="str">
        <f>"V100003"</f>
        <v>V100003</v>
      </c>
      <c r="L632" s="40" t="str">
        <f>""</f>
        <v/>
      </c>
      <c r="M632" s="40" t="str">
        <f>"LogoMasters"</f>
        <v>LogoMasters</v>
      </c>
      <c r="N632" s="40" t="str">
        <f>""</f>
        <v/>
      </c>
      <c r="O632" s="41">
        <v>1200</v>
      </c>
      <c r="P632" s="41">
        <v>0</v>
      </c>
      <c r="Q632" s="41">
        <v>0</v>
      </c>
      <c r="R632" s="41">
        <v>0</v>
      </c>
      <c r="S632" s="41">
        <v>0</v>
      </c>
      <c r="T632" s="41">
        <v>0</v>
      </c>
      <c r="U632" s="54"/>
    </row>
    <row r="633" spans="1:21" ht="17.25" customHeight="1" x14ac:dyDescent="0.3">
      <c r="A633" s="15" t="s">
        <v>29</v>
      </c>
      <c r="C633" s="19"/>
      <c r="D633" s="33" t="str">
        <f t="shared" ref="D633:D637" si="542">D632</f>
        <v>S100019</v>
      </c>
      <c r="E633" s="33"/>
      <c r="F633" s="20"/>
      <c r="G633" s="20" t="str">
        <f>"""NAV"",""CRONUS JetCorp USA"",""32"",""1"",""153170"""</f>
        <v>"NAV","CRONUS JetCorp USA","32","1","153170"</v>
      </c>
      <c r="H633" s="39">
        <v>43470</v>
      </c>
      <c r="I633" s="40">
        <v>153170</v>
      </c>
      <c r="J633" s="40" t="str">
        <f>"Customer"</f>
        <v>Customer</v>
      </c>
      <c r="K633" s="40" t="str">
        <f>"C100136"</f>
        <v>C100136</v>
      </c>
      <c r="L633" s="40" t="str">
        <f>"First Bank"</f>
        <v>First Bank</v>
      </c>
      <c r="M633" s="40" t="str">
        <f>""</f>
        <v/>
      </c>
      <c r="N633" s="40" t="str">
        <f>""</f>
        <v/>
      </c>
      <c r="O633" s="41">
        <v>0</v>
      </c>
      <c r="P633" s="41">
        <v>-48</v>
      </c>
      <c r="Q633" s="41">
        <v>0</v>
      </c>
      <c r="R633" s="41">
        <v>0</v>
      </c>
      <c r="S633" s="41">
        <v>0</v>
      </c>
      <c r="T633" s="41">
        <v>0</v>
      </c>
      <c r="U633" s="54"/>
    </row>
    <row r="634" spans="1:21" ht="17.25" customHeight="1" x14ac:dyDescent="0.3">
      <c r="A634" s="15" t="s">
        <v>29</v>
      </c>
      <c r="C634" s="19"/>
      <c r="D634" s="33" t="str">
        <f t="shared" si="542"/>
        <v>S100019</v>
      </c>
      <c r="E634" s="33"/>
      <c r="F634" s="20"/>
      <c r="G634" s="20" t="str">
        <f>"""NAV"",""CRONUS JetCorp USA"",""32"",""1"",""30042"""</f>
        <v>"NAV","CRONUS JetCorp USA","32","1","30042"</v>
      </c>
      <c r="H634" s="39">
        <v>43471</v>
      </c>
      <c r="I634" s="40">
        <v>30042</v>
      </c>
      <c r="J634" s="40" t="str">
        <f>"Customer"</f>
        <v>Customer</v>
      </c>
      <c r="K634" s="40" t="str">
        <f>"C100012"</f>
        <v>C100012</v>
      </c>
      <c r="L634" s="40" t="str">
        <f>"Bainbridges"</f>
        <v>Bainbridges</v>
      </c>
      <c r="M634" s="40" t="str">
        <f>""</f>
        <v/>
      </c>
      <c r="N634" s="40" t="str">
        <f>""</f>
        <v/>
      </c>
      <c r="O634" s="41">
        <v>0</v>
      </c>
      <c r="P634" s="41">
        <v>-1</v>
      </c>
      <c r="Q634" s="41">
        <v>0</v>
      </c>
      <c r="R634" s="41">
        <v>0</v>
      </c>
      <c r="S634" s="41">
        <v>0</v>
      </c>
      <c r="T634" s="41">
        <v>0</v>
      </c>
      <c r="U634" s="54"/>
    </row>
    <row r="635" spans="1:21" ht="17.25" customHeight="1" x14ac:dyDescent="0.3">
      <c r="A635" s="15" t="s">
        <v>29</v>
      </c>
      <c r="C635" s="19"/>
      <c r="D635" s="33" t="str">
        <f t="shared" si="542"/>
        <v>S100019</v>
      </c>
      <c r="E635" s="33"/>
      <c r="F635" s="20"/>
      <c r="G635" s="20" t="str">
        <f>"""NAV"",""CRONUS JetCorp USA"",""32"",""1"",""20381"""</f>
        <v>"NAV","CRONUS JetCorp USA","32","1","20381"</v>
      </c>
      <c r="H635" s="39">
        <v>43473</v>
      </c>
      <c r="I635" s="40">
        <v>20381</v>
      </c>
      <c r="J635" s="40" t="str">
        <f>"Customer"</f>
        <v>Customer</v>
      </c>
      <c r="K635" s="40" t="str">
        <f>"C100130"</f>
        <v>C100130</v>
      </c>
      <c r="L635" s="40" t="str">
        <f>"Hotspot Systems"</f>
        <v>Hotspot Systems</v>
      </c>
      <c r="M635" s="40" t="str">
        <f>""</f>
        <v/>
      </c>
      <c r="N635" s="40" t="str">
        <f>""</f>
        <v/>
      </c>
      <c r="O635" s="41">
        <v>0</v>
      </c>
      <c r="P635" s="41">
        <v>-288</v>
      </c>
      <c r="Q635" s="41">
        <v>0</v>
      </c>
      <c r="R635" s="41">
        <v>0</v>
      </c>
      <c r="S635" s="41">
        <v>0</v>
      </c>
      <c r="T635" s="41">
        <v>0</v>
      </c>
      <c r="U635" s="54"/>
    </row>
    <row r="636" spans="1:21" ht="17.25" customHeight="1" x14ac:dyDescent="0.3">
      <c r="A636" s="15" t="s">
        <v>29</v>
      </c>
      <c r="C636" s="19"/>
      <c r="D636" s="33" t="str">
        <f t="shared" si="542"/>
        <v>S100019</v>
      </c>
      <c r="E636" s="33"/>
      <c r="F636" s="20"/>
      <c r="G636" s="20" t="str">
        <f>"""NAV"",""CRONUS JetCorp USA"",""32"",""1"",""20413"""</f>
        <v>"NAV","CRONUS JetCorp USA","32","1","20413"</v>
      </c>
      <c r="H636" s="39">
        <v>43475</v>
      </c>
      <c r="I636" s="40">
        <v>20413</v>
      </c>
      <c r="J636" s="40" t="str">
        <f>"Customer"</f>
        <v>Customer</v>
      </c>
      <c r="K636" s="40" t="str">
        <f>"C100130"</f>
        <v>C100130</v>
      </c>
      <c r="L636" s="40" t="str">
        <f>"Hotspot Systems"</f>
        <v>Hotspot Systems</v>
      </c>
      <c r="M636" s="40" t="str">
        <f>""</f>
        <v/>
      </c>
      <c r="N636" s="40" t="str">
        <f>""</f>
        <v/>
      </c>
      <c r="O636" s="41">
        <v>0</v>
      </c>
      <c r="P636" s="41">
        <v>-6</v>
      </c>
      <c r="Q636" s="41">
        <v>0</v>
      </c>
      <c r="R636" s="41">
        <v>0</v>
      </c>
      <c r="S636" s="41">
        <v>0</v>
      </c>
      <c r="T636" s="41">
        <v>0</v>
      </c>
      <c r="U636" s="54"/>
    </row>
    <row r="637" spans="1:21" ht="17.25" customHeight="1" x14ac:dyDescent="0.3">
      <c r="A637" s="15" t="s">
        <v>29</v>
      </c>
      <c r="C637" s="19"/>
      <c r="D637" s="33" t="str">
        <f t="shared" si="542"/>
        <v>S100019</v>
      </c>
      <c r="E637" s="33"/>
      <c r="F637" s="20"/>
      <c r="G637" s="20" t="str">
        <f>"""NAV"",""CRONUS JetCorp USA"",""32"",""1"",""30112"""</f>
        <v>"NAV","CRONUS JetCorp USA","32","1","30112"</v>
      </c>
      <c r="H637" s="39">
        <v>43475</v>
      </c>
      <c r="I637" s="40">
        <v>30112</v>
      </c>
      <c r="J637" s="40" t="str">
        <f>"Customer"</f>
        <v>Customer</v>
      </c>
      <c r="K637" s="40" t="str">
        <f>"C100012"</f>
        <v>C100012</v>
      </c>
      <c r="L637" s="40" t="str">
        <f>"Bainbridges"</f>
        <v>Bainbridges</v>
      </c>
      <c r="M637" s="40" t="str">
        <f>""</f>
        <v/>
      </c>
      <c r="N637" s="40" t="str">
        <f>""</f>
        <v/>
      </c>
      <c r="O637" s="41">
        <v>0</v>
      </c>
      <c r="P637" s="41">
        <v>-144</v>
      </c>
      <c r="Q637" s="41">
        <v>0</v>
      </c>
      <c r="R637" s="41">
        <v>0</v>
      </c>
      <c r="S637" s="41">
        <v>0</v>
      </c>
      <c r="T637" s="41">
        <v>0</v>
      </c>
      <c r="U637" s="54"/>
    </row>
    <row r="638" spans="1:21" ht="17.25" customHeight="1" x14ac:dyDescent="0.3">
      <c r="A638" s="15" t="s">
        <v>29</v>
      </c>
      <c r="C638" s="19"/>
      <c r="D638" s="33"/>
      <c r="E638" s="33"/>
      <c r="F638" s="20"/>
      <c r="G638" s="20"/>
      <c r="H638" s="20"/>
      <c r="I638" s="20"/>
      <c r="J638" s="20"/>
      <c r="K638" s="20"/>
      <c r="L638" s="20"/>
      <c r="M638" s="20"/>
      <c r="N638" s="20"/>
      <c r="O638" s="42"/>
      <c r="P638" s="42"/>
      <c r="Q638" s="42"/>
      <c r="R638" s="42"/>
      <c r="S638" s="42"/>
      <c r="T638" s="42"/>
      <c r="U638" s="55"/>
    </row>
    <row r="639" spans="1:21" ht="17.25" customHeight="1" x14ac:dyDescent="0.3">
      <c r="A639" s="15" t="s">
        <v>29</v>
      </c>
      <c r="C639" s="19"/>
      <c r="D639" s="33"/>
      <c r="E639" s="33" t="s">
        <v>30</v>
      </c>
      <c r="F639" s="20" t="s">
        <v>30</v>
      </c>
      <c r="G639" s="20" t="s">
        <v>30</v>
      </c>
      <c r="H639" s="20"/>
      <c r="I639" s="20"/>
      <c r="J639" s="20" t="s">
        <v>30</v>
      </c>
      <c r="K639" s="20" t="s">
        <v>30</v>
      </c>
      <c r="L639" s="20" t="s">
        <v>30</v>
      </c>
      <c r="M639" s="20" t="s">
        <v>30</v>
      </c>
      <c r="N639" s="20"/>
      <c r="U639" s="56"/>
    </row>
    <row r="640" spans="1:21" ht="20.25" customHeight="1" x14ac:dyDescent="0.35">
      <c r="A640" s="15" t="s">
        <v>29</v>
      </c>
      <c r="C640" s="19"/>
      <c r="D640" s="34" t="str">
        <f t="shared" ref="D640" si="543">E640</f>
        <v>S100020</v>
      </c>
      <c r="E640" s="35" t="str">
        <f>"S100020"</f>
        <v>S100020</v>
      </c>
      <c r="F640" s="36" t="str">
        <f>"Super Sport Stopwatch"</f>
        <v>Super Sport Stopwatch</v>
      </c>
      <c r="G640" s="36"/>
      <c r="H640" s="37" t="str">
        <f>"EA"</f>
        <v>EA</v>
      </c>
      <c r="I640" s="36"/>
      <c r="J640" s="36"/>
      <c r="K640" s="36"/>
      <c r="L640" s="36"/>
      <c r="M640" s="36"/>
      <c r="N640" s="36"/>
      <c r="O640" s="38">
        <f t="shared" ref="O640:T640" si="544">(SUBTOTAL(9,O641:O646))</f>
        <v>2400</v>
      </c>
      <c r="P640" s="38">
        <f t="shared" si="544"/>
        <v>-582</v>
      </c>
      <c r="Q640" s="38">
        <f t="shared" si="544"/>
        <v>0</v>
      </c>
      <c r="R640" s="38">
        <f t="shared" si="544"/>
        <v>0</v>
      </c>
      <c r="S640" s="38">
        <f t="shared" si="544"/>
        <v>0</v>
      </c>
      <c r="T640" s="38">
        <f t="shared" si="544"/>
        <v>0</v>
      </c>
      <c r="U640" s="53">
        <f t="shared" ref="U640" si="545">SUBTOTAL(9,O641:T646)</f>
        <v>1818</v>
      </c>
    </row>
    <row r="641" spans="1:21" ht="17.25" customHeight="1" x14ac:dyDescent="0.3">
      <c r="A641" s="15" t="s">
        <v>29</v>
      </c>
      <c r="C641" s="19"/>
      <c r="D641" s="33" t="str">
        <f t="shared" ref="D641" si="546">D640</f>
        <v>S100020</v>
      </c>
      <c r="E641" s="33"/>
      <c r="F641" s="20"/>
      <c r="G641" s="20" t="str">
        <f>"""NAV"",""CRONUS JetCorp USA"",""32"",""1"",""167598"""</f>
        <v>"NAV","CRONUS JetCorp USA","32","1","167598"</v>
      </c>
      <c r="H641" s="39">
        <v>43466</v>
      </c>
      <c r="I641" s="40">
        <v>167598</v>
      </c>
      <c r="J641" s="40" t="str">
        <f>"Vendor"</f>
        <v>Vendor</v>
      </c>
      <c r="K641" s="40" t="str">
        <f>"V100003"</f>
        <v>V100003</v>
      </c>
      <c r="L641" s="40" t="str">
        <f>""</f>
        <v/>
      </c>
      <c r="M641" s="40" t="str">
        <f>"LogoMasters"</f>
        <v>LogoMasters</v>
      </c>
      <c r="N641" s="40" t="str">
        <f>""</f>
        <v/>
      </c>
      <c r="O641" s="41">
        <v>1800</v>
      </c>
      <c r="P641" s="41">
        <v>0</v>
      </c>
      <c r="Q641" s="41">
        <v>0</v>
      </c>
      <c r="R641" s="41">
        <v>0</v>
      </c>
      <c r="S641" s="41">
        <v>0</v>
      </c>
      <c r="T641" s="41">
        <v>0</v>
      </c>
      <c r="U641" s="54"/>
    </row>
    <row r="642" spans="1:21" ht="17.25" customHeight="1" x14ac:dyDescent="0.3">
      <c r="A642" s="15" t="s">
        <v>29</v>
      </c>
      <c r="C642" s="19"/>
      <c r="D642" s="33" t="str">
        <f t="shared" ref="D642:D645" si="547">D641</f>
        <v>S100020</v>
      </c>
      <c r="E642" s="33"/>
      <c r="F642" s="20"/>
      <c r="G642" s="20" t="str">
        <f>"""NAV"",""CRONUS JetCorp USA"",""32"",""1"",""167618"""</f>
        <v>"NAV","CRONUS JetCorp USA","32","1","167618"</v>
      </c>
      <c r="H642" s="39">
        <v>43466</v>
      </c>
      <c r="I642" s="40">
        <v>167618</v>
      </c>
      <c r="J642" s="40" t="str">
        <f>"Vendor"</f>
        <v>Vendor</v>
      </c>
      <c r="K642" s="40" t="str">
        <f>"V100001"</f>
        <v>V100001</v>
      </c>
      <c r="L642" s="40" t="str">
        <f>""</f>
        <v/>
      </c>
      <c r="M642" s="40" t="str">
        <f>"Greigner, Inc."</f>
        <v>Greigner, Inc.</v>
      </c>
      <c r="N642" s="40" t="str">
        <f>""</f>
        <v/>
      </c>
      <c r="O642" s="41">
        <v>600</v>
      </c>
      <c r="P642" s="41">
        <v>0</v>
      </c>
      <c r="Q642" s="41">
        <v>0</v>
      </c>
      <c r="R642" s="41">
        <v>0</v>
      </c>
      <c r="S642" s="41">
        <v>0</v>
      </c>
      <c r="T642" s="41">
        <v>0</v>
      </c>
      <c r="U642" s="54"/>
    </row>
    <row r="643" spans="1:21" ht="17.25" customHeight="1" x14ac:dyDescent="0.3">
      <c r="A643" s="15" t="s">
        <v>29</v>
      </c>
      <c r="C643" s="19"/>
      <c r="D643" s="33" t="str">
        <f t="shared" si="547"/>
        <v>S100020</v>
      </c>
      <c r="E643" s="33"/>
      <c r="F643" s="20"/>
      <c r="G643" s="20" t="str">
        <f>"""NAV"",""CRONUS JetCorp USA"",""32"",""1"",""30038"""</f>
        <v>"NAV","CRONUS JetCorp USA","32","1","30038"</v>
      </c>
      <c r="H643" s="39">
        <v>43471</v>
      </c>
      <c r="I643" s="40">
        <v>30038</v>
      </c>
      <c r="J643" s="40" t="str">
        <f>"Customer"</f>
        <v>Customer</v>
      </c>
      <c r="K643" s="40" t="str">
        <f>"C100012"</f>
        <v>C100012</v>
      </c>
      <c r="L643" s="40" t="str">
        <f>"Bainbridges"</f>
        <v>Bainbridges</v>
      </c>
      <c r="M643" s="40" t="str">
        <f>""</f>
        <v/>
      </c>
      <c r="N643" s="40" t="str">
        <f>""</f>
        <v/>
      </c>
      <c r="O643" s="41">
        <v>0</v>
      </c>
      <c r="P643" s="41">
        <v>-150</v>
      </c>
      <c r="Q643" s="41">
        <v>0</v>
      </c>
      <c r="R643" s="41">
        <v>0</v>
      </c>
      <c r="S643" s="41">
        <v>0</v>
      </c>
      <c r="T643" s="41">
        <v>0</v>
      </c>
      <c r="U643" s="54"/>
    </row>
    <row r="644" spans="1:21" ht="17.25" customHeight="1" x14ac:dyDescent="0.3">
      <c r="A644" s="15" t="s">
        <v>29</v>
      </c>
      <c r="C644" s="19"/>
      <c r="D644" s="33" t="str">
        <f t="shared" si="547"/>
        <v>S100020</v>
      </c>
      <c r="E644" s="33"/>
      <c r="F644" s="20"/>
      <c r="G644" s="20" t="str">
        <f>"""NAV"",""CRONUS JetCorp USA"",""32"",""1"",""20390"""</f>
        <v>"NAV","CRONUS JetCorp USA","32","1","20390"</v>
      </c>
      <c r="H644" s="39">
        <v>43473</v>
      </c>
      <c r="I644" s="40">
        <v>20390</v>
      </c>
      <c r="J644" s="40" t="str">
        <f>"Customer"</f>
        <v>Customer</v>
      </c>
      <c r="K644" s="40" t="str">
        <f>"C100130"</f>
        <v>C100130</v>
      </c>
      <c r="L644" s="40" t="str">
        <f>"Hotspot Systems"</f>
        <v>Hotspot Systems</v>
      </c>
      <c r="M644" s="40" t="str">
        <f>""</f>
        <v/>
      </c>
      <c r="N644" s="40" t="str">
        <f>""</f>
        <v/>
      </c>
      <c r="O644" s="41">
        <v>0</v>
      </c>
      <c r="P644" s="41">
        <v>-144</v>
      </c>
      <c r="Q644" s="41">
        <v>0</v>
      </c>
      <c r="R644" s="41">
        <v>0</v>
      </c>
      <c r="S644" s="41">
        <v>0</v>
      </c>
      <c r="T644" s="41">
        <v>0</v>
      </c>
      <c r="U644" s="54"/>
    </row>
    <row r="645" spans="1:21" ht="17.25" customHeight="1" x14ac:dyDescent="0.3">
      <c r="A645" s="15" t="s">
        <v>29</v>
      </c>
      <c r="C645" s="19"/>
      <c r="D645" s="33" t="str">
        <f t="shared" si="547"/>
        <v>S100020</v>
      </c>
      <c r="E645" s="33"/>
      <c r="F645" s="20"/>
      <c r="G645" s="20" t="str">
        <f>"""NAV"",""CRONUS JetCorp USA"",""32"",""1"",""30113"""</f>
        <v>"NAV","CRONUS JetCorp USA","32","1","30113"</v>
      </c>
      <c r="H645" s="39">
        <v>43475</v>
      </c>
      <c r="I645" s="40">
        <v>30113</v>
      </c>
      <c r="J645" s="40" t="str">
        <f>"Customer"</f>
        <v>Customer</v>
      </c>
      <c r="K645" s="40" t="str">
        <f>"C100012"</f>
        <v>C100012</v>
      </c>
      <c r="L645" s="40" t="str">
        <f>"Bainbridges"</f>
        <v>Bainbridges</v>
      </c>
      <c r="M645" s="40" t="str">
        <f>""</f>
        <v/>
      </c>
      <c r="N645" s="40" t="str">
        <f>""</f>
        <v/>
      </c>
      <c r="O645" s="41">
        <v>0</v>
      </c>
      <c r="P645" s="41">
        <v>-288</v>
      </c>
      <c r="Q645" s="41">
        <v>0</v>
      </c>
      <c r="R645" s="41">
        <v>0</v>
      </c>
      <c r="S645" s="41">
        <v>0</v>
      </c>
      <c r="T645" s="41">
        <v>0</v>
      </c>
      <c r="U645" s="54"/>
    </row>
    <row r="646" spans="1:21" ht="17.25" customHeight="1" x14ac:dyDescent="0.3">
      <c r="A646" s="15" t="s">
        <v>29</v>
      </c>
      <c r="C646" s="19"/>
      <c r="D646" s="33"/>
      <c r="E646" s="33"/>
      <c r="F646" s="20"/>
      <c r="G646" s="20"/>
      <c r="H646" s="20"/>
      <c r="I646" s="20"/>
      <c r="J646" s="20"/>
      <c r="K646" s="20"/>
      <c r="L646" s="20"/>
      <c r="M646" s="20"/>
      <c r="N646" s="20"/>
      <c r="O646" s="42"/>
      <c r="P646" s="42"/>
      <c r="Q646" s="42"/>
      <c r="R646" s="42"/>
      <c r="S646" s="42"/>
      <c r="T646" s="42"/>
      <c r="U646" s="55"/>
    </row>
    <row r="647" spans="1:21" ht="17.25" customHeight="1" x14ac:dyDescent="0.3">
      <c r="A647" s="15" t="s">
        <v>29</v>
      </c>
      <c r="C647" s="19"/>
      <c r="D647" s="33"/>
      <c r="E647" s="33" t="s">
        <v>30</v>
      </c>
      <c r="F647" s="20" t="s">
        <v>30</v>
      </c>
      <c r="G647" s="20" t="s">
        <v>30</v>
      </c>
      <c r="H647" s="20"/>
      <c r="I647" s="20"/>
      <c r="J647" s="20" t="s">
        <v>30</v>
      </c>
      <c r="K647" s="20" t="s">
        <v>30</v>
      </c>
      <c r="L647" s="20" t="s">
        <v>30</v>
      </c>
      <c r="M647" s="20" t="s">
        <v>30</v>
      </c>
      <c r="N647" s="20"/>
      <c r="U647" s="56"/>
    </row>
    <row r="648" spans="1:21" ht="20.25" customHeight="1" x14ac:dyDescent="0.35">
      <c r="A648" s="15" t="s">
        <v>29</v>
      </c>
      <c r="C648" s="19"/>
      <c r="D648" s="34" t="str">
        <f t="shared" ref="D648" si="548">E648</f>
        <v>S100021</v>
      </c>
      <c r="E648" s="35" t="str">
        <f>"S100021"</f>
        <v>S100021</v>
      </c>
      <c r="F648" s="36" t="str">
        <f>"Translucent Stopwatch"</f>
        <v>Translucent Stopwatch</v>
      </c>
      <c r="G648" s="36"/>
      <c r="H648" s="37" t="str">
        <f>"EA"</f>
        <v>EA</v>
      </c>
      <c r="I648" s="36"/>
      <c r="J648" s="36"/>
      <c r="K648" s="36"/>
      <c r="L648" s="36"/>
      <c r="M648" s="36"/>
      <c r="N648" s="36"/>
      <c r="O648" s="38">
        <f t="shared" ref="O648:T648" si="549">(SUBTOTAL(9,O649:O653))</f>
        <v>1200</v>
      </c>
      <c r="P648" s="38">
        <f t="shared" si="549"/>
        <v>-288</v>
      </c>
      <c r="Q648" s="38">
        <f t="shared" si="549"/>
        <v>0</v>
      </c>
      <c r="R648" s="38">
        <f t="shared" si="549"/>
        <v>0</v>
      </c>
      <c r="S648" s="38">
        <f t="shared" si="549"/>
        <v>0</v>
      </c>
      <c r="T648" s="38">
        <f t="shared" si="549"/>
        <v>0</v>
      </c>
      <c r="U648" s="53">
        <f t="shared" ref="U648" si="550">SUBTOTAL(9,O649:T653)</f>
        <v>912</v>
      </c>
    </row>
    <row r="649" spans="1:21" ht="17.25" customHeight="1" x14ac:dyDescent="0.3">
      <c r="A649" s="15" t="s">
        <v>29</v>
      </c>
      <c r="C649" s="19"/>
      <c r="D649" s="33" t="str">
        <f t="shared" ref="D649" si="551">D648</f>
        <v>S100021</v>
      </c>
      <c r="E649" s="33"/>
      <c r="F649" s="20"/>
      <c r="G649" s="20" t="str">
        <f>"""NAV"",""CRONUS JetCorp USA"",""32"",""1"",""167597"""</f>
        <v>"NAV","CRONUS JetCorp USA","32","1","167597"</v>
      </c>
      <c r="H649" s="39">
        <v>43466</v>
      </c>
      <c r="I649" s="40">
        <v>167597</v>
      </c>
      <c r="J649" s="40" t="str">
        <f>"Vendor"</f>
        <v>Vendor</v>
      </c>
      <c r="K649" s="40" t="str">
        <f>"V100003"</f>
        <v>V100003</v>
      </c>
      <c r="L649" s="40" t="str">
        <f>""</f>
        <v/>
      </c>
      <c r="M649" s="40" t="str">
        <f>"LogoMasters"</f>
        <v>LogoMasters</v>
      </c>
      <c r="N649" s="40" t="str">
        <f>""</f>
        <v/>
      </c>
      <c r="O649" s="41">
        <v>1000</v>
      </c>
      <c r="P649" s="41">
        <v>0</v>
      </c>
      <c r="Q649" s="41">
        <v>0</v>
      </c>
      <c r="R649" s="41">
        <v>0</v>
      </c>
      <c r="S649" s="41">
        <v>0</v>
      </c>
      <c r="T649" s="41">
        <v>0</v>
      </c>
      <c r="U649" s="54"/>
    </row>
    <row r="650" spans="1:21" ht="17.25" customHeight="1" x14ac:dyDescent="0.3">
      <c r="A650" s="15" t="s">
        <v>29</v>
      </c>
      <c r="C650" s="19"/>
      <c r="D650" s="33" t="str">
        <f t="shared" ref="D650:D652" si="552">D649</f>
        <v>S100021</v>
      </c>
      <c r="E650" s="33"/>
      <c r="F650" s="20"/>
      <c r="G650" s="20" t="str">
        <f>"""NAV"",""CRONUS JetCorp USA"",""32"",""1"",""167617"""</f>
        <v>"NAV","CRONUS JetCorp USA","32","1","167617"</v>
      </c>
      <c r="H650" s="39">
        <v>43466</v>
      </c>
      <c r="I650" s="40">
        <v>167617</v>
      </c>
      <c r="J650" s="40" t="str">
        <f>"Vendor"</f>
        <v>Vendor</v>
      </c>
      <c r="K650" s="40" t="str">
        <f>"V100001"</f>
        <v>V100001</v>
      </c>
      <c r="L650" s="40" t="str">
        <f>""</f>
        <v/>
      </c>
      <c r="M650" s="40" t="str">
        <f>"Greigner, Inc."</f>
        <v>Greigner, Inc.</v>
      </c>
      <c r="N650" s="40" t="str">
        <f>""</f>
        <v/>
      </c>
      <c r="O650" s="41">
        <v>200</v>
      </c>
      <c r="P650" s="41">
        <v>0</v>
      </c>
      <c r="Q650" s="41">
        <v>0</v>
      </c>
      <c r="R650" s="41">
        <v>0</v>
      </c>
      <c r="S650" s="41">
        <v>0</v>
      </c>
      <c r="T650" s="41">
        <v>0</v>
      </c>
      <c r="U650" s="54"/>
    </row>
    <row r="651" spans="1:21" ht="17.25" customHeight="1" x14ac:dyDescent="0.3">
      <c r="A651" s="15" t="s">
        <v>29</v>
      </c>
      <c r="C651" s="19"/>
      <c r="D651" s="33" t="str">
        <f t="shared" si="552"/>
        <v>S100021</v>
      </c>
      <c r="E651" s="33"/>
      <c r="F651" s="20"/>
      <c r="G651" s="20" t="str">
        <f>"""NAV"",""CRONUS JetCorp USA"",""32"",""1"",""20409"""</f>
        <v>"NAV","CRONUS JetCorp USA","32","1","20409"</v>
      </c>
      <c r="H651" s="39">
        <v>43475</v>
      </c>
      <c r="I651" s="40">
        <v>20409</v>
      </c>
      <c r="J651" s="40" t="str">
        <f>"Customer"</f>
        <v>Customer</v>
      </c>
      <c r="K651" s="40" t="str">
        <f>"C100130"</f>
        <v>C100130</v>
      </c>
      <c r="L651" s="40" t="str">
        <f>"Hotspot Systems"</f>
        <v>Hotspot Systems</v>
      </c>
      <c r="M651" s="40" t="str">
        <f>""</f>
        <v/>
      </c>
      <c r="N651" s="40" t="str">
        <f>""</f>
        <v/>
      </c>
      <c r="O651" s="41">
        <v>0</v>
      </c>
      <c r="P651" s="41">
        <v>-144</v>
      </c>
      <c r="Q651" s="41">
        <v>0</v>
      </c>
      <c r="R651" s="41">
        <v>0</v>
      </c>
      <c r="S651" s="41">
        <v>0</v>
      </c>
      <c r="T651" s="41">
        <v>0</v>
      </c>
      <c r="U651" s="54"/>
    </row>
    <row r="652" spans="1:21" ht="17.25" customHeight="1" x14ac:dyDescent="0.3">
      <c r="A652" s="15" t="s">
        <v>29</v>
      </c>
      <c r="C652" s="19"/>
      <c r="D652" s="33" t="str">
        <f t="shared" si="552"/>
        <v>S100021</v>
      </c>
      <c r="E652" s="33"/>
      <c r="F652" s="20"/>
      <c r="G652" s="20" t="str">
        <f>"""NAV"",""CRONUS JetCorp USA"",""32"",""1"",""30114"""</f>
        <v>"NAV","CRONUS JetCorp USA","32","1","30114"</v>
      </c>
      <c r="H652" s="39">
        <v>43475</v>
      </c>
      <c r="I652" s="40">
        <v>30114</v>
      </c>
      <c r="J652" s="40" t="str">
        <f>"Customer"</f>
        <v>Customer</v>
      </c>
      <c r="K652" s="40" t="str">
        <f>"C100012"</f>
        <v>C100012</v>
      </c>
      <c r="L652" s="40" t="str">
        <f>"Bainbridges"</f>
        <v>Bainbridges</v>
      </c>
      <c r="M652" s="40" t="str">
        <f>""</f>
        <v/>
      </c>
      <c r="N652" s="40" t="str">
        <f>""</f>
        <v/>
      </c>
      <c r="O652" s="41">
        <v>0</v>
      </c>
      <c r="P652" s="41">
        <v>-144</v>
      </c>
      <c r="Q652" s="41">
        <v>0</v>
      </c>
      <c r="R652" s="41">
        <v>0</v>
      </c>
      <c r="S652" s="41">
        <v>0</v>
      </c>
      <c r="T652" s="41">
        <v>0</v>
      </c>
      <c r="U652" s="54"/>
    </row>
    <row r="653" spans="1:21" ht="17.25" customHeight="1" x14ac:dyDescent="0.3">
      <c r="A653" s="15" t="s">
        <v>29</v>
      </c>
      <c r="C653" s="19"/>
      <c r="D653" s="33"/>
      <c r="E653" s="33"/>
      <c r="F653" s="20"/>
      <c r="G653" s="20"/>
      <c r="H653" s="20"/>
      <c r="I653" s="20"/>
      <c r="J653" s="20"/>
      <c r="K653" s="20"/>
      <c r="L653" s="20"/>
      <c r="M653" s="20"/>
      <c r="N653" s="20"/>
      <c r="O653" s="42"/>
      <c r="P653" s="42"/>
      <c r="Q653" s="42"/>
      <c r="R653" s="42"/>
      <c r="S653" s="42"/>
      <c r="T653" s="42"/>
      <c r="U653" s="55"/>
    </row>
    <row r="654" spans="1:21" ht="17.25" customHeight="1" x14ac:dyDescent="0.3">
      <c r="A654" s="15" t="s">
        <v>29</v>
      </c>
      <c r="C654" s="19"/>
      <c r="D654" s="33"/>
      <c r="E654" s="33" t="s">
        <v>30</v>
      </c>
      <c r="F654" s="20" t="s">
        <v>30</v>
      </c>
      <c r="G654" s="20" t="s">
        <v>30</v>
      </c>
      <c r="H654" s="20"/>
      <c r="I654" s="20"/>
      <c r="J654" s="20" t="s">
        <v>30</v>
      </c>
      <c r="K654" s="20" t="s">
        <v>30</v>
      </c>
      <c r="L654" s="20" t="s">
        <v>30</v>
      </c>
      <c r="M654" s="20" t="s">
        <v>30</v>
      </c>
      <c r="N654" s="20"/>
      <c r="U654" s="56"/>
    </row>
    <row r="655" spans="1:21" ht="20.25" customHeight="1" x14ac:dyDescent="0.35">
      <c r="A655" s="15" t="s">
        <v>29</v>
      </c>
      <c r="C655" s="19"/>
      <c r="D655" s="34" t="str">
        <f t="shared" ref="D655" si="553">E655</f>
        <v>S100023</v>
      </c>
      <c r="E655" s="35" t="str">
        <f>"S100023"</f>
        <v>S100023</v>
      </c>
      <c r="F655" s="36" t="str">
        <f>"Gripper SPORT BOT"</f>
        <v>Gripper SPORT BOT</v>
      </c>
      <c r="G655" s="36"/>
      <c r="H655" s="37" t="str">
        <f>"EA"</f>
        <v>EA</v>
      </c>
      <c r="I655" s="36"/>
      <c r="J655" s="36"/>
      <c r="K655" s="36"/>
      <c r="L655" s="36"/>
      <c r="M655" s="36"/>
      <c r="N655" s="36"/>
      <c r="O655" s="38">
        <f t="shared" ref="O655:T655" si="554">(SUBTOTAL(9,O656:O657))</f>
        <v>999.99999999999989</v>
      </c>
      <c r="P655" s="38">
        <f t="shared" si="554"/>
        <v>0</v>
      </c>
      <c r="Q655" s="38">
        <f t="shared" si="554"/>
        <v>0</v>
      </c>
      <c r="R655" s="38">
        <f t="shared" si="554"/>
        <v>0</v>
      </c>
      <c r="S655" s="38">
        <f t="shared" si="554"/>
        <v>0</v>
      </c>
      <c r="T655" s="38">
        <f t="shared" si="554"/>
        <v>0</v>
      </c>
      <c r="U655" s="53">
        <f t="shared" ref="U655" si="555">SUBTOTAL(9,O656:T657)</f>
        <v>999.99999999999989</v>
      </c>
    </row>
    <row r="656" spans="1:21" ht="17.25" customHeight="1" x14ac:dyDescent="0.3">
      <c r="A656" s="15" t="s">
        <v>29</v>
      </c>
      <c r="C656" s="19"/>
      <c r="D656" s="33" t="str">
        <f t="shared" ref="D656" si="556">D655</f>
        <v>S100023</v>
      </c>
      <c r="E656" s="33"/>
      <c r="F656" s="20"/>
      <c r="G656" s="20" t="str">
        <f>"""NAV"",""CRONUS JetCorp USA"",""32"",""1"",""168656"""</f>
        <v>"NAV","CRONUS JetCorp USA","32","1","168656"</v>
      </c>
      <c r="H656" s="39">
        <v>43466</v>
      </c>
      <c r="I656" s="40">
        <v>168656</v>
      </c>
      <c r="J656" s="40" t="str">
        <f>"Vendor"</f>
        <v>Vendor</v>
      </c>
      <c r="K656" s="40" t="str">
        <f>"V100003"</f>
        <v>V100003</v>
      </c>
      <c r="L656" s="40" t="str">
        <f>""</f>
        <v/>
      </c>
      <c r="M656" s="40" t="str">
        <f>"LogoMasters"</f>
        <v>LogoMasters</v>
      </c>
      <c r="N656" s="40" t="str">
        <f>""</f>
        <v/>
      </c>
      <c r="O656" s="41">
        <v>999.99999999999989</v>
      </c>
      <c r="P656" s="41">
        <v>0</v>
      </c>
      <c r="Q656" s="41">
        <v>0</v>
      </c>
      <c r="R656" s="41">
        <v>0</v>
      </c>
      <c r="S656" s="41">
        <v>0</v>
      </c>
      <c r="T656" s="41">
        <v>0</v>
      </c>
      <c r="U656" s="54"/>
    </row>
    <row r="657" spans="1:21" ht="17.25" customHeight="1" x14ac:dyDescent="0.3">
      <c r="A657" s="15" t="s">
        <v>29</v>
      </c>
      <c r="C657" s="19"/>
      <c r="D657" s="33"/>
      <c r="E657" s="33"/>
      <c r="F657" s="20"/>
      <c r="G657" s="20"/>
      <c r="H657" s="20"/>
      <c r="I657" s="20"/>
      <c r="J657" s="20"/>
      <c r="K657" s="20"/>
      <c r="L657" s="20"/>
      <c r="M657" s="20"/>
      <c r="N657" s="20"/>
      <c r="O657" s="42"/>
      <c r="P657" s="42"/>
      <c r="Q657" s="42"/>
      <c r="R657" s="42"/>
      <c r="S657" s="42"/>
      <c r="T657" s="42"/>
      <c r="U657" s="55"/>
    </row>
    <row r="658" spans="1:21" ht="17.25" customHeight="1" x14ac:dyDescent="0.3">
      <c r="A658" s="15" t="s">
        <v>29</v>
      </c>
      <c r="C658" s="19"/>
      <c r="D658" s="33"/>
      <c r="E658" s="33" t="s">
        <v>30</v>
      </c>
      <c r="F658" s="20" t="s">
        <v>30</v>
      </c>
      <c r="G658" s="20" t="s">
        <v>30</v>
      </c>
      <c r="H658" s="20"/>
      <c r="I658" s="20"/>
      <c r="J658" s="20" t="s">
        <v>30</v>
      </c>
      <c r="K658" s="20" t="s">
        <v>30</v>
      </c>
      <c r="L658" s="20" t="s">
        <v>30</v>
      </c>
      <c r="M658" s="20" t="s">
        <v>30</v>
      </c>
      <c r="N658" s="20"/>
      <c r="U658" s="56"/>
    </row>
    <row r="659" spans="1:21" ht="20.25" customHeight="1" x14ac:dyDescent="0.35">
      <c r="A659" s="15" t="s">
        <v>29</v>
      </c>
      <c r="C659" s="19"/>
      <c r="D659" s="34" t="str">
        <f t="shared" ref="D659" si="557">E659</f>
        <v>S100024</v>
      </c>
      <c r="E659" s="35" t="str">
        <f>"S100024"</f>
        <v>S100024</v>
      </c>
      <c r="F659" s="36" t="str">
        <f>"Aluminum SPORT BOT"</f>
        <v>Aluminum SPORT BOT</v>
      </c>
      <c r="G659" s="36"/>
      <c r="H659" s="37" t="str">
        <f>"EA"</f>
        <v>EA</v>
      </c>
      <c r="I659" s="36"/>
      <c r="J659" s="36"/>
      <c r="K659" s="36"/>
      <c r="L659" s="36"/>
      <c r="M659" s="36"/>
      <c r="N659" s="36"/>
      <c r="O659" s="38">
        <f t="shared" ref="O659:T659" si="558">(SUBTOTAL(9,O660:O663))</f>
        <v>1250</v>
      </c>
      <c r="P659" s="38">
        <f t="shared" si="558"/>
        <v>-1</v>
      </c>
      <c r="Q659" s="38">
        <f t="shared" si="558"/>
        <v>0</v>
      </c>
      <c r="R659" s="38">
        <f t="shared" si="558"/>
        <v>0</v>
      </c>
      <c r="S659" s="38">
        <f t="shared" si="558"/>
        <v>0</v>
      </c>
      <c r="T659" s="38">
        <f t="shared" si="558"/>
        <v>0</v>
      </c>
      <c r="U659" s="53">
        <f t="shared" ref="U659" si="559">SUBTOTAL(9,O660:T663)</f>
        <v>1249</v>
      </c>
    </row>
    <row r="660" spans="1:21" ht="17.25" customHeight="1" x14ac:dyDescent="0.3">
      <c r="A660" s="15" t="s">
        <v>29</v>
      </c>
      <c r="C660" s="19"/>
      <c r="D660" s="33" t="str">
        <f t="shared" ref="D660" si="560">D659</f>
        <v>S100024</v>
      </c>
      <c r="E660" s="33"/>
      <c r="F660" s="20"/>
      <c r="G660" s="20" t="str">
        <f>"""NAV"",""CRONUS JetCorp USA"",""32"",""1"",""168655"""</f>
        <v>"NAV","CRONUS JetCorp USA","32","1","168655"</v>
      </c>
      <c r="H660" s="39">
        <v>43466</v>
      </c>
      <c r="I660" s="40">
        <v>168655</v>
      </c>
      <c r="J660" s="40" t="str">
        <f>"Vendor"</f>
        <v>Vendor</v>
      </c>
      <c r="K660" s="40" t="str">
        <f>"V100003"</f>
        <v>V100003</v>
      </c>
      <c r="L660" s="40" t="str">
        <f>""</f>
        <v/>
      </c>
      <c r="M660" s="40" t="str">
        <f>"LogoMasters"</f>
        <v>LogoMasters</v>
      </c>
      <c r="N660" s="40" t="str">
        <f>""</f>
        <v/>
      </c>
      <c r="O660" s="41">
        <v>1000</v>
      </c>
      <c r="P660" s="41">
        <v>0</v>
      </c>
      <c r="Q660" s="41">
        <v>0</v>
      </c>
      <c r="R660" s="41">
        <v>0</v>
      </c>
      <c r="S660" s="41">
        <v>0</v>
      </c>
      <c r="T660" s="41">
        <v>0</v>
      </c>
      <c r="U660" s="54"/>
    </row>
    <row r="661" spans="1:21" ht="17.25" customHeight="1" x14ac:dyDescent="0.3">
      <c r="A661" s="15" t="s">
        <v>29</v>
      </c>
      <c r="C661" s="19"/>
      <c r="D661" s="33" t="str">
        <f t="shared" ref="D661:D662" si="561">D660</f>
        <v>S100024</v>
      </c>
      <c r="E661" s="33"/>
      <c r="F661" s="20"/>
      <c r="G661" s="20" t="str">
        <f>"""NAV"",""CRONUS JetCorp USA"",""32"",""1"",""168673"""</f>
        <v>"NAV","CRONUS JetCorp USA","32","1","168673"</v>
      </c>
      <c r="H661" s="39">
        <v>43466</v>
      </c>
      <c r="I661" s="40">
        <v>168673</v>
      </c>
      <c r="J661" s="40" t="str">
        <f>"Vendor"</f>
        <v>Vendor</v>
      </c>
      <c r="K661" s="40" t="str">
        <f>"V100001"</f>
        <v>V100001</v>
      </c>
      <c r="L661" s="40" t="str">
        <f>""</f>
        <v/>
      </c>
      <c r="M661" s="40" t="str">
        <f>"Greigner, Inc."</f>
        <v>Greigner, Inc.</v>
      </c>
      <c r="N661" s="40" t="str">
        <f>""</f>
        <v/>
      </c>
      <c r="O661" s="41">
        <v>250</v>
      </c>
      <c r="P661" s="41">
        <v>0</v>
      </c>
      <c r="Q661" s="41">
        <v>0</v>
      </c>
      <c r="R661" s="41">
        <v>0</v>
      </c>
      <c r="S661" s="41">
        <v>0</v>
      </c>
      <c r="T661" s="41">
        <v>0</v>
      </c>
      <c r="U661" s="54"/>
    </row>
    <row r="662" spans="1:21" ht="17.25" customHeight="1" x14ac:dyDescent="0.3">
      <c r="A662" s="15" t="s">
        <v>29</v>
      </c>
      <c r="C662" s="19"/>
      <c r="D662" s="33" t="str">
        <f t="shared" si="561"/>
        <v>S100024</v>
      </c>
      <c r="E662" s="33"/>
      <c r="F662" s="20"/>
      <c r="G662" s="20" t="str">
        <f>"""NAV"",""CRONUS JetCorp USA"",""32"",""1"",""153175"""</f>
        <v>"NAV","CRONUS JetCorp USA","32","1","153175"</v>
      </c>
      <c r="H662" s="39">
        <v>43470</v>
      </c>
      <c r="I662" s="40">
        <v>153175</v>
      </c>
      <c r="J662" s="40" t="str">
        <f>"Customer"</f>
        <v>Customer</v>
      </c>
      <c r="K662" s="40" t="str">
        <f>"C100136"</f>
        <v>C100136</v>
      </c>
      <c r="L662" s="40" t="str">
        <f>"First Bank"</f>
        <v>First Bank</v>
      </c>
      <c r="M662" s="40" t="str">
        <f>""</f>
        <v/>
      </c>
      <c r="N662" s="40" t="str">
        <f>""</f>
        <v/>
      </c>
      <c r="O662" s="41">
        <v>0</v>
      </c>
      <c r="P662" s="41">
        <v>-1</v>
      </c>
      <c r="Q662" s="41">
        <v>0</v>
      </c>
      <c r="R662" s="41">
        <v>0</v>
      </c>
      <c r="S662" s="41">
        <v>0</v>
      </c>
      <c r="T662" s="41">
        <v>0</v>
      </c>
      <c r="U662" s="54"/>
    </row>
    <row r="663" spans="1:21" ht="17.25" customHeight="1" x14ac:dyDescent="0.3">
      <c r="A663" s="15" t="s">
        <v>29</v>
      </c>
      <c r="C663" s="19"/>
      <c r="D663" s="33"/>
      <c r="E663" s="33"/>
      <c r="F663" s="20"/>
      <c r="G663" s="20"/>
      <c r="H663" s="20"/>
      <c r="I663" s="20"/>
      <c r="J663" s="20"/>
      <c r="K663" s="20"/>
      <c r="L663" s="20"/>
      <c r="M663" s="20"/>
      <c r="N663" s="20"/>
      <c r="O663" s="42"/>
      <c r="P663" s="42"/>
      <c r="Q663" s="42"/>
      <c r="R663" s="42"/>
      <c r="S663" s="42"/>
      <c r="T663" s="42"/>
      <c r="U663" s="55"/>
    </row>
    <row r="664" spans="1:21" ht="17.25" customHeight="1" x14ac:dyDescent="0.3">
      <c r="A664" s="15" t="s">
        <v>29</v>
      </c>
      <c r="C664" s="19"/>
      <c r="D664" s="33"/>
      <c r="E664" s="33" t="s">
        <v>30</v>
      </c>
      <c r="F664" s="20" t="s">
        <v>30</v>
      </c>
      <c r="G664" s="20" t="s">
        <v>30</v>
      </c>
      <c r="H664" s="20"/>
      <c r="I664" s="20"/>
      <c r="J664" s="20" t="s">
        <v>30</v>
      </c>
      <c r="K664" s="20" t="s">
        <v>30</v>
      </c>
      <c r="L664" s="20" t="s">
        <v>30</v>
      </c>
      <c r="M664" s="20" t="s">
        <v>30</v>
      </c>
      <c r="N664" s="20"/>
      <c r="U664" s="56"/>
    </row>
    <row r="665" spans="1:21" ht="20.25" customHeight="1" x14ac:dyDescent="0.35">
      <c r="A665" s="15" t="s">
        <v>29</v>
      </c>
      <c r="C665" s="19"/>
      <c r="D665" s="34" t="str">
        <f t="shared" ref="D665" si="562">E665</f>
        <v>S100025</v>
      </c>
      <c r="E665" s="35" t="str">
        <f>"S100025"</f>
        <v>S100025</v>
      </c>
      <c r="F665" s="36" t="str">
        <f>"SPORT BOT with Pop Lid"</f>
        <v>SPORT BOT with Pop Lid</v>
      </c>
      <c r="G665" s="36"/>
      <c r="H665" s="37" t="str">
        <f>"EA"</f>
        <v>EA</v>
      </c>
      <c r="I665" s="36"/>
      <c r="J665" s="36"/>
      <c r="K665" s="36"/>
      <c r="L665" s="36"/>
      <c r="M665" s="36"/>
      <c r="N665" s="36"/>
      <c r="O665" s="38">
        <f t="shared" ref="O665:T665" si="563">(SUBTOTAL(9,O666:O669))</f>
        <v>1250</v>
      </c>
      <c r="P665" s="38">
        <f t="shared" si="563"/>
        <v>-144</v>
      </c>
      <c r="Q665" s="38">
        <f t="shared" si="563"/>
        <v>0</v>
      </c>
      <c r="R665" s="38">
        <f t="shared" si="563"/>
        <v>0</v>
      </c>
      <c r="S665" s="38">
        <f t="shared" si="563"/>
        <v>0</v>
      </c>
      <c r="T665" s="38">
        <f t="shared" si="563"/>
        <v>0</v>
      </c>
      <c r="U665" s="53">
        <f t="shared" ref="U665" si="564">SUBTOTAL(9,O666:T669)</f>
        <v>1106</v>
      </c>
    </row>
    <row r="666" spans="1:21" ht="17.25" customHeight="1" x14ac:dyDescent="0.3">
      <c r="A666" s="15" t="s">
        <v>29</v>
      </c>
      <c r="C666" s="19"/>
      <c r="D666" s="33" t="str">
        <f t="shared" ref="D666" si="565">D665</f>
        <v>S100025</v>
      </c>
      <c r="E666" s="33"/>
      <c r="F666" s="20"/>
      <c r="G666" s="20" t="str">
        <f>"""NAV"",""CRONUS JetCorp USA"",""32"",""1"",""168654"""</f>
        <v>"NAV","CRONUS JetCorp USA","32","1","168654"</v>
      </c>
      <c r="H666" s="39">
        <v>43466</v>
      </c>
      <c r="I666" s="40">
        <v>168654</v>
      </c>
      <c r="J666" s="40" t="str">
        <f>"Vendor"</f>
        <v>Vendor</v>
      </c>
      <c r="K666" s="40" t="str">
        <f>"V100003"</f>
        <v>V100003</v>
      </c>
      <c r="L666" s="40" t="str">
        <f>""</f>
        <v/>
      </c>
      <c r="M666" s="40" t="str">
        <f>"LogoMasters"</f>
        <v>LogoMasters</v>
      </c>
      <c r="N666" s="40" t="str">
        <f>""</f>
        <v/>
      </c>
      <c r="O666" s="41">
        <v>1000</v>
      </c>
      <c r="P666" s="41">
        <v>0</v>
      </c>
      <c r="Q666" s="41">
        <v>0</v>
      </c>
      <c r="R666" s="41">
        <v>0</v>
      </c>
      <c r="S666" s="41">
        <v>0</v>
      </c>
      <c r="T666" s="41">
        <v>0</v>
      </c>
      <c r="U666" s="54"/>
    </row>
    <row r="667" spans="1:21" ht="17.25" customHeight="1" x14ac:dyDescent="0.3">
      <c r="A667" s="15" t="s">
        <v>29</v>
      </c>
      <c r="C667" s="19"/>
      <c r="D667" s="33" t="str">
        <f t="shared" ref="D667:D668" si="566">D666</f>
        <v>S100025</v>
      </c>
      <c r="E667" s="33"/>
      <c r="F667" s="20"/>
      <c r="G667" s="20" t="str">
        <f>"""NAV"",""CRONUS JetCorp USA"",""32"",""1"",""168672"""</f>
        <v>"NAV","CRONUS JetCorp USA","32","1","168672"</v>
      </c>
      <c r="H667" s="39">
        <v>43466</v>
      </c>
      <c r="I667" s="40">
        <v>168672</v>
      </c>
      <c r="J667" s="40" t="str">
        <f>"Vendor"</f>
        <v>Vendor</v>
      </c>
      <c r="K667" s="40" t="str">
        <f>"V100001"</f>
        <v>V100001</v>
      </c>
      <c r="L667" s="40" t="str">
        <f>""</f>
        <v/>
      </c>
      <c r="M667" s="40" t="str">
        <f>"Greigner, Inc."</f>
        <v>Greigner, Inc.</v>
      </c>
      <c r="N667" s="40" t="str">
        <f>""</f>
        <v/>
      </c>
      <c r="O667" s="41">
        <v>250</v>
      </c>
      <c r="P667" s="41">
        <v>0</v>
      </c>
      <c r="Q667" s="41">
        <v>0</v>
      </c>
      <c r="R667" s="41">
        <v>0</v>
      </c>
      <c r="S667" s="41">
        <v>0</v>
      </c>
      <c r="T667" s="41">
        <v>0</v>
      </c>
      <c r="U667" s="54"/>
    </row>
    <row r="668" spans="1:21" ht="17.25" customHeight="1" x14ac:dyDescent="0.3">
      <c r="A668" s="15" t="s">
        <v>29</v>
      </c>
      <c r="C668" s="19"/>
      <c r="D668" s="33" t="str">
        <f t="shared" si="566"/>
        <v>S100025</v>
      </c>
      <c r="E668" s="33"/>
      <c r="F668" s="20"/>
      <c r="G668" s="20" t="str">
        <f>"""NAV"",""CRONUS JetCorp USA"",""32"",""1"",""64622"""</f>
        <v>"NAV","CRONUS JetCorp USA","32","1","64622"</v>
      </c>
      <c r="H668" s="39">
        <v>43475</v>
      </c>
      <c r="I668" s="40">
        <v>64622</v>
      </c>
      <c r="J668" s="40" t="str">
        <f>"Customer"</f>
        <v>Customer</v>
      </c>
      <c r="K668" s="40" t="str">
        <f>"C100136"</f>
        <v>C100136</v>
      </c>
      <c r="L668" s="40" t="str">
        <f>"First Bank"</f>
        <v>First Bank</v>
      </c>
      <c r="M668" s="40" t="str">
        <f>""</f>
        <v/>
      </c>
      <c r="N668" s="40" t="str">
        <f>""</f>
        <v/>
      </c>
      <c r="O668" s="41">
        <v>0</v>
      </c>
      <c r="P668" s="41">
        <v>-144</v>
      </c>
      <c r="Q668" s="41">
        <v>0</v>
      </c>
      <c r="R668" s="41">
        <v>0</v>
      </c>
      <c r="S668" s="41">
        <v>0</v>
      </c>
      <c r="T668" s="41">
        <v>0</v>
      </c>
      <c r="U668" s="54"/>
    </row>
    <row r="669" spans="1:21" ht="17.25" customHeight="1" x14ac:dyDescent="0.3">
      <c r="A669" s="15" t="s">
        <v>29</v>
      </c>
      <c r="C669" s="19"/>
      <c r="D669" s="33"/>
      <c r="E669" s="33"/>
      <c r="F669" s="20"/>
      <c r="G669" s="20"/>
      <c r="H669" s="20"/>
      <c r="I669" s="20"/>
      <c r="J669" s="20"/>
      <c r="K669" s="20"/>
      <c r="L669" s="20"/>
      <c r="M669" s="20"/>
      <c r="N669" s="20"/>
      <c r="O669" s="42"/>
      <c r="P669" s="42"/>
      <c r="Q669" s="42"/>
      <c r="R669" s="42"/>
      <c r="S669" s="42"/>
      <c r="T669" s="42"/>
      <c r="U669" s="55"/>
    </row>
    <row r="670" spans="1:21" ht="17.25" customHeight="1" x14ac:dyDescent="0.3">
      <c r="A670" s="15" t="s">
        <v>29</v>
      </c>
      <c r="C670" s="19"/>
      <c r="D670" s="33"/>
      <c r="E670" s="33" t="s">
        <v>30</v>
      </c>
      <c r="F670" s="20" t="s">
        <v>30</v>
      </c>
      <c r="G670" s="20" t="s">
        <v>30</v>
      </c>
      <c r="H670" s="20"/>
      <c r="I670" s="20"/>
      <c r="J670" s="20" t="s">
        <v>30</v>
      </c>
      <c r="K670" s="20" t="s">
        <v>30</v>
      </c>
      <c r="L670" s="20" t="s">
        <v>30</v>
      </c>
      <c r="M670" s="20" t="s">
        <v>30</v>
      </c>
      <c r="N670" s="20"/>
      <c r="U670" s="56"/>
    </row>
    <row r="671" spans="1:21" ht="20.25" customHeight="1" x14ac:dyDescent="0.35">
      <c r="A671" s="15" t="s">
        <v>29</v>
      </c>
      <c r="C671" s="19"/>
      <c r="D671" s="34" t="str">
        <f t="shared" ref="D671" si="567">E671</f>
        <v>S100026</v>
      </c>
      <c r="E671" s="35" t="str">
        <f>"S100026"</f>
        <v>S100026</v>
      </c>
      <c r="F671" s="36" t="str">
        <f>"Wide SPORT BOT"</f>
        <v>Wide SPORT BOT</v>
      </c>
      <c r="G671" s="36"/>
      <c r="H671" s="37" t="str">
        <f>"EA"</f>
        <v>EA</v>
      </c>
      <c r="I671" s="36"/>
      <c r="J671" s="36"/>
      <c r="K671" s="36"/>
      <c r="L671" s="36"/>
      <c r="M671" s="36"/>
      <c r="N671" s="36"/>
      <c r="O671" s="38">
        <f t="shared" ref="O671:T671" si="568">(SUBTOTAL(9,O672:O675))</f>
        <v>2500</v>
      </c>
      <c r="P671" s="38">
        <f t="shared" si="568"/>
        <v>-144</v>
      </c>
      <c r="Q671" s="38">
        <f t="shared" si="568"/>
        <v>0</v>
      </c>
      <c r="R671" s="38">
        <f t="shared" si="568"/>
        <v>0</v>
      </c>
      <c r="S671" s="38">
        <f t="shared" si="568"/>
        <v>0</v>
      </c>
      <c r="T671" s="38">
        <f t="shared" si="568"/>
        <v>0</v>
      </c>
      <c r="U671" s="53">
        <f t="shared" ref="U671" si="569">SUBTOTAL(9,O672:T675)</f>
        <v>2356</v>
      </c>
    </row>
    <row r="672" spans="1:21" ht="17.25" customHeight="1" x14ac:dyDescent="0.3">
      <c r="A672" s="15" t="s">
        <v>29</v>
      </c>
      <c r="C672" s="19"/>
      <c r="D672" s="33" t="str">
        <f t="shared" ref="D672" si="570">D671</f>
        <v>S100026</v>
      </c>
      <c r="E672" s="33"/>
      <c r="F672" s="20"/>
      <c r="G672" s="20" t="str">
        <f>"""NAV"",""CRONUS JetCorp USA"",""32"",""1"",""168653"""</f>
        <v>"NAV","CRONUS JetCorp USA","32","1","168653"</v>
      </c>
      <c r="H672" s="39">
        <v>43466</v>
      </c>
      <c r="I672" s="40">
        <v>168653</v>
      </c>
      <c r="J672" s="40" t="str">
        <f>"Vendor"</f>
        <v>Vendor</v>
      </c>
      <c r="K672" s="40" t="str">
        <f>"V100003"</f>
        <v>V100003</v>
      </c>
      <c r="L672" s="40" t="str">
        <f>""</f>
        <v/>
      </c>
      <c r="M672" s="40" t="str">
        <f>"LogoMasters"</f>
        <v>LogoMasters</v>
      </c>
      <c r="N672" s="40" t="str">
        <f>""</f>
        <v/>
      </c>
      <c r="O672" s="41">
        <v>2000</v>
      </c>
      <c r="P672" s="41">
        <v>0</v>
      </c>
      <c r="Q672" s="41">
        <v>0</v>
      </c>
      <c r="R672" s="41">
        <v>0</v>
      </c>
      <c r="S672" s="41">
        <v>0</v>
      </c>
      <c r="T672" s="41">
        <v>0</v>
      </c>
      <c r="U672" s="54"/>
    </row>
    <row r="673" spans="1:21" ht="17.25" customHeight="1" x14ac:dyDescent="0.3">
      <c r="A673" s="15" t="s">
        <v>29</v>
      </c>
      <c r="C673" s="19"/>
      <c r="D673" s="33" t="str">
        <f t="shared" ref="D673:D674" si="571">D672</f>
        <v>S100026</v>
      </c>
      <c r="E673" s="33"/>
      <c r="F673" s="20"/>
      <c r="G673" s="20" t="str">
        <f>"""NAV"",""CRONUS JetCorp USA"",""32"",""1"",""168671"""</f>
        <v>"NAV","CRONUS JetCorp USA","32","1","168671"</v>
      </c>
      <c r="H673" s="39">
        <v>43466</v>
      </c>
      <c r="I673" s="40">
        <v>168671</v>
      </c>
      <c r="J673" s="40" t="str">
        <f>"Vendor"</f>
        <v>Vendor</v>
      </c>
      <c r="K673" s="40" t="str">
        <f>"V100001"</f>
        <v>V100001</v>
      </c>
      <c r="L673" s="40" t="str">
        <f>""</f>
        <v/>
      </c>
      <c r="M673" s="40" t="str">
        <f>"Greigner, Inc."</f>
        <v>Greigner, Inc.</v>
      </c>
      <c r="N673" s="40" t="str">
        <f>""</f>
        <v/>
      </c>
      <c r="O673" s="41">
        <v>500</v>
      </c>
      <c r="P673" s="41">
        <v>0</v>
      </c>
      <c r="Q673" s="41">
        <v>0</v>
      </c>
      <c r="R673" s="41">
        <v>0</v>
      </c>
      <c r="S673" s="41">
        <v>0</v>
      </c>
      <c r="T673" s="41">
        <v>0</v>
      </c>
      <c r="U673" s="54"/>
    </row>
    <row r="674" spans="1:21" ht="17.25" customHeight="1" x14ac:dyDescent="0.3">
      <c r="A674" s="15" t="s">
        <v>29</v>
      </c>
      <c r="C674" s="19"/>
      <c r="D674" s="33" t="str">
        <f t="shared" si="571"/>
        <v>S100026</v>
      </c>
      <c r="E674" s="33"/>
      <c r="F674" s="20"/>
      <c r="G674" s="20" t="str">
        <f>"""NAV"",""CRONUS JetCorp USA"",""32"",""1"",""153164"""</f>
        <v>"NAV","CRONUS JetCorp USA","32","1","153164"</v>
      </c>
      <c r="H674" s="39">
        <v>43470</v>
      </c>
      <c r="I674" s="40">
        <v>153164</v>
      </c>
      <c r="J674" s="40" t="str">
        <f>"Customer"</f>
        <v>Customer</v>
      </c>
      <c r="K674" s="40" t="str">
        <f>"C100136"</f>
        <v>C100136</v>
      </c>
      <c r="L674" s="40" t="str">
        <f>"First Bank"</f>
        <v>First Bank</v>
      </c>
      <c r="M674" s="40" t="str">
        <f>""</f>
        <v/>
      </c>
      <c r="N674" s="40" t="str">
        <f>""</f>
        <v/>
      </c>
      <c r="O674" s="41">
        <v>0</v>
      </c>
      <c r="P674" s="41">
        <v>-144</v>
      </c>
      <c r="Q674" s="41">
        <v>0</v>
      </c>
      <c r="R674" s="41">
        <v>0</v>
      </c>
      <c r="S674" s="41">
        <v>0</v>
      </c>
      <c r="T674" s="41">
        <v>0</v>
      </c>
      <c r="U674" s="54"/>
    </row>
    <row r="675" spans="1:21" ht="17.25" customHeight="1" x14ac:dyDescent="0.3">
      <c r="A675" s="15" t="s">
        <v>29</v>
      </c>
      <c r="C675" s="19"/>
      <c r="D675" s="33"/>
      <c r="E675" s="33"/>
      <c r="F675" s="20"/>
      <c r="G675" s="20"/>
      <c r="H675" s="20"/>
      <c r="I675" s="20"/>
      <c r="J675" s="20"/>
      <c r="K675" s="20"/>
      <c r="L675" s="20"/>
      <c r="M675" s="20"/>
      <c r="N675" s="20"/>
      <c r="O675" s="42"/>
      <c r="P675" s="42"/>
      <c r="Q675" s="42"/>
      <c r="R675" s="42"/>
      <c r="S675" s="42"/>
      <c r="T675" s="42"/>
      <c r="U675" s="55"/>
    </row>
    <row r="676" spans="1:21" ht="17.25" customHeight="1" x14ac:dyDescent="0.3">
      <c r="A676" s="15" t="s">
        <v>29</v>
      </c>
      <c r="C676" s="19"/>
      <c r="D676" s="33"/>
      <c r="E676" s="33" t="s">
        <v>30</v>
      </c>
      <c r="F676" s="20" t="s">
        <v>30</v>
      </c>
      <c r="G676" s="20" t="s">
        <v>30</v>
      </c>
      <c r="H676" s="20"/>
      <c r="I676" s="20"/>
      <c r="J676" s="20" t="s">
        <v>30</v>
      </c>
      <c r="K676" s="20" t="s">
        <v>30</v>
      </c>
      <c r="L676" s="20" t="s">
        <v>30</v>
      </c>
      <c r="M676" s="20" t="s">
        <v>30</v>
      </c>
      <c r="N676" s="20"/>
      <c r="U676" s="56"/>
    </row>
    <row r="677" spans="1:21" ht="20.25" customHeight="1" x14ac:dyDescent="0.35">
      <c r="A677" s="15" t="s">
        <v>29</v>
      </c>
      <c r="C677" s="19"/>
      <c r="D677" s="34" t="str">
        <f t="shared" ref="D677" si="572">E677</f>
        <v>S200004</v>
      </c>
      <c r="E677" s="35" t="str">
        <f>"S200004"</f>
        <v>S200004</v>
      </c>
      <c r="F677" s="36" t="str">
        <f>"5"" Female Graduate Trophy"</f>
        <v>5" Female Graduate Trophy</v>
      </c>
      <c r="G677" s="36"/>
      <c r="H677" s="37" t="str">
        <f>"EA"</f>
        <v>EA</v>
      </c>
      <c r="I677" s="36"/>
      <c r="J677" s="36"/>
      <c r="K677" s="36"/>
      <c r="L677" s="36"/>
      <c r="M677" s="36"/>
      <c r="N677" s="36"/>
      <c r="O677" s="38">
        <f t="shared" ref="O677:T677" si="573">(SUBTOTAL(9,O678:O679))</f>
        <v>0</v>
      </c>
      <c r="P677" s="38">
        <f t="shared" si="573"/>
        <v>-144</v>
      </c>
      <c r="Q677" s="38">
        <f t="shared" si="573"/>
        <v>0</v>
      </c>
      <c r="R677" s="38">
        <f t="shared" si="573"/>
        <v>0</v>
      </c>
      <c r="S677" s="38">
        <f t="shared" si="573"/>
        <v>0</v>
      </c>
      <c r="T677" s="38">
        <f t="shared" si="573"/>
        <v>0</v>
      </c>
      <c r="U677" s="53">
        <f t="shared" ref="U677" si="574">SUBTOTAL(9,O678:T679)</f>
        <v>-144</v>
      </c>
    </row>
    <row r="678" spans="1:21" ht="17.25" customHeight="1" x14ac:dyDescent="0.3">
      <c r="A678" s="15" t="s">
        <v>29</v>
      </c>
      <c r="C678" s="19"/>
      <c r="D678" s="33" t="str">
        <f t="shared" ref="D678" si="575">D677</f>
        <v>S200004</v>
      </c>
      <c r="E678" s="33"/>
      <c r="F678" s="20"/>
      <c r="G678" s="20" t="str">
        <f>"""NAV"",""CRONUS JetCorp USA"",""32"",""1"",""153162"""</f>
        <v>"NAV","CRONUS JetCorp USA","32","1","153162"</v>
      </c>
      <c r="H678" s="39">
        <v>43470</v>
      </c>
      <c r="I678" s="40">
        <v>153162</v>
      </c>
      <c r="J678" s="40" t="str">
        <f>"Customer"</f>
        <v>Customer</v>
      </c>
      <c r="K678" s="40" t="str">
        <f>"C100136"</f>
        <v>C100136</v>
      </c>
      <c r="L678" s="40" t="str">
        <f>"First Bank"</f>
        <v>First Bank</v>
      </c>
      <c r="M678" s="40" t="str">
        <f>""</f>
        <v/>
      </c>
      <c r="N678" s="40" t="str">
        <f>""</f>
        <v/>
      </c>
      <c r="O678" s="41">
        <v>0</v>
      </c>
      <c r="P678" s="41">
        <v>-144</v>
      </c>
      <c r="Q678" s="41">
        <v>0</v>
      </c>
      <c r="R678" s="41">
        <v>0</v>
      </c>
      <c r="S678" s="41">
        <v>0</v>
      </c>
      <c r="T678" s="41">
        <v>0</v>
      </c>
      <c r="U678" s="54"/>
    </row>
    <row r="679" spans="1:21" ht="17.25" customHeight="1" x14ac:dyDescent="0.3">
      <c r="A679" s="15" t="s">
        <v>29</v>
      </c>
      <c r="C679" s="19"/>
      <c r="D679" s="33"/>
      <c r="E679" s="33"/>
      <c r="F679" s="20"/>
      <c r="G679" s="20"/>
      <c r="H679" s="20"/>
      <c r="I679" s="20"/>
      <c r="J679" s="20"/>
      <c r="K679" s="20"/>
      <c r="L679" s="20"/>
      <c r="M679" s="20"/>
      <c r="N679" s="20"/>
      <c r="O679" s="42"/>
      <c r="P679" s="42"/>
      <c r="Q679" s="42"/>
      <c r="R679" s="42"/>
      <c r="S679" s="42"/>
      <c r="T679" s="42"/>
      <c r="U679" s="55"/>
    </row>
    <row r="680" spans="1:21" ht="17.25" customHeight="1" x14ac:dyDescent="0.3">
      <c r="A680" s="15" t="s">
        <v>29</v>
      </c>
      <c r="C680" s="19"/>
      <c r="D680" s="33"/>
      <c r="E680" s="33" t="s">
        <v>30</v>
      </c>
      <c r="F680" s="20" t="s">
        <v>30</v>
      </c>
      <c r="G680" s="20" t="s">
        <v>30</v>
      </c>
      <c r="H680" s="20"/>
      <c r="I680" s="20"/>
      <c r="J680" s="20" t="s">
        <v>30</v>
      </c>
      <c r="K680" s="20" t="s">
        <v>30</v>
      </c>
      <c r="L680" s="20" t="s">
        <v>30</v>
      </c>
      <c r="M680" s="20" t="s">
        <v>30</v>
      </c>
      <c r="N680" s="20"/>
      <c r="U680" s="56"/>
    </row>
    <row r="681" spans="1:21" ht="20.25" customHeight="1" x14ac:dyDescent="0.35">
      <c r="A681" s="15" t="s">
        <v>29</v>
      </c>
      <c r="C681" s="19"/>
      <c r="D681" s="34" t="str">
        <f t="shared" ref="D681" si="576">E681</f>
        <v>S200005</v>
      </c>
      <c r="E681" s="35" t="str">
        <f>"S200005"</f>
        <v>S200005</v>
      </c>
      <c r="F681" s="36" t="str">
        <f>"4.75"" Spelling B Trophy"</f>
        <v>4.75" Spelling B Trophy</v>
      </c>
      <c r="G681" s="36"/>
      <c r="H681" s="37" t="str">
        <f>"EA"</f>
        <v>EA</v>
      </c>
      <c r="I681" s="36"/>
      <c r="J681" s="36"/>
      <c r="K681" s="36"/>
      <c r="L681" s="36"/>
      <c r="M681" s="36"/>
      <c r="N681" s="36"/>
      <c r="O681" s="38">
        <f t="shared" ref="O681:T681" si="577">(SUBTOTAL(9,O682:O683))</f>
        <v>249.99999999999997</v>
      </c>
      <c r="P681" s="38">
        <f t="shared" si="577"/>
        <v>0</v>
      </c>
      <c r="Q681" s="38">
        <f t="shared" si="577"/>
        <v>0</v>
      </c>
      <c r="R681" s="38">
        <f t="shared" si="577"/>
        <v>0</v>
      </c>
      <c r="S681" s="38">
        <f t="shared" si="577"/>
        <v>0</v>
      </c>
      <c r="T681" s="38">
        <f t="shared" si="577"/>
        <v>0</v>
      </c>
      <c r="U681" s="53">
        <f t="shared" ref="U681" si="578">SUBTOTAL(9,O682:T683)</f>
        <v>249.99999999999997</v>
      </c>
    </row>
    <row r="682" spans="1:21" ht="17.25" customHeight="1" x14ac:dyDescent="0.3">
      <c r="A682" s="15" t="s">
        <v>29</v>
      </c>
      <c r="C682" s="19"/>
      <c r="D682" s="33" t="str">
        <f t="shared" ref="D682" si="579">D681</f>
        <v>S200005</v>
      </c>
      <c r="E682" s="33"/>
      <c r="F682" s="20"/>
      <c r="G682" s="20" t="str">
        <f>"""NAV"",""CRONUS JetCorp USA"",""32"",""1"",""169246"""</f>
        <v>"NAV","CRONUS JetCorp USA","32","1","169246"</v>
      </c>
      <c r="H682" s="39">
        <v>43466</v>
      </c>
      <c r="I682" s="40">
        <v>169246</v>
      </c>
      <c r="J682" s="40" t="str">
        <f>"Vendor"</f>
        <v>Vendor</v>
      </c>
      <c r="K682" s="40" t="str">
        <f>"V100003"</f>
        <v>V100003</v>
      </c>
      <c r="L682" s="40" t="str">
        <f>""</f>
        <v/>
      </c>
      <c r="M682" s="40" t="str">
        <f>"LogoMasters"</f>
        <v>LogoMasters</v>
      </c>
      <c r="N682" s="40" t="str">
        <f>""</f>
        <v/>
      </c>
      <c r="O682" s="41">
        <v>249.99999999999997</v>
      </c>
      <c r="P682" s="41">
        <v>0</v>
      </c>
      <c r="Q682" s="41">
        <v>0</v>
      </c>
      <c r="R682" s="41">
        <v>0</v>
      </c>
      <c r="S682" s="41">
        <v>0</v>
      </c>
      <c r="T682" s="41">
        <v>0</v>
      </c>
      <c r="U682" s="54"/>
    </row>
    <row r="683" spans="1:21" ht="17.25" customHeight="1" x14ac:dyDescent="0.3">
      <c r="A683" s="15" t="s">
        <v>29</v>
      </c>
      <c r="C683" s="19"/>
      <c r="D683" s="33"/>
      <c r="E683" s="33"/>
      <c r="F683" s="20"/>
      <c r="G683" s="20"/>
      <c r="H683" s="20"/>
      <c r="I683" s="20"/>
      <c r="J683" s="20"/>
      <c r="K683" s="20"/>
      <c r="L683" s="20"/>
      <c r="M683" s="20"/>
      <c r="N683" s="20"/>
      <c r="O683" s="42"/>
      <c r="P683" s="42"/>
      <c r="Q683" s="42"/>
      <c r="R683" s="42"/>
      <c r="S683" s="42"/>
      <c r="T683" s="42"/>
      <c r="U683" s="55"/>
    </row>
    <row r="684" spans="1:21" ht="17.25" customHeight="1" x14ac:dyDescent="0.3">
      <c r="A684" s="15" t="s">
        <v>29</v>
      </c>
      <c r="C684" s="19"/>
      <c r="D684" s="33"/>
      <c r="E684" s="33" t="s">
        <v>30</v>
      </c>
      <c r="F684" s="20" t="s">
        <v>30</v>
      </c>
      <c r="G684" s="20" t="s">
        <v>30</v>
      </c>
      <c r="H684" s="20"/>
      <c r="I684" s="20"/>
      <c r="J684" s="20" t="s">
        <v>30</v>
      </c>
      <c r="K684" s="20" t="s">
        <v>30</v>
      </c>
      <c r="L684" s="20" t="s">
        <v>30</v>
      </c>
      <c r="M684" s="20" t="s">
        <v>30</v>
      </c>
      <c r="N684" s="20"/>
      <c r="U684" s="56"/>
    </row>
    <row r="685" spans="1:21" ht="20.25" customHeight="1" x14ac:dyDescent="0.35">
      <c r="A685" s="15" t="s">
        <v>29</v>
      </c>
      <c r="C685" s="19"/>
      <c r="D685" s="34" t="str">
        <f t="shared" ref="D685" si="580">E685</f>
        <v>S200012</v>
      </c>
      <c r="E685" s="35" t="str">
        <f>"S200012"</f>
        <v>S200012</v>
      </c>
      <c r="F685" s="36" t="str">
        <f>"10.75"" Star Riser Apple Trophy"</f>
        <v>10.75" Star Riser Apple Trophy</v>
      </c>
      <c r="G685" s="36"/>
      <c r="H685" s="37" t="str">
        <f>"EA"</f>
        <v>EA</v>
      </c>
      <c r="I685" s="36"/>
      <c r="J685" s="36"/>
      <c r="K685" s="36"/>
      <c r="L685" s="36"/>
      <c r="M685" s="36"/>
      <c r="N685" s="36"/>
      <c r="O685" s="38">
        <f t="shared" ref="O685:T685" si="581">(SUBTOTAL(9,O686:O687))</f>
        <v>0</v>
      </c>
      <c r="P685" s="38">
        <f t="shared" si="581"/>
        <v>-48</v>
      </c>
      <c r="Q685" s="38">
        <f t="shared" si="581"/>
        <v>0</v>
      </c>
      <c r="R685" s="38">
        <f t="shared" si="581"/>
        <v>0</v>
      </c>
      <c r="S685" s="38">
        <f t="shared" si="581"/>
        <v>0</v>
      </c>
      <c r="T685" s="38">
        <f t="shared" si="581"/>
        <v>0</v>
      </c>
      <c r="U685" s="53">
        <f t="shared" ref="U685" si="582">SUBTOTAL(9,O686:T687)</f>
        <v>-48</v>
      </c>
    </row>
    <row r="686" spans="1:21" ht="17.25" customHeight="1" x14ac:dyDescent="0.3">
      <c r="A686" s="15" t="s">
        <v>29</v>
      </c>
      <c r="C686" s="19"/>
      <c r="D686" s="33" t="str">
        <f t="shared" ref="D686" si="583">D685</f>
        <v>S200012</v>
      </c>
      <c r="E686" s="33"/>
      <c r="F686" s="20"/>
      <c r="G686" s="20" t="str">
        <f>"""NAV"",""CRONUS JetCorp USA"",""32"",""1"",""153163"""</f>
        <v>"NAV","CRONUS JetCorp USA","32","1","153163"</v>
      </c>
      <c r="H686" s="39">
        <v>43470</v>
      </c>
      <c r="I686" s="40">
        <v>153163</v>
      </c>
      <c r="J686" s="40" t="str">
        <f>"Customer"</f>
        <v>Customer</v>
      </c>
      <c r="K686" s="40" t="str">
        <f>"C100136"</f>
        <v>C100136</v>
      </c>
      <c r="L686" s="40" t="str">
        <f>"First Bank"</f>
        <v>First Bank</v>
      </c>
      <c r="M686" s="40" t="str">
        <f>""</f>
        <v/>
      </c>
      <c r="N686" s="40" t="str">
        <f>""</f>
        <v/>
      </c>
      <c r="O686" s="41">
        <v>0</v>
      </c>
      <c r="P686" s="41">
        <v>-48</v>
      </c>
      <c r="Q686" s="41">
        <v>0</v>
      </c>
      <c r="R686" s="41">
        <v>0</v>
      </c>
      <c r="S686" s="41">
        <v>0</v>
      </c>
      <c r="T686" s="41">
        <v>0</v>
      </c>
      <c r="U686" s="54"/>
    </row>
    <row r="687" spans="1:21" ht="17.25" customHeight="1" x14ac:dyDescent="0.3">
      <c r="A687" s="15" t="s">
        <v>29</v>
      </c>
      <c r="C687" s="19"/>
      <c r="D687" s="33"/>
      <c r="E687" s="33"/>
      <c r="F687" s="20"/>
      <c r="G687" s="20"/>
      <c r="H687" s="20"/>
      <c r="I687" s="20"/>
      <c r="J687" s="20"/>
      <c r="K687" s="20"/>
      <c r="L687" s="20"/>
      <c r="M687" s="20"/>
      <c r="N687" s="20"/>
      <c r="O687" s="42"/>
      <c r="P687" s="42"/>
      <c r="Q687" s="42"/>
      <c r="R687" s="42"/>
      <c r="S687" s="42"/>
      <c r="T687" s="42"/>
      <c r="U687" s="55"/>
    </row>
    <row r="688" spans="1:21" ht="17.25" customHeight="1" x14ac:dyDescent="0.3">
      <c r="A688" s="15" t="s">
        <v>29</v>
      </c>
      <c r="C688" s="19"/>
      <c r="D688" s="33"/>
      <c r="E688" s="33" t="s">
        <v>30</v>
      </c>
      <c r="F688" s="20" t="s">
        <v>30</v>
      </c>
      <c r="G688" s="20" t="s">
        <v>30</v>
      </c>
      <c r="H688" s="20"/>
      <c r="I688" s="20"/>
      <c r="J688" s="20" t="s">
        <v>30</v>
      </c>
      <c r="K688" s="20" t="s">
        <v>30</v>
      </c>
      <c r="L688" s="20" t="s">
        <v>30</v>
      </c>
      <c r="M688" s="20" t="s">
        <v>30</v>
      </c>
      <c r="N688" s="20"/>
      <c r="U688" s="56"/>
    </row>
    <row r="689" spans="1:21" ht="20.25" customHeight="1" x14ac:dyDescent="0.35">
      <c r="A689" s="15" t="s">
        <v>29</v>
      </c>
      <c r="C689" s="19"/>
      <c r="D689" s="34" t="str">
        <f t="shared" ref="D689" si="584">E689</f>
        <v>S200013</v>
      </c>
      <c r="E689" s="35" t="str">
        <f>"S200013"</f>
        <v>S200013</v>
      </c>
      <c r="F689" s="36" t="str">
        <f>"10.75"" Star Riser Soccer Trophy"</f>
        <v>10.75" Star Riser Soccer Trophy</v>
      </c>
      <c r="G689" s="36"/>
      <c r="H689" s="37" t="str">
        <f>"EA"</f>
        <v>EA</v>
      </c>
      <c r="I689" s="36"/>
      <c r="J689" s="36"/>
      <c r="K689" s="36"/>
      <c r="L689" s="36"/>
      <c r="M689" s="36"/>
      <c r="N689" s="36"/>
      <c r="O689" s="38">
        <f t="shared" ref="O689:T689" si="585">(SUBTOTAL(9,O690:O691))</f>
        <v>249.99999999999997</v>
      </c>
      <c r="P689" s="38">
        <f t="shared" si="585"/>
        <v>0</v>
      </c>
      <c r="Q689" s="38">
        <f t="shared" si="585"/>
        <v>0</v>
      </c>
      <c r="R689" s="38">
        <f t="shared" si="585"/>
        <v>0</v>
      </c>
      <c r="S689" s="38">
        <f t="shared" si="585"/>
        <v>0</v>
      </c>
      <c r="T689" s="38">
        <f t="shared" si="585"/>
        <v>0</v>
      </c>
      <c r="U689" s="53">
        <f t="shared" ref="U689" si="586">SUBTOTAL(9,O690:T691)</f>
        <v>249.99999999999997</v>
      </c>
    </row>
    <row r="690" spans="1:21" ht="17.25" customHeight="1" x14ac:dyDescent="0.3">
      <c r="A690" s="15" t="s">
        <v>29</v>
      </c>
      <c r="C690" s="19"/>
      <c r="D690" s="33" t="str">
        <f t="shared" ref="D690" si="587">D689</f>
        <v>S200013</v>
      </c>
      <c r="E690" s="33"/>
      <c r="F690" s="20"/>
      <c r="G690" s="20" t="str">
        <f>"""NAV"",""CRONUS JetCorp USA"",""32"",""1"",""169245"""</f>
        <v>"NAV","CRONUS JetCorp USA","32","1","169245"</v>
      </c>
      <c r="H690" s="39">
        <v>43466</v>
      </c>
      <c r="I690" s="40">
        <v>169245</v>
      </c>
      <c r="J690" s="40" t="str">
        <f>"Vendor"</f>
        <v>Vendor</v>
      </c>
      <c r="K690" s="40" t="str">
        <f>"V100003"</f>
        <v>V100003</v>
      </c>
      <c r="L690" s="40" t="str">
        <f>""</f>
        <v/>
      </c>
      <c r="M690" s="40" t="str">
        <f>"LogoMasters"</f>
        <v>LogoMasters</v>
      </c>
      <c r="N690" s="40" t="str">
        <f>""</f>
        <v/>
      </c>
      <c r="O690" s="41">
        <v>249.99999999999997</v>
      </c>
      <c r="P690" s="41">
        <v>0</v>
      </c>
      <c r="Q690" s="41">
        <v>0</v>
      </c>
      <c r="R690" s="41">
        <v>0</v>
      </c>
      <c r="S690" s="41">
        <v>0</v>
      </c>
      <c r="T690" s="41">
        <v>0</v>
      </c>
      <c r="U690" s="54"/>
    </row>
    <row r="691" spans="1:21" ht="17.25" customHeight="1" x14ac:dyDescent="0.3">
      <c r="A691" s="15" t="s">
        <v>29</v>
      </c>
      <c r="C691" s="19"/>
      <c r="D691" s="33"/>
      <c r="E691" s="33"/>
      <c r="F691" s="20"/>
      <c r="G691" s="20"/>
      <c r="H691" s="20"/>
      <c r="I691" s="20"/>
      <c r="J691" s="20"/>
      <c r="K691" s="20"/>
      <c r="L691" s="20"/>
      <c r="M691" s="20"/>
      <c r="N691" s="20"/>
      <c r="O691" s="42"/>
      <c r="P691" s="42"/>
      <c r="Q691" s="42"/>
      <c r="R691" s="42"/>
      <c r="S691" s="42"/>
      <c r="T691" s="42"/>
      <c r="U691" s="55"/>
    </row>
    <row r="692" spans="1:21" ht="17.25" customHeight="1" x14ac:dyDescent="0.3">
      <c r="A692" s="15" t="s">
        <v>29</v>
      </c>
      <c r="C692" s="19"/>
      <c r="D692" s="33"/>
      <c r="E692" s="33" t="s">
        <v>30</v>
      </c>
      <c r="F692" s="20" t="s">
        <v>30</v>
      </c>
      <c r="G692" s="20" t="s">
        <v>30</v>
      </c>
      <c r="H692" s="20"/>
      <c r="I692" s="20"/>
      <c r="J692" s="20" t="s">
        <v>30</v>
      </c>
      <c r="K692" s="20" t="s">
        <v>30</v>
      </c>
      <c r="L692" s="20" t="s">
        <v>30</v>
      </c>
      <c r="M692" s="20" t="s">
        <v>30</v>
      </c>
      <c r="N692" s="20"/>
      <c r="U692" s="56"/>
    </row>
    <row r="693" spans="1:21" ht="20.25" customHeight="1" x14ac:dyDescent="0.35">
      <c r="A693" s="15" t="s">
        <v>29</v>
      </c>
      <c r="C693" s="19"/>
      <c r="D693" s="34" t="str">
        <f t="shared" ref="D693" si="588">E693</f>
        <v>S200016</v>
      </c>
      <c r="E693" s="35" t="str">
        <f>"S200016"</f>
        <v>S200016</v>
      </c>
      <c r="F693" s="36" t="str">
        <f>"10.75"" Star Riser Volleyball Trophy"</f>
        <v>10.75" Star Riser Volleyball Trophy</v>
      </c>
      <c r="G693" s="36"/>
      <c r="H693" s="37" t="str">
        <f>"EA"</f>
        <v>EA</v>
      </c>
      <c r="I693" s="36"/>
      <c r="J693" s="36"/>
      <c r="K693" s="36"/>
      <c r="L693" s="36"/>
      <c r="M693" s="36"/>
      <c r="N693" s="36"/>
      <c r="O693" s="38">
        <f t="shared" ref="O693:T693" si="589">(SUBTOTAL(9,O694:O695))</f>
        <v>499.99999999999994</v>
      </c>
      <c r="P693" s="38">
        <f t="shared" si="589"/>
        <v>0</v>
      </c>
      <c r="Q693" s="38">
        <f t="shared" si="589"/>
        <v>0</v>
      </c>
      <c r="R693" s="38">
        <f t="shared" si="589"/>
        <v>0</v>
      </c>
      <c r="S693" s="38">
        <f t="shared" si="589"/>
        <v>0</v>
      </c>
      <c r="T693" s="38">
        <f t="shared" si="589"/>
        <v>0</v>
      </c>
      <c r="U693" s="53">
        <f t="shared" ref="U693" si="590">SUBTOTAL(9,O694:T695)</f>
        <v>499.99999999999994</v>
      </c>
    </row>
    <row r="694" spans="1:21" ht="17.25" customHeight="1" x14ac:dyDescent="0.3">
      <c r="A694" s="15" t="s">
        <v>29</v>
      </c>
      <c r="C694" s="19"/>
      <c r="D694" s="33" t="str">
        <f t="shared" ref="D694" si="591">D693</f>
        <v>S200016</v>
      </c>
      <c r="E694" s="33"/>
      <c r="F694" s="20"/>
      <c r="G694" s="20" t="str">
        <f>"""NAV"",""CRONUS JetCorp USA"",""32"",""1"",""169244"""</f>
        <v>"NAV","CRONUS JetCorp USA","32","1","169244"</v>
      </c>
      <c r="H694" s="39">
        <v>43466</v>
      </c>
      <c r="I694" s="40">
        <v>169244</v>
      </c>
      <c r="J694" s="40" t="str">
        <f>"Vendor"</f>
        <v>Vendor</v>
      </c>
      <c r="K694" s="40" t="str">
        <f>"V100003"</f>
        <v>V100003</v>
      </c>
      <c r="L694" s="40" t="str">
        <f>""</f>
        <v/>
      </c>
      <c r="M694" s="40" t="str">
        <f>"LogoMasters"</f>
        <v>LogoMasters</v>
      </c>
      <c r="N694" s="40" t="str">
        <f>""</f>
        <v/>
      </c>
      <c r="O694" s="41">
        <v>499.99999999999994</v>
      </c>
      <c r="P694" s="41">
        <v>0</v>
      </c>
      <c r="Q694" s="41">
        <v>0</v>
      </c>
      <c r="R694" s="41">
        <v>0</v>
      </c>
      <c r="S694" s="41">
        <v>0</v>
      </c>
      <c r="T694" s="41">
        <v>0</v>
      </c>
      <c r="U694" s="54"/>
    </row>
    <row r="695" spans="1:21" ht="17.25" customHeight="1" x14ac:dyDescent="0.3">
      <c r="A695" s="15" t="s">
        <v>29</v>
      </c>
      <c r="C695" s="19"/>
      <c r="D695" s="33"/>
      <c r="E695" s="33"/>
      <c r="F695" s="20"/>
      <c r="G695" s="20"/>
      <c r="H695" s="20"/>
      <c r="I695" s="20"/>
      <c r="J695" s="20"/>
      <c r="K695" s="20"/>
      <c r="L695" s="20"/>
      <c r="M695" s="20"/>
      <c r="N695" s="20"/>
      <c r="O695" s="42"/>
      <c r="P695" s="42"/>
      <c r="Q695" s="42"/>
      <c r="R695" s="42"/>
      <c r="S695" s="42"/>
      <c r="T695" s="42"/>
      <c r="U695" s="55"/>
    </row>
    <row r="696" spans="1:21" ht="17.25" customHeight="1" x14ac:dyDescent="0.3">
      <c r="A696" s="15" t="s">
        <v>29</v>
      </c>
      <c r="C696" s="19"/>
      <c r="D696" s="33"/>
      <c r="E696" s="33" t="s">
        <v>30</v>
      </c>
      <c r="F696" s="20" t="s">
        <v>30</v>
      </c>
      <c r="G696" s="20" t="s">
        <v>30</v>
      </c>
      <c r="H696" s="20"/>
      <c r="I696" s="20"/>
      <c r="J696" s="20" t="s">
        <v>30</v>
      </c>
      <c r="K696" s="20" t="s">
        <v>30</v>
      </c>
      <c r="L696" s="20" t="s">
        <v>30</v>
      </c>
      <c r="M696" s="20" t="s">
        <v>30</v>
      </c>
      <c r="N696" s="20"/>
      <c r="U696" s="56"/>
    </row>
    <row r="697" spans="1:21" ht="20.25" customHeight="1" x14ac:dyDescent="0.35">
      <c r="A697" s="15" t="s">
        <v>29</v>
      </c>
      <c r="C697" s="19"/>
      <c r="D697" s="34" t="str">
        <f t="shared" ref="D697" si="592">E697</f>
        <v>S200017</v>
      </c>
      <c r="E697" s="35" t="str">
        <f>"S200017"</f>
        <v>S200017</v>
      </c>
      <c r="F697" s="36" t="str">
        <f>"10.75"" Tourch Riser WrestlingTrophy"</f>
        <v>10.75" Tourch Riser WrestlingTrophy</v>
      </c>
      <c r="G697" s="36"/>
      <c r="H697" s="37" t="str">
        <f>"EA"</f>
        <v>EA</v>
      </c>
      <c r="I697" s="36"/>
      <c r="J697" s="36"/>
      <c r="K697" s="36"/>
      <c r="L697" s="36"/>
      <c r="M697" s="36"/>
      <c r="N697" s="36"/>
      <c r="O697" s="38">
        <f t="shared" ref="O697:T697" si="593">(SUBTOTAL(9,O698:O699))</f>
        <v>0</v>
      </c>
      <c r="P697" s="38">
        <f t="shared" si="593"/>
        <v>-144</v>
      </c>
      <c r="Q697" s="38">
        <f t="shared" si="593"/>
        <v>0</v>
      </c>
      <c r="R697" s="38">
        <f t="shared" si="593"/>
        <v>0</v>
      </c>
      <c r="S697" s="38">
        <f t="shared" si="593"/>
        <v>0</v>
      </c>
      <c r="T697" s="38">
        <f t="shared" si="593"/>
        <v>0</v>
      </c>
      <c r="U697" s="53">
        <f t="shared" ref="U697" si="594">SUBTOTAL(9,O698:T699)</f>
        <v>-144</v>
      </c>
    </row>
    <row r="698" spans="1:21" ht="17.25" customHeight="1" x14ac:dyDescent="0.3">
      <c r="A698" s="15" t="s">
        <v>29</v>
      </c>
      <c r="C698" s="19"/>
      <c r="D698" s="33" t="str">
        <f t="shared" ref="D698" si="595">D697</f>
        <v>S200017</v>
      </c>
      <c r="E698" s="33"/>
      <c r="F698" s="20"/>
      <c r="G698" s="20" t="str">
        <f>"""NAV"",""CRONUS JetCorp USA"",""32"",""1"",""153189"""</f>
        <v>"NAV","CRONUS JetCorp USA","32","1","153189"</v>
      </c>
      <c r="H698" s="39">
        <v>43469</v>
      </c>
      <c r="I698" s="40">
        <v>153189</v>
      </c>
      <c r="J698" s="40" t="str">
        <f>"Customer"</f>
        <v>Customer</v>
      </c>
      <c r="K698" s="40" t="str">
        <f>"C100136"</f>
        <v>C100136</v>
      </c>
      <c r="L698" s="40" t="str">
        <f>"First Bank"</f>
        <v>First Bank</v>
      </c>
      <c r="M698" s="40" t="str">
        <f>""</f>
        <v/>
      </c>
      <c r="N698" s="40" t="str">
        <f>""</f>
        <v/>
      </c>
      <c r="O698" s="41">
        <v>0</v>
      </c>
      <c r="P698" s="41">
        <v>-144</v>
      </c>
      <c r="Q698" s="41">
        <v>0</v>
      </c>
      <c r="R698" s="41">
        <v>0</v>
      </c>
      <c r="S698" s="41">
        <v>0</v>
      </c>
      <c r="T698" s="41">
        <v>0</v>
      </c>
      <c r="U698" s="54"/>
    </row>
    <row r="699" spans="1:21" ht="17.25" customHeight="1" x14ac:dyDescent="0.3">
      <c r="A699" s="15" t="s">
        <v>29</v>
      </c>
      <c r="C699" s="19"/>
      <c r="D699" s="33"/>
      <c r="E699" s="33"/>
      <c r="F699" s="20"/>
      <c r="G699" s="20"/>
      <c r="H699" s="20"/>
      <c r="I699" s="20"/>
      <c r="J699" s="20"/>
      <c r="K699" s="20"/>
      <c r="L699" s="20"/>
      <c r="M699" s="20"/>
      <c r="N699" s="20"/>
      <c r="O699" s="42"/>
      <c r="P699" s="42"/>
      <c r="Q699" s="42"/>
      <c r="R699" s="42"/>
      <c r="S699" s="42"/>
      <c r="T699" s="42"/>
      <c r="U699" s="55"/>
    </row>
    <row r="700" spans="1:21" ht="17.25" customHeight="1" x14ac:dyDescent="0.3">
      <c r="A700" s="15" t="s">
        <v>29</v>
      </c>
      <c r="C700" s="19"/>
      <c r="D700" s="33"/>
      <c r="E700" s="33" t="s">
        <v>30</v>
      </c>
      <c r="F700" s="20" t="s">
        <v>30</v>
      </c>
      <c r="G700" s="20" t="s">
        <v>30</v>
      </c>
      <c r="H700" s="20"/>
      <c r="I700" s="20"/>
      <c r="J700" s="20" t="s">
        <v>30</v>
      </c>
      <c r="K700" s="20" t="s">
        <v>30</v>
      </c>
      <c r="L700" s="20" t="s">
        <v>30</v>
      </c>
      <c r="M700" s="20" t="s">
        <v>30</v>
      </c>
      <c r="N700" s="20"/>
      <c r="U700" s="56"/>
    </row>
    <row r="701" spans="1:21" ht="20.25" customHeight="1" x14ac:dyDescent="0.35">
      <c r="A701" s="15" t="s">
        <v>29</v>
      </c>
      <c r="C701" s="19"/>
      <c r="D701" s="34" t="str">
        <f t="shared" ref="D701" si="596">E701</f>
        <v>S200018</v>
      </c>
      <c r="E701" s="35" t="str">
        <f>"S200018"</f>
        <v>S200018</v>
      </c>
      <c r="F701" s="36" t="str">
        <f>"10.75"" Tourch Riser Lamp of Knowledge Trophy"</f>
        <v>10.75" Tourch Riser Lamp of Knowledge Trophy</v>
      </c>
      <c r="G701" s="36"/>
      <c r="H701" s="37" t="str">
        <f>"EA"</f>
        <v>EA</v>
      </c>
      <c r="I701" s="36"/>
      <c r="J701" s="36"/>
      <c r="K701" s="36"/>
      <c r="L701" s="36"/>
      <c r="M701" s="36"/>
      <c r="N701" s="36"/>
      <c r="O701" s="38">
        <f t="shared" ref="O701:T701" si="597">(SUBTOTAL(9,O702:O703))</f>
        <v>0</v>
      </c>
      <c r="P701" s="38">
        <f t="shared" si="597"/>
        <v>-144</v>
      </c>
      <c r="Q701" s="38">
        <f t="shared" si="597"/>
        <v>0</v>
      </c>
      <c r="R701" s="38">
        <f t="shared" si="597"/>
        <v>0</v>
      </c>
      <c r="S701" s="38">
        <f t="shared" si="597"/>
        <v>0</v>
      </c>
      <c r="T701" s="38">
        <f t="shared" si="597"/>
        <v>0</v>
      </c>
      <c r="U701" s="53">
        <f t="shared" ref="U701" si="598">SUBTOTAL(9,O702:T703)</f>
        <v>-144</v>
      </c>
    </row>
    <row r="702" spans="1:21" ht="17.25" customHeight="1" x14ac:dyDescent="0.3">
      <c r="A702" s="15" t="s">
        <v>29</v>
      </c>
      <c r="C702" s="19"/>
      <c r="D702" s="33" t="str">
        <f t="shared" ref="D702" si="599">D701</f>
        <v>S200018</v>
      </c>
      <c r="E702" s="33"/>
      <c r="F702" s="20"/>
      <c r="G702" s="20" t="str">
        <f>"""NAV"",""CRONUS JetCorp USA"",""32"",""1"",""153161"""</f>
        <v>"NAV","CRONUS JetCorp USA","32","1","153161"</v>
      </c>
      <c r="H702" s="39">
        <v>43470</v>
      </c>
      <c r="I702" s="40">
        <v>153161</v>
      </c>
      <c r="J702" s="40" t="str">
        <f>"Customer"</f>
        <v>Customer</v>
      </c>
      <c r="K702" s="40" t="str">
        <f>"C100136"</f>
        <v>C100136</v>
      </c>
      <c r="L702" s="40" t="str">
        <f>"First Bank"</f>
        <v>First Bank</v>
      </c>
      <c r="M702" s="40" t="str">
        <f>""</f>
        <v/>
      </c>
      <c r="N702" s="40" t="str">
        <f>""</f>
        <v/>
      </c>
      <c r="O702" s="41">
        <v>0</v>
      </c>
      <c r="P702" s="41">
        <v>-144</v>
      </c>
      <c r="Q702" s="41">
        <v>0</v>
      </c>
      <c r="R702" s="41">
        <v>0</v>
      </c>
      <c r="S702" s="41">
        <v>0</v>
      </c>
      <c r="T702" s="41">
        <v>0</v>
      </c>
      <c r="U702" s="54"/>
    </row>
    <row r="703" spans="1:21" ht="17.25" customHeight="1" x14ac:dyDescent="0.3">
      <c r="A703" s="15" t="s">
        <v>29</v>
      </c>
      <c r="C703" s="19"/>
      <c r="D703" s="33"/>
      <c r="E703" s="33"/>
      <c r="F703" s="20"/>
      <c r="G703" s="20"/>
      <c r="H703" s="20"/>
      <c r="I703" s="20"/>
      <c r="J703" s="20"/>
      <c r="K703" s="20"/>
      <c r="L703" s="20"/>
      <c r="M703" s="20"/>
      <c r="N703" s="20"/>
      <c r="O703" s="42"/>
      <c r="P703" s="42"/>
      <c r="Q703" s="42"/>
      <c r="R703" s="42"/>
      <c r="S703" s="42"/>
      <c r="T703" s="42"/>
      <c r="U703" s="55"/>
    </row>
    <row r="704" spans="1:21" ht="17.25" customHeight="1" x14ac:dyDescent="0.3">
      <c r="A704" s="15" t="s">
        <v>29</v>
      </c>
      <c r="C704" s="19"/>
      <c r="D704" s="33"/>
      <c r="E704" s="33" t="s">
        <v>30</v>
      </c>
      <c r="F704" s="20" t="s">
        <v>30</v>
      </c>
      <c r="G704" s="20" t="s">
        <v>30</v>
      </c>
      <c r="H704" s="20"/>
      <c r="I704" s="20"/>
      <c r="J704" s="20" t="s">
        <v>30</v>
      </c>
      <c r="K704" s="20" t="s">
        <v>30</v>
      </c>
      <c r="L704" s="20" t="s">
        <v>30</v>
      </c>
      <c r="M704" s="20" t="s">
        <v>30</v>
      </c>
      <c r="N704" s="20"/>
      <c r="U704" s="56"/>
    </row>
    <row r="705" spans="1:21" ht="20.25" customHeight="1" x14ac:dyDescent="0.35">
      <c r="A705" s="15" t="s">
        <v>29</v>
      </c>
      <c r="C705" s="19"/>
      <c r="D705" s="34" t="str">
        <f t="shared" ref="D705" si="600">E705</f>
        <v>S200019</v>
      </c>
      <c r="E705" s="35" t="str">
        <f>"S200019"</f>
        <v>S200019</v>
      </c>
      <c r="F705" s="36" t="str">
        <f>"10.75"" Tourch Riser Apple Trophy"</f>
        <v>10.75" Tourch Riser Apple Trophy</v>
      </c>
      <c r="G705" s="36"/>
      <c r="H705" s="37" t="str">
        <f>"EA"</f>
        <v>EA</v>
      </c>
      <c r="I705" s="36"/>
      <c r="J705" s="36"/>
      <c r="K705" s="36"/>
      <c r="L705" s="36"/>
      <c r="M705" s="36"/>
      <c r="N705" s="36"/>
      <c r="O705" s="38">
        <f t="shared" ref="O705:T705" si="601">(SUBTOTAL(9,O706:O708))</f>
        <v>499.99999999999994</v>
      </c>
      <c r="P705" s="38">
        <f t="shared" si="601"/>
        <v>-48</v>
      </c>
      <c r="Q705" s="38">
        <f t="shared" si="601"/>
        <v>0</v>
      </c>
      <c r="R705" s="38">
        <f t="shared" si="601"/>
        <v>0</v>
      </c>
      <c r="S705" s="38">
        <f t="shared" si="601"/>
        <v>0</v>
      </c>
      <c r="T705" s="38">
        <f t="shared" si="601"/>
        <v>0</v>
      </c>
      <c r="U705" s="53">
        <f t="shared" ref="U705" si="602">SUBTOTAL(9,O706:T708)</f>
        <v>451.99999999999994</v>
      </c>
    </row>
    <row r="706" spans="1:21" ht="17.25" customHeight="1" x14ac:dyDescent="0.3">
      <c r="A706" s="15" t="s">
        <v>29</v>
      </c>
      <c r="C706" s="19"/>
      <c r="D706" s="33" t="str">
        <f t="shared" ref="D706" si="603">D705</f>
        <v>S200019</v>
      </c>
      <c r="E706" s="33"/>
      <c r="F706" s="20"/>
      <c r="G706" s="20" t="str">
        <f>"""NAV"",""CRONUS JetCorp USA"",""32"",""1"",""169243"""</f>
        <v>"NAV","CRONUS JetCorp USA","32","1","169243"</v>
      </c>
      <c r="H706" s="39">
        <v>43466</v>
      </c>
      <c r="I706" s="40">
        <v>169243</v>
      </c>
      <c r="J706" s="40" t="str">
        <f>"Vendor"</f>
        <v>Vendor</v>
      </c>
      <c r="K706" s="40" t="str">
        <f>"V100003"</f>
        <v>V100003</v>
      </c>
      <c r="L706" s="40" t="str">
        <f>""</f>
        <v/>
      </c>
      <c r="M706" s="40" t="str">
        <f>"LogoMasters"</f>
        <v>LogoMasters</v>
      </c>
      <c r="N706" s="40" t="str">
        <f>""</f>
        <v/>
      </c>
      <c r="O706" s="41">
        <v>499.99999999999994</v>
      </c>
      <c r="P706" s="41">
        <v>0</v>
      </c>
      <c r="Q706" s="41">
        <v>0</v>
      </c>
      <c r="R706" s="41">
        <v>0</v>
      </c>
      <c r="S706" s="41">
        <v>0</v>
      </c>
      <c r="T706" s="41">
        <v>0</v>
      </c>
      <c r="U706" s="54"/>
    </row>
    <row r="707" spans="1:21" ht="17.25" customHeight="1" x14ac:dyDescent="0.3">
      <c r="A707" s="15" t="s">
        <v>29</v>
      </c>
      <c r="C707" s="19"/>
      <c r="D707" s="33" t="str">
        <f t="shared" ref="D707" si="604">D706</f>
        <v>S200019</v>
      </c>
      <c r="E707" s="33"/>
      <c r="F707" s="20"/>
      <c r="G707" s="20" t="str">
        <f>"""NAV"",""CRONUS JetCorp USA"",""32"",""1"",""153191"""</f>
        <v>"NAV","CRONUS JetCorp USA","32","1","153191"</v>
      </c>
      <c r="H707" s="39">
        <v>43469</v>
      </c>
      <c r="I707" s="40">
        <v>153191</v>
      </c>
      <c r="J707" s="40" t="str">
        <f>"Customer"</f>
        <v>Customer</v>
      </c>
      <c r="K707" s="40" t="str">
        <f>"C100136"</f>
        <v>C100136</v>
      </c>
      <c r="L707" s="40" t="str">
        <f>"First Bank"</f>
        <v>First Bank</v>
      </c>
      <c r="M707" s="40" t="str">
        <f>""</f>
        <v/>
      </c>
      <c r="N707" s="40" t="str">
        <f>""</f>
        <v/>
      </c>
      <c r="O707" s="41">
        <v>0</v>
      </c>
      <c r="P707" s="41">
        <v>-48</v>
      </c>
      <c r="Q707" s="41">
        <v>0</v>
      </c>
      <c r="R707" s="41">
        <v>0</v>
      </c>
      <c r="S707" s="41">
        <v>0</v>
      </c>
      <c r="T707" s="41">
        <v>0</v>
      </c>
      <c r="U707" s="54"/>
    </row>
    <row r="708" spans="1:21" ht="17.25" customHeight="1" x14ac:dyDescent="0.3">
      <c r="A708" s="15" t="s">
        <v>29</v>
      </c>
      <c r="C708" s="19"/>
      <c r="D708" s="33"/>
      <c r="E708" s="33"/>
      <c r="F708" s="20"/>
      <c r="G708" s="20"/>
      <c r="H708" s="20"/>
      <c r="I708" s="20"/>
      <c r="J708" s="20"/>
      <c r="K708" s="20"/>
      <c r="L708" s="20"/>
      <c r="M708" s="20"/>
      <c r="N708" s="20"/>
      <c r="O708" s="42"/>
      <c r="P708" s="42"/>
      <c r="Q708" s="42"/>
      <c r="R708" s="42"/>
      <c r="S708" s="42"/>
      <c r="T708" s="42"/>
      <c r="U708" s="55"/>
    </row>
    <row r="709" spans="1:21" ht="17.25" customHeight="1" x14ac:dyDescent="0.3">
      <c r="A709" s="15" t="s">
        <v>29</v>
      </c>
      <c r="C709" s="19"/>
      <c r="D709" s="33"/>
      <c r="E709" s="33" t="s">
        <v>30</v>
      </c>
      <c r="F709" s="20" t="s">
        <v>30</v>
      </c>
      <c r="G709" s="20" t="s">
        <v>30</v>
      </c>
      <c r="H709" s="20"/>
      <c r="I709" s="20"/>
      <c r="J709" s="20" t="s">
        <v>30</v>
      </c>
      <c r="K709" s="20" t="s">
        <v>30</v>
      </c>
      <c r="L709" s="20" t="s">
        <v>30</v>
      </c>
      <c r="M709" s="20" t="s">
        <v>30</v>
      </c>
      <c r="N709" s="20"/>
      <c r="U709" s="56"/>
    </row>
    <row r="710" spans="1:21" ht="20.25" customHeight="1" x14ac:dyDescent="0.35">
      <c r="A710" s="15" t="s">
        <v>29</v>
      </c>
      <c r="C710" s="19"/>
      <c r="D710" s="34" t="str">
        <f t="shared" ref="D710" si="605">E710</f>
        <v>S200020</v>
      </c>
      <c r="E710" s="35" t="str">
        <f>"S200020"</f>
        <v>S200020</v>
      </c>
      <c r="F710" s="36" t="str">
        <f>"10.75"" Tourch Riser Soccer Trophy"</f>
        <v>10.75" Tourch Riser Soccer Trophy</v>
      </c>
      <c r="G710" s="36"/>
      <c r="H710" s="37" t="str">
        <f>"EA"</f>
        <v>EA</v>
      </c>
      <c r="I710" s="36"/>
      <c r="J710" s="36"/>
      <c r="K710" s="36"/>
      <c r="L710" s="36"/>
      <c r="M710" s="36"/>
      <c r="N710" s="36"/>
      <c r="O710" s="38">
        <f t="shared" ref="O710:T710" si="606">(SUBTOTAL(9,O711:O712))</f>
        <v>0</v>
      </c>
      <c r="P710" s="38">
        <f t="shared" si="606"/>
        <v>-144</v>
      </c>
      <c r="Q710" s="38">
        <f t="shared" si="606"/>
        <v>0</v>
      </c>
      <c r="R710" s="38">
        <f t="shared" si="606"/>
        <v>0</v>
      </c>
      <c r="S710" s="38">
        <f t="shared" si="606"/>
        <v>0</v>
      </c>
      <c r="T710" s="38">
        <f t="shared" si="606"/>
        <v>0</v>
      </c>
      <c r="U710" s="53">
        <f t="shared" ref="U710" si="607">SUBTOTAL(9,O711:T712)</f>
        <v>-144</v>
      </c>
    </row>
    <row r="711" spans="1:21" ht="17.25" customHeight="1" x14ac:dyDescent="0.3">
      <c r="A711" s="15" t="s">
        <v>29</v>
      </c>
      <c r="C711" s="19"/>
      <c r="D711" s="33" t="str">
        <f t="shared" ref="D711" si="608">D710</f>
        <v>S200020</v>
      </c>
      <c r="E711" s="33"/>
      <c r="F711" s="20"/>
      <c r="G711" s="20" t="str">
        <f>"""NAV"",""CRONUS JetCorp USA"",""32"",""1"",""153188"""</f>
        <v>"NAV","CRONUS JetCorp USA","32","1","153188"</v>
      </c>
      <c r="H711" s="39">
        <v>43469</v>
      </c>
      <c r="I711" s="40">
        <v>153188</v>
      </c>
      <c r="J711" s="40" t="str">
        <f>"Customer"</f>
        <v>Customer</v>
      </c>
      <c r="K711" s="40" t="str">
        <f>"C100136"</f>
        <v>C100136</v>
      </c>
      <c r="L711" s="40" t="str">
        <f>"First Bank"</f>
        <v>First Bank</v>
      </c>
      <c r="M711" s="40" t="str">
        <f>""</f>
        <v/>
      </c>
      <c r="N711" s="40" t="str">
        <f>""</f>
        <v/>
      </c>
      <c r="O711" s="41">
        <v>0</v>
      </c>
      <c r="P711" s="41">
        <v>-144</v>
      </c>
      <c r="Q711" s="41">
        <v>0</v>
      </c>
      <c r="R711" s="41">
        <v>0</v>
      </c>
      <c r="S711" s="41">
        <v>0</v>
      </c>
      <c r="T711" s="41">
        <v>0</v>
      </c>
      <c r="U711" s="54"/>
    </row>
    <row r="712" spans="1:21" ht="17.25" customHeight="1" x14ac:dyDescent="0.3">
      <c r="A712" s="15" t="s">
        <v>29</v>
      </c>
      <c r="C712" s="19"/>
      <c r="D712" s="33"/>
      <c r="E712" s="33"/>
      <c r="F712" s="20"/>
      <c r="G712" s="20"/>
      <c r="H712" s="20"/>
      <c r="I712" s="20"/>
      <c r="J712" s="20"/>
      <c r="K712" s="20"/>
      <c r="L712" s="20"/>
      <c r="M712" s="20"/>
      <c r="N712" s="20"/>
      <c r="O712" s="42"/>
      <c r="P712" s="42"/>
      <c r="Q712" s="42"/>
      <c r="R712" s="42"/>
      <c r="S712" s="42"/>
      <c r="T712" s="42"/>
      <c r="U712" s="55"/>
    </row>
    <row r="713" spans="1:21" ht="17.25" customHeight="1" x14ac:dyDescent="0.3">
      <c r="A713" s="15" t="s">
        <v>29</v>
      </c>
      <c r="C713" s="19"/>
      <c r="D713" s="33"/>
      <c r="E713" s="33" t="s">
        <v>30</v>
      </c>
      <c r="F713" s="20" t="s">
        <v>30</v>
      </c>
      <c r="G713" s="20" t="s">
        <v>30</v>
      </c>
      <c r="H713" s="20"/>
      <c r="I713" s="20"/>
      <c r="J713" s="20" t="s">
        <v>30</v>
      </c>
      <c r="K713" s="20" t="s">
        <v>30</v>
      </c>
      <c r="L713" s="20" t="s">
        <v>30</v>
      </c>
      <c r="M713" s="20" t="s">
        <v>30</v>
      </c>
      <c r="N713" s="20"/>
      <c r="U713" s="56"/>
    </row>
    <row r="714" spans="1:21" ht="20.25" customHeight="1" x14ac:dyDescent="0.35">
      <c r="A714" s="15" t="s">
        <v>29</v>
      </c>
      <c r="C714" s="19"/>
      <c r="D714" s="34" t="str">
        <f t="shared" ref="D714" si="609">E714</f>
        <v>S200023</v>
      </c>
      <c r="E714" s="35" t="str">
        <f>"S200023"</f>
        <v>S200023</v>
      </c>
      <c r="F714" s="36" t="str">
        <f>"10.75"" Tourch Riser Volleyball Trophy"</f>
        <v>10.75" Tourch Riser Volleyball Trophy</v>
      </c>
      <c r="G714" s="36"/>
      <c r="H714" s="37" t="str">
        <f>"EA"</f>
        <v>EA</v>
      </c>
      <c r="I714" s="36"/>
      <c r="J714" s="36"/>
      <c r="K714" s="36"/>
      <c r="L714" s="36"/>
      <c r="M714" s="36"/>
      <c r="N714" s="36"/>
      <c r="O714" s="38">
        <f t="shared" ref="O714:T714" si="610">(SUBTOTAL(9,O715:O716))</f>
        <v>249.99999999999997</v>
      </c>
      <c r="P714" s="38">
        <f t="shared" si="610"/>
        <v>0</v>
      </c>
      <c r="Q714" s="38">
        <f t="shared" si="610"/>
        <v>0</v>
      </c>
      <c r="R714" s="38">
        <f t="shared" si="610"/>
        <v>0</v>
      </c>
      <c r="S714" s="38">
        <f t="shared" si="610"/>
        <v>0</v>
      </c>
      <c r="T714" s="38">
        <f t="shared" si="610"/>
        <v>0</v>
      </c>
      <c r="U714" s="53">
        <f t="shared" ref="U714" si="611">SUBTOTAL(9,O715:T716)</f>
        <v>249.99999999999997</v>
      </c>
    </row>
    <row r="715" spans="1:21" ht="17.25" customHeight="1" x14ac:dyDescent="0.3">
      <c r="A715" s="15" t="s">
        <v>29</v>
      </c>
      <c r="C715" s="19"/>
      <c r="D715" s="33" t="str">
        <f t="shared" ref="D715" si="612">D714</f>
        <v>S200023</v>
      </c>
      <c r="E715" s="33"/>
      <c r="F715" s="20"/>
      <c r="G715" s="20" t="str">
        <f>"""NAV"",""CRONUS JetCorp USA"",""32"",""1"",""169242"""</f>
        <v>"NAV","CRONUS JetCorp USA","32","1","169242"</v>
      </c>
      <c r="H715" s="39">
        <v>43466</v>
      </c>
      <c r="I715" s="40">
        <v>169242</v>
      </c>
      <c r="J715" s="40" t="str">
        <f>"Vendor"</f>
        <v>Vendor</v>
      </c>
      <c r="K715" s="40" t="str">
        <f>"V100003"</f>
        <v>V100003</v>
      </c>
      <c r="L715" s="40" t="str">
        <f>""</f>
        <v/>
      </c>
      <c r="M715" s="40" t="str">
        <f>"LogoMasters"</f>
        <v>LogoMasters</v>
      </c>
      <c r="N715" s="40" t="str">
        <f>""</f>
        <v/>
      </c>
      <c r="O715" s="41">
        <v>249.99999999999997</v>
      </c>
      <c r="P715" s="41">
        <v>0</v>
      </c>
      <c r="Q715" s="41">
        <v>0</v>
      </c>
      <c r="R715" s="41">
        <v>0</v>
      </c>
      <c r="S715" s="41">
        <v>0</v>
      </c>
      <c r="T715" s="41">
        <v>0</v>
      </c>
      <c r="U715" s="54"/>
    </row>
    <row r="716" spans="1:21" ht="17.25" customHeight="1" x14ac:dyDescent="0.3">
      <c r="A716" s="15" t="s">
        <v>29</v>
      </c>
      <c r="C716" s="19"/>
      <c r="D716" s="33"/>
      <c r="E716" s="33"/>
      <c r="F716" s="20"/>
      <c r="G716" s="20"/>
      <c r="H716" s="20"/>
      <c r="I716" s="20"/>
      <c r="J716" s="20"/>
      <c r="K716" s="20"/>
      <c r="L716" s="20"/>
      <c r="M716" s="20"/>
      <c r="N716" s="20"/>
      <c r="O716" s="42"/>
      <c r="P716" s="42"/>
      <c r="Q716" s="42"/>
      <c r="R716" s="42"/>
      <c r="S716" s="42"/>
      <c r="T716" s="42"/>
      <c r="U716" s="55"/>
    </row>
    <row r="717" spans="1:21" ht="17.25" customHeight="1" x14ac:dyDescent="0.3">
      <c r="A717" s="15" t="s">
        <v>29</v>
      </c>
      <c r="C717" s="19"/>
      <c r="D717" s="33"/>
      <c r="E717" s="33" t="s">
        <v>30</v>
      </c>
      <c r="F717" s="20" t="s">
        <v>30</v>
      </c>
      <c r="G717" s="20" t="s">
        <v>30</v>
      </c>
      <c r="H717" s="20"/>
      <c r="I717" s="20"/>
      <c r="J717" s="20" t="s">
        <v>30</v>
      </c>
      <c r="K717" s="20" t="s">
        <v>30</v>
      </c>
      <c r="L717" s="20" t="s">
        <v>30</v>
      </c>
      <c r="M717" s="20" t="s">
        <v>30</v>
      </c>
      <c r="N717" s="20"/>
      <c r="U717" s="56"/>
    </row>
    <row r="718" spans="1:21" ht="20.25" customHeight="1" x14ac:dyDescent="0.35">
      <c r="A718" s="15" t="s">
        <v>29</v>
      </c>
      <c r="C718" s="19"/>
      <c r="D718" s="34" t="str">
        <f t="shared" ref="D718" si="613">E718</f>
        <v>S200024</v>
      </c>
      <c r="E718" s="35" t="str">
        <f>"S200024"</f>
        <v>S200024</v>
      </c>
      <c r="F718" s="36" t="str">
        <f>"10.75"" Tourch Riser Wrestling Trophy"</f>
        <v>10.75" Tourch Riser Wrestling Trophy</v>
      </c>
      <c r="G718" s="36"/>
      <c r="H718" s="37" t="str">
        <f>"EA"</f>
        <v>EA</v>
      </c>
      <c r="I718" s="36"/>
      <c r="J718" s="36"/>
      <c r="K718" s="36"/>
      <c r="L718" s="36"/>
      <c r="M718" s="36"/>
      <c r="N718" s="36"/>
      <c r="O718" s="38">
        <f t="shared" ref="O718:T718" si="614">(SUBTOTAL(9,O719:O720))</f>
        <v>750</v>
      </c>
      <c r="P718" s="38">
        <f t="shared" si="614"/>
        <v>0</v>
      </c>
      <c r="Q718" s="38">
        <f t="shared" si="614"/>
        <v>0</v>
      </c>
      <c r="R718" s="38">
        <f t="shared" si="614"/>
        <v>0</v>
      </c>
      <c r="S718" s="38">
        <f t="shared" si="614"/>
        <v>0</v>
      </c>
      <c r="T718" s="38">
        <f t="shared" si="614"/>
        <v>0</v>
      </c>
      <c r="U718" s="53">
        <f t="shared" ref="U718" si="615">SUBTOTAL(9,O719:T720)</f>
        <v>750</v>
      </c>
    </row>
    <row r="719" spans="1:21" ht="17.25" customHeight="1" x14ac:dyDescent="0.3">
      <c r="A719" s="15" t="s">
        <v>29</v>
      </c>
      <c r="C719" s="19"/>
      <c r="D719" s="33" t="str">
        <f t="shared" ref="D719" si="616">D718</f>
        <v>S200024</v>
      </c>
      <c r="E719" s="33"/>
      <c r="F719" s="20"/>
      <c r="G719" s="20" t="str">
        <f>"""NAV"",""CRONUS JetCorp USA"",""32"",""1"",""169241"""</f>
        <v>"NAV","CRONUS JetCorp USA","32","1","169241"</v>
      </c>
      <c r="H719" s="39">
        <v>43466</v>
      </c>
      <c r="I719" s="40">
        <v>169241</v>
      </c>
      <c r="J719" s="40" t="str">
        <f>"Vendor"</f>
        <v>Vendor</v>
      </c>
      <c r="K719" s="40" t="str">
        <f>"V100003"</f>
        <v>V100003</v>
      </c>
      <c r="L719" s="40" t="str">
        <f>""</f>
        <v/>
      </c>
      <c r="M719" s="40" t="str">
        <f>"LogoMasters"</f>
        <v>LogoMasters</v>
      </c>
      <c r="N719" s="40" t="str">
        <f>""</f>
        <v/>
      </c>
      <c r="O719" s="41">
        <v>750</v>
      </c>
      <c r="P719" s="41">
        <v>0</v>
      </c>
      <c r="Q719" s="41">
        <v>0</v>
      </c>
      <c r="R719" s="41">
        <v>0</v>
      </c>
      <c r="S719" s="41">
        <v>0</v>
      </c>
      <c r="T719" s="41">
        <v>0</v>
      </c>
      <c r="U719" s="54"/>
    </row>
    <row r="720" spans="1:21" ht="17.25" customHeight="1" x14ac:dyDescent="0.3">
      <c r="A720" s="15" t="s">
        <v>29</v>
      </c>
      <c r="C720" s="19"/>
      <c r="D720" s="33"/>
      <c r="E720" s="33"/>
      <c r="F720" s="20"/>
      <c r="G720" s="20"/>
      <c r="H720" s="20"/>
      <c r="I720" s="20"/>
      <c r="J720" s="20"/>
      <c r="K720" s="20"/>
      <c r="L720" s="20"/>
      <c r="M720" s="20"/>
      <c r="N720" s="20"/>
      <c r="O720" s="42"/>
      <c r="P720" s="42"/>
      <c r="Q720" s="42"/>
      <c r="R720" s="42"/>
      <c r="S720" s="42"/>
      <c r="T720" s="42"/>
      <c r="U720" s="55"/>
    </row>
    <row r="721" spans="1:21" ht="17.25" customHeight="1" x14ac:dyDescent="0.3">
      <c r="A721" s="15" t="s">
        <v>29</v>
      </c>
      <c r="C721" s="19"/>
      <c r="D721" s="33"/>
      <c r="E721" s="33" t="s">
        <v>30</v>
      </c>
      <c r="F721" s="20" t="s">
        <v>30</v>
      </c>
      <c r="G721" s="20" t="s">
        <v>30</v>
      </c>
      <c r="H721" s="20"/>
      <c r="I721" s="20"/>
      <c r="J721" s="20" t="s">
        <v>30</v>
      </c>
      <c r="K721" s="20" t="s">
        <v>30</v>
      </c>
      <c r="L721" s="20" t="s">
        <v>30</v>
      </c>
      <c r="M721" s="20" t="s">
        <v>30</v>
      </c>
      <c r="N721" s="20"/>
      <c r="U721" s="56"/>
    </row>
    <row r="722" spans="1:21" ht="20.25" customHeight="1" x14ac:dyDescent="0.35">
      <c r="A722" s="15" t="s">
        <v>29</v>
      </c>
      <c r="C722" s="19"/>
      <c r="D722" s="34" t="str">
        <f t="shared" ref="D722" si="617">E722</f>
        <v>S200030</v>
      </c>
      <c r="E722" s="35" t="str">
        <f>"S200030"</f>
        <v>S200030</v>
      </c>
      <c r="F722" s="36" t="str">
        <f>"10.75"" Column Volleyball Trophy"</f>
        <v>10.75" Column Volleyball Trophy</v>
      </c>
      <c r="G722" s="36"/>
      <c r="H722" s="37" t="str">
        <f>"EA"</f>
        <v>EA</v>
      </c>
      <c r="I722" s="36"/>
      <c r="J722" s="36"/>
      <c r="K722" s="36"/>
      <c r="L722" s="36"/>
      <c r="M722" s="36"/>
      <c r="N722" s="36"/>
      <c r="O722" s="38">
        <f t="shared" ref="O722:T722" si="618">(SUBTOTAL(9,O723:O724))</f>
        <v>0</v>
      </c>
      <c r="P722" s="38">
        <f t="shared" si="618"/>
        <v>-1</v>
      </c>
      <c r="Q722" s="38">
        <f t="shared" si="618"/>
        <v>0</v>
      </c>
      <c r="R722" s="38">
        <f t="shared" si="618"/>
        <v>0</v>
      </c>
      <c r="S722" s="38">
        <f t="shared" si="618"/>
        <v>0</v>
      </c>
      <c r="T722" s="38">
        <f t="shared" si="618"/>
        <v>0</v>
      </c>
      <c r="U722" s="53">
        <f t="shared" ref="U722" si="619">SUBTOTAL(9,O723:T724)</f>
        <v>-1</v>
      </c>
    </row>
    <row r="723" spans="1:21" ht="17.25" customHeight="1" x14ac:dyDescent="0.3">
      <c r="A723" s="15" t="s">
        <v>29</v>
      </c>
      <c r="C723" s="19"/>
      <c r="D723" s="33" t="str">
        <f t="shared" ref="D723" si="620">D722</f>
        <v>S200030</v>
      </c>
      <c r="E723" s="33"/>
      <c r="F723" s="20"/>
      <c r="G723" s="20" t="str">
        <f>"""NAV"",""CRONUS JetCorp USA"",""32"",""1"",""153174"""</f>
        <v>"NAV","CRONUS JetCorp USA","32","1","153174"</v>
      </c>
      <c r="H723" s="39">
        <v>43470</v>
      </c>
      <c r="I723" s="40">
        <v>153174</v>
      </c>
      <c r="J723" s="40" t="str">
        <f>"Customer"</f>
        <v>Customer</v>
      </c>
      <c r="K723" s="40" t="str">
        <f>"C100136"</f>
        <v>C100136</v>
      </c>
      <c r="L723" s="40" t="str">
        <f>"First Bank"</f>
        <v>First Bank</v>
      </c>
      <c r="M723" s="40" t="str">
        <f>""</f>
        <v/>
      </c>
      <c r="N723" s="40" t="str">
        <f>""</f>
        <v/>
      </c>
      <c r="O723" s="41">
        <v>0</v>
      </c>
      <c r="P723" s="41">
        <v>-1</v>
      </c>
      <c r="Q723" s="41">
        <v>0</v>
      </c>
      <c r="R723" s="41">
        <v>0</v>
      </c>
      <c r="S723" s="41">
        <v>0</v>
      </c>
      <c r="T723" s="41">
        <v>0</v>
      </c>
      <c r="U723" s="54"/>
    </row>
    <row r="724" spans="1:21" ht="17.25" customHeight="1" x14ac:dyDescent="0.3">
      <c r="A724" s="15" t="s">
        <v>29</v>
      </c>
      <c r="C724" s="19"/>
      <c r="D724" s="33"/>
      <c r="E724" s="33"/>
      <c r="F724" s="20"/>
      <c r="G724" s="20"/>
      <c r="H724" s="20"/>
      <c r="I724" s="20"/>
      <c r="J724" s="20"/>
      <c r="K724" s="20"/>
      <c r="L724" s="20"/>
      <c r="M724" s="20"/>
      <c r="N724" s="20"/>
      <c r="O724" s="42"/>
      <c r="P724" s="42"/>
      <c r="Q724" s="42"/>
      <c r="R724" s="42"/>
      <c r="S724" s="42"/>
      <c r="T724" s="42"/>
      <c r="U724" s="55"/>
    </row>
    <row r="725" spans="1:21" ht="17.25" customHeight="1" x14ac:dyDescent="0.3">
      <c r="A725" s="15" t="s">
        <v>29</v>
      </c>
      <c r="C725" s="19"/>
      <c r="D725" s="33"/>
      <c r="E725" s="33" t="s">
        <v>30</v>
      </c>
      <c r="F725" s="20" t="s">
        <v>30</v>
      </c>
      <c r="G725" s="20" t="s">
        <v>30</v>
      </c>
      <c r="H725" s="20"/>
      <c r="I725" s="20"/>
      <c r="J725" s="20" t="s">
        <v>30</v>
      </c>
      <c r="K725" s="20" t="s">
        <v>30</v>
      </c>
      <c r="L725" s="20" t="s">
        <v>30</v>
      </c>
      <c r="M725" s="20" t="s">
        <v>30</v>
      </c>
      <c r="N725" s="20"/>
      <c r="U725" s="56"/>
    </row>
    <row r="726" spans="1:21" ht="17.25" customHeight="1" x14ac:dyDescent="0.3">
      <c r="A726" s="15"/>
      <c r="C726" s="19"/>
      <c r="D726" s="33"/>
      <c r="E726" s="33"/>
      <c r="F726" s="20"/>
      <c r="G726" s="20"/>
      <c r="H726" s="20"/>
      <c r="I726" s="20"/>
      <c r="J726" s="20"/>
      <c r="K726" s="20"/>
      <c r="L726" s="20"/>
      <c r="M726" s="20"/>
      <c r="N726" s="20"/>
      <c r="O726" s="42"/>
      <c r="P726" s="42"/>
      <c r="Q726" s="42"/>
      <c r="R726" s="42"/>
      <c r="S726" s="42"/>
      <c r="T726" s="42"/>
      <c r="U726" s="55"/>
    </row>
    <row r="727" spans="1:21" ht="20.25" customHeight="1" thickBot="1" x14ac:dyDescent="0.4">
      <c r="A727" s="15"/>
      <c r="C727" s="19"/>
      <c r="D727" s="33"/>
      <c r="E727" s="33"/>
      <c r="F727" s="20"/>
      <c r="G727" s="20"/>
      <c r="H727" s="20"/>
      <c r="I727" s="20"/>
      <c r="J727" s="20"/>
      <c r="K727" s="20"/>
      <c r="L727" s="20"/>
      <c r="M727" s="20"/>
      <c r="N727" s="58" t="s">
        <v>31</v>
      </c>
      <c r="O727" s="59">
        <f t="shared" ref="O727:T727" si="621">SUBTOTAL(9,O13:O726)</f>
        <v>98300</v>
      </c>
      <c r="P727" s="59">
        <f t="shared" si="621"/>
        <v>-16336</v>
      </c>
      <c r="Q727" s="59">
        <f t="shared" si="621"/>
        <v>0</v>
      </c>
      <c r="R727" s="59">
        <f t="shared" si="621"/>
        <v>0</v>
      </c>
      <c r="S727" s="59">
        <f t="shared" si="621"/>
        <v>0</v>
      </c>
      <c r="T727" s="59">
        <f t="shared" si="621"/>
        <v>0</v>
      </c>
      <c r="U727" s="60">
        <f>SUM(U12:U726)</f>
        <v>81964</v>
      </c>
    </row>
    <row r="728" spans="1:21" ht="17.25" customHeight="1" x14ac:dyDescent="0.3">
      <c r="A728" s="15"/>
      <c r="C728" s="19"/>
      <c r="D728" s="33"/>
      <c r="E728" s="33"/>
      <c r="F728" s="20"/>
      <c r="G728" s="20"/>
      <c r="H728" s="20"/>
      <c r="I728" s="20"/>
      <c r="J728" s="20"/>
      <c r="K728" s="20"/>
      <c r="L728" s="20"/>
      <c r="M728" s="20"/>
      <c r="N728" s="20"/>
      <c r="O728" s="42"/>
      <c r="P728" s="42"/>
      <c r="Q728" s="42"/>
      <c r="R728" s="42"/>
      <c r="S728" s="42"/>
      <c r="T728" s="42"/>
      <c r="U728" s="55"/>
    </row>
    <row r="729" spans="1:21" ht="17.25" customHeight="1" x14ac:dyDescent="0.3">
      <c r="A729" s="15"/>
      <c r="C729" s="19"/>
      <c r="D729" s="43"/>
      <c r="E729" s="43"/>
      <c r="F729" s="44"/>
      <c r="G729" s="44"/>
      <c r="H729" s="44"/>
      <c r="I729" s="44"/>
      <c r="J729" s="44"/>
      <c r="K729" s="44"/>
      <c r="L729" s="44"/>
      <c r="M729" s="44"/>
      <c r="N729" s="45"/>
      <c r="O729" s="46"/>
      <c r="P729" s="46"/>
      <c r="Q729" s="46"/>
      <c r="R729" s="46"/>
      <c r="S729" s="46"/>
      <c r="T729" s="46"/>
      <c r="U729" s="57"/>
    </row>
    <row r="730" spans="1:21" ht="17.25" customHeight="1" x14ac:dyDescent="0.3">
      <c r="A730" s="15"/>
      <c r="C730" s="19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</row>
    <row r="731" spans="1:21" ht="17.25" customHeight="1" x14ac:dyDescent="0.3">
      <c r="A731" s="15"/>
      <c r="C731" s="19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</row>
    <row r="732" spans="1:21" ht="17.25" customHeight="1" x14ac:dyDescent="0.3">
      <c r="A732" s="15"/>
      <c r="C732" s="19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</row>
    <row r="733" spans="1:21" ht="17.25" customHeight="1" x14ac:dyDescent="0.3">
      <c r="A733" s="15"/>
      <c r="C733" s="19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</row>
    <row r="734" spans="1:21" ht="17.25" customHeight="1" x14ac:dyDescent="0.3">
      <c r="A734" s="15"/>
      <c r="C734" s="19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</row>
    <row r="735" spans="1:21" ht="17.25" customHeight="1" x14ac:dyDescent="0.3">
      <c r="A735" s="15"/>
      <c r="C735" s="19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</row>
    <row r="736" spans="1:21" ht="17.25" customHeight="1" x14ac:dyDescent="0.3">
      <c r="A736" s="15"/>
      <c r="C736" s="19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</row>
    <row r="737" spans="1:21" ht="17.25" customHeight="1" x14ac:dyDescent="0.3">
      <c r="A737" s="15"/>
      <c r="C737" s="19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</row>
    <row r="738" spans="1:21" ht="17.25" customHeight="1" x14ac:dyDescent="0.3">
      <c r="A738" s="15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</row>
    <row r="739" spans="1:21" ht="17.25" customHeight="1" x14ac:dyDescent="0.3">
      <c r="A739" s="15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</row>
    <row r="740" spans="1:21" ht="14.25" customHeight="1" x14ac:dyDescent="0.25">
      <c r="A740" s="15"/>
    </row>
    <row r="741" spans="1:21" ht="14.25" customHeight="1" x14ac:dyDescent="0.25">
      <c r="A741" s="15"/>
    </row>
    <row r="742" spans="1:21" ht="14.25" customHeight="1" x14ac:dyDescent="0.25">
      <c r="A742" s="15"/>
    </row>
    <row r="743" spans="1:21" ht="14.25" customHeight="1" x14ac:dyDescent="0.25">
      <c r="A743" s="15"/>
    </row>
    <row r="744" spans="1:21" ht="14.25" customHeight="1" x14ac:dyDescent="0.25">
      <c r="A744" s="15"/>
    </row>
    <row r="745" spans="1:21" ht="14.25" customHeight="1" x14ac:dyDescent="0.25">
      <c r="A745" s="15"/>
    </row>
    <row r="746" spans="1:21" ht="14.25" customHeight="1" x14ac:dyDescent="0.25">
      <c r="A746" s="15"/>
    </row>
    <row r="747" spans="1:21" ht="14.25" customHeight="1" x14ac:dyDescent="0.25">
      <c r="A747" s="15"/>
    </row>
    <row r="748" spans="1:21" ht="14.25" customHeight="1" x14ac:dyDescent="0.25">
      <c r="A748" s="15"/>
    </row>
    <row r="749" spans="1:21" ht="14.25" customHeight="1" x14ac:dyDescent="0.25">
      <c r="A749" s="15"/>
    </row>
  </sheetData>
  <mergeCells count="1">
    <mergeCell ref="E3:F3"/>
  </mergeCells>
  <pageMargins left="0.25" right="0.25" top="0.75" bottom="0.75" header="0.3" footer="0.3"/>
  <pageSetup scale="2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5"/>
    <pageSetUpPr fitToPage="1"/>
  </sheetPr>
  <dimension ref="A1:U603"/>
  <sheetViews>
    <sheetView showGridLines="0" zoomScale="75" workbookViewId="0">
      <pane ySplit="10" topLeftCell="A11" activePane="bottomLeft" state="frozen"/>
      <selection pane="bottomLeft"/>
    </sheetView>
  </sheetViews>
  <sheetFormatPr defaultRowHeight="14.25" customHeight="1" x14ac:dyDescent="0.25"/>
  <cols>
    <col min="1" max="1" width="9.140625" style="1" hidden="1" customWidth="1"/>
    <col min="2" max="3" width="2.85546875" style="1" bestFit="1" customWidth="1"/>
    <col min="4" max="4" width="11.140625" style="1" hidden="1" customWidth="1"/>
    <col min="5" max="5" width="19.5703125" style="1" bestFit="1" customWidth="1"/>
    <col min="6" max="6" width="48" style="1" bestFit="1" customWidth="1"/>
    <col min="7" max="7" width="43" style="1" hidden="1" customWidth="1"/>
    <col min="8" max="8" width="14.7109375" style="1" bestFit="1" customWidth="1"/>
    <col min="9" max="9" width="17.42578125" style="1" customWidth="1"/>
    <col min="10" max="10" width="14.42578125" style="1" bestFit="1" customWidth="1"/>
    <col min="11" max="11" width="20.85546875" style="1" bestFit="1" customWidth="1"/>
    <col min="12" max="12" width="35.140625" style="1" bestFit="1" customWidth="1"/>
    <col min="13" max="13" width="13.85546875" style="1" bestFit="1" customWidth="1"/>
    <col min="14" max="14" width="26.7109375" style="1" customWidth="1"/>
    <col min="15" max="15" width="15" style="1" bestFit="1" customWidth="1"/>
    <col min="16" max="16" width="10.85546875" style="1" bestFit="1" customWidth="1"/>
    <col min="17" max="17" width="24.7109375" style="1" bestFit="1" customWidth="1"/>
    <col min="18" max="18" width="14.28515625" style="1" bestFit="1" customWidth="1"/>
    <col min="19" max="19" width="19.85546875" style="1" bestFit="1" customWidth="1"/>
    <col min="20" max="20" width="8.7109375" style="1" bestFit="1" customWidth="1"/>
    <col min="21" max="21" width="26" style="1" bestFit="1" customWidth="1"/>
    <col min="22" max="16384" width="9.140625" style="1"/>
  </cols>
  <sheetData>
    <row r="1" spans="1:21" ht="14.25" hidden="1" customHeight="1" x14ac:dyDescent="0.25">
      <c r="A1" s="15" t="s">
        <v>10892</v>
      </c>
      <c r="B1" s="15" t="s">
        <v>8</v>
      </c>
      <c r="C1" s="15" t="s">
        <v>8</v>
      </c>
      <c r="D1" s="15" t="s">
        <v>9</v>
      </c>
      <c r="E1" s="15" t="s">
        <v>8</v>
      </c>
      <c r="F1" s="15" t="s">
        <v>8</v>
      </c>
      <c r="G1" s="15" t="s">
        <v>9</v>
      </c>
      <c r="H1" s="15" t="s">
        <v>8</v>
      </c>
      <c r="I1" s="15"/>
      <c r="J1" s="15" t="s">
        <v>8</v>
      </c>
      <c r="K1" s="15" t="s">
        <v>8</v>
      </c>
      <c r="L1" s="15" t="s">
        <v>8</v>
      </c>
      <c r="M1" s="15" t="s">
        <v>8</v>
      </c>
      <c r="N1" s="15"/>
      <c r="O1" s="15" t="s">
        <v>8</v>
      </c>
      <c r="P1" s="15" t="s">
        <v>8</v>
      </c>
      <c r="Q1" s="15" t="s">
        <v>8</v>
      </c>
      <c r="R1" s="15" t="s">
        <v>8</v>
      </c>
      <c r="S1" s="15" t="s">
        <v>8</v>
      </c>
      <c r="T1" s="15" t="s">
        <v>8</v>
      </c>
      <c r="U1" s="15" t="s">
        <v>8</v>
      </c>
    </row>
    <row r="2" spans="1:21" ht="14.25" customHeight="1" x14ac:dyDescent="0.25">
      <c r="A2" s="15"/>
    </row>
    <row r="3" spans="1:21" ht="30.75" customHeight="1" x14ac:dyDescent="0.55000000000000004">
      <c r="A3" s="15"/>
      <c r="D3" s="16"/>
      <c r="E3" s="63" t="s">
        <v>10</v>
      </c>
      <c r="F3" s="63"/>
      <c r="G3" s="17"/>
      <c r="H3" s="17"/>
      <c r="I3" s="17"/>
      <c r="J3" s="17"/>
      <c r="K3" s="17"/>
      <c r="L3" s="17"/>
      <c r="O3" s="16"/>
    </row>
    <row r="4" spans="1:21" ht="24.95" customHeight="1" x14ac:dyDescent="0.3">
      <c r="A4" s="15"/>
      <c r="K4" s="50" t="s">
        <v>2043</v>
      </c>
      <c r="L4" s="49">
        <v>45173.575555555559</v>
      </c>
    </row>
    <row r="5" spans="1:21" ht="24.95" customHeight="1" x14ac:dyDescent="0.45">
      <c r="A5" s="15"/>
      <c r="E5" s="21" t="s">
        <v>7</v>
      </c>
      <c r="F5" s="18"/>
      <c r="K5" s="51" t="s">
        <v>5</v>
      </c>
      <c r="L5" s="48" t="str">
        <f>Options!C4</f>
        <v>1/1/2019..10/1/2019</v>
      </c>
    </row>
    <row r="6" spans="1:21" ht="24.95" customHeight="1" x14ac:dyDescent="0.45">
      <c r="A6" s="15"/>
      <c r="E6" s="21" t="str">
        <f>"NY-WHSE1"</f>
        <v>NY-WHSE1</v>
      </c>
      <c r="K6" s="51" t="s">
        <v>6</v>
      </c>
      <c r="L6" s="48" t="str">
        <f>Options!C5</f>
        <v>*</v>
      </c>
    </row>
    <row r="7" spans="1:21" ht="21" customHeight="1" x14ac:dyDescent="0.3">
      <c r="A7" s="15"/>
      <c r="C7" s="19"/>
      <c r="D7" s="19"/>
      <c r="E7" s="19"/>
      <c r="F7" s="19"/>
      <c r="G7" s="19"/>
      <c r="H7" s="20"/>
      <c r="I7" s="20"/>
      <c r="J7" s="19"/>
      <c r="K7" s="51" t="s">
        <v>11</v>
      </c>
      <c r="L7" s="48" t="str">
        <f>Options!C6</f>
        <v>NY-WHSE1..NY-WHSE3</v>
      </c>
      <c r="M7" s="19"/>
      <c r="P7" s="20"/>
      <c r="Q7" s="19"/>
      <c r="R7" s="19"/>
      <c r="S7" s="19"/>
      <c r="T7" s="19"/>
      <c r="U7" s="19"/>
    </row>
    <row r="8" spans="1:21" ht="26.25" customHeight="1" x14ac:dyDescent="0.45">
      <c r="A8" s="15"/>
      <c r="C8" s="19"/>
      <c r="D8" s="20"/>
      <c r="E8" s="21"/>
      <c r="F8" s="20"/>
      <c r="G8" s="20"/>
      <c r="H8" s="20"/>
      <c r="I8" s="20"/>
      <c r="J8" s="20"/>
      <c r="K8" s="20"/>
      <c r="L8" s="20"/>
      <c r="M8" s="22"/>
      <c r="N8" s="20"/>
      <c r="O8" s="20"/>
      <c r="P8" s="20"/>
      <c r="Q8" s="20"/>
      <c r="R8" s="20"/>
      <c r="S8" s="20"/>
      <c r="T8" s="20"/>
      <c r="U8" s="20"/>
    </row>
    <row r="9" spans="1:21" ht="20.100000000000001" customHeight="1" x14ac:dyDescent="0.35">
      <c r="A9" s="15"/>
      <c r="C9" s="19"/>
      <c r="D9" s="23"/>
      <c r="E9" s="24" t="s">
        <v>6</v>
      </c>
      <c r="F9" s="25" t="s">
        <v>14</v>
      </c>
      <c r="G9" s="25"/>
      <c r="H9" s="26" t="s">
        <v>15</v>
      </c>
      <c r="I9" s="25"/>
      <c r="J9" s="25"/>
      <c r="K9" s="25"/>
      <c r="L9" s="25"/>
      <c r="M9" s="25"/>
      <c r="N9" s="25"/>
      <c r="O9" s="26"/>
      <c r="P9" s="27"/>
      <c r="Q9" s="28"/>
      <c r="R9" s="28"/>
      <c r="S9" s="28"/>
      <c r="T9" s="28"/>
      <c r="U9" s="61"/>
    </row>
    <row r="10" spans="1:21" ht="20.100000000000001" customHeight="1" x14ac:dyDescent="0.35">
      <c r="A10" s="15"/>
      <c r="C10" s="19"/>
      <c r="D10" s="23"/>
      <c r="E10" s="24"/>
      <c r="F10" s="25"/>
      <c r="G10" s="25"/>
      <c r="H10" s="30" t="s">
        <v>16</v>
      </c>
      <c r="I10" s="30" t="s">
        <v>17</v>
      </c>
      <c r="J10" s="30" t="s">
        <v>18</v>
      </c>
      <c r="K10" s="30" t="s">
        <v>19</v>
      </c>
      <c r="L10" s="30" t="s">
        <v>20</v>
      </c>
      <c r="M10" s="30" t="s">
        <v>21</v>
      </c>
      <c r="N10" s="30" t="s">
        <v>13</v>
      </c>
      <c r="O10" s="31" t="s">
        <v>22</v>
      </c>
      <c r="P10" s="31" t="s">
        <v>23</v>
      </c>
      <c r="Q10" s="31" t="s">
        <v>24</v>
      </c>
      <c r="R10" s="31" t="s">
        <v>25</v>
      </c>
      <c r="S10" s="31" t="s">
        <v>26</v>
      </c>
      <c r="T10" s="31" t="s">
        <v>27</v>
      </c>
      <c r="U10" s="62" t="s">
        <v>28</v>
      </c>
    </row>
    <row r="11" spans="1:21" ht="17.25" customHeight="1" x14ac:dyDescent="0.3">
      <c r="A11" s="15"/>
      <c r="C11" s="19"/>
      <c r="D11" s="33"/>
      <c r="E11" s="33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52"/>
    </row>
    <row r="12" spans="1:21" ht="20.25" customHeight="1" x14ac:dyDescent="0.35">
      <c r="A12" s="15"/>
      <c r="C12" s="19"/>
      <c r="D12" s="34" t="str">
        <f>E12</f>
        <v>C100002</v>
      </c>
      <c r="E12" s="35" t="str">
        <f>"C100002"</f>
        <v>C100002</v>
      </c>
      <c r="F12" s="36" t="str">
        <f>"Border Style"</f>
        <v>Border Style</v>
      </c>
      <c r="G12" s="36"/>
      <c r="H12" s="37" t="str">
        <f>"EA"</f>
        <v>EA</v>
      </c>
      <c r="I12" s="36"/>
      <c r="J12" s="36"/>
      <c r="K12" s="36"/>
      <c r="L12" s="36"/>
      <c r="M12" s="36"/>
      <c r="N12" s="36"/>
      <c r="O12" s="38">
        <f t="shared" ref="O12:T12" si="0">(SUBTOTAL(9,O13:O15))</f>
        <v>200</v>
      </c>
      <c r="P12" s="38">
        <f t="shared" si="0"/>
        <v>-1</v>
      </c>
      <c r="Q12" s="38">
        <f t="shared" si="0"/>
        <v>0</v>
      </c>
      <c r="R12" s="38">
        <f t="shared" si="0"/>
        <v>0</v>
      </c>
      <c r="S12" s="38">
        <f t="shared" si="0"/>
        <v>0</v>
      </c>
      <c r="T12" s="38">
        <f t="shared" si="0"/>
        <v>0</v>
      </c>
      <c r="U12" s="53">
        <f>SUBTOTAL(9,O13:T15)</f>
        <v>199</v>
      </c>
    </row>
    <row r="13" spans="1:21" ht="17.25" customHeight="1" x14ac:dyDescent="0.3">
      <c r="A13" s="15"/>
      <c r="C13" s="19"/>
      <c r="D13" s="33" t="str">
        <f>D12</f>
        <v>C100002</v>
      </c>
      <c r="E13" s="33"/>
      <c r="F13" s="20"/>
      <c r="G13" s="20" t="str">
        <f>"""NAV"",""CRONUS JetCorp USA"",""32"",""1"",""166419"""</f>
        <v>"NAV","CRONUS JetCorp USA","32","1","166419"</v>
      </c>
      <c r="H13" s="39">
        <v>43466</v>
      </c>
      <c r="I13" s="40">
        <v>166419</v>
      </c>
      <c r="J13" s="40" t="str">
        <f>"Vendor"</f>
        <v>Vendor</v>
      </c>
      <c r="K13" s="40" t="str">
        <f>"V100003"</f>
        <v>V100003</v>
      </c>
      <c r="L13" s="40" t="str">
        <f>""</f>
        <v/>
      </c>
      <c r="M13" s="40" t="str">
        <f>"LogoMasters"</f>
        <v>LogoMasters</v>
      </c>
      <c r="N13" s="40" t="str">
        <f>""</f>
        <v/>
      </c>
      <c r="O13" s="41">
        <v>200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54"/>
    </row>
    <row r="14" spans="1:21" ht="17.25" customHeight="1" x14ac:dyDescent="0.3">
      <c r="A14" s="15" t="s">
        <v>29</v>
      </c>
      <c r="C14" s="19"/>
      <c r="D14" s="33" t="str">
        <f>D13</f>
        <v>C100002</v>
      </c>
      <c r="E14" s="33"/>
      <c r="F14" s="20"/>
      <c r="G14" s="20" t="str">
        <f>"""NAV"",""CRONUS JetCorp USA"",""32"",""1"",""7561"""</f>
        <v>"NAV","CRONUS JetCorp USA","32","1","7561"</v>
      </c>
      <c r="H14" s="39">
        <v>43469</v>
      </c>
      <c r="I14" s="40">
        <v>7561</v>
      </c>
      <c r="J14" s="40" t="str">
        <f>"Customer"</f>
        <v>Customer</v>
      </c>
      <c r="K14" s="40" t="str">
        <f>"C100030"</f>
        <v>C100030</v>
      </c>
      <c r="L14" s="40" t="str">
        <f>"Stutringers"</f>
        <v>Stutringers</v>
      </c>
      <c r="M14" s="40" t="str">
        <f>""</f>
        <v/>
      </c>
      <c r="N14" s="40" t="str">
        <f>""</f>
        <v/>
      </c>
      <c r="O14" s="41">
        <v>0</v>
      </c>
      <c r="P14" s="41">
        <v>-1</v>
      </c>
      <c r="Q14" s="41">
        <v>0</v>
      </c>
      <c r="R14" s="41">
        <v>0</v>
      </c>
      <c r="S14" s="41">
        <v>0</v>
      </c>
      <c r="T14" s="41">
        <v>0</v>
      </c>
      <c r="U14" s="54"/>
    </row>
    <row r="15" spans="1:21" ht="17.25" customHeight="1" x14ac:dyDescent="0.3">
      <c r="A15" s="15"/>
      <c r="C15" s="19"/>
      <c r="D15" s="33"/>
      <c r="E15" s="33"/>
      <c r="F15" s="20"/>
      <c r="G15" s="20"/>
      <c r="H15" s="20"/>
      <c r="I15" s="20"/>
      <c r="J15" s="20"/>
      <c r="K15" s="20"/>
      <c r="L15" s="20"/>
      <c r="M15" s="20"/>
      <c r="N15" s="20"/>
      <c r="O15" s="42"/>
      <c r="P15" s="42"/>
      <c r="Q15" s="42"/>
      <c r="R15" s="42"/>
      <c r="S15" s="42"/>
      <c r="T15" s="42"/>
      <c r="U15" s="55"/>
    </row>
    <row r="16" spans="1:21" ht="17.25" customHeight="1" x14ac:dyDescent="0.3">
      <c r="A16" s="15"/>
      <c r="C16" s="19"/>
      <c r="D16" s="33"/>
      <c r="E16" s="33" t="s">
        <v>30</v>
      </c>
      <c r="F16" s="20" t="s">
        <v>30</v>
      </c>
      <c r="G16" s="20" t="s">
        <v>30</v>
      </c>
      <c r="H16" s="20"/>
      <c r="I16" s="20"/>
      <c r="J16" s="20" t="s">
        <v>30</v>
      </c>
      <c r="K16" s="20" t="s">
        <v>30</v>
      </c>
      <c r="L16" s="20" t="s">
        <v>30</v>
      </c>
      <c r="M16" s="20" t="s">
        <v>30</v>
      </c>
      <c r="N16" s="20"/>
      <c r="U16" s="56"/>
    </row>
    <row r="17" spans="1:21" ht="20.25" customHeight="1" x14ac:dyDescent="0.35">
      <c r="A17" s="15" t="s">
        <v>29</v>
      </c>
      <c r="C17" s="19"/>
      <c r="D17" s="34" t="str">
        <f t="shared" ref="D17" si="1">E17</f>
        <v>C100003</v>
      </c>
      <c r="E17" s="35" t="str">
        <f>"C100003"</f>
        <v>C100003</v>
      </c>
      <c r="F17" s="36" t="str">
        <f>"Cherry Finish Frame"</f>
        <v>Cherry Finish Frame</v>
      </c>
      <c r="G17" s="36"/>
      <c r="H17" s="37" t="str">
        <f>"EA"</f>
        <v>EA</v>
      </c>
      <c r="I17" s="36"/>
      <c r="J17" s="36"/>
      <c r="K17" s="36"/>
      <c r="L17" s="36"/>
      <c r="M17" s="36"/>
      <c r="N17" s="36"/>
      <c r="O17" s="38">
        <f t="shared" ref="O17:T17" si="2">(SUBTOTAL(9,O18:O19))</f>
        <v>600</v>
      </c>
      <c r="P17" s="38">
        <f t="shared" si="2"/>
        <v>0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0</v>
      </c>
      <c r="U17" s="53">
        <f t="shared" ref="U17" si="3">SUBTOTAL(9,O18:T19)</f>
        <v>600</v>
      </c>
    </row>
    <row r="18" spans="1:21" ht="17.25" customHeight="1" x14ac:dyDescent="0.3">
      <c r="A18" s="15" t="s">
        <v>29</v>
      </c>
      <c r="C18" s="19"/>
      <c r="D18" s="33" t="str">
        <f t="shared" ref="D18" si="4">D17</f>
        <v>C100003</v>
      </c>
      <c r="E18" s="33"/>
      <c r="F18" s="20"/>
      <c r="G18" s="20" t="str">
        <f>"""NAV"",""CRONUS JetCorp USA"",""32"",""1"",""166418"""</f>
        <v>"NAV","CRONUS JetCorp USA","32","1","166418"</v>
      </c>
      <c r="H18" s="39">
        <v>43466</v>
      </c>
      <c r="I18" s="40">
        <v>166418</v>
      </c>
      <c r="J18" s="40" t="str">
        <f>"Vendor"</f>
        <v>Vendor</v>
      </c>
      <c r="K18" s="40" t="str">
        <f>"V100003"</f>
        <v>V100003</v>
      </c>
      <c r="L18" s="40" t="str">
        <f>""</f>
        <v/>
      </c>
      <c r="M18" s="40" t="str">
        <f>"LogoMasters"</f>
        <v>LogoMasters</v>
      </c>
      <c r="N18" s="40" t="str">
        <f>""</f>
        <v/>
      </c>
      <c r="O18" s="41">
        <v>600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54"/>
    </row>
    <row r="19" spans="1:21" ht="17.25" customHeight="1" x14ac:dyDescent="0.3">
      <c r="A19" s="15" t="s">
        <v>29</v>
      </c>
      <c r="C19" s="19"/>
      <c r="D19" s="33"/>
      <c r="E19" s="33"/>
      <c r="F19" s="20"/>
      <c r="G19" s="20"/>
      <c r="H19" s="20"/>
      <c r="I19" s="20"/>
      <c r="J19" s="20"/>
      <c r="K19" s="20"/>
      <c r="L19" s="20"/>
      <c r="M19" s="20"/>
      <c r="N19" s="20"/>
      <c r="O19" s="42"/>
      <c r="P19" s="42"/>
      <c r="Q19" s="42"/>
      <c r="R19" s="42"/>
      <c r="S19" s="42"/>
      <c r="T19" s="42"/>
      <c r="U19" s="55"/>
    </row>
    <row r="20" spans="1:21" ht="17.25" customHeight="1" x14ac:dyDescent="0.3">
      <c r="A20" s="15" t="s">
        <v>29</v>
      </c>
      <c r="C20" s="19"/>
      <c r="D20" s="33"/>
      <c r="E20" s="33" t="s">
        <v>30</v>
      </c>
      <c r="F20" s="20" t="s">
        <v>30</v>
      </c>
      <c r="G20" s="20" t="s">
        <v>30</v>
      </c>
      <c r="H20" s="20"/>
      <c r="I20" s="20"/>
      <c r="J20" s="20" t="s">
        <v>30</v>
      </c>
      <c r="K20" s="20" t="s">
        <v>30</v>
      </c>
      <c r="L20" s="20" t="s">
        <v>30</v>
      </c>
      <c r="M20" s="20" t="s">
        <v>30</v>
      </c>
      <c r="N20" s="20"/>
      <c r="U20" s="56"/>
    </row>
    <row r="21" spans="1:21" ht="20.25" customHeight="1" x14ac:dyDescent="0.35">
      <c r="A21" s="15" t="s">
        <v>29</v>
      </c>
      <c r="C21" s="19"/>
      <c r="D21" s="34" t="str">
        <f t="shared" ref="D21" si="5">E21</f>
        <v>C100004</v>
      </c>
      <c r="E21" s="35" t="str">
        <f>"C100004"</f>
        <v>C100004</v>
      </c>
      <c r="F21" s="36" t="str">
        <f>"Walnut Medallian Plate"</f>
        <v>Walnut Medallian Plate</v>
      </c>
      <c r="G21" s="36"/>
      <c r="H21" s="37" t="str">
        <f>"EA"</f>
        <v>EA</v>
      </c>
      <c r="I21" s="36"/>
      <c r="J21" s="36"/>
      <c r="K21" s="36"/>
      <c r="L21" s="36"/>
      <c r="M21" s="36"/>
      <c r="N21" s="36"/>
      <c r="O21" s="38">
        <f t="shared" ref="O21:T21" si="6">(SUBTOTAL(9,O22:O24))</f>
        <v>400</v>
      </c>
      <c r="P21" s="38">
        <f t="shared" si="6"/>
        <v>-1</v>
      </c>
      <c r="Q21" s="38">
        <f t="shared" si="6"/>
        <v>0</v>
      </c>
      <c r="R21" s="38">
        <f t="shared" si="6"/>
        <v>0</v>
      </c>
      <c r="S21" s="38">
        <f t="shared" si="6"/>
        <v>0</v>
      </c>
      <c r="T21" s="38">
        <f t="shared" si="6"/>
        <v>0</v>
      </c>
      <c r="U21" s="53">
        <f t="shared" ref="U21" si="7">SUBTOTAL(9,O22:T24)</f>
        <v>399</v>
      </c>
    </row>
    <row r="22" spans="1:21" ht="17.25" customHeight="1" x14ac:dyDescent="0.3">
      <c r="A22" s="15" t="s">
        <v>29</v>
      </c>
      <c r="C22" s="19"/>
      <c r="D22" s="33" t="str">
        <f t="shared" ref="D22" si="8">D21</f>
        <v>C100004</v>
      </c>
      <c r="E22" s="33"/>
      <c r="F22" s="20"/>
      <c r="G22" s="20" t="str">
        <f>"""NAV"",""CRONUS JetCorp USA"",""32"",""1"",""166417"""</f>
        <v>"NAV","CRONUS JetCorp USA","32","1","166417"</v>
      </c>
      <c r="H22" s="39">
        <v>43466</v>
      </c>
      <c r="I22" s="40">
        <v>166417</v>
      </c>
      <c r="J22" s="40" t="str">
        <f>"Vendor"</f>
        <v>Vendor</v>
      </c>
      <c r="K22" s="40" t="str">
        <f>"V100003"</f>
        <v>V100003</v>
      </c>
      <c r="L22" s="40" t="str">
        <f>""</f>
        <v/>
      </c>
      <c r="M22" s="40" t="str">
        <f>"LogoMasters"</f>
        <v>LogoMasters</v>
      </c>
      <c r="N22" s="40" t="str">
        <f>""</f>
        <v/>
      </c>
      <c r="O22" s="41">
        <v>400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54"/>
    </row>
    <row r="23" spans="1:21" ht="17.25" customHeight="1" x14ac:dyDescent="0.3">
      <c r="A23" s="15" t="s">
        <v>29</v>
      </c>
      <c r="C23" s="19"/>
      <c r="D23" s="33" t="str">
        <f t="shared" ref="D23" si="9">D22</f>
        <v>C100004</v>
      </c>
      <c r="E23" s="33"/>
      <c r="F23" s="20"/>
      <c r="G23" s="20" t="str">
        <f>"""NAV"",""CRONUS JetCorp USA"",""32"",""1"",""114271"""</f>
        <v>"NAV","CRONUS JetCorp USA","32","1","114271"</v>
      </c>
      <c r="H23" s="39">
        <v>43470</v>
      </c>
      <c r="I23" s="40">
        <v>114271</v>
      </c>
      <c r="J23" s="40" t="str">
        <f>"Customer"</f>
        <v>Customer</v>
      </c>
      <c r="K23" s="40" t="str">
        <f>"C100076"</f>
        <v>C100076</v>
      </c>
      <c r="L23" s="40" t="str">
        <f>"Showmasters"</f>
        <v>Showmasters</v>
      </c>
      <c r="M23" s="40" t="str">
        <f>""</f>
        <v/>
      </c>
      <c r="N23" s="40" t="str">
        <f>""</f>
        <v/>
      </c>
      <c r="O23" s="41">
        <v>0</v>
      </c>
      <c r="P23" s="41">
        <v>-1</v>
      </c>
      <c r="Q23" s="41">
        <v>0</v>
      </c>
      <c r="R23" s="41">
        <v>0</v>
      </c>
      <c r="S23" s="41">
        <v>0</v>
      </c>
      <c r="T23" s="41">
        <v>0</v>
      </c>
      <c r="U23" s="54"/>
    </row>
    <row r="24" spans="1:21" ht="17.25" customHeight="1" x14ac:dyDescent="0.3">
      <c r="A24" s="15" t="s">
        <v>29</v>
      </c>
      <c r="C24" s="19"/>
      <c r="D24" s="33"/>
      <c r="E24" s="33"/>
      <c r="F24" s="20"/>
      <c r="G24" s="20"/>
      <c r="H24" s="20"/>
      <c r="I24" s="20"/>
      <c r="J24" s="20"/>
      <c r="K24" s="20"/>
      <c r="L24" s="20"/>
      <c r="M24" s="20"/>
      <c r="N24" s="20"/>
      <c r="O24" s="42"/>
      <c r="P24" s="42"/>
      <c r="Q24" s="42"/>
      <c r="R24" s="42"/>
      <c r="S24" s="42"/>
      <c r="T24" s="42"/>
      <c r="U24" s="55"/>
    </row>
    <row r="25" spans="1:21" ht="17.25" customHeight="1" x14ac:dyDescent="0.3">
      <c r="A25" s="15" t="s">
        <v>29</v>
      </c>
      <c r="C25" s="19"/>
      <c r="D25" s="33"/>
      <c r="E25" s="33" t="s">
        <v>30</v>
      </c>
      <c r="F25" s="20" t="s">
        <v>30</v>
      </c>
      <c r="G25" s="20" t="s">
        <v>30</v>
      </c>
      <c r="H25" s="20"/>
      <c r="I25" s="20"/>
      <c r="J25" s="20" t="s">
        <v>30</v>
      </c>
      <c r="K25" s="20" t="s">
        <v>30</v>
      </c>
      <c r="L25" s="20" t="s">
        <v>30</v>
      </c>
      <c r="M25" s="20" t="s">
        <v>30</v>
      </c>
      <c r="N25" s="20"/>
      <c r="U25" s="56"/>
    </row>
    <row r="26" spans="1:21" ht="20.25" customHeight="1" x14ac:dyDescent="0.35">
      <c r="A26" s="15" t="s">
        <v>29</v>
      </c>
      <c r="C26" s="19"/>
      <c r="D26" s="34" t="str">
        <f t="shared" ref="D26" si="10">E26</f>
        <v>C100005</v>
      </c>
      <c r="E26" s="35" t="str">
        <f>"C100005"</f>
        <v>C100005</v>
      </c>
      <c r="F26" s="36" t="str">
        <f>"Cherry Finished Crystal Award"</f>
        <v>Cherry Finished Crystal Award</v>
      </c>
      <c r="G26" s="36"/>
      <c r="H26" s="37" t="str">
        <f>"EA"</f>
        <v>EA</v>
      </c>
      <c r="I26" s="36"/>
      <c r="J26" s="36"/>
      <c r="K26" s="36"/>
      <c r="L26" s="36"/>
      <c r="M26" s="36"/>
      <c r="N26" s="36"/>
      <c r="O26" s="38">
        <f t="shared" ref="O26:T26" si="11">(SUBTOTAL(9,O27:O28))</f>
        <v>100</v>
      </c>
      <c r="P26" s="38">
        <f t="shared" si="11"/>
        <v>0</v>
      </c>
      <c r="Q26" s="38">
        <f t="shared" si="11"/>
        <v>0</v>
      </c>
      <c r="R26" s="38">
        <f t="shared" si="11"/>
        <v>0</v>
      </c>
      <c r="S26" s="38">
        <f t="shared" si="11"/>
        <v>0</v>
      </c>
      <c r="T26" s="38">
        <f t="shared" si="11"/>
        <v>0</v>
      </c>
      <c r="U26" s="53">
        <f t="shared" ref="U26" si="12">SUBTOTAL(9,O27:T28)</f>
        <v>100</v>
      </c>
    </row>
    <row r="27" spans="1:21" ht="17.25" customHeight="1" x14ac:dyDescent="0.3">
      <c r="A27" s="15" t="s">
        <v>29</v>
      </c>
      <c r="C27" s="19"/>
      <c r="D27" s="33" t="str">
        <f t="shared" ref="D27" si="13">D26</f>
        <v>C100005</v>
      </c>
      <c r="E27" s="33"/>
      <c r="F27" s="20"/>
      <c r="G27" s="20" t="str">
        <f>"""NAV"",""CRONUS JetCorp USA"",""32"",""1"",""166416"""</f>
        <v>"NAV","CRONUS JetCorp USA","32","1","166416"</v>
      </c>
      <c r="H27" s="39">
        <v>43466</v>
      </c>
      <c r="I27" s="40">
        <v>166416</v>
      </c>
      <c r="J27" s="40" t="str">
        <f>"Vendor"</f>
        <v>Vendor</v>
      </c>
      <c r="K27" s="40" t="str">
        <f>"V100003"</f>
        <v>V100003</v>
      </c>
      <c r="L27" s="40" t="str">
        <f>""</f>
        <v/>
      </c>
      <c r="M27" s="40" t="str">
        <f>"LogoMasters"</f>
        <v>LogoMasters</v>
      </c>
      <c r="N27" s="40" t="str">
        <f>""</f>
        <v/>
      </c>
      <c r="O27" s="41">
        <v>100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54"/>
    </row>
    <row r="28" spans="1:21" ht="17.25" customHeight="1" x14ac:dyDescent="0.3">
      <c r="A28" s="15" t="s">
        <v>29</v>
      </c>
      <c r="C28" s="19"/>
      <c r="D28" s="33"/>
      <c r="E28" s="33"/>
      <c r="F28" s="20"/>
      <c r="G28" s="20"/>
      <c r="H28" s="20"/>
      <c r="I28" s="20"/>
      <c r="J28" s="20"/>
      <c r="K28" s="20"/>
      <c r="L28" s="20"/>
      <c r="M28" s="20"/>
      <c r="N28" s="20"/>
      <c r="O28" s="42"/>
      <c r="P28" s="42"/>
      <c r="Q28" s="42"/>
      <c r="R28" s="42"/>
      <c r="S28" s="42"/>
      <c r="T28" s="42"/>
      <c r="U28" s="55"/>
    </row>
    <row r="29" spans="1:21" ht="17.25" customHeight="1" x14ac:dyDescent="0.3">
      <c r="A29" s="15" t="s">
        <v>29</v>
      </c>
      <c r="C29" s="19"/>
      <c r="D29" s="33"/>
      <c r="E29" s="33" t="s">
        <v>30</v>
      </c>
      <c r="F29" s="20" t="s">
        <v>30</v>
      </c>
      <c r="G29" s="20" t="s">
        <v>30</v>
      </c>
      <c r="H29" s="20"/>
      <c r="I29" s="20"/>
      <c r="J29" s="20" t="s">
        <v>30</v>
      </c>
      <c r="K29" s="20" t="s">
        <v>30</v>
      </c>
      <c r="L29" s="20" t="s">
        <v>30</v>
      </c>
      <c r="M29" s="20" t="s">
        <v>30</v>
      </c>
      <c r="N29" s="20"/>
      <c r="U29" s="56"/>
    </row>
    <row r="30" spans="1:21" ht="20.25" customHeight="1" x14ac:dyDescent="0.35">
      <c r="A30" s="15" t="s">
        <v>29</v>
      </c>
      <c r="C30" s="19"/>
      <c r="D30" s="34" t="str">
        <f t="shared" ref="D30" si="14">E30</f>
        <v>C100006</v>
      </c>
      <c r="E30" s="35" t="str">
        <f>"C100006"</f>
        <v>C100006</v>
      </c>
      <c r="F30" s="36" t="str">
        <f>"Cherry Finished Crystal Award- Large"</f>
        <v>Cherry Finished Crystal Award- Large</v>
      </c>
      <c r="G30" s="36"/>
      <c r="H30" s="37" t="str">
        <f>"EA"</f>
        <v>EA</v>
      </c>
      <c r="I30" s="36"/>
      <c r="J30" s="36"/>
      <c r="K30" s="36"/>
      <c r="L30" s="36"/>
      <c r="M30" s="36"/>
      <c r="N30" s="36"/>
      <c r="O30" s="38">
        <f t="shared" ref="O30:T30" si="15">(SUBTOTAL(9,O31:O33))</f>
        <v>200</v>
      </c>
      <c r="P30" s="38">
        <f t="shared" si="15"/>
        <v>-24</v>
      </c>
      <c r="Q30" s="38">
        <f t="shared" si="15"/>
        <v>0</v>
      </c>
      <c r="R30" s="38">
        <f t="shared" si="15"/>
        <v>0</v>
      </c>
      <c r="S30" s="38">
        <f t="shared" si="15"/>
        <v>0</v>
      </c>
      <c r="T30" s="38">
        <f t="shared" si="15"/>
        <v>0</v>
      </c>
      <c r="U30" s="53">
        <f t="shared" ref="U30" si="16">SUBTOTAL(9,O31:T33)</f>
        <v>176</v>
      </c>
    </row>
    <row r="31" spans="1:21" ht="17.25" customHeight="1" x14ac:dyDescent="0.3">
      <c r="A31" s="15" t="s">
        <v>29</v>
      </c>
      <c r="C31" s="19"/>
      <c r="D31" s="33" t="str">
        <f t="shared" ref="D31" si="17">D30</f>
        <v>C100006</v>
      </c>
      <c r="E31" s="33"/>
      <c r="F31" s="20"/>
      <c r="G31" s="20" t="str">
        <f>"""NAV"",""CRONUS JetCorp USA"",""32"",""1"",""166415"""</f>
        <v>"NAV","CRONUS JetCorp USA","32","1","166415"</v>
      </c>
      <c r="H31" s="39">
        <v>43466</v>
      </c>
      <c r="I31" s="40">
        <v>166415</v>
      </c>
      <c r="J31" s="40" t="str">
        <f>"Vendor"</f>
        <v>Vendor</v>
      </c>
      <c r="K31" s="40" t="str">
        <f>"V100003"</f>
        <v>V100003</v>
      </c>
      <c r="L31" s="40" t="str">
        <f>""</f>
        <v/>
      </c>
      <c r="M31" s="40" t="str">
        <f>"LogoMasters"</f>
        <v>LogoMasters</v>
      </c>
      <c r="N31" s="40" t="str">
        <f>""</f>
        <v/>
      </c>
      <c r="O31" s="41">
        <v>200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54"/>
    </row>
    <row r="32" spans="1:21" ht="17.25" customHeight="1" x14ac:dyDescent="0.3">
      <c r="A32" s="15" t="s">
        <v>29</v>
      </c>
      <c r="C32" s="19"/>
      <c r="D32" s="33" t="str">
        <f t="shared" ref="D32" si="18">D31</f>
        <v>C100006</v>
      </c>
      <c r="E32" s="33"/>
      <c r="F32" s="20"/>
      <c r="G32" s="20" t="str">
        <f>"""NAV"",""CRONUS JetCorp USA"",""32"",""1"",""114275"""</f>
        <v>"NAV","CRONUS JetCorp USA","32","1","114275"</v>
      </c>
      <c r="H32" s="39">
        <v>43474</v>
      </c>
      <c r="I32" s="40">
        <v>114275</v>
      </c>
      <c r="J32" s="40" t="str">
        <f>"Customer"</f>
        <v>Customer</v>
      </c>
      <c r="K32" s="40" t="str">
        <f>"C100076"</f>
        <v>C100076</v>
      </c>
      <c r="L32" s="40" t="str">
        <f>"Showmasters"</f>
        <v>Showmasters</v>
      </c>
      <c r="M32" s="40" t="str">
        <f>""</f>
        <v/>
      </c>
      <c r="N32" s="40" t="str">
        <f>""</f>
        <v/>
      </c>
      <c r="O32" s="41">
        <v>0</v>
      </c>
      <c r="P32" s="41">
        <v>-24</v>
      </c>
      <c r="Q32" s="41">
        <v>0</v>
      </c>
      <c r="R32" s="41">
        <v>0</v>
      </c>
      <c r="S32" s="41">
        <v>0</v>
      </c>
      <c r="T32" s="41">
        <v>0</v>
      </c>
      <c r="U32" s="54"/>
    </row>
    <row r="33" spans="1:21" ht="17.25" customHeight="1" x14ac:dyDescent="0.3">
      <c r="A33" s="15" t="s">
        <v>29</v>
      </c>
      <c r="C33" s="19"/>
      <c r="D33" s="33"/>
      <c r="E33" s="33"/>
      <c r="F33" s="20"/>
      <c r="G33" s="20"/>
      <c r="H33" s="20"/>
      <c r="I33" s="20"/>
      <c r="J33" s="20"/>
      <c r="K33" s="20"/>
      <c r="L33" s="20"/>
      <c r="M33" s="20"/>
      <c r="N33" s="20"/>
      <c r="O33" s="42"/>
      <c r="P33" s="42"/>
      <c r="Q33" s="42"/>
      <c r="R33" s="42"/>
      <c r="S33" s="42"/>
      <c r="T33" s="42"/>
      <c r="U33" s="55"/>
    </row>
    <row r="34" spans="1:21" ht="17.25" customHeight="1" x14ac:dyDescent="0.3">
      <c r="A34" s="15" t="s">
        <v>29</v>
      </c>
      <c r="C34" s="19"/>
      <c r="D34" s="33"/>
      <c r="E34" s="33" t="s">
        <v>30</v>
      </c>
      <c r="F34" s="20" t="s">
        <v>30</v>
      </c>
      <c r="G34" s="20" t="s">
        <v>30</v>
      </c>
      <c r="H34" s="20"/>
      <c r="I34" s="20"/>
      <c r="J34" s="20" t="s">
        <v>30</v>
      </c>
      <c r="K34" s="20" t="s">
        <v>30</v>
      </c>
      <c r="L34" s="20" t="s">
        <v>30</v>
      </c>
      <c r="M34" s="20" t="s">
        <v>30</v>
      </c>
      <c r="N34" s="20"/>
      <c r="U34" s="56"/>
    </row>
    <row r="35" spans="1:21" ht="20.25" customHeight="1" x14ac:dyDescent="0.35">
      <c r="A35" s="15" t="s">
        <v>29</v>
      </c>
      <c r="C35" s="19"/>
      <c r="D35" s="34" t="str">
        <f t="shared" ref="D35" si="19">E35</f>
        <v>C100007</v>
      </c>
      <c r="E35" s="35" t="str">
        <f>"C100007"</f>
        <v>C100007</v>
      </c>
      <c r="F35" s="36" t="str">
        <f>"7.5'' Bud Vase"</f>
        <v>7.5'' Bud Vase</v>
      </c>
      <c r="G35" s="36"/>
      <c r="H35" s="37" t="str">
        <f>"EA"</f>
        <v>EA</v>
      </c>
      <c r="I35" s="36"/>
      <c r="J35" s="36"/>
      <c r="K35" s="36"/>
      <c r="L35" s="36"/>
      <c r="M35" s="36"/>
      <c r="N35" s="36"/>
      <c r="O35" s="38">
        <f t="shared" ref="O35:T35" si="20">(SUBTOTAL(9,O36:O39))</f>
        <v>300</v>
      </c>
      <c r="P35" s="38">
        <f t="shared" si="20"/>
        <v>-7</v>
      </c>
      <c r="Q35" s="38">
        <f t="shared" si="20"/>
        <v>0</v>
      </c>
      <c r="R35" s="38">
        <f t="shared" si="20"/>
        <v>0</v>
      </c>
      <c r="S35" s="38">
        <f t="shared" si="20"/>
        <v>0</v>
      </c>
      <c r="T35" s="38">
        <f t="shared" si="20"/>
        <v>0</v>
      </c>
      <c r="U35" s="53">
        <f t="shared" ref="U35" si="21">SUBTOTAL(9,O36:T39)</f>
        <v>293</v>
      </c>
    </row>
    <row r="36" spans="1:21" ht="17.25" customHeight="1" x14ac:dyDescent="0.3">
      <c r="A36" s="15" t="s">
        <v>29</v>
      </c>
      <c r="C36" s="19"/>
      <c r="D36" s="33" t="str">
        <f t="shared" ref="D36" si="22">D35</f>
        <v>C100007</v>
      </c>
      <c r="E36" s="33"/>
      <c r="F36" s="20"/>
      <c r="G36" s="20" t="str">
        <f>"""NAV"",""CRONUS JetCorp USA"",""32"",""1"",""166414"""</f>
        <v>"NAV","CRONUS JetCorp USA","32","1","166414"</v>
      </c>
      <c r="H36" s="39">
        <v>43466</v>
      </c>
      <c r="I36" s="40">
        <v>166414</v>
      </c>
      <c r="J36" s="40" t="str">
        <f>"Vendor"</f>
        <v>Vendor</v>
      </c>
      <c r="K36" s="40" t="str">
        <f>"V100003"</f>
        <v>V100003</v>
      </c>
      <c r="L36" s="40" t="str">
        <f>""</f>
        <v/>
      </c>
      <c r="M36" s="40" t="str">
        <f>"LogoMasters"</f>
        <v>LogoMasters</v>
      </c>
      <c r="N36" s="40" t="str">
        <f>""</f>
        <v/>
      </c>
      <c r="O36" s="41">
        <v>300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54"/>
    </row>
    <row r="37" spans="1:21" ht="17.25" customHeight="1" x14ac:dyDescent="0.3">
      <c r="A37" s="15" t="s">
        <v>29</v>
      </c>
      <c r="C37" s="19"/>
      <c r="D37" s="33" t="str">
        <f t="shared" ref="D37:D38" si="23">D36</f>
        <v>C100007</v>
      </c>
      <c r="E37" s="33"/>
      <c r="F37" s="20"/>
      <c r="G37" s="20" t="str">
        <f>"""NAV"",""CRONUS JetCorp USA"",""32"",""1"",""116376"""</f>
        <v>"NAV","CRONUS JetCorp USA","32","1","116376"</v>
      </c>
      <c r="H37" s="39">
        <v>43472</v>
      </c>
      <c r="I37" s="40">
        <v>116376</v>
      </c>
      <c r="J37" s="40" t="str">
        <f>"Customer"</f>
        <v>Customer</v>
      </c>
      <c r="K37" s="40" t="str">
        <f>"C100054"</f>
        <v>C100054</v>
      </c>
      <c r="L37" s="40" t="str">
        <f>"London Candoxy Storage Campus"</f>
        <v>London Candoxy Storage Campus</v>
      </c>
      <c r="M37" s="40" t="str">
        <f>""</f>
        <v/>
      </c>
      <c r="N37" s="40" t="str">
        <f>""</f>
        <v/>
      </c>
      <c r="O37" s="41">
        <v>0</v>
      </c>
      <c r="P37" s="41">
        <v>-6</v>
      </c>
      <c r="Q37" s="41">
        <v>0</v>
      </c>
      <c r="R37" s="41">
        <v>0</v>
      </c>
      <c r="S37" s="41">
        <v>0</v>
      </c>
      <c r="T37" s="41">
        <v>0</v>
      </c>
      <c r="U37" s="54"/>
    </row>
    <row r="38" spans="1:21" ht="17.25" customHeight="1" x14ac:dyDescent="0.3">
      <c r="A38" s="15" t="s">
        <v>29</v>
      </c>
      <c r="C38" s="19"/>
      <c r="D38" s="33" t="str">
        <f t="shared" si="23"/>
        <v>C100007</v>
      </c>
      <c r="E38" s="33"/>
      <c r="F38" s="20"/>
      <c r="G38" s="20" t="str">
        <f>"""NAV"",""CRONUS JetCorp USA"",""32"",""1"",""114281"""</f>
        <v>"NAV","CRONUS JetCorp USA","32","1","114281"</v>
      </c>
      <c r="H38" s="39">
        <v>43474</v>
      </c>
      <c r="I38" s="40">
        <v>114281</v>
      </c>
      <c r="J38" s="40" t="str">
        <f>"Customer"</f>
        <v>Customer</v>
      </c>
      <c r="K38" s="40" t="str">
        <f>"C100076"</f>
        <v>C100076</v>
      </c>
      <c r="L38" s="40" t="str">
        <f>"Showmasters"</f>
        <v>Showmasters</v>
      </c>
      <c r="M38" s="40" t="str">
        <f>""</f>
        <v/>
      </c>
      <c r="N38" s="40" t="str">
        <f>""</f>
        <v/>
      </c>
      <c r="O38" s="41">
        <v>0</v>
      </c>
      <c r="P38" s="41">
        <v>-1</v>
      </c>
      <c r="Q38" s="41">
        <v>0</v>
      </c>
      <c r="R38" s="41">
        <v>0</v>
      </c>
      <c r="S38" s="41">
        <v>0</v>
      </c>
      <c r="T38" s="41">
        <v>0</v>
      </c>
      <c r="U38" s="54"/>
    </row>
    <row r="39" spans="1:21" ht="17.25" customHeight="1" x14ac:dyDescent="0.3">
      <c r="A39" s="15" t="s">
        <v>29</v>
      </c>
      <c r="C39" s="19"/>
      <c r="D39" s="33"/>
      <c r="E39" s="33"/>
      <c r="F39" s="20"/>
      <c r="G39" s="20"/>
      <c r="H39" s="20"/>
      <c r="I39" s="20"/>
      <c r="J39" s="20"/>
      <c r="K39" s="20"/>
      <c r="L39" s="20"/>
      <c r="M39" s="20"/>
      <c r="N39" s="20"/>
      <c r="O39" s="42"/>
      <c r="P39" s="42"/>
      <c r="Q39" s="42"/>
      <c r="R39" s="42"/>
      <c r="S39" s="42"/>
      <c r="T39" s="42"/>
      <c r="U39" s="55"/>
    </row>
    <row r="40" spans="1:21" ht="17.25" customHeight="1" x14ac:dyDescent="0.3">
      <c r="A40" s="15" t="s">
        <v>29</v>
      </c>
      <c r="C40" s="19"/>
      <c r="D40" s="33"/>
      <c r="E40" s="33" t="s">
        <v>30</v>
      </c>
      <c r="F40" s="20" t="s">
        <v>30</v>
      </c>
      <c r="G40" s="20" t="s">
        <v>30</v>
      </c>
      <c r="H40" s="20"/>
      <c r="I40" s="20"/>
      <c r="J40" s="20" t="s">
        <v>30</v>
      </c>
      <c r="K40" s="20" t="s">
        <v>30</v>
      </c>
      <c r="L40" s="20" t="s">
        <v>30</v>
      </c>
      <c r="M40" s="20" t="s">
        <v>30</v>
      </c>
      <c r="N40" s="20"/>
      <c r="U40" s="56"/>
    </row>
    <row r="41" spans="1:21" ht="20.25" customHeight="1" x14ac:dyDescent="0.35">
      <c r="A41" s="15" t="s">
        <v>29</v>
      </c>
      <c r="C41" s="19"/>
      <c r="D41" s="34" t="str">
        <f t="shared" ref="D41" si="24">E41</f>
        <v>C100008</v>
      </c>
      <c r="E41" s="35" t="str">
        <f>"C100008"</f>
        <v>C100008</v>
      </c>
      <c r="F41" s="36" t="str">
        <f>"Glacier Vase"</f>
        <v>Glacier Vase</v>
      </c>
      <c r="G41" s="36"/>
      <c r="H41" s="37" t="str">
        <f>"EA"</f>
        <v>EA</v>
      </c>
      <c r="I41" s="36"/>
      <c r="J41" s="36"/>
      <c r="K41" s="36"/>
      <c r="L41" s="36"/>
      <c r="M41" s="36"/>
      <c r="N41" s="36"/>
      <c r="O41" s="38">
        <f t="shared" ref="O41:T41" si="25">(SUBTOTAL(9,O42:O46))</f>
        <v>600</v>
      </c>
      <c r="P41" s="38">
        <f t="shared" si="25"/>
        <v>-301</v>
      </c>
      <c r="Q41" s="38">
        <f t="shared" si="25"/>
        <v>0</v>
      </c>
      <c r="R41" s="38">
        <f t="shared" si="25"/>
        <v>0</v>
      </c>
      <c r="S41" s="38">
        <f t="shared" si="25"/>
        <v>0</v>
      </c>
      <c r="T41" s="38">
        <f t="shared" si="25"/>
        <v>0</v>
      </c>
      <c r="U41" s="53">
        <f t="shared" ref="U41" si="26">SUBTOTAL(9,O42:T46)</f>
        <v>299</v>
      </c>
    </row>
    <row r="42" spans="1:21" ht="17.25" customHeight="1" x14ac:dyDescent="0.3">
      <c r="A42" s="15" t="s">
        <v>29</v>
      </c>
      <c r="C42" s="19"/>
      <c r="D42" s="33" t="str">
        <f t="shared" ref="D42" si="27">D41</f>
        <v>C100008</v>
      </c>
      <c r="E42" s="33"/>
      <c r="F42" s="20"/>
      <c r="G42" s="20" t="str">
        <f>"""NAV"",""CRONUS JetCorp USA"",""32"",""1"",""166413"""</f>
        <v>"NAV","CRONUS JetCorp USA","32","1","166413"</v>
      </c>
      <c r="H42" s="39">
        <v>43466</v>
      </c>
      <c r="I42" s="40">
        <v>166413</v>
      </c>
      <c r="J42" s="40" t="str">
        <f>"Vendor"</f>
        <v>Vendor</v>
      </c>
      <c r="K42" s="40" t="str">
        <f>"V100003"</f>
        <v>V100003</v>
      </c>
      <c r="L42" s="40" t="str">
        <f>""</f>
        <v/>
      </c>
      <c r="M42" s="40" t="str">
        <f>"LogoMasters"</f>
        <v>LogoMasters</v>
      </c>
      <c r="N42" s="40" t="str">
        <f>""</f>
        <v/>
      </c>
      <c r="O42" s="41">
        <v>600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54"/>
    </row>
    <row r="43" spans="1:21" ht="17.25" customHeight="1" x14ac:dyDescent="0.3">
      <c r="A43" s="15" t="s">
        <v>29</v>
      </c>
      <c r="C43" s="19"/>
      <c r="D43" s="33" t="str">
        <f t="shared" ref="D43:D45" si="28">D42</f>
        <v>C100008</v>
      </c>
      <c r="E43" s="33"/>
      <c r="F43" s="20"/>
      <c r="G43" s="20" t="str">
        <f>"""NAV"",""CRONUS JetCorp USA"",""32"",""1"",""7562"""</f>
        <v>"NAV","CRONUS JetCorp USA","32","1","7562"</v>
      </c>
      <c r="H43" s="39">
        <v>43469</v>
      </c>
      <c r="I43" s="40">
        <v>7562</v>
      </c>
      <c r="J43" s="40" t="str">
        <f>"Customer"</f>
        <v>Customer</v>
      </c>
      <c r="K43" s="40" t="str">
        <f>"C100030"</f>
        <v>C100030</v>
      </c>
      <c r="L43" s="40" t="str">
        <f>"Stutringers"</f>
        <v>Stutringers</v>
      </c>
      <c r="M43" s="40" t="str">
        <f>""</f>
        <v/>
      </c>
      <c r="N43" s="40" t="str">
        <f>""</f>
        <v/>
      </c>
      <c r="O43" s="41">
        <v>0</v>
      </c>
      <c r="P43" s="41">
        <v>-1</v>
      </c>
      <c r="Q43" s="41">
        <v>0</v>
      </c>
      <c r="R43" s="41">
        <v>0</v>
      </c>
      <c r="S43" s="41">
        <v>0</v>
      </c>
      <c r="T43" s="41">
        <v>0</v>
      </c>
      <c r="U43" s="54"/>
    </row>
    <row r="44" spans="1:21" ht="17.25" customHeight="1" x14ac:dyDescent="0.3">
      <c r="A44" s="15" t="s">
        <v>29</v>
      </c>
      <c r="C44" s="19"/>
      <c r="D44" s="33" t="str">
        <f t="shared" si="28"/>
        <v>C100008</v>
      </c>
      <c r="E44" s="33"/>
      <c r="F44" s="20"/>
      <c r="G44" s="20" t="str">
        <f>"""NAV"",""CRONUS JetCorp USA"",""32"",""1"",""114266"""</f>
        <v>"NAV","CRONUS JetCorp USA","32","1","114266"</v>
      </c>
      <c r="H44" s="39">
        <v>43470</v>
      </c>
      <c r="I44" s="40">
        <v>114266</v>
      </c>
      <c r="J44" s="40" t="str">
        <f>"Customer"</f>
        <v>Customer</v>
      </c>
      <c r="K44" s="40" t="str">
        <f>"C100076"</f>
        <v>C100076</v>
      </c>
      <c r="L44" s="40" t="str">
        <f>"Showmasters"</f>
        <v>Showmasters</v>
      </c>
      <c r="M44" s="40" t="str">
        <f>""</f>
        <v/>
      </c>
      <c r="N44" s="40" t="str">
        <f>""</f>
        <v/>
      </c>
      <c r="O44" s="41">
        <v>0</v>
      </c>
      <c r="P44" s="41">
        <v>-288</v>
      </c>
      <c r="Q44" s="41">
        <v>0</v>
      </c>
      <c r="R44" s="41">
        <v>0</v>
      </c>
      <c r="S44" s="41">
        <v>0</v>
      </c>
      <c r="T44" s="41">
        <v>0</v>
      </c>
      <c r="U44" s="54"/>
    </row>
    <row r="45" spans="1:21" ht="17.25" customHeight="1" x14ac:dyDescent="0.3">
      <c r="A45" s="15" t="s">
        <v>29</v>
      </c>
      <c r="C45" s="19"/>
      <c r="D45" s="33" t="str">
        <f t="shared" si="28"/>
        <v>C100008</v>
      </c>
      <c r="E45" s="33"/>
      <c r="F45" s="20"/>
      <c r="G45" s="20" t="str">
        <f>"""NAV"",""CRONUS JetCorp USA"",""32"",""1"",""116373"""</f>
        <v>"NAV","CRONUS JetCorp USA","32","1","116373"</v>
      </c>
      <c r="H45" s="39">
        <v>43472</v>
      </c>
      <c r="I45" s="40">
        <v>116373</v>
      </c>
      <c r="J45" s="40" t="str">
        <f>"Customer"</f>
        <v>Customer</v>
      </c>
      <c r="K45" s="40" t="str">
        <f>"C100054"</f>
        <v>C100054</v>
      </c>
      <c r="L45" s="40" t="str">
        <f>"London Candoxy Storage Campus"</f>
        <v>London Candoxy Storage Campus</v>
      </c>
      <c r="M45" s="40" t="str">
        <f>""</f>
        <v/>
      </c>
      <c r="N45" s="40" t="str">
        <f>""</f>
        <v/>
      </c>
      <c r="O45" s="41">
        <v>0</v>
      </c>
      <c r="P45" s="41">
        <v>-12</v>
      </c>
      <c r="Q45" s="41">
        <v>0</v>
      </c>
      <c r="R45" s="41">
        <v>0</v>
      </c>
      <c r="S45" s="41">
        <v>0</v>
      </c>
      <c r="T45" s="41">
        <v>0</v>
      </c>
      <c r="U45" s="54"/>
    </row>
    <row r="46" spans="1:21" ht="17.25" customHeight="1" x14ac:dyDescent="0.3">
      <c r="A46" s="15" t="s">
        <v>29</v>
      </c>
      <c r="C46" s="19"/>
      <c r="D46" s="33"/>
      <c r="E46" s="33"/>
      <c r="F46" s="20"/>
      <c r="G46" s="20"/>
      <c r="H46" s="20"/>
      <c r="I46" s="20"/>
      <c r="J46" s="20"/>
      <c r="K46" s="20"/>
      <c r="L46" s="20"/>
      <c r="M46" s="20"/>
      <c r="N46" s="20"/>
      <c r="O46" s="42"/>
      <c r="P46" s="42"/>
      <c r="Q46" s="42"/>
      <c r="R46" s="42"/>
      <c r="S46" s="42"/>
      <c r="T46" s="42"/>
      <c r="U46" s="55"/>
    </row>
    <row r="47" spans="1:21" ht="17.25" customHeight="1" x14ac:dyDescent="0.3">
      <c r="A47" s="15" t="s">
        <v>29</v>
      </c>
      <c r="C47" s="19"/>
      <c r="D47" s="33"/>
      <c r="E47" s="33" t="s">
        <v>30</v>
      </c>
      <c r="F47" s="20" t="s">
        <v>30</v>
      </c>
      <c r="G47" s="20" t="s">
        <v>30</v>
      </c>
      <c r="H47" s="20"/>
      <c r="I47" s="20"/>
      <c r="J47" s="20" t="s">
        <v>30</v>
      </c>
      <c r="K47" s="20" t="s">
        <v>30</v>
      </c>
      <c r="L47" s="20" t="s">
        <v>30</v>
      </c>
      <c r="M47" s="20" t="s">
        <v>30</v>
      </c>
      <c r="N47" s="20"/>
      <c r="U47" s="56"/>
    </row>
    <row r="48" spans="1:21" ht="20.25" customHeight="1" x14ac:dyDescent="0.35">
      <c r="A48" s="15" t="s">
        <v>29</v>
      </c>
      <c r="C48" s="19"/>
      <c r="D48" s="34" t="str">
        <f t="shared" ref="D48" si="29">E48</f>
        <v>C100009</v>
      </c>
      <c r="E48" s="35" t="str">
        <f>"C100009"</f>
        <v>C100009</v>
      </c>
      <c r="F48" s="36" t="str">
        <f>"Normandy Vase"</f>
        <v>Normandy Vase</v>
      </c>
      <c r="G48" s="36"/>
      <c r="H48" s="37" t="str">
        <f>"EA"</f>
        <v>EA</v>
      </c>
      <c r="I48" s="36"/>
      <c r="J48" s="36"/>
      <c r="K48" s="36"/>
      <c r="L48" s="36"/>
      <c r="M48" s="36"/>
      <c r="N48" s="36"/>
      <c r="O48" s="38">
        <f t="shared" ref="O48:T48" si="30">(SUBTOTAL(9,O49:O50))</f>
        <v>100</v>
      </c>
      <c r="P48" s="38">
        <f t="shared" si="30"/>
        <v>0</v>
      </c>
      <c r="Q48" s="38">
        <f t="shared" si="30"/>
        <v>0</v>
      </c>
      <c r="R48" s="38">
        <f t="shared" si="30"/>
        <v>0</v>
      </c>
      <c r="S48" s="38">
        <f t="shared" si="30"/>
        <v>0</v>
      </c>
      <c r="T48" s="38">
        <f t="shared" si="30"/>
        <v>0</v>
      </c>
      <c r="U48" s="53">
        <f t="shared" ref="U48" si="31">SUBTOTAL(9,O49:T50)</f>
        <v>100</v>
      </c>
    </row>
    <row r="49" spans="1:21" ht="17.25" customHeight="1" x14ac:dyDescent="0.3">
      <c r="A49" s="15" t="s">
        <v>29</v>
      </c>
      <c r="C49" s="19"/>
      <c r="D49" s="33" t="str">
        <f t="shared" ref="D49" si="32">D48</f>
        <v>C100009</v>
      </c>
      <c r="E49" s="33"/>
      <c r="F49" s="20"/>
      <c r="G49" s="20" t="str">
        <f>"""NAV"",""CRONUS JetCorp USA"",""32"",""1"",""166412"""</f>
        <v>"NAV","CRONUS JetCorp USA","32","1","166412"</v>
      </c>
      <c r="H49" s="39">
        <v>43466</v>
      </c>
      <c r="I49" s="40">
        <v>166412</v>
      </c>
      <c r="J49" s="40" t="str">
        <f>"Vendor"</f>
        <v>Vendor</v>
      </c>
      <c r="K49" s="40" t="str">
        <f>"V100003"</f>
        <v>V100003</v>
      </c>
      <c r="L49" s="40" t="str">
        <f>""</f>
        <v/>
      </c>
      <c r="M49" s="40" t="str">
        <f>"LogoMasters"</f>
        <v>LogoMasters</v>
      </c>
      <c r="N49" s="40" t="str">
        <f>""</f>
        <v/>
      </c>
      <c r="O49" s="41">
        <v>100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54"/>
    </row>
    <row r="50" spans="1:21" ht="17.25" customHeight="1" x14ac:dyDescent="0.3">
      <c r="A50" s="15" t="s">
        <v>29</v>
      </c>
      <c r="C50" s="19"/>
      <c r="D50" s="33"/>
      <c r="E50" s="33"/>
      <c r="F50" s="20"/>
      <c r="G50" s="20"/>
      <c r="H50" s="20"/>
      <c r="I50" s="20"/>
      <c r="J50" s="20"/>
      <c r="K50" s="20"/>
      <c r="L50" s="20"/>
      <c r="M50" s="20"/>
      <c r="N50" s="20"/>
      <c r="O50" s="42"/>
      <c r="P50" s="42"/>
      <c r="Q50" s="42"/>
      <c r="R50" s="42"/>
      <c r="S50" s="42"/>
      <c r="T50" s="42"/>
      <c r="U50" s="55"/>
    </row>
    <row r="51" spans="1:21" ht="17.25" customHeight="1" x14ac:dyDescent="0.3">
      <c r="A51" s="15" t="s">
        <v>29</v>
      </c>
      <c r="C51" s="19"/>
      <c r="D51" s="33"/>
      <c r="E51" s="33" t="s">
        <v>30</v>
      </c>
      <c r="F51" s="20" t="s">
        <v>30</v>
      </c>
      <c r="G51" s="20" t="s">
        <v>30</v>
      </c>
      <c r="H51" s="20"/>
      <c r="I51" s="20"/>
      <c r="J51" s="20" t="s">
        <v>30</v>
      </c>
      <c r="K51" s="20" t="s">
        <v>30</v>
      </c>
      <c r="L51" s="20" t="s">
        <v>30</v>
      </c>
      <c r="M51" s="20" t="s">
        <v>30</v>
      </c>
      <c r="N51" s="20"/>
      <c r="U51" s="56"/>
    </row>
    <row r="52" spans="1:21" ht="20.25" customHeight="1" x14ac:dyDescent="0.35">
      <c r="A52" s="15" t="s">
        <v>29</v>
      </c>
      <c r="C52" s="19"/>
      <c r="D52" s="34" t="str">
        <f t="shared" ref="D52" si="33">E52</f>
        <v>C100010</v>
      </c>
      <c r="E52" s="35" t="str">
        <f>"C100010"</f>
        <v>C100010</v>
      </c>
      <c r="F52" s="36" t="str">
        <f>"Wisper-Cut Vase"</f>
        <v>Wisper-Cut Vase</v>
      </c>
      <c r="G52" s="36"/>
      <c r="H52" s="37" t="str">
        <f>"EA"</f>
        <v>EA</v>
      </c>
      <c r="I52" s="36"/>
      <c r="J52" s="36"/>
      <c r="K52" s="36"/>
      <c r="L52" s="36"/>
      <c r="M52" s="36"/>
      <c r="N52" s="36"/>
      <c r="O52" s="38">
        <f t="shared" ref="O52:T52" si="34">(SUBTOTAL(9,O53:O54))</f>
        <v>100</v>
      </c>
      <c r="P52" s="38">
        <f t="shared" si="34"/>
        <v>0</v>
      </c>
      <c r="Q52" s="38">
        <f t="shared" si="34"/>
        <v>0</v>
      </c>
      <c r="R52" s="38">
        <f t="shared" si="34"/>
        <v>0</v>
      </c>
      <c r="S52" s="38">
        <f t="shared" si="34"/>
        <v>0</v>
      </c>
      <c r="T52" s="38">
        <f t="shared" si="34"/>
        <v>0</v>
      </c>
      <c r="U52" s="53">
        <f t="shared" ref="U52" si="35">SUBTOTAL(9,O53:T54)</f>
        <v>100</v>
      </c>
    </row>
    <row r="53" spans="1:21" ht="17.25" customHeight="1" x14ac:dyDescent="0.3">
      <c r="A53" s="15" t="s">
        <v>29</v>
      </c>
      <c r="C53" s="19"/>
      <c r="D53" s="33" t="str">
        <f t="shared" ref="D53" si="36">D52</f>
        <v>C100010</v>
      </c>
      <c r="E53" s="33"/>
      <c r="F53" s="20"/>
      <c r="G53" s="20" t="str">
        <f>"""NAV"",""CRONUS JetCorp USA"",""32"",""1"",""166411"""</f>
        <v>"NAV","CRONUS JetCorp USA","32","1","166411"</v>
      </c>
      <c r="H53" s="39">
        <v>43466</v>
      </c>
      <c r="I53" s="40">
        <v>166411</v>
      </c>
      <c r="J53" s="40" t="str">
        <f>"Vendor"</f>
        <v>Vendor</v>
      </c>
      <c r="K53" s="40" t="str">
        <f>"V100003"</f>
        <v>V100003</v>
      </c>
      <c r="L53" s="40" t="str">
        <f>""</f>
        <v/>
      </c>
      <c r="M53" s="40" t="str">
        <f>"LogoMasters"</f>
        <v>LogoMasters</v>
      </c>
      <c r="N53" s="40" t="str">
        <f>""</f>
        <v/>
      </c>
      <c r="O53" s="41">
        <v>100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54"/>
    </row>
    <row r="54" spans="1:21" ht="17.25" customHeight="1" x14ac:dyDescent="0.3">
      <c r="A54" s="15" t="s">
        <v>29</v>
      </c>
      <c r="C54" s="19"/>
      <c r="D54" s="33"/>
      <c r="E54" s="33"/>
      <c r="F54" s="20"/>
      <c r="G54" s="20"/>
      <c r="H54" s="20"/>
      <c r="I54" s="20"/>
      <c r="J54" s="20"/>
      <c r="K54" s="20"/>
      <c r="L54" s="20"/>
      <c r="M54" s="20"/>
      <c r="N54" s="20"/>
      <c r="O54" s="42"/>
      <c r="P54" s="42"/>
      <c r="Q54" s="42"/>
      <c r="R54" s="42"/>
      <c r="S54" s="42"/>
      <c r="T54" s="42"/>
      <c r="U54" s="55"/>
    </row>
    <row r="55" spans="1:21" ht="17.25" customHeight="1" x14ac:dyDescent="0.3">
      <c r="A55" s="15" t="s">
        <v>29</v>
      </c>
      <c r="C55" s="19"/>
      <c r="D55" s="33"/>
      <c r="E55" s="33" t="s">
        <v>30</v>
      </c>
      <c r="F55" s="20" t="s">
        <v>30</v>
      </c>
      <c r="G55" s="20" t="s">
        <v>30</v>
      </c>
      <c r="H55" s="20"/>
      <c r="I55" s="20"/>
      <c r="J55" s="20" t="s">
        <v>30</v>
      </c>
      <c r="K55" s="20" t="s">
        <v>30</v>
      </c>
      <c r="L55" s="20" t="s">
        <v>30</v>
      </c>
      <c r="M55" s="20" t="s">
        <v>30</v>
      </c>
      <c r="N55" s="20"/>
      <c r="U55" s="56"/>
    </row>
    <row r="56" spans="1:21" ht="20.25" customHeight="1" x14ac:dyDescent="0.35">
      <c r="A56" s="15" t="s">
        <v>29</v>
      </c>
      <c r="C56" s="19"/>
      <c r="D56" s="34" t="str">
        <f t="shared" ref="D56" si="37">E56</f>
        <v>C100011</v>
      </c>
      <c r="E56" s="35" t="str">
        <f>"C100011"</f>
        <v>C100011</v>
      </c>
      <c r="F56" s="36" t="str">
        <f>"Winter Frost Vase"</f>
        <v>Winter Frost Vase</v>
      </c>
      <c r="G56" s="36"/>
      <c r="H56" s="37" t="str">
        <f>"EA"</f>
        <v>EA</v>
      </c>
      <c r="I56" s="36"/>
      <c r="J56" s="36"/>
      <c r="K56" s="36"/>
      <c r="L56" s="36"/>
      <c r="M56" s="36"/>
      <c r="N56" s="36"/>
      <c r="O56" s="38">
        <f t="shared" ref="O56:T56" si="38">(SUBTOTAL(9,O57:O58))</f>
        <v>0</v>
      </c>
      <c r="P56" s="38">
        <f t="shared" si="38"/>
        <v>-48</v>
      </c>
      <c r="Q56" s="38">
        <f t="shared" si="38"/>
        <v>0</v>
      </c>
      <c r="R56" s="38">
        <f t="shared" si="38"/>
        <v>0</v>
      </c>
      <c r="S56" s="38">
        <f t="shared" si="38"/>
        <v>0</v>
      </c>
      <c r="T56" s="38">
        <f t="shared" si="38"/>
        <v>0</v>
      </c>
      <c r="U56" s="53">
        <f t="shared" ref="U56" si="39">SUBTOTAL(9,O57:T58)</f>
        <v>-48</v>
      </c>
    </row>
    <row r="57" spans="1:21" ht="17.25" customHeight="1" x14ac:dyDescent="0.3">
      <c r="A57" s="15" t="s">
        <v>29</v>
      </c>
      <c r="C57" s="19"/>
      <c r="D57" s="33" t="str">
        <f t="shared" ref="D57" si="40">D56</f>
        <v>C100011</v>
      </c>
      <c r="E57" s="33"/>
      <c r="F57" s="20"/>
      <c r="G57" s="20" t="str">
        <f>"""NAV"",""CRONUS JetCorp USA"",""32"",""1"",""116370"""</f>
        <v>"NAV","CRONUS JetCorp USA","32","1","116370"</v>
      </c>
      <c r="H57" s="39">
        <v>43472</v>
      </c>
      <c r="I57" s="40">
        <v>116370</v>
      </c>
      <c r="J57" s="40" t="str">
        <f>"Customer"</f>
        <v>Customer</v>
      </c>
      <c r="K57" s="40" t="str">
        <f>"C100054"</f>
        <v>C100054</v>
      </c>
      <c r="L57" s="40" t="str">
        <f>"London Candoxy Storage Campus"</f>
        <v>London Candoxy Storage Campus</v>
      </c>
      <c r="M57" s="40" t="str">
        <f>""</f>
        <v/>
      </c>
      <c r="N57" s="40" t="str">
        <f>""</f>
        <v/>
      </c>
      <c r="O57" s="41">
        <v>0</v>
      </c>
      <c r="P57" s="41">
        <v>-48</v>
      </c>
      <c r="Q57" s="41">
        <v>0</v>
      </c>
      <c r="R57" s="41">
        <v>0</v>
      </c>
      <c r="S57" s="41">
        <v>0</v>
      </c>
      <c r="T57" s="41">
        <v>0</v>
      </c>
      <c r="U57" s="54"/>
    </row>
    <row r="58" spans="1:21" ht="17.25" customHeight="1" x14ac:dyDescent="0.3">
      <c r="A58" s="15" t="s">
        <v>29</v>
      </c>
      <c r="C58" s="19"/>
      <c r="D58" s="33"/>
      <c r="E58" s="33"/>
      <c r="F58" s="20"/>
      <c r="G58" s="20"/>
      <c r="H58" s="20"/>
      <c r="I58" s="20"/>
      <c r="J58" s="20"/>
      <c r="K58" s="20"/>
      <c r="L58" s="20"/>
      <c r="M58" s="20"/>
      <c r="N58" s="20"/>
      <c r="O58" s="42"/>
      <c r="P58" s="42"/>
      <c r="Q58" s="42"/>
      <c r="R58" s="42"/>
      <c r="S58" s="42"/>
      <c r="T58" s="42"/>
      <c r="U58" s="55"/>
    </row>
    <row r="59" spans="1:21" ht="17.25" customHeight="1" x14ac:dyDescent="0.3">
      <c r="A59" s="15" t="s">
        <v>29</v>
      </c>
      <c r="C59" s="19"/>
      <c r="D59" s="33"/>
      <c r="E59" s="33" t="s">
        <v>30</v>
      </c>
      <c r="F59" s="20" t="s">
        <v>30</v>
      </c>
      <c r="G59" s="20" t="s">
        <v>30</v>
      </c>
      <c r="H59" s="20"/>
      <c r="I59" s="20"/>
      <c r="J59" s="20" t="s">
        <v>30</v>
      </c>
      <c r="K59" s="20" t="s">
        <v>30</v>
      </c>
      <c r="L59" s="20" t="s">
        <v>30</v>
      </c>
      <c r="M59" s="20" t="s">
        <v>30</v>
      </c>
      <c r="N59" s="20"/>
      <c r="U59" s="56"/>
    </row>
    <row r="60" spans="1:21" ht="20.25" customHeight="1" x14ac:dyDescent="0.35">
      <c r="A60" s="15" t="s">
        <v>29</v>
      </c>
      <c r="C60" s="19"/>
      <c r="D60" s="34" t="str">
        <f t="shared" ref="D60" si="41">E60</f>
        <v>C100014</v>
      </c>
      <c r="E60" s="35" t="str">
        <f>"C100014"</f>
        <v>C100014</v>
      </c>
      <c r="F60" s="36" t="str">
        <f>"Canvas Field Bag"</f>
        <v>Canvas Field Bag</v>
      </c>
      <c r="G60" s="36"/>
      <c r="H60" s="37" t="str">
        <f>"EA"</f>
        <v>EA</v>
      </c>
      <c r="I60" s="36"/>
      <c r="J60" s="36"/>
      <c r="K60" s="36"/>
      <c r="L60" s="36"/>
      <c r="M60" s="36"/>
      <c r="N60" s="36"/>
      <c r="O60" s="38">
        <f t="shared" ref="O60:T60" si="42">(SUBTOTAL(9,O61:O63))</f>
        <v>200</v>
      </c>
      <c r="P60" s="38">
        <f t="shared" si="42"/>
        <v>-144</v>
      </c>
      <c r="Q60" s="38">
        <f t="shared" si="42"/>
        <v>0</v>
      </c>
      <c r="R60" s="38">
        <f t="shared" si="42"/>
        <v>0</v>
      </c>
      <c r="S60" s="38">
        <f t="shared" si="42"/>
        <v>0</v>
      </c>
      <c r="T60" s="38">
        <f t="shared" si="42"/>
        <v>0</v>
      </c>
      <c r="U60" s="53">
        <f t="shared" ref="U60" si="43">SUBTOTAL(9,O61:T63)</f>
        <v>56</v>
      </c>
    </row>
    <row r="61" spans="1:21" ht="17.25" customHeight="1" x14ac:dyDescent="0.3">
      <c r="A61" s="15" t="s">
        <v>29</v>
      </c>
      <c r="C61" s="19"/>
      <c r="D61" s="33" t="str">
        <f t="shared" ref="D61" si="44">D60</f>
        <v>C100014</v>
      </c>
      <c r="E61" s="33"/>
      <c r="F61" s="20"/>
      <c r="G61" s="20" t="str">
        <f>"""NAV"",""CRONUS JetCorp USA"",""32"",""1"",""166799"""</f>
        <v>"NAV","CRONUS JetCorp USA","32","1","166799"</v>
      </c>
      <c r="H61" s="39">
        <v>43466</v>
      </c>
      <c r="I61" s="40">
        <v>166799</v>
      </c>
      <c r="J61" s="40" t="str">
        <f>"Vendor"</f>
        <v>Vendor</v>
      </c>
      <c r="K61" s="40" t="str">
        <f>"V100003"</f>
        <v>V100003</v>
      </c>
      <c r="L61" s="40" t="str">
        <f>""</f>
        <v/>
      </c>
      <c r="M61" s="40" t="str">
        <f>"LogoMasters"</f>
        <v>LogoMasters</v>
      </c>
      <c r="N61" s="40" t="str">
        <f>""</f>
        <v/>
      </c>
      <c r="O61" s="41">
        <v>200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54"/>
    </row>
    <row r="62" spans="1:21" ht="17.25" customHeight="1" x14ac:dyDescent="0.3">
      <c r="A62" s="15" t="s">
        <v>29</v>
      </c>
      <c r="C62" s="19"/>
      <c r="D62" s="33" t="str">
        <f t="shared" ref="D62" si="45">D61</f>
        <v>C100014</v>
      </c>
      <c r="E62" s="33"/>
      <c r="F62" s="20"/>
      <c r="G62" s="20" t="str">
        <f>"""NAV"",""CRONUS JetCorp USA"",""32"",""1"",""30106"""</f>
        <v>"NAV","CRONUS JetCorp USA","32","1","30106"</v>
      </c>
      <c r="H62" s="39">
        <v>43475</v>
      </c>
      <c r="I62" s="40">
        <v>30106</v>
      </c>
      <c r="J62" s="40" t="str">
        <f>"Customer"</f>
        <v>Customer</v>
      </c>
      <c r="K62" s="40" t="str">
        <f>"C100012"</f>
        <v>C100012</v>
      </c>
      <c r="L62" s="40" t="str">
        <f>"Bainbridges"</f>
        <v>Bainbridges</v>
      </c>
      <c r="M62" s="40" t="str">
        <f>""</f>
        <v/>
      </c>
      <c r="N62" s="40" t="str">
        <f>""</f>
        <v/>
      </c>
      <c r="O62" s="41">
        <v>0</v>
      </c>
      <c r="P62" s="41">
        <v>-144</v>
      </c>
      <c r="Q62" s="41">
        <v>0</v>
      </c>
      <c r="R62" s="41">
        <v>0</v>
      </c>
      <c r="S62" s="41">
        <v>0</v>
      </c>
      <c r="T62" s="41">
        <v>0</v>
      </c>
      <c r="U62" s="54"/>
    </row>
    <row r="63" spans="1:21" ht="17.25" customHeight="1" x14ac:dyDescent="0.3">
      <c r="A63" s="15" t="s">
        <v>29</v>
      </c>
      <c r="C63" s="19"/>
      <c r="D63" s="33"/>
      <c r="E63" s="33"/>
      <c r="F63" s="20"/>
      <c r="G63" s="20"/>
      <c r="H63" s="20"/>
      <c r="I63" s="20"/>
      <c r="J63" s="20"/>
      <c r="K63" s="20"/>
      <c r="L63" s="20"/>
      <c r="M63" s="20"/>
      <c r="N63" s="20"/>
      <c r="O63" s="42"/>
      <c r="P63" s="42"/>
      <c r="Q63" s="42"/>
      <c r="R63" s="42"/>
      <c r="S63" s="42"/>
      <c r="T63" s="42"/>
      <c r="U63" s="55"/>
    </row>
    <row r="64" spans="1:21" ht="17.25" customHeight="1" x14ac:dyDescent="0.3">
      <c r="A64" s="15" t="s">
        <v>29</v>
      </c>
      <c r="C64" s="19"/>
      <c r="D64" s="33"/>
      <c r="E64" s="33" t="s">
        <v>30</v>
      </c>
      <c r="F64" s="20" t="s">
        <v>30</v>
      </c>
      <c r="G64" s="20" t="s">
        <v>30</v>
      </c>
      <c r="H64" s="20"/>
      <c r="I64" s="20"/>
      <c r="J64" s="20" t="s">
        <v>30</v>
      </c>
      <c r="K64" s="20" t="s">
        <v>30</v>
      </c>
      <c r="L64" s="20" t="s">
        <v>30</v>
      </c>
      <c r="M64" s="20" t="s">
        <v>30</v>
      </c>
      <c r="N64" s="20"/>
      <c r="U64" s="56"/>
    </row>
    <row r="65" spans="1:21" ht="20.25" customHeight="1" x14ac:dyDescent="0.35">
      <c r="A65" s="15" t="s">
        <v>29</v>
      </c>
      <c r="C65" s="19"/>
      <c r="D65" s="34" t="str">
        <f t="shared" ref="D65" si="46">E65</f>
        <v>C100017</v>
      </c>
      <c r="E65" s="35" t="str">
        <f>"C100017"</f>
        <v>C100017</v>
      </c>
      <c r="F65" s="36" t="str">
        <f>"Wheeled Duffel"</f>
        <v>Wheeled Duffel</v>
      </c>
      <c r="G65" s="36"/>
      <c r="H65" s="37" t="str">
        <f>"EA"</f>
        <v>EA</v>
      </c>
      <c r="I65" s="36"/>
      <c r="J65" s="36"/>
      <c r="K65" s="36"/>
      <c r="L65" s="36"/>
      <c r="M65" s="36"/>
      <c r="N65" s="36"/>
      <c r="O65" s="38">
        <f t="shared" ref="O65:T65" si="47">(SUBTOTAL(9,O66:O68))</f>
        <v>200</v>
      </c>
      <c r="P65" s="38">
        <f t="shared" si="47"/>
        <v>-24</v>
      </c>
      <c r="Q65" s="38">
        <f t="shared" si="47"/>
        <v>0</v>
      </c>
      <c r="R65" s="38">
        <f t="shared" si="47"/>
        <v>0</v>
      </c>
      <c r="S65" s="38">
        <f t="shared" si="47"/>
        <v>0</v>
      </c>
      <c r="T65" s="38">
        <f t="shared" si="47"/>
        <v>0</v>
      </c>
      <c r="U65" s="53">
        <f t="shared" ref="U65" si="48">SUBTOTAL(9,O66:T68)</f>
        <v>176</v>
      </c>
    </row>
    <row r="66" spans="1:21" ht="17.25" customHeight="1" x14ac:dyDescent="0.3">
      <c r="A66" s="15" t="s">
        <v>29</v>
      </c>
      <c r="C66" s="19"/>
      <c r="D66" s="33" t="str">
        <f t="shared" ref="D66" si="49">D65</f>
        <v>C100017</v>
      </c>
      <c r="E66" s="33"/>
      <c r="F66" s="20"/>
      <c r="G66" s="20" t="str">
        <f>"""NAV"",""CRONUS JetCorp USA"",""32"",""1"",""166798"""</f>
        <v>"NAV","CRONUS JetCorp USA","32","1","166798"</v>
      </c>
      <c r="H66" s="39">
        <v>43466</v>
      </c>
      <c r="I66" s="40">
        <v>166798</v>
      </c>
      <c r="J66" s="40" t="str">
        <f>"Vendor"</f>
        <v>Vendor</v>
      </c>
      <c r="K66" s="40" t="str">
        <f>"V100003"</f>
        <v>V100003</v>
      </c>
      <c r="L66" s="40" t="str">
        <f>""</f>
        <v/>
      </c>
      <c r="M66" s="40" t="str">
        <f>"LogoMasters"</f>
        <v>LogoMasters</v>
      </c>
      <c r="N66" s="40" t="str">
        <f>""</f>
        <v/>
      </c>
      <c r="O66" s="41">
        <v>200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54"/>
    </row>
    <row r="67" spans="1:21" ht="17.25" customHeight="1" x14ac:dyDescent="0.3">
      <c r="A67" s="15" t="s">
        <v>29</v>
      </c>
      <c r="C67" s="19"/>
      <c r="D67" s="33" t="str">
        <f t="shared" ref="D67" si="50">D66</f>
        <v>C100017</v>
      </c>
      <c r="E67" s="33"/>
      <c r="F67" s="20"/>
      <c r="G67" s="20" t="str">
        <f>"""NAV"",""CRONUS JetCorp USA"",""32"",""1"",""30027"""</f>
        <v>"NAV","CRONUS JetCorp USA","32","1","30027"</v>
      </c>
      <c r="H67" s="39">
        <v>43471</v>
      </c>
      <c r="I67" s="40">
        <v>30027</v>
      </c>
      <c r="J67" s="40" t="str">
        <f>"Customer"</f>
        <v>Customer</v>
      </c>
      <c r="K67" s="40" t="str">
        <f>"C100012"</f>
        <v>C100012</v>
      </c>
      <c r="L67" s="40" t="str">
        <f>"Bainbridges"</f>
        <v>Bainbridges</v>
      </c>
      <c r="M67" s="40" t="str">
        <f>""</f>
        <v/>
      </c>
      <c r="N67" s="40" t="str">
        <f>""</f>
        <v/>
      </c>
      <c r="O67" s="41">
        <v>0</v>
      </c>
      <c r="P67" s="41">
        <v>-24</v>
      </c>
      <c r="Q67" s="41">
        <v>0</v>
      </c>
      <c r="R67" s="41">
        <v>0</v>
      </c>
      <c r="S67" s="41">
        <v>0</v>
      </c>
      <c r="T67" s="41">
        <v>0</v>
      </c>
      <c r="U67" s="54"/>
    </row>
    <row r="68" spans="1:21" ht="17.25" customHeight="1" x14ac:dyDescent="0.3">
      <c r="A68" s="15" t="s">
        <v>29</v>
      </c>
      <c r="C68" s="19"/>
      <c r="D68" s="33"/>
      <c r="E68" s="33"/>
      <c r="F68" s="20"/>
      <c r="G68" s="20"/>
      <c r="H68" s="20"/>
      <c r="I68" s="20"/>
      <c r="J68" s="20"/>
      <c r="K68" s="20"/>
      <c r="L68" s="20"/>
      <c r="M68" s="20"/>
      <c r="N68" s="20"/>
      <c r="O68" s="42"/>
      <c r="P68" s="42"/>
      <c r="Q68" s="42"/>
      <c r="R68" s="42"/>
      <c r="S68" s="42"/>
      <c r="T68" s="42"/>
      <c r="U68" s="55"/>
    </row>
    <row r="69" spans="1:21" ht="17.25" customHeight="1" x14ac:dyDescent="0.3">
      <c r="A69" s="15" t="s">
        <v>29</v>
      </c>
      <c r="C69" s="19"/>
      <c r="D69" s="33"/>
      <c r="E69" s="33" t="s">
        <v>30</v>
      </c>
      <c r="F69" s="20" t="s">
        <v>30</v>
      </c>
      <c r="G69" s="20" t="s">
        <v>30</v>
      </c>
      <c r="H69" s="20"/>
      <c r="I69" s="20"/>
      <c r="J69" s="20" t="s">
        <v>30</v>
      </c>
      <c r="K69" s="20" t="s">
        <v>30</v>
      </c>
      <c r="L69" s="20" t="s">
        <v>30</v>
      </c>
      <c r="M69" s="20" t="s">
        <v>30</v>
      </c>
      <c r="N69" s="20"/>
      <c r="U69" s="56"/>
    </row>
    <row r="70" spans="1:21" ht="20.25" customHeight="1" x14ac:dyDescent="0.35">
      <c r="A70" s="15" t="s">
        <v>29</v>
      </c>
      <c r="C70" s="19"/>
      <c r="D70" s="34" t="str">
        <f t="shared" ref="D70" si="51">E70</f>
        <v>C100018</v>
      </c>
      <c r="E70" s="35" t="str">
        <f>"C100018"</f>
        <v>C100018</v>
      </c>
      <c r="F70" s="36" t="str">
        <f>"Action Sport Duffel"</f>
        <v>Action Sport Duffel</v>
      </c>
      <c r="G70" s="36"/>
      <c r="H70" s="37" t="str">
        <f>"EA"</f>
        <v>EA</v>
      </c>
      <c r="I70" s="36"/>
      <c r="J70" s="36"/>
      <c r="K70" s="36"/>
      <c r="L70" s="36"/>
      <c r="M70" s="36"/>
      <c r="N70" s="36"/>
      <c r="O70" s="38">
        <f t="shared" ref="O70:T70" si="52">(SUBTOTAL(9,O71:O72))</f>
        <v>0</v>
      </c>
      <c r="P70" s="38">
        <f t="shared" si="52"/>
        <v>-6</v>
      </c>
      <c r="Q70" s="38">
        <f t="shared" si="52"/>
        <v>0</v>
      </c>
      <c r="R70" s="38">
        <f t="shared" si="52"/>
        <v>0</v>
      </c>
      <c r="S70" s="38">
        <f t="shared" si="52"/>
        <v>0</v>
      </c>
      <c r="T70" s="38">
        <f t="shared" si="52"/>
        <v>0</v>
      </c>
      <c r="U70" s="53">
        <f t="shared" ref="U70" si="53">SUBTOTAL(9,O71:T72)</f>
        <v>-6</v>
      </c>
    </row>
    <row r="71" spans="1:21" ht="17.25" customHeight="1" x14ac:dyDescent="0.3">
      <c r="A71" s="15" t="s">
        <v>29</v>
      </c>
      <c r="C71" s="19"/>
      <c r="D71" s="33" t="str">
        <f t="shared" ref="D71" si="54">D70</f>
        <v>C100018</v>
      </c>
      <c r="E71" s="33"/>
      <c r="F71" s="20"/>
      <c r="G71" s="20" t="str">
        <f>"""NAV"",""CRONUS JetCorp USA"",""32"",""1"",""30117"""</f>
        <v>"NAV","CRONUS JetCorp USA","32","1","30117"</v>
      </c>
      <c r="H71" s="39">
        <v>43475</v>
      </c>
      <c r="I71" s="40">
        <v>30117</v>
      </c>
      <c r="J71" s="40" t="str">
        <f>"Customer"</f>
        <v>Customer</v>
      </c>
      <c r="K71" s="40" t="str">
        <f>"C100012"</f>
        <v>C100012</v>
      </c>
      <c r="L71" s="40" t="str">
        <f>"Bainbridges"</f>
        <v>Bainbridges</v>
      </c>
      <c r="M71" s="40" t="str">
        <f>""</f>
        <v/>
      </c>
      <c r="N71" s="40" t="str">
        <f>""</f>
        <v/>
      </c>
      <c r="O71" s="41">
        <v>0</v>
      </c>
      <c r="P71" s="41">
        <v>-6</v>
      </c>
      <c r="Q71" s="41">
        <v>0</v>
      </c>
      <c r="R71" s="41">
        <v>0</v>
      </c>
      <c r="S71" s="41">
        <v>0</v>
      </c>
      <c r="T71" s="41">
        <v>0</v>
      </c>
      <c r="U71" s="54"/>
    </row>
    <row r="72" spans="1:21" ht="17.25" customHeight="1" x14ac:dyDescent="0.3">
      <c r="A72" s="15" t="s">
        <v>29</v>
      </c>
      <c r="C72" s="19"/>
      <c r="D72" s="33"/>
      <c r="E72" s="33"/>
      <c r="F72" s="20"/>
      <c r="G72" s="20"/>
      <c r="H72" s="20"/>
      <c r="I72" s="20"/>
      <c r="J72" s="20"/>
      <c r="K72" s="20"/>
      <c r="L72" s="20"/>
      <c r="M72" s="20"/>
      <c r="N72" s="20"/>
      <c r="O72" s="42"/>
      <c r="P72" s="42"/>
      <c r="Q72" s="42"/>
      <c r="R72" s="42"/>
      <c r="S72" s="42"/>
      <c r="T72" s="42"/>
      <c r="U72" s="55"/>
    </row>
    <row r="73" spans="1:21" ht="17.25" customHeight="1" x14ac:dyDescent="0.3">
      <c r="A73" s="15" t="s">
        <v>29</v>
      </c>
      <c r="C73" s="19"/>
      <c r="D73" s="33"/>
      <c r="E73" s="33" t="s">
        <v>30</v>
      </c>
      <c r="F73" s="20" t="s">
        <v>30</v>
      </c>
      <c r="G73" s="20" t="s">
        <v>30</v>
      </c>
      <c r="H73" s="20"/>
      <c r="I73" s="20"/>
      <c r="J73" s="20" t="s">
        <v>30</v>
      </c>
      <c r="K73" s="20" t="s">
        <v>30</v>
      </c>
      <c r="L73" s="20" t="s">
        <v>30</v>
      </c>
      <c r="M73" s="20" t="s">
        <v>30</v>
      </c>
      <c r="N73" s="20"/>
      <c r="U73" s="56"/>
    </row>
    <row r="74" spans="1:21" ht="20.25" customHeight="1" x14ac:dyDescent="0.35">
      <c r="A74" s="15" t="s">
        <v>29</v>
      </c>
      <c r="C74" s="19"/>
      <c r="D74" s="34" t="str">
        <f t="shared" ref="D74" si="55">E74</f>
        <v>C100019</v>
      </c>
      <c r="E74" s="35" t="str">
        <f>"C100019"</f>
        <v>C100019</v>
      </c>
      <c r="F74" s="36" t="str">
        <f>"Black Duffel Bag"</f>
        <v>Black Duffel Bag</v>
      </c>
      <c r="G74" s="36"/>
      <c r="H74" s="37" t="str">
        <f>"EA"</f>
        <v>EA</v>
      </c>
      <c r="I74" s="36"/>
      <c r="J74" s="36"/>
      <c r="K74" s="36"/>
      <c r="L74" s="36"/>
      <c r="M74" s="36"/>
      <c r="N74" s="36"/>
      <c r="O74" s="38">
        <f t="shared" ref="O74:T74" si="56">(SUBTOTAL(9,O75:O77))</f>
        <v>400</v>
      </c>
      <c r="P74" s="38">
        <f t="shared" si="56"/>
        <v>-48</v>
      </c>
      <c r="Q74" s="38">
        <f t="shared" si="56"/>
        <v>0</v>
      </c>
      <c r="R74" s="38">
        <f t="shared" si="56"/>
        <v>0</v>
      </c>
      <c r="S74" s="38">
        <f t="shared" si="56"/>
        <v>0</v>
      </c>
      <c r="T74" s="38">
        <f t="shared" si="56"/>
        <v>0</v>
      </c>
      <c r="U74" s="53">
        <f t="shared" ref="U74" si="57">SUBTOTAL(9,O75:T77)</f>
        <v>352</v>
      </c>
    </row>
    <row r="75" spans="1:21" ht="17.25" customHeight="1" x14ac:dyDescent="0.3">
      <c r="A75" s="15" t="s">
        <v>29</v>
      </c>
      <c r="C75" s="19"/>
      <c r="D75" s="33" t="str">
        <f t="shared" ref="D75" si="58">D74</f>
        <v>C100019</v>
      </c>
      <c r="E75" s="33"/>
      <c r="F75" s="20"/>
      <c r="G75" s="20" t="str">
        <f>"""NAV"",""CRONUS JetCorp USA"",""32"",""1"",""166797"""</f>
        <v>"NAV","CRONUS JetCorp USA","32","1","166797"</v>
      </c>
      <c r="H75" s="39">
        <v>43466</v>
      </c>
      <c r="I75" s="40">
        <v>166797</v>
      </c>
      <c r="J75" s="40" t="str">
        <f>"Vendor"</f>
        <v>Vendor</v>
      </c>
      <c r="K75" s="40" t="str">
        <f>"V100003"</f>
        <v>V100003</v>
      </c>
      <c r="L75" s="40" t="str">
        <f>""</f>
        <v/>
      </c>
      <c r="M75" s="40" t="str">
        <f>"LogoMasters"</f>
        <v>LogoMasters</v>
      </c>
      <c r="N75" s="40" t="str">
        <f>""</f>
        <v/>
      </c>
      <c r="O75" s="41">
        <v>400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54"/>
    </row>
    <row r="76" spans="1:21" ht="17.25" customHeight="1" x14ac:dyDescent="0.3">
      <c r="A76" s="15" t="s">
        <v>29</v>
      </c>
      <c r="C76" s="19"/>
      <c r="D76" s="33" t="str">
        <f t="shared" ref="D76" si="59">D75</f>
        <v>C100019</v>
      </c>
      <c r="E76" s="33"/>
      <c r="F76" s="20"/>
      <c r="G76" s="20" t="str">
        <f>"""NAV"",""CRONUS JetCorp USA"",""32"",""1"",""30101"""</f>
        <v>"NAV","CRONUS JetCorp USA","32","1","30101"</v>
      </c>
      <c r="H76" s="39">
        <v>43475</v>
      </c>
      <c r="I76" s="40">
        <v>30101</v>
      </c>
      <c r="J76" s="40" t="str">
        <f>"Customer"</f>
        <v>Customer</v>
      </c>
      <c r="K76" s="40" t="str">
        <f>"C100012"</f>
        <v>C100012</v>
      </c>
      <c r="L76" s="40" t="str">
        <f>"Bainbridges"</f>
        <v>Bainbridges</v>
      </c>
      <c r="M76" s="40" t="str">
        <f>""</f>
        <v/>
      </c>
      <c r="N76" s="40" t="str">
        <f>""</f>
        <v/>
      </c>
      <c r="O76" s="41">
        <v>0</v>
      </c>
      <c r="P76" s="41">
        <v>-48</v>
      </c>
      <c r="Q76" s="41">
        <v>0</v>
      </c>
      <c r="R76" s="41">
        <v>0</v>
      </c>
      <c r="S76" s="41">
        <v>0</v>
      </c>
      <c r="T76" s="41">
        <v>0</v>
      </c>
      <c r="U76" s="54"/>
    </row>
    <row r="77" spans="1:21" ht="17.25" customHeight="1" x14ac:dyDescent="0.3">
      <c r="A77" s="15" t="s">
        <v>29</v>
      </c>
      <c r="C77" s="19"/>
      <c r="D77" s="33"/>
      <c r="E77" s="33"/>
      <c r="F77" s="20"/>
      <c r="G77" s="20"/>
      <c r="H77" s="20"/>
      <c r="I77" s="20"/>
      <c r="J77" s="20"/>
      <c r="K77" s="20"/>
      <c r="L77" s="20"/>
      <c r="M77" s="20"/>
      <c r="N77" s="20"/>
      <c r="O77" s="42"/>
      <c r="P77" s="42"/>
      <c r="Q77" s="42"/>
      <c r="R77" s="42"/>
      <c r="S77" s="42"/>
      <c r="T77" s="42"/>
      <c r="U77" s="55"/>
    </row>
    <row r="78" spans="1:21" ht="17.25" customHeight="1" x14ac:dyDescent="0.3">
      <c r="A78" s="15" t="s">
        <v>29</v>
      </c>
      <c r="C78" s="19"/>
      <c r="D78" s="33"/>
      <c r="E78" s="33" t="s">
        <v>30</v>
      </c>
      <c r="F78" s="20" t="s">
        <v>30</v>
      </c>
      <c r="G78" s="20" t="s">
        <v>30</v>
      </c>
      <c r="H78" s="20"/>
      <c r="I78" s="20"/>
      <c r="J78" s="20" t="s">
        <v>30</v>
      </c>
      <c r="K78" s="20" t="s">
        <v>30</v>
      </c>
      <c r="L78" s="20" t="s">
        <v>30</v>
      </c>
      <c r="M78" s="20" t="s">
        <v>30</v>
      </c>
      <c r="N78" s="20"/>
      <c r="U78" s="56"/>
    </row>
    <row r="79" spans="1:21" ht="20.25" customHeight="1" x14ac:dyDescent="0.35">
      <c r="A79" s="15" t="s">
        <v>29</v>
      </c>
      <c r="C79" s="19"/>
      <c r="D79" s="34" t="str">
        <f t="shared" ref="D79" si="60">E79</f>
        <v>C100020</v>
      </c>
      <c r="E79" s="35" t="str">
        <f>"C100020"</f>
        <v>C100020</v>
      </c>
      <c r="F79" s="36" t="str">
        <f>"Gym Locker Bag"</f>
        <v>Gym Locker Bag</v>
      </c>
      <c r="G79" s="36"/>
      <c r="H79" s="37" t="str">
        <f>"EA"</f>
        <v>EA</v>
      </c>
      <c r="I79" s="36"/>
      <c r="J79" s="36"/>
      <c r="K79" s="36"/>
      <c r="L79" s="36"/>
      <c r="M79" s="36"/>
      <c r="N79" s="36"/>
      <c r="O79" s="38">
        <f t="shared" ref="O79:T79" si="61">(SUBTOTAL(9,O80:O82))</f>
        <v>400</v>
      </c>
      <c r="P79" s="38">
        <f t="shared" si="61"/>
        <v>-144</v>
      </c>
      <c r="Q79" s="38">
        <f t="shared" si="61"/>
        <v>0</v>
      </c>
      <c r="R79" s="38">
        <f t="shared" si="61"/>
        <v>0</v>
      </c>
      <c r="S79" s="38">
        <f t="shared" si="61"/>
        <v>0</v>
      </c>
      <c r="T79" s="38">
        <f t="shared" si="61"/>
        <v>0</v>
      </c>
      <c r="U79" s="53">
        <f t="shared" ref="U79" si="62">SUBTOTAL(9,O80:T82)</f>
        <v>256</v>
      </c>
    </row>
    <row r="80" spans="1:21" ht="17.25" customHeight="1" x14ac:dyDescent="0.3">
      <c r="A80" s="15" t="s">
        <v>29</v>
      </c>
      <c r="C80" s="19"/>
      <c r="D80" s="33" t="str">
        <f t="shared" ref="D80" si="63">D79</f>
        <v>C100020</v>
      </c>
      <c r="E80" s="33"/>
      <c r="F80" s="20"/>
      <c r="G80" s="20" t="str">
        <f>"""NAV"",""CRONUS JetCorp USA"",""32"",""1"",""166796"""</f>
        <v>"NAV","CRONUS JetCorp USA","32","1","166796"</v>
      </c>
      <c r="H80" s="39">
        <v>43466</v>
      </c>
      <c r="I80" s="40">
        <v>166796</v>
      </c>
      <c r="J80" s="40" t="str">
        <f>"Vendor"</f>
        <v>Vendor</v>
      </c>
      <c r="K80" s="40" t="str">
        <f>"V100003"</f>
        <v>V100003</v>
      </c>
      <c r="L80" s="40" t="str">
        <f>""</f>
        <v/>
      </c>
      <c r="M80" s="40" t="str">
        <f>"LogoMasters"</f>
        <v>LogoMasters</v>
      </c>
      <c r="N80" s="40" t="str">
        <f>""</f>
        <v/>
      </c>
      <c r="O80" s="41">
        <v>400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54"/>
    </row>
    <row r="81" spans="1:21" ht="17.25" customHeight="1" x14ac:dyDescent="0.3">
      <c r="A81" s="15" t="s">
        <v>29</v>
      </c>
      <c r="C81" s="19"/>
      <c r="D81" s="33" t="str">
        <f t="shared" ref="D81" si="64">D80</f>
        <v>C100020</v>
      </c>
      <c r="E81" s="33"/>
      <c r="F81" s="20"/>
      <c r="G81" s="20" t="str">
        <f>"""NAV"",""CRONUS JetCorp USA"",""32"",""1"",""30103"""</f>
        <v>"NAV","CRONUS JetCorp USA","32","1","30103"</v>
      </c>
      <c r="H81" s="39">
        <v>43475</v>
      </c>
      <c r="I81" s="40">
        <v>30103</v>
      </c>
      <c r="J81" s="40" t="str">
        <f>"Customer"</f>
        <v>Customer</v>
      </c>
      <c r="K81" s="40" t="str">
        <f>"C100012"</f>
        <v>C100012</v>
      </c>
      <c r="L81" s="40" t="str">
        <f>"Bainbridges"</f>
        <v>Bainbridges</v>
      </c>
      <c r="M81" s="40" t="str">
        <f>""</f>
        <v/>
      </c>
      <c r="N81" s="40" t="str">
        <f>""</f>
        <v/>
      </c>
      <c r="O81" s="41">
        <v>0</v>
      </c>
      <c r="P81" s="41">
        <v>-144</v>
      </c>
      <c r="Q81" s="41">
        <v>0</v>
      </c>
      <c r="R81" s="41">
        <v>0</v>
      </c>
      <c r="S81" s="41">
        <v>0</v>
      </c>
      <c r="T81" s="41">
        <v>0</v>
      </c>
      <c r="U81" s="54"/>
    </row>
    <row r="82" spans="1:21" ht="17.25" customHeight="1" x14ac:dyDescent="0.3">
      <c r="A82" s="15" t="s">
        <v>29</v>
      </c>
      <c r="C82" s="19"/>
      <c r="D82" s="33"/>
      <c r="E82" s="33"/>
      <c r="F82" s="20"/>
      <c r="G82" s="20"/>
      <c r="H82" s="20"/>
      <c r="I82" s="20"/>
      <c r="J82" s="20"/>
      <c r="K82" s="20"/>
      <c r="L82" s="20"/>
      <c r="M82" s="20"/>
      <c r="N82" s="20"/>
      <c r="O82" s="42"/>
      <c r="P82" s="42"/>
      <c r="Q82" s="42"/>
      <c r="R82" s="42"/>
      <c r="S82" s="42"/>
      <c r="T82" s="42"/>
      <c r="U82" s="55"/>
    </row>
    <row r="83" spans="1:21" ht="17.25" customHeight="1" x14ac:dyDescent="0.3">
      <c r="A83" s="15" t="s">
        <v>29</v>
      </c>
      <c r="C83" s="19"/>
      <c r="D83" s="33"/>
      <c r="E83" s="33" t="s">
        <v>30</v>
      </c>
      <c r="F83" s="20" t="s">
        <v>30</v>
      </c>
      <c r="G83" s="20" t="s">
        <v>30</v>
      </c>
      <c r="H83" s="20"/>
      <c r="I83" s="20"/>
      <c r="J83" s="20" t="s">
        <v>30</v>
      </c>
      <c r="K83" s="20" t="s">
        <v>30</v>
      </c>
      <c r="L83" s="20" t="s">
        <v>30</v>
      </c>
      <c r="M83" s="20" t="s">
        <v>30</v>
      </c>
      <c r="N83" s="20"/>
      <c r="U83" s="56"/>
    </row>
    <row r="84" spans="1:21" ht="20.25" customHeight="1" x14ac:dyDescent="0.35">
      <c r="A84" s="15" t="s">
        <v>29</v>
      </c>
      <c r="C84" s="19"/>
      <c r="D84" s="34" t="str">
        <f t="shared" ref="D84" si="65">E84</f>
        <v>C100021</v>
      </c>
      <c r="E84" s="35" t="str">
        <f>"C100021"</f>
        <v>C100021</v>
      </c>
      <c r="F84" s="36" t="str">
        <f>"Canvas Boat Bag"</f>
        <v>Canvas Boat Bag</v>
      </c>
      <c r="G84" s="36"/>
      <c r="H84" s="37" t="str">
        <f>"EA"</f>
        <v>EA</v>
      </c>
      <c r="I84" s="36"/>
      <c r="J84" s="36"/>
      <c r="K84" s="36"/>
      <c r="L84" s="36"/>
      <c r="M84" s="36"/>
      <c r="N84" s="36"/>
      <c r="O84" s="38">
        <f t="shared" ref="O84:T84" si="66">(SUBTOTAL(9,O85:O88))</f>
        <v>400</v>
      </c>
      <c r="P84" s="38">
        <f t="shared" si="66"/>
        <v>-432</v>
      </c>
      <c r="Q84" s="38">
        <f t="shared" si="66"/>
        <v>0</v>
      </c>
      <c r="R84" s="38">
        <f t="shared" si="66"/>
        <v>0</v>
      </c>
      <c r="S84" s="38">
        <f t="shared" si="66"/>
        <v>0</v>
      </c>
      <c r="T84" s="38">
        <f t="shared" si="66"/>
        <v>0</v>
      </c>
      <c r="U84" s="53">
        <f t="shared" ref="U84" si="67">SUBTOTAL(9,O85:T88)</f>
        <v>-32</v>
      </c>
    </row>
    <row r="85" spans="1:21" ht="17.25" customHeight="1" x14ac:dyDescent="0.3">
      <c r="A85" s="15" t="s">
        <v>29</v>
      </c>
      <c r="C85" s="19"/>
      <c r="D85" s="33" t="str">
        <f t="shared" ref="D85" si="68">D84</f>
        <v>C100021</v>
      </c>
      <c r="E85" s="33"/>
      <c r="F85" s="20"/>
      <c r="G85" s="20" t="str">
        <f>"""NAV"",""CRONUS JetCorp USA"",""32"",""1"",""166795"""</f>
        <v>"NAV","CRONUS JetCorp USA","32","1","166795"</v>
      </c>
      <c r="H85" s="39">
        <v>43466</v>
      </c>
      <c r="I85" s="40">
        <v>166795</v>
      </c>
      <c r="J85" s="40" t="str">
        <f>"Vendor"</f>
        <v>Vendor</v>
      </c>
      <c r="K85" s="40" t="str">
        <f>"V100003"</f>
        <v>V100003</v>
      </c>
      <c r="L85" s="40" t="str">
        <f>""</f>
        <v/>
      </c>
      <c r="M85" s="40" t="str">
        <f>"LogoMasters"</f>
        <v>LogoMasters</v>
      </c>
      <c r="N85" s="40" t="str">
        <f>""</f>
        <v/>
      </c>
      <c r="O85" s="41">
        <v>400</v>
      </c>
      <c r="P85" s="41">
        <v>0</v>
      </c>
      <c r="Q85" s="41">
        <v>0</v>
      </c>
      <c r="R85" s="41">
        <v>0</v>
      </c>
      <c r="S85" s="41">
        <v>0</v>
      </c>
      <c r="T85" s="41">
        <v>0</v>
      </c>
      <c r="U85" s="54"/>
    </row>
    <row r="86" spans="1:21" ht="17.25" customHeight="1" x14ac:dyDescent="0.3">
      <c r="A86" s="15" t="s">
        <v>29</v>
      </c>
      <c r="C86" s="19"/>
      <c r="D86" s="33" t="str">
        <f t="shared" ref="D86:D87" si="69">D85</f>
        <v>C100021</v>
      </c>
      <c r="E86" s="33"/>
      <c r="F86" s="20"/>
      <c r="G86" s="20" t="str">
        <f>"""NAV"",""CRONUS JetCorp USA"",""32"",""1"",""30029"""</f>
        <v>"NAV","CRONUS JetCorp USA","32","1","30029"</v>
      </c>
      <c r="H86" s="39">
        <v>43471</v>
      </c>
      <c r="I86" s="40">
        <v>30029</v>
      </c>
      <c r="J86" s="40" t="str">
        <f>"Customer"</f>
        <v>Customer</v>
      </c>
      <c r="K86" s="40" t="str">
        <f>"C100012"</f>
        <v>C100012</v>
      </c>
      <c r="L86" s="40" t="str">
        <f>"Bainbridges"</f>
        <v>Bainbridges</v>
      </c>
      <c r="M86" s="40" t="str">
        <f>""</f>
        <v/>
      </c>
      <c r="N86" s="40" t="str">
        <f>""</f>
        <v/>
      </c>
      <c r="O86" s="41">
        <v>0</v>
      </c>
      <c r="P86" s="41">
        <v>-288</v>
      </c>
      <c r="Q86" s="41">
        <v>0</v>
      </c>
      <c r="R86" s="41">
        <v>0</v>
      </c>
      <c r="S86" s="41">
        <v>0</v>
      </c>
      <c r="T86" s="41">
        <v>0</v>
      </c>
      <c r="U86" s="54"/>
    </row>
    <row r="87" spans="1:21" ht="17.25" customHeight="1" x14ac:dyDescent="0.3">
      <c r="A87" s="15" t="s">
        <v>29</v>
      </c>
      <c r="C87" s="19"/>
      <c r="D87" s="33" t="str">
        <f t="shared" si="69"/>
        <v>C100021</v>
      </c>
      <c r="E87" s="33"/>
      <c r="F87" s="20"/>
      <c r="G87" s="20" t="str">
        <f>"""NAV"",""CRONUS JetCorp USA"",""32"",""1"",""30104"""</f>
        <v>"NAV","CRONUS JetCorp USA","32","1","30104"</v>
      </c>
      <c r="H87" s="39">
        <v>43475</v>
      </c>
      <c r="I87" s="40">
        <v>30104</v>
      </c>
      <c r="J87" s="40" t="str">
        <f>"Customer"</f>
        <v>Customer</v>
      </c>
      <c r="K87" s="40" t="str">
        <f>"C100012"</f>
        <v>C100012</v>
      </c>
      <c r="L87" s="40" t="str">
        <f>"Bainbridges"</f>
        <v>Bainbridges</v>
      </c>
      <c r="M87" s="40" t="str">
        <f>""</f>
        <v/>
      </c>
      <c r="N87" s="40" t="str">
        <f>""</f>
        <v/>
      </c>
      <c r="O87" s="41">
        <v>0</v>
      </c>
      <c r="P87" s="41">
        <v>-144</v>
      </c>
      <c r="Q87" s="41">
        <v>0</v>
      </c>
      <c r="R87" s="41">
        <v>0</v>
      </c>
      <c r="S87" s="41">
        <v>0</v>
      </c>
      <c r="T87" s="41">
        <v>0</v>
      </c>
      <c r="U87" s="54"/>
    </row>
    <row r="88" spans="1:21" ht="17.25" customHeight="1" x14ac:dyDescent="0.3">
      <c r="A88" s="15" t="s">
        <v>29</v>
      </c>
      <c r="C88" s="19"/>
      <c r="D88" s="33"/>
      <c r="E88" s="33"/>
      <c r="F88" s="20"/>
      <c r="G88" s="20"/>
      <c r="H88" s="20"/>
      <c r="I88" s="20"/>
      <c r="J88" s="20"/>
      <c r="K88" s="20"/>
      <c r="L88" s="20"/>
      <c r="M88" s="20"/>
      <c r="N88" s="20"/>
      <c r="O88" s="42"/>
      <c r="P88" s="42"/>
      <c r="Q88" s="42"/>
      <c r="R88" s="42"/>
      <c r="S88" s="42"/>
      <c r="T88" s="42"/>
      <c r="U88" s="55"/>
    </row>
    <row r="89" spans="1:21" ht="17.25" customHeight="1" x14ac:dyDescent="0.3">
      <c r="A89" s="15" t="s">
        <v>29</v>
      </c>
      <c r="C89" s="19"/>
      <c r="D89" s="33"/>
      <c r="E89" s="33" t="s">
        <v>30</v>
      </c>
      <c r="F89" s="20" t="s">
        <v>30</v>
      </c>
      <c r="G89" s="20" t="s">
        <v>30</v>
      </c>
      <c r="H89" s="20"/>
      <c r="I89" s="20"/>
      <c r="J89" s="20" t="s">
        <v>30</v>
      </c>
      <c r="K89" s="20" t="s">
        <v>30</v>
      </c>
      <c r="L89" s="20" t="s">
        <v>30</v>
      </c>
      <c r="M89" s="20" t="s">
        <v>30</v>
      </c>
      <c r="N89" s="20"/>
      <c r="U89" s="56"/>
    </row>
    <row r="90" spans="1:21" ht="20.25" customHeight="1" x14ac:dyDescent="0.35">
      <c r="A90" s="15" t="s">
        <v>29</v>
      </c>
      <c r="C90" s="19"/>
      <c r="D90" s="34" t="str">
        <f t="shared" ref="D90" si="70">E90</f>
        <v>C100022</v>
      </c>
      <c r="E90" s="35" t="str">
        <f>"C100022"</f>
        <v>C100022</v>
      </c>
      <c r="F90" s="36" t="str">
        <f>"Two-Toned Cap"</f>
        <v>Two-Toned Cap</v>
      </c>
      <c r="G90" s="36"/>
      <c r="H90" s="37" t="str">
        <f>"EA"</f>
        <v>EA</v>
      </c>
      <c r="I90" s="36"/>
      <c r="J90" s="36"/>
      <c r="K90" s="36"/>
      <c r="L90" s="36"/>
      <c r="M90" s="36"/>
      <c r="N90" s="36"/>
      <c r="O90" s="38">
        <f t="shared" ref="O90:T90" si="71">(SUBTOTAL(9,O91:O92))</f>
        <v>400</v>
      </c>
      <c r="P90" s="38">
        <f t="shared" si="71"/>
        <v>0</v>
      </c>
      <c r="Q90" s="38">
        <f t="shared" si="71"/>
        <v>0</v>
      </c>
      <c r="R90" s="38">
        <f t="shared" si="71"/>
        <v>0</v>
      </c>
      <c r="S90" s="38">
        <f t="shared" si="71"/>
        <v>0</v>
      </c>
      <c r="T90" s="38">
        <f t="shared" si="71"/>
        <v>0</v>
      </c>
      <c r="U90" s="53">
        <f t="shared" ref="U90" si="72">SUBTOTAL(9,O91:T92)</f>
        <v>400</v>
      </c>
    </row>
    <row r="91" spans="1:21" ht="17.25" customHeight="1" x14ac:dyDescent="0.3">
      <c r="A91" s="15" t="s">
        <v>29</v>
      </c>
      <c r="C91" s="19"/>
      <c r="D91" s="33" t="str">
        <f t="shared" ref="D91" si="73">D90</f>
        <v>C100022</v>
      </c>
      <c r="E91" s="33"/>
      <c r="F91" s="20"/>
      <c r="G91" s="20" t="str">
        <f>"""NAV"",""CRONUS JetCorp USA"",""32"",""1"",""167168"""</f>
        <v>"NAV","CRONUS JetCorp USA","32","1","167168"</v>
      </c>
      <c r="H91" s="39">
        <v>43466</v>
      </c>
      <c r="I91" s="40">
        <v>167168</v>
      </c>
      <c r="J91" s="40" t="str">
        <f>"Vendor"</f>
        <v>Vendor</v>
      </c>
      <c r="K91" s="40" t="str">
        <f>"V100003"</f>
        <v>V100003</v>
      </c>
      <c r="L91" s="40" t="str">
        <f>""</f>
        <v/>
      </c>
      <c r="M91" s="40" t="str">
        <f>"LogoMasters"</f>
        <v>LogoMasters</v>
      </c>
      <c r="N91" s="40" t="str">
        <f>""</f>
        <v/>
      </c>
      <c r="O91" s="41">
        <v>400</v>
      </c>
      <c r="P91" s="41">
        <v>0</v>
      </c>
      <c r="Q91" s="41">
        <v>0</v>
      </c>
      <c r="R91" s="41">
        <v>0</v>
      </c>
      <c r="S91" s="41">
        <v>0</v>
      </c>
      <c r="T91" s="41">
        <v>0</v>
      </c>
      <c r="U91" s="54"/>
    </row>
    <row r="92" spans="1:21" ht="17.25" customHeight="1" x14ac:dyDescent="0.3">
      <c r="A92" s="15" t="s">
        <v>29</v>
      </c>
      <c r="C92" s="19"/>
      <c r="D92" s="33"/>
      <c r="E92" s="33"/>
      <c r="F92" s="20"/>
      <c r="G92" s="20"/>
      <c r="H92" s="20"/>
      <c r="I92" s="20"/>
      <c r="J92" s="20"/>
      <c r="K92" s="20"/>
      <c r="L92" s="20"/>
      <c r="M92" s="20"/>
      <c r="N92" s="20"/>
      <c r="O92" s="42"/>
      <c r="P92" s="42"/>
      <c r="Q92" s="42"/>
      <c r="R92" s="42"/>
      <c r="S92" s="42"/>
      <c r="T92" s="42"/>
      <c r="U92" s="55"/>
    </row>
    <row r="93" spans="1:21" ht="17.25" customHeight="1" x14ac:dyDescent="0.3">
      <c r="A93" s="15" t="s">
        <v>29</v>
      </c>
      <c r="C93" s="19"/>
      <c r="D93" s="33"/>
      <c r="E93" s="33" t="s">
        <v>30</v>
      </c>
      <c r="F93" s="20" t="s">
        <v>30</v>
      </c>
      <c r="G93" s="20" t="s">
        <v>30</v>
      </c>
      <c r="H93" s="20"/>
      <c r="I93" s="20"/>
      <c r="J93" s="20" t="s">
        <v>30</v>
      </c>
      <c r="K93" s="20" t="s">
        <v>30</v>
      </c>
      <c r="L93" s="20" t="s">
        <v>30</v>
      </c>
      <c r="M93" s="20" t="s">
        <v>30</v>
      </c>
      <c r="N93" s="20"/>
      <c r="U93" s="56"/>
    </row>
    <row r="94" spans="1:21" ht="20.25" customHeight="1" x14ac:dyDescent="0.35">
      <c r="A94" s="15" t="s">
        <v>29</v>
      </c>
      <c r="C94" s="19"/>
      <c r="D94" s="34" t="str">
        <f t="shared" ref="D94" si="74">E94</f>
        <v>C100023</v>
      </c>
      <c r="E94" s="35" t="str">
        <f>"C100023"</f>
        <v>C100023</v>
      </c>
      <c r="F94" s="36" t="str">
        <f>"Two-Toned Knit Hat"</f>
        <v>Two-Toned Knit Hat</v>
      </c>
      <c r="G94" s="36"/>
      <c r="H94" s="37" t="str">
        <f>"EA"</f>
        <v>EA</v>
      </c>
      <c r="I94" s="36"/>
      <c r="J94" s="36"/>
      <c r="K94" s="36"/>
      <c r="L94" s="36"/>
      <c r="M94" s="36"/>
      <c r="N94" s="36"/>
      <c r="O94" s="38">
        <f t="shared" ref="O94:T94" si="75">(SUBTOTAL(9,O95:O96))</f>
        <v>800</v>
      </c>
      <c r="P94" s="38">
        <f t="shared" si="75"/>
        <v>0</v>
      </c>
      <c r="Q94" s="38">
        <f t="shared" si="75"/>
        <v>0</v>
      </c>
      <c r="R94" s="38">
        <f t="shared" si="75"/>
        <v>0</v>
      </c>
      <c r="S94" s="38">
        <f t="shared" si="75"/>
        <v>0</v>
      </c>
      <c r="T94" s="38">
        <f t="shared" si="75"/>
        <v>0</v>
      </c>
      <c r="U94" s="53">
        <f t="shared" ref="U94" si="76">SUBTOTAL(9,O95:T96)</f>
        <v>800</v>
      </c>
    </row>
    <row r="95" spans="1:21" ht="17.25" customHeight="1" x14ac:dyDescent="0.3">
      <c r="A95" s="15" t="s">
        <v>29</v>
      </c>
      <c r="C95" s="19"/>
      <c r="D95" s="33" t="str">
        <f t="shared" ref="D95" si="77">D94</f>
        <v>C100023</v>
      </c>
      <c r="E95" s="33"/>
      <c r="F95" s="20"/>
      <c r="G95" s="20" t="str">
        <f>"""NAV"",""CRONUS JetCorp USA"",""32"",""1"",""167167"""</f>
        <v>"NAV","CRONUS JetCorp USA","32","1","167167"</v>
      </c>
      <c r="H95" s="39">
        <v>43466</v>
      </c>
      <c r="I95" s="40">
        <v>167167</v>
      </c>
      <c r="J95" s="40" t="str">
        <f>"Vendor"</f>
        <v>Vendor</v>
      </c>
      <c r="K95" s="40" t="str">
        <f>"V100003"</f>
        <v>V100003</v>
      </c>
      <c r="L95" s="40" t="str">
        <f>""</f>
        <v/>
      </c>
      <c r="M95" s="40" t="str">
        <f>"LogoMasters"</f>
        <v>LogoMasters</v>
      </c>
      <c r="N95" s="40" t="str">
        <f>""</f>
        <v/>
      </c>
      <c r="O95" s="41">
        <v>800</v>
      </c>
      <c r="P95" s="41">
        <v>0</v>
      </c>
      <c r="Q95" s="41">
        <v>0</v>
      </c>
      <c r="R95" s="41">
        <v>0</v>
      </c>
      <c r="S95" s="41">
        <v>0</v>
      </c>
      <c r="T95" s="41">
        <v>0</v>
      </c>
      <c r="U95" s="54"/>
    </row>
    <row r="96" spans="1:21" ht="17.25" customHeight="1" x14ac:dyDescent="0.3">
      <c r="A96" s="15" t="s">
        <v>29</v>
      </c>
      <c r="C96" s="19"/>
      <c r="D96" s="33"/>
      <c r="E96" s="33"/>
      <c r="F96" s="20"/>
      <c r="G96" s="20"/>
      <c r="H96" s="20"/>
      <c r="I96" s="20"/>
      <c r="J96" s="20"/>
      <c r="K96" s="20"/>
      <c r="L96" s="20"/>
      <c r="M96" s="20"/>
      <c r="N96" s="20"/>
      <c r="O96" s="42"/>
      <c r="P96" s="42"/>
      <c r="Q96" s="42"/>
      <c r="R96" s="42"/>
      <c r="S96" s="42"/>
      <c r="T96" s="42"/>
      <c r="U96" s="55"/>
    </row>
    <row r="97" spans="1:21" ht="17.25" customHeight="1" x14ac:dyDescent="0.3">
      <c r="A97" s="15" t="s">
        <v>29</v>
      </c>
      <c r="C97" s="19"/>
      <c r="D97" s="33"/>
      <c r="E97" s="33" t="s">
        <v>30</v>
      </c>
      <c r="F97" s="20" t="s">
        <v>30</v>
      </c>
      <c r="G97" s="20" t="s">
        <v>30</v>
      </c>
      <c r="H97" s="20"/>
      <c r="I97" s="20"/>
      <c r="J97" s="20" t="s">
        <v>30</v>
      </c>
      <c r="K97" s="20" t="s">
        <v>30</v>
      </c>
      <c r="L97" s="20" t="s">
        <v>30</v>
      </c>
      <c r="M97" s="20" t="s">
        <v>30</v>
      </c>
      <c r="N97" s="20"/>
      <c r="U97" s="56"/>
    </row>
    <row r="98" spans="1:21" ht="20.25" customHeight="1" x14ac:dyDescent="0.35">
      <c r="A98" s="15" t="s">
        <v>29</v>
      </c>
      <c r="C98" s="19"/>
      <c r="D98" s="34" t="str">
        <f t="shared" ref="D98" si="78">E98</f>
        <v>C100024</v>
      </c>
      <c r="E98" s="35" t="str">
        <f>"C100024"</f>
        <v>C100024</v>
      </c>
      <c r="F98" s="36" t="str">
        <f>"Knit Hat with Bill"</f>
        <v>Knit Hat with Bill</v>
      </c>
      <c r="G98" s="36"/>
      <c r="H98" s="37" t="str">
        <f>"EA"</f>
        <v>EA</v>
      </c>
      <c r="I98" s="36"/>
      <c r="J98" s="36"/>
      <c r="K98" s="36"/>
      <c r="L98" s="36"/>
      <c r="M98" s="36"/>
      <c r="N98" s="36"/>
      <c r="O98" s="38">
        <f t="shared" ref="O98:T98" si="79">(SUBTOTAL(9,O99:O101))</f>
        <v>400</v>
      </c>
      <c r="P98" s="38">
        <f t="shared" si="79"/>
        <v>-144</v>
      </c>
      <c r="Q98" s="38">
        <f t="shared" si="79"/>
        <v>0</v>
      </c>
      <c r="R98" s="38">
        <f t="shared" si="79"/>
        <v>0</v>
      </c>
      <c r="S98" s="38">
        <f t="shared" si="79"/>
        <v>0</v>
      </c>
      <c r="T98" s="38">
        <f t="shared" si="79"/>
        <v>0</v>
      </c>
      <c r="U98" s="53">
        <f t="shared" ref="U98" si="80">SUBTOTAL(9,O99:T101)</f>
        <v>256</v>
      </c>
    </row>
    <row r="99" spans="1:21" ht="17.25" customHeight="1" x14ac:dyDescent="0.3">
      <c r="A99" s="15" t="s">
        <v>29</v>
      </c>
      <c r="C99" s="19"/>
      <c r="D99" s="33" t="str">
        <f t="shared" ref="D99" si="81">D98</f>
        <v>C100024</v>
      </c>
      <c r="E99" s="33"/>
      <c r="F99" s="20"/>
      <c r="G99" s="20" t="str">
        <f>"""NAV"",""CRONUS JetCorp USA"",""32"",""1"",""167166"""</f>
        <v>"NAV","CRONUS JetCorp USA","32","1","167166"</v>
      </c>
      <c r="H99" s="39">
        <v>43466</v>
      </c>
      <c r="I99" s="40">
        <v>167166</v>
      </c>
      <c r="J99" s="40" t="str">
        <f>"Vendor"</f>
        <v>Vendor</v>
      </c>
      <c r="K99" s="40" t="str">
        <f>"V100003"</f>
        <v>V100003</v>
      </c>
      <c r="L99" s="40" t="str">
        <f>""</f>
        <v/>
      </c>
      <c r="M99" s="40" t="str">
        <f>"LogoMasters"</f>
        <v>LogoMasters</v>
      </c>
      <c r="N99" s="40" t="str">
        <f>""</f>
        <v/>
      </c>
      <c r="O99" s="41">
        <v>400</v>
      </c>
      <c r="P99" s="41">
        <v>0</v>
      </c>
      <c r="Q99" s="41">
        <v>0</v>
      </c>
      <c r="R99" s="41">
        <v>0</v>
      </c>
      <c r="S99" s="41">
        <v>0</v>
      </c>
      <c r="T99" s="41">
        <v>0</v>
      </c>
      <c r="U99" s="54"/>
    </row>
    <row r="100" spans="1:21" ht="17.25" customHeight="1" x14ac:dyDescent="0.3">
      <c r="A100" s="15" t="s">
        <v>29</v>
      </c>
      <c r="C100" s="19"/>
      <c r="D100" s="33" t="str">
        <f t="shared" ref="D100" si="82">D99</f>
        <v>C100024</v>
      </c>
      <c r="E100" s="33"/>
      <c r="F100" s="20"/>
      <c r="G100" s="20" t="str">
        <f>"""NAV"",""CRONUS JetCorp USA"",""32"",""1"",""30110"""</f>
        <v>"NAV","CRONUS JetCorp USA","32","1","30110"</v>
      </c>
      <c r="H100" s="39">
        <v>43475</v>
      </c>
      <c r="I100" s="40">
        <v>30110</v>
      </c>
      <c r="J100" s="40" t="str">
        <f>"Customer"</f>
        <v>Customer</v>
      </c>
      <c r="K100" s="40" t="str">
        <f>"C100012"</f>
        <v>C100012</v>
      </c>
      <c r="L100" s="40" t="str">
        <f>"Bainbridges"</f>
        <v>Bainbridges</v>
      </c>
      <c r="M100" s="40" t="str">
        <f>""</f>
        <v/>
      </c>
      <c r="N100" s="40" t="str">
        <f>""</f>
        <v/>
      </c>
      <c r="O100" s="41">
        <v>0</v>
      </c>
      <c r="P100" s="41">
        <v>-144</v>
      </c>
      <c r="Q100" s="41">
        <v>0</v>
      </c>
      <c r="R100" s="41">
        <v>0</v>
      </c>
      <c r="S100" s="41">
        <v>0</v>
      </c>
      <c r="T100" s="41">
        <v>0</v>
      </c>
      <c r="U100" s="54"/>
    </row>
    <row r="101" spans="1:21" ht="17.25" customHeight="1" x14ac:dyDescent="0.3">
      <c r="A101" s="15" t="s">
        <v>29</v>
      </c>
      <c r="C101" s="19"/>
      <c r="D101" s="33"/>
      <c r="E101" s="33"/>
      <c r="F101" s="20"/>
      <c r="G101" s="20"/>
      <c r="H101" s="20"/>
      <c r="I101" s="20"/>
      <c r="J101" s="20"/>
      <c r="K101" s="20"/>
      <c r="L101" s="20"/>
      <c r="M101" s="20"/>
      <c r="N101" s="20"/>
      <c r="O101" s="42"/>
      <c r="P101" s="42"/>
      <c r="Q101" s="42"/>
      <c r="R101" s="42"/>
      <c r="S101" s="42"/>
      <c r="T101" s="42"/>
      <c r="U101" s="55"/>
    </row>
    <row r="102" spans="1:21" ht="17.25" customHeight="1" x14ac:dyDescent="0.3">
      <c r="A102" s="15" t="s">
        <v>29</v>
      </c>
      <c r="C102" s="19"/>
      <c r="D102" s="33"/>
      <c r="E102" s="33" t="s">
        <v>30</v>
      </c>
      <c r="F102" s="20" t="s">
        <v>30</v>
      </c>
      <c r="G102" s="20" t="s">
        <v>30</v>
      </c>
      <c r="H102" s="20"/>
      <c r="I102" s="20"/>
      <c r="J102" s="20" t="s">
        <v>30</v>
      </c>
      <c r="K102" s="20" t="s">
        <v>30</v>
      </c>
      <c r="L102" s="20" t="s">
        <v>30</v>
      </c>
      <c r="M102" s="20" t="s">
        <v>30</v>
      </c>
      <c r="N102" s="20"/>
      <c r="U102" s="56"/>
    </row>
    <row r="103" spans="1:21" ht="20.25" customHeight="1" x14ac:dyDescent="0.35">
      <c r="A103" s="15" t="s">
        <v>29</v>
      </c>
      <c r="C103" s="19"/>
      <c r="D103" s="34" t="str">
        <f t="shared" ref="D103" si="83">E103</f>
        <v>C100025</v>
      </c>
      <c r="E103" s="35" t="str">
        <f>"C100025"</f>
        <v>C100025</v>
      </c>
      <c r="F103" s="36" t="str">
        <f>"Striped Knit Hat"</f>
        <v>Striped Knit Hat</v>
      </c>
      <c r="G103" s="36"/>
      <c r="H103" s="37" t="str">
        <f>"EA"</f>
        <v>EA</v>
      </c>
      <c r="I103" s="36"/>
      <c r="J103" s="36"/>
      <c r="K103" s="36"/>
      <c r="L103" s="36"/>
      <c r="M103" s="36"/>
      <c r="N103" s="36"/>
      <c r="O103" s="38">
        <f t="shared" ref="O103:T103" si="84">(SUBTOTAL(9,O104:O105))</f>
        <v>800</v>
      </c>
      <c r="P103" s="38">
        <f t="shared" si="84"/>
        <v>0</v>
      </c>
      <c r="Q103" s="38">
        <f t="shared" si="84"/>
        <v>0</v>
      </c>
      <c r="R103" s="38">
        <f t="shared" si="84"/>
        <v>0</v>
      </c>
      <c r="S103" s="38">
        <f t="shared" si="84"/>
        <v>0</v>
      </c>
      <c r="T103" s="38">
        <f t="shared" si="84"/>
        <v>0</v>
      </c>
      <c r="U103" s="53">
        <f t="shared" ref="U103" si="85">SUBTOTAL(9,O104:T105)</f>
        <v>800</v>
      </c>
    </row>
    <row r="104" spans="1:21" ht="17.25" customHeight="1" x14ac:dyDescent="0.3">
      <c r="A104" s="15" t="s">
        <v>29</v>
      </c>
      <c r="C104" s="19"/>
      <c r="D104" s="33" t="str">
        <f t="shared" ref="D104" si="86">D103</f>
        <v>C100025</v>
      </c>
      <c r="E104" s="33"/>
      <c r="F104" s="20"/>
      <c r="G104" s="20" t="str">
        <f>"""NAV"",""CRONUS JetCorp USA"",""32"",""1"",""167165"""</f>
        <v>"NAV","CRONUS JetCorp USA","32","1","167165"</v>
      </c>
      <c r="H104" s="39">
        <v>43466</v>
      </c>
      <c r="I104" s="40">
        <v>167165</v>
      </c>
      <c r="J104" s="40" t="str">
        <f>"Vendor"</f>
        <v>Vendor</v>
      </c>
      <c r="K104" s="40" t="str">
        <f>"V100003"</f>
        <v>V100003</v>
      </c>
      <c r="L104" s="40" t="str">
        <f>""</f>
        <v/>
      </c>
      <c r="M104" s="40" t="str">
        <f>"LogoMasters"</f>
        <v>LogoMasters</v>
      </c>
      <c r="N104" s="40" t="str">
        <f>""</f>
        <v/>
      </c>
      <c r="O104" s="41">
        <v>800</v>
      </c>
      <c r="P104" s="41">
        <v>0</v>
      </c>
      <c r="Q104" s="41">
        <v>0</v>
      </c>
      <c r="R104" s="41">
        <v>0</v>
      </c>
      <c r="S104" s="41">
        <v>0</v>
      </c>
      <c r="T104" s="41">
        <v>0</v>
      </c>
      <c r="U104" s="54"/>
    </row>
    <row r="105" spans="1:21" ht="17.25" customHeight="1" x14ac:dyDescent="0.3">
      <c r="A105" s="15" t="s">
        <v>29</v>
      </c>
      <c r="C105" s="19"/>
      <c r="D105" s="33"/>
      <c r="E105" s="33"/>
      <c r="F105" s="20"/>
      <c r="G105" s="20"/>
      <c r="H105" s="20"/>
      <c r="I105" s="20"/>
      <c r="J105" s="20"/>
      <c r="K105" s="20"/>
      <c r="L105" s="20"/>
      <c r="M105" s="20"/>
      <c r="N105" s="20"/>
      <c r="O105" s="42"/>
      <c r="P105" s="42"/>
      <c r="Q105" s="42"/>
      <c r="R105" s="42"/>
      <c r="S105" s="42"/>
      <c r="T105" s="42"/>
      <c r="U105" s="55"/>
    </row>
    <row r="106" spans="1:21" ht="17.25" customHeight="1" x14ac:dyDescent="0.3">
      <c r="A106" s="15" t="s">
        <v>29</v>
      </c>
      <c r="C106" s="19"/>
      <c r="D106" s="33"/>
      <c r="E106" s="33" t="s">
        <v>30</v>
      </c>
      <c r="F106" s="20" t="s">
        <v>30</v>
      </c>
      <c r="G106" s="20" t="s">
        <v>30</v>
      </c>
      <c r="H106" s="20"/>
      <c r="I106" s="20"/>
      <c r="J106" s="20" t="s">
        <v>30</v>
      </c>
      <c r="K106" s="20" t="s">
        <v>30</v>
      </c>
      <c r="L106" s="20" t="s">
        <v>30</v>
      </c>
      <c r="M106" s="20" t="s">
        <v>30</v>
      </c>
      <c r="N106" s="20"/>
      <c r="U106" s="56"/>
    </row>
    <row r="107" spans="1:21" ht="20.25" customHeight="1" x14ac:dyDescent="0.35">
      <c r="A107" s="15" t="s">
        <v>29</v>
      </c>
      <c r="C107" s="19"/>
      <c r="D107" s="34" t="str">
        <f t="shared" ref="D107" si="87">E107</f>
        <v>C100026</v>
      </c>
      <c r="E107" s="35" t="str">
        <f>"C100026"</f>
        <v>C100026</v>
      </c>
      <c r="F107" s="36" t="str">
        <f>"Fleece Beanie"</f>
        <v>Fleece Beanie</v>
      </c>
      <c r="G107" s="36"/>
      <c r="H107" s="37" t="str">
        <f>"EA"</f>
        <v>EA</v>
      </c>
      <c r="I107" s="36"/>
      <c r="J107" s="36"/>
      <c r="K107" s="36"/>
      <c r="L107" s="36"/>
      <c r="M107" s="36"/>
      <c r="N107" s="36"/>
      <c r="O107" s="38">
        <f t="shared" ref="O107:T107" si="88">(SUBTOTAL(9,O108:O110))</f>
        <v>800</v>
      </c>
      <c r="P107" s="38">
        <f t="shared" si="88"/>
        <v>-432</v>
      </c>
      <c r="Q107" s="38">
        <f t="shared" si="88"/>
        <v>0</v>
      </c>
      <c r="R107" s="38">
        <f t="shared" si="88"/>
        <v>0</v>
      </c>
      <c r="S107" s="38">
        <f t="shared" si="88"/>
        <v>0</v>
      </c>
      <c r="T107" s="38">
        <f t="shared" si="88"/>
        <v>0</v>
      </c>
      <c r="U107" s="53">
        <f t="shared" ref="U107" si="89">SUBTOTAL(9,O108:T110)</f>
        <v>368</v>
      </c>
    </row>
    <row r="108" spans="1:21" ht="17.25" customHeight="1" x14ac:dyDescent="0.3">
      <c r="A108" s="15" t="s">
        <v>29</v>
      </c>
      <c r="C108" s="19"/>
      <c r="D108" s="33" t="str">
        <f t="shared" ref="D108" si="90">D107</f>
        <v>C100026</v>
      </c>
      <c r="E108" s="33"/>
      <c r="F108" s="20"/>
      <c r="G108" s="20" t="str">
        <f>"""NAV"",""CRONUS JetCorp USA"",""32"",""1"",""167164"""</f>
        <v>"NAV","CRONUS JetCorp USA","32","1","167164"</v>
      </c>
      <c r="H108" s="39">
        <v>43466</v>
      </c>
      <c r="I108" s="40">
        <v>167164</v>
      </c>
      <c r="J108" s="40" t="str">
        <f>"Vendor"</f>
        <v>Vendor</v>
      </c>
      <c r="K108" s="40" t="str">
        <f>"V100003"</f>
        <v>V100003</v>
      </c>
      <c r="L108" s="40" t="str">
        <f>""</f>
        <v/>
      </c>
      <c r="M108" s="40" t="str">
        <f>"LogoMasters"</f>
        <v>LogoMasters</v>
      </c>
      <c r="N108" s="40" t="str">
        <f>""</f>
        <v/>
      </c>
      <c r="O108" s="41">
        <v>800</v>
      </c>
      <c r="P108" s="41">
        <v>0</v>
      </c>
      <c r="Q108" s="41">
        <v>0</v>
      </c>
      <c r="R108" s="41">
        <v>0</v>
      </c>
      <c r="S108" s="41">
        <v>0</v>
      </c>
      <c r="T108" s="41">
        <v>0</v>
      </c>
      <c r="U108" s="54"/>
    </row>
    <row r="109" spans="1:21" ht="17.25" customHeight="1" x14ac:dyDescent="0.3">
      <c r="A109" s="15" t="s">
        <v>29</v>
      </c>
      <c r="C109" s="19"/>
      <c r="D109" s="33" t="str">
        <f t="shared" ref="D109" si="91">D108</f>
        <v>C100026</v>
      </c>
      <c r="E109" s="33"/>
      <c r="F109" s="20"/>
      <c r="G109" s="20" t="str">
        <f>"""NAV"",""CRONUS JetCorp USA"",""32"",""1"",""30105"""</f>
        <v>"NAV","CRONUS JetCorp USA","32","1","30105"</v>
      </c>
      <c r="H109" s="39">
        <v>43475</v>
      </c>
      <c r="I109" s="40">
        <v>30105</v>
      </c>
      <c r="J109" s="40" t="str">
        <f>"Customer"</f>
        <v>Customer</v>
      </c>
      <c r="K109" s="40" t="str">
        <f>"C100012"</f>
        <v>C100012</v>
      </c>
      <c r="L109" s="40" t="str">
        <f>"Bainbridges"</f>
        <v>Bainbridges</v>
      </c>
      <c r="M109" s="40" t="str">
        <f>""</f>
        <v/>
      </c>
      <c r="N109" s="40" t="str">
        <f>""</f>
        <v/>
      </c>
      <c r="O109" s="41">
        <v>0</v>
      </c>
      <c r="P109" s="41">
        <v>-432</v>
      </c>
      <c r="Q109" s="41">
        <v>0</v>
      </c>
      <c r="R109" s="41">
        <v>0</v>
      </c>
      <c r="S109" s="41">
        <v>0</v>
      </c>
      <c r="T109" s="41">
        <v>0</v>
      </c>
      <c r="U109" s="54"/>
    </row>
    <row r="110" spans="1:21" ht="17.25" customHeight="1" x14ac:dyDescent="0.3">
      <c r="A110" s="15" t="s">
        <v>29</v>
      </c>
      <c r="C110" s="19"/>
      <c r="D110" s="33"/>
      <c r="E110" s="33"/>
      <c r="F110" s="20"/>
      <c r="G110" s="20"/>
      <c r="H110" s="20"/>
      <c r="I110" s="20"/>
      <c r="J110" s="20"/>
      <c r="K110" s="20"/>
      <c r="L110" s="20"/>
      <c r="M110" s="20"/>
      <c r="N110" s="20"/>
      <c r="O110" s="42"/>
      <c r="P110" s="42"/>
      <c r="Q110" s="42"/>
      <c r="R110" s="42"/>
      <c r="S110" s="42"/>
      <c r="T110" s="42"/>
      <c r="U110" s="55"/>
    </row>
    <row r="111" spans="1:21" ht="17.25" customHeight="1" x14ac:dyDescent="0.3">
      <c r="A111" s="15" t="s">
        <v>29</v>
      </c>
      <c r="C111" s="19"/>
      <c r="D111" s="33"/>
      <c r="E111" s="33" t="s">
        <v>30</v>
      </c>
      <c r="F111" s="20" t="s">
        <v>30</v>
      </c>
      <c r="G111" s="20" t="s">
        <v>30</v>
      </c>
      <c r="H111" s="20"/>
      <c r="I111" s="20"/>
      <c r="J111" s="20" t="s">
        <v>30</v>
      </c>
      <c r="K111" s="20" t="s">
        <v>30</v>
      </c>
      <c r="L111" s="20" t="s">
        <v>30</v>
      </c>
      <c r="M111" s="20" t="s">
        <v>30</v>
      </c>
      <c r="N111" s="20"/>
      <c r="U111" s="56"/>
    </row>
    <row r="112" spans="1:21" ht="20.25" customHeight="1" x14ac:dyDescent="0.35">
      <c r="A112" s="15" t="s">
        <v>29</v>
      </c>
      <c r="C112" s="19"/>
      <c r="D112" s="34" t="str">
        <f t="shared" ref="D112" si="92">E112</f>
        <v>C100028</v>
      </c>
      <c r="E112" s="35" t="str">
        <f>"C100028"</f>
        <v>C100028</v>
      </c>
      <c r="F112" s="36" t="str">
        <f>"Twill Visor"</f>
        <v>Twill Visor</v>
      </c>
      <c r="G112" s="36"/>
      <c r="H112" s="37" t="str">
        <f>"EA"</f>
        <v>EA</v>
      </c>
      <c r="I112" s="36"/>
      <c r="J112" s="36"/>
      <c r="K112" s="36"/>
      <c r="L112" s="36"/>
      <c r="M112" s="36"/>
      <c r="N112" s="36"/>
      <c r="O112" s="38">
        <f t="shared" ref="O112:T112" si="93">(SUBTOTAL(9,O113:O116))</f>
        <v>400</v>
      </c>
      <c r="P112" s="38">
        <f t="shared" si="93"/>
        <v>-132</v>
      </c>
      <c r="Q112" s="38">
        <f t="shared" si="93"/>
        <v>0</v>
      </c>
      <c r="R112" s="38">
        <f t="shared" si="93"/>
        <v>0</v>
      </c>
      <c r="S112" s="38">
        <f t="shared" si="93"/>
        <v>0</v>
      </c>
      <c r="T112" s="38">
        <f t="shared" si="93"/>
        <v>0</v>
      </c>
      <c r="U112" s="53">
        <f t="shared" ref="U112" si="94">SUBTOTAL(9,O113:T116)</f>
        <v>268</v>
      </c>
    </row>
    <row r="113" spans="1:21" ht="17.25" customHeight="1" x14ac:dyDescent="0.3">
      <c r="A113" s="15" t="s">
        <v>29</v>
      </c>
      <c r="C113" s="19"/>
      <c r="D113" s="33" t="str">
        <f t="shared" ref="D113" si="95">D112</f>
        <v>C100028</v>
      </c>
      <c r="E113" s="33"/>
      <c r="F113" s="20"/>
      <c r="G113" s="20" t="str">
        <f>"""NAV"",""CRONUS JetCorp USA"",""32"",""1"",""167163"""</f>
        <v>"NAV","CRONUS JetCorp USA","32","1","167163"</v>
      </c>
      <c r="H113" s="39">
        <v>43466</v>
      </c>
      <c r="I113" s="40">
        <v>167163</v>
      </c>
      <c r="J113" s="40" t="str">
        <f>"Vendor"</f>
        <v>Vendor</v>
      </c>
      <c r="K113" s="40" t="str">
        <f>"V100003"</f>
        <v>V100003</v>
      </c>
      <c r="L113" s="40" t="str">
        <f>""</f>
        <v/>
      </c>
      <c r="M113" s="40" t="str">
        <f>"LogoMasters"</f>
        <v>LogoMasters</v>
      </c>
      <c r="N113" s="40" t="str">
        <f>""</f>
        <v/>
      </c>
      <c r="O113" s="41">
        <v>400</v>
      </c>
      <c r="P113" s="41">
        <v>0</v>
      </c>
      <c r="Q113" s="41">
        <v>0</v>
      </c>
      <c r="R113" s="41">
        <v>0</v>
      </c>
      <c r="S113" s="41">
        <v>0</v>
      </c>
      <c r="T113" s="41">
        <v>0</v>
      </c>
      <c r="U113" s="54"/>
    </row>
    <row r="114" spans="1:21" ht="17.25" customHeight="1" x14ac:dyDescent="0.3">
      <c r="A114" s="15" t="s">
        <v>29</v>
      </c>
      <c r="C114" s="19"/>
      <c r="D114" s="33" t="str">
        <f t="shared" ref="D114:D115" si="96">D113</f>
        <v>C100028</v>
      </c>
      <c r="E114" s="33"/>
      <c r="F114" s="20"/>
      <c r="G114" s="20" t="str">
        <f>"""NAV"",""CRONUS JetCorp USA"",""32"",""1"",""158690"""</f>
        <v>"NAV","CRONUS JetCorp USA","32","1","158690"</v>
      </c>
      <c r="H114" s="39">
        <v>43471</v>
      </c>
      <c r="I114" s="40">
        <v>158690</v>
      </c>
      <c r="J114" s="40" t="str">
        <f>"Customer"</f>
        <v>Customer</v>
      </c>
      <c r="K114" s="40" t="str">
        <f>"C100126"</f>
        <v>C100126</v>
      </c>
      <c r="L114" s="40" t="str">
        <f>"Moveex"</f>
        <v>Moveex</v>
      </c>
      <c r="M114" s="40" t="str">
        <f>""</f>
        <v/>
      </c>
      <c r="N114" s="40" t="str">
        <f>""</f>
        <v/>
      </c>
      <c r="O114" s="41">
        <v>0</v>
      </c>
      <c r="P114" s="41">
        <v>12</v>
      </c>
      <c r="Q114" s="41">
        <v>0</v>
      </c>
      <c r="R114" s="41">
        <v>0</v>
      </c>
      <c r="S114" s="41">
        <v>0</v>
      </c>
      <c r="T114" s="41">
        <v>0</v>
      </c>
      <c r="U114" s="54"/>
    </row>
    <row r="115" spans="1:21" ht="17.25" customHeight="1" x14ac:dyDescent="0.3">
      <c r="A115" s="15" t="s">
        <v>29</v>
      </c>
      <c r="C115" s="19"/>
      <c r="D115" s="33" t="str">
        <f t="shared" si="96"/>
        <v>C100028</v>
      </c>
      <c r="E115" s="33"/>
      <c r="F115" s="20"/>
      <c r="G115" s="20" t="str">
        <f>"""NAV"",""CRONUS JetCorp USA"",""32"",""1"",""30111"""</f>
        <v>"NAV","CRONUS JetCorp USA","32","1","30111"</v>
      </c>
      <c r="H115" s="39">
        <v>43475</v>
      </c>
      <c r="I115" s="40">
        <v>30111</v>
      </c>
      <c r="J115" s="40" t="str">
        <f>"Customer"</f>
        <v>Customer</v>
      </c>
      <c r="K115" s="40" t="str">
        <f>"C100012"</f>
        <v>C100012</v>
      </c>
      <c r="L115" s="40" t="str">
        <f>"Bainbridges"</f>
        <v>Bainbridges</v>
      </c>
      <c r="M115" s="40" t="str">
        <f>""</f>
        <v/>
      </c>
      <c r="N115" s="40" t="str">
        <f>""</f>
        <v/>
      </c>
      <c r="O115" s="41">
        <v>0</v>
      </c>
      <c r="P115" s="41">
        <v>-144</v>
      </c>
      <c r="Q115" s="41">
        <v>0</v>
      </c>
      <c r="R115" s="41">
        <v>0</v>
      </c>
      <c r="S115" s="41">
        <v>0</v>
      </c>
      <c r="T115" s="41">
        <v>0</v>
      </c>
      <c r="U115" s="54"/>
    </row>
    <row r="116" spans="1:21" ht="17.25" customHeight="1" x14ac:dyDescent="0.3">
      <c r="A116" s="15" t="s">
        <v>29</v>
      </c>
      <c r="C116" s="19"/>
      <c r="D116" s="33"/>
      <c r="E116" s="33"/>
      <c r="F116" s="20"/>
      <c r="G116" s="20"/>
      <c r="H116" s="20"/>
      <c r="I116" s="20"/>
      <c r="J116" s="20"/>
      <c r="K116" s="20"/>
      <c r="L116" s="20"/>
      <c r="M116" s="20"/>
      <c r="N116" s="20"/>
      <c r="O116" s="42"/>
      <c r="P116" s="42"/>
      <c r="Q116" s="42"/>
      <c r="R116" s="42"/>
      <c r="S116" s="42"/>
      <c r="T116" s="42"/>
      <c r="U116" s="55"/>
    </row>
    <row r="117" spans="1:21" ht="17.25" customHeight="1" x14ac:dyDescent="0.3">
      <c r="A117" s="15" t="s">
        <v>29</v>
      </c>
      <c r="C117" s="19"/>
      <c r="D117" s="33"/>
      <c r="E117" s="33" t="s">
        <v>30</v>
      </c>
      <c r="F117" s="20" t="s">
        <v>30</v>
      </c>
      <c r="G117" s="20" t="s">
        <v>30</v>
      </c>
      <c r="H117" s="20"/>
      <c r="I117" s="20"/>
      <c r="J117" s="20" t="s">
        <v>30</v>
      </c>
      <c r="K117" s="20" t="s">
        <v>30</v>
      </c>
      <c r="L117" s="20" t="s">
        <v>30</v>
      </c>
      <c r="M117" s="20" t="s">
        <v>30</v>
      </c>
      <c r="N117" s="20"/>
      <c r="U117" s="56"/>
    </row>
    <row r="118" spans="1:21" ht="20.25" customHeight="1" x14ac:dyDescent="0.35">
      <c r="A118" s="15" t="s">
        <v>29</v>
      </c>
      <c r="C118" s="19"/>
      <c r="D118" s="34" t="str">
        <f t="shared" ref="D118" si="97">E118</f>
        <v>C100029</v>
      </c>
      <c r="E118" s="35" t="str">
        <f>"C100029"</f>
        <v>C100029</v>
      </c>
      <c r="F118" s="36" t="str">
        <f>"Distressed Twill Visor"</f>
        <v>Distressed Twill Visor</v>
      </c>
      <c r="G118" s="36"/>
      <c r="H118" s="37" t="str">
        <f>"EA"</f>
        <v>EA</v>
      </c>
      <c r="I118" s="36"/>
      <c r="J118" s="36"/>
      <c r="K118" s="36"/>
      <c r="L118" s="36"/>
      <c r="M118" s="36"/>
      <c r="N118" s="36"/>
      <c r="O118" s="38">
        <f t="shared" ref="O118:T118" si="98">(SUBTOTAL(9,O119:O122))</f>
        <v>1200</v>
      </c>
      <c r="P118" s="38">
        <f t="shared" si="98"/>
        <v>-288</v>
      </c>
      <c r="Q118" s="38">
        <f t="shared" si="98"/>
        <v>0</v>
      </c>
      <c r="R118" s="38">
        <f t="shared" si="98"/>
        <v>0</v>
      </c>
      <c r="S118" s="38">
        <f t="shared" si="98"/>
        <v>0</v>
      </c>
      <c r="T118" s="38">
        <f t="shared" si="98"/>
        <v>0</v>
      </c>
      <c r="U118" s="53">
        <f t="shared" ref="U118" si="99">SUBTOTAL(9,O119:T122)</f>
        <v>912</v>
      </c>
    </row>
    <row r="119" spans="1:21" ht="17.25" customHeight="1" x14ac:dyDescent="0.3">
      <c r="A119" s="15" t="s">
        <v>29</v>
      </c>
      <c r="C119" s="19"/>
      <c r="D119" s="33" t="str">
        <f t="shared" ref="D119" si="100">D118</f>
        <v>C100029</v>
      </c>
      <c r="E119" s="33"/>
      <c r="F119" s="20"/>
      <c r="G119" s="20" t="str">
        <f>"""NAV"",""CRONUS JetCorp USA"",""32"",""1"",""167162"""</f>
        <v>"NAV","CRONUS JetCorp USA","32","1","167162"</v>
      </c>
      <c r="H119" s="39">
        <v>43466</v>
      </c>
      <c r="I119" s="40">
        <v>167162</v>
      </c>
      <c r="J119" s="40" t="str">
        <f>"Vendor"</f>
        <v>Vendor</v>
      </c>
      <c r="K119" s="40" t="str">
        <f>"V100003"</f>
        <v>V100003</v>
      </c>
      <c r="L119" s="40" t="str">
        <f>""</f>
        <v/>
      </c>
      <c r="M119" s="40" t="str">
        <f>"LogoMasters"</f>
        <v>LogoMasters</v>
      </c>
      <c r="N119" s="40" t="str">
        <f>""</f>
        <v/>
      </c>
      <c r="O119" s="41">
        <v>1200</v>
      </c>
      <c r="P119" s="41">
        <v>0</v>
      </c>
      <c r="Q119" s="41">
        <v>0</v>
      </c>
      <c r="R119" s="41">
        <v>0</v>
      </c>
      <c r="S119" s="41">
        <v>0</v>
      </c>
      <c r="T119" s="41">
        <v>0</v>
      </c>
      <c r="U119" s="54"/>
    </row>
    <row r="120" spans="1:21" ht="17.25" customHeight="1" x14ac:dyDescent="0.3">
      <c r="A120" s="15" t="s">
        <v>29</v>
      </c>
      <c r="C120" s="19"/>
      <c r="D120" s="33" t="str">
        <f t="shared" ref="D120:D121" si="101">D119</f>
        <v>C100029</v>
      </c>
      <c r="E120" s="33"/>
      <c r="F120" s="20"/>
      <c r="G120" s="20" t="str">
        <f>"""NAV"",""CRONUS JetCorp USA"",""32"",""1"",""30035"""</f>
        <v>"NAV","CRONUS JetCorp USA","32","1","30035"</v>
      </c>
      <c r="H120" s="39">
        <v>43471</v>
      </c>
      <c r="I120" s="40">
        <v>30035</v>
      </c>
      <c r="J120" s="40" t="str">
        <f>"Customer"</f>
        <v>Customer</v>
      </c>
      <c r="K120" s="40" t="str">
        <f>"C100012"</f>
        <v>C100012</v>
      </c>
      <c r="L120" s="40" t="str">
        <f>"Bainbridges"</f>
        <v>Bainbridges</v>
      </c>
      <c r="M120" s="40" t="str">
        <f>""</f>
        <v/>
      </c>
      <c r="N120" s="40" t="str">
        <f>""</f>
        <v/>
      </c>
      <c r="O120" s="41">
        <v>0</v>
      </c>
      <c r="P120" s="41">
        <v>-144</v>
      </c>
      <c r="Q120" s="41">
        <v>0</v>
      </c>
      <c r="R120" s="41">
        <v>0</v>
      </c>
      <c r="S120" s="41">
        <v>0</v>
      </c>
      <c r="T120" s="41">
        <v>0</v>
      </c>
      <c r="U120" s="54"/>
    </row>
    <row r="121" spans="1:21" ht="17.25" customHeight="1" x14ac:dyDescent="0.3">
      <c r="A121" s="15" t="s">
        <v>29</v>
      </c>
      <c r="C121" s="19"/>
      <c r="D121" s="33" t="str">
        <f t="shared" si="101"/>
        <v>C100029</v>
      </c>
      <c r="E121" s="33"/>
      <c r="F121" s="20"/>
      <c r="G121" s="20" t="str">
        <f>"""NAV"",""CRONUS JetCorp USA"",""32"",""1"",""30116"""</f>
        <v>"NAV","CRONUS JetCorp USA","32","1","30116"</v>
      </c>
      <c r="H121" s="39">
        <v>43475</v>
      </c>
      <c r="I121" s="40">
        <v>30116</v>
      </c>
      <c r="J121" s="40" t="str">
        <f>"Customer"</f>
        <v>Customer</v>
      </c>
      <c r="K121" s="40" t="str">
        <f>"C100012"</f>
        <v>C100012</v>
      </c>
      <c r="L121" s="40" t="str">
        <f>"Bainbridges"</f>
        <v>Bainbridges</v>
      </c>
      <c r="M121" s="40" t="str">
        <f>""</f>
        <v/>
      </c>
      <c r="N121" s="40" t="str">
        <f>""</f>
        <v/>
      </c>
      <c r="O121" s="41">
        <v>0</v>
      </c>
      <c r="P121" s="41">
        <v>-144</v>
      </c>
      <c r="Q121" s="41">
        <v>0</v>
      </c>
      <c r="R121" s="41">
        <v>0</v>
      </c>
      <c r="S121" s="41">
        <v>0</v>
      </c>
      <c r="T121" s="41">
        <v>0</v>
      </c>
      <c r="U121" s="54"/>
    </row>
    <row r="122" spans="1:21" ht="17.25" customHeight="1" x14ac:dyDescent="0.3">
      <c r="A122" s="15" t="s">
        <v>29</v>
      </c>
      <c r="C122" s="19"/>
      <c r="D122" s="33"/>
      <c r="E122" s="33"/>
      <c r="F122" s="20"/>
      <c r="G122" s="20"/>
      <c r="H122" s="20"/>
      <c r="I122" s="20"/>
      <c r="J122" s="20"/>
      <c r="K122" s="20"/>
      <c r="L122" s="20"/>
      <c r="M122" s="20"/>
      <c r="N122" s="20"/>
      <c r="O122" s="42"/>
      <c r="P122" s="42"/>
      <c r="Q122" s="42"/>
      <c r="R122" s="42"/>
      <c r="S122" s="42"/>
      <c r="T122" s="42"/>
      <c r="U122" s="55"/>
    </row>
    <row r="123" spans="1:21" ht="17.25" customHeight="1" x14ac:dyDescent="0.3">
      <c r="A123" s="15" t="s">
        <v>29</v>
      </c>
      <c r="C123" s="19"/>
      <c r="D123" s="33"/>
      <c r="E123" s="33" t="s">
        <v>30</v>
      </c>
      <c r="F123" s="20" t="s">
        <v>30</v>
      </c>
      <c r="G123" s="20" t="s">
        <v>30</v>
      </c>
      <c r="H123" s="20"/>
      <c r="I123" s="20"/>
      <c r="J123" s="20" t="s">
        <v>30</v>
      </c>
      <c r="K123" s="20" t="s">
        <v>30</v>
      </c>
      <c r="L123" s="20" t="s">
        <v>30</v>
      </c>
      <c r="M123" s="20" t="s">
        <v>30</v>
      </c>
      <c r="N123" s="20"/>
      <c r="U123" s="56"/>
    </row>
    <row r="124" spans="1:21" ht="20.25" customHeight="1" x14ac:dyDescent="0.35">
      <c r="A124" s="15" t="s">
        <v>29</v>
      </c>
      <c r="C124" s="19"/>
      <c r="D124" s="34" t="str">
        <f t="shared" ref="D124" si="102">E124</f>
        <v>C100030</v>
      </c>
      <c r="E124" s="35" t="str">
        <f>"C100030"</f>
        <v>C100030</v>
      </c>
      <c r="F124" s="36" t="str">
        <f>"Fashion Visor"</f>
        <v>Fashion Visor</v>
      </c>
      <c r="G124" s="36"/>
      <c r="H124" s="37" t="str">
        <f>"EA"</f>
        <v>EA</v>
      </c>
      <c r="I124" s="36"/>
      <c r="J124" s="36"/>
      <c r="K124" s="36"/>
      <c r="L124" s="36"/>
      <c r="M124" s="36"/>
      <c r="N124" s="36"/>
      <c r="O124" s="38">
        <f t="shared" ref="O124:T124" si="103">(SUBTOTAL(9,O125:O127))</f>
        <v>1200</v>
      </c>
      <c r="P124" s="38">
        <f t="shared" si="103"/>
        <v>-288</v>
      </c>
      <c r="Q124" s="38">
        <f t="shared" si="103"/>
        <v>0</v>
      </c>
      <c r="R124" s="38">
        <f t="shared" si="103"/>
        <v>0</v>
      </c>
      <c r="S124" s="38">
        <f t="shared" si="103"/>
        <v>0</v>
      </c>
      <c r="T124" s="38">
        <f t="shared" si="103"/>
        <v>0</v>
      </c>
      <c r="U124" s="53">
        <f t="shared" ref="U124" si="104">SUBTOTAL(9,O125:T127)</f>
        <v>912</v>
      </c>
    </row>
    <row r="125" spans="1:21" ht="17.25" customHeight="1" x14ac:dyDescent="0.3">
      <c r="A125" s="15" t="s">
        <v>29</v>
      </c>
      <c r="C125" s="19"/>
      <c r="D125" s="33" t="str">
        <f t="shared" ref="D125" si="105">D124</f>
        <v>C100030</v>
      </c>
      <c r="E125" s="33"/>
      <c r="F125" s="20"/>
      <c r="G125" s="20" t="str">
        <f>"""NAV"",""CRONUS JetCorp USA"",""32"",""1"",""167161"""</f>
        <v>"NAV","CRONUS JetCorp USA","32","1","167161"</v>
      </c>
      <c r="H125" s="39">
        <v>43466</v>
      </c>
      <c r="I125" s="40">
        <v>167161</v>
      </c>
      <c r="J125" s="40" t="str">
        <f>"Vendor"</f>
        <v>Vendor</v>
      </c>
      <c r="K125" s="40" t="str">
        <f>"V100003"</f>
        <v>V100003</v>
      </c>
      <c r="L125" s="40" t="str">
        <f>""</f>
        <v/>
      </c>
      <c r="M125" s="40" t="str">
        <f>"LogoMasters"</f>
        <v>LogoMasters</v>
      </c>
      <c r="N125" s="40" t="str">
        <f>""</f>
        <v/>
      </c>
      <c r="O125" s="41">
        <v>1200</v>
      </c>
      <c r="P125" s="41">
        <v>0</v>
      </c>
      <c r="Q125" s="41">
        <v>0</v>
      </c>
      <c r="R125" s="41">
        <v>0</v>
      </c>
      <c r="S125" s="41">
        <v>0</v>
      </c>
      <c r="T125" s="41">
        <v>0</v>
      </c>
      <c r="U125" s="54"/>
    </row>
    <row r="126" spans="1:21" ht="17.25" customHeight="1" x14ac:dyDescent="0.3">
      <c r="A126" s="15" t="s">
        <v>29</v>
      </c>
      <c r="C126" s="19"/>
      <c r="D126" s="33" t="str">
        <f t="shared" ref="D126" si="106">D125</f>
        <v>C100030</v>
      </c>
      <c r="E126" s="33"/>
      <c r="F126" s="20"/>
      <c r="G126" s="20" t="str">
        <f>"""NAV"",""CRONUS JetCorp USA"",""32"",""1"",""30032"""</f>
        <v>"NAV","CRONUS JetCorp USA","32","1","30032"</v>
      </c>
      <c r="H126" s="39">
        <v>43471</v>
      </c>
      <c r="I126" s="40">
        <v>30032</v>
      </c>
      <c r="J126" s="40" t="str">
        <f>"Customer"</f>
        <v>Customer</v>
      </c>
      <c r="K126" s="40" t="str">
        <f>"C100012"</f>
        <v>C100012</v>
      </c>
      <c r="L126" s="40" t="str">
        <f>"Bainbridges"</f>
        <v>Bainbridges</v>
      </c>
      <c r="M126" s="40" t="str">
        <f>""</f>
        <v/>
      </c>
      <c r="N126" s="40" t="str">
        <f>""</f>
        <v/>
      </c>
      <c r="O126" s="41">
        <v>0</v>
      </c>
      <c r="P126" s="41">
        <v>-288</v>
      </c>
      <c r="Q126" s="41">
        <v>0</v>
      </c>
      <c r="R126" s="41">
        <v>0</v>
      </c>
      <c r="S126" s="41">
        <v>0</v>
      </c>
      <c r="T126" s="41">
        <v>0</v>
      </c>
      <c r="U126" s="54"/>
    </row>
    <row r="127" spans="1:21" ht="17.25" customHeight="1" x14ac:dyDescent="0.3">
      <c r="A127" s="15" t="s">
        <v>29</v>
      </c>
      <c r="C127" s="19"/>
      <c r="D127" s="33"/>
      <c r="E127" s="33"/>
      <c r="F127" s="20"/>
      <c r="G127" s="20"/>
      <c r="H127" s="20"/>
      <c r="I127" s="20"/>
      <c r="J127" s="20"/>
      <c r="K127" s="20"/>
      <c r="L127" s="20"/>
      <c r="M127" s="20"/>
      <c r="N127" s="20"/>
      <c r="O127" s="42"/>
      <c r="P127" s="42"/>
      <c r="Q127" s="42"/>
      <c r="R127" s="42"/>
      <c r="S127" s="42"/>
      <c r="T127" s="42"/>
      <c r="U127" s="55"/>
    </row>
    <row r="128" spans="1:21" ht="17.25" customHeight="1" x14ac:dyDescent="0.3">
      <c r="A128" s="15" t="s">
        <v>29</v>
      </c>
      <c r="C128" s="19"/>
      <c r="D128" s="33"/>
      <c r="E128" s="33" t="s">
        <v>30</v>
      </c>
      <c r="F128" s="20" t="s">
        <v>30</v>
      </c>
      <c r="G128" s="20" t="s">
        <v>30</v>
      </c>
      <c r="H128" s="20"/>
      <c r="I128" s="20"/>
      <c r="J128" s="20" t="s">
        <v>30</v>
      </c>
      <c r="K128" s="20" t="s">
        <v>30</v>
      </c>
      <c r="L128" s="20" t="s">
        <v>30</v>
      </c>
      <c r="M128" s="20" t="s">
        <v>30</v>
      </c>
      <c r="N128" s="20"/>
      <c r="U128" s="56"/>
    </row>
    <row r="129" spans="1:21" ht="20.25" customHeight="1" x14ac:dyDescent="0.35">
      <c r="A129" s="15" t="s">
        <v>29</v>
      </c>
      <c r="C129" s="19"/>
      <c r="D129" s="34" t="str">
        <f t="shared" ref="D129" si="107">E129</f>
        <v>C100031</v>
      </c>
      <c r="E129" s="35" t="str">
        <f>"C100031"</f>
        <v>C100031</v>
      </c>
      <c r="F129" s="36" t="str">
        <f>"Carabiner Watch"</f>
        <v>Carabiner Watch</v>
      </c>
      <c r="G129" s="36"/>
      <c r="H129" s="37" t="str">
        <f>"EA"</f>
        <v>EA</v>
      </c>
      <c r="I129" s="36"/>
      <c r="J129" s="36"/>
      <c r="K129" s="36"/>
      <c r="L129" s="36"/>
      <c r="M129" s="36"/>
      <c r="N129" s="36"/>
      <c r="O129" s="38">
        <f t="shared" ref="O129:T129" si="108">(SUBTOTAL(9,O130:O132))</f>
        <v>400</v>
      </c>
      <c r="P129" s="38">
        <f t="shared" si="108"/>
        <v>-289</v>
      </c>
      <c r="Q129" s="38">
        <f t="shared" si="108"/>
        <v>0</v>
      </c>
      <c r="R129" s="38">
        <f t="shared" si="108"/>
        <v>0</v>
      </c>
      <c r="S129" s="38">
        <f t="shared" si="108"/>
        <v>0</v>
      </c>
      <c r="T129" s="38">
        <f t="shared" si="108"/>
        <v>0</v>
      </c>
      <c r="U129" s="53">
        <f t="shared" ref="U129" si="109">SUBTOTAL(9,O130:T132)</f>
        <v>111</v>
      </c>
    </row>
    <row r="130" spans="1:21" ht="17.25" customHeight="1" x14ac:dyDescent="0.3">
      <c r="A130" s="15" t="s">
        <v>29</v>
      </c>
      <c r="C130" s="19"/>
      <c r="D130" s="33" t="str">
        <f t="shared" ref="D130" si="110">D129</f>
        <v>C100031</v>
      </c>
      <c r="E130" s="33"/>
      <c r="F130" s="20"/>
      <c r="G130" s="20" t="str">
        <f>"""NAV"",""CRONUS JetCorp USA"",""32"",""1"",""167616"""</f>
        <v>"NAV","CRONUS JetCorp USA","32","1","167616"</v>
      </c>
      <c r="H130" s="39">
        <v>43466</v>
      </c>
      <c r="I130" s="40">
        <v>167616</v>
      </c>
      <c r="J130" s="40" t="str">
        <f>"Vendor"</f>
        <v>Vendor</v>
      </c>
      <c r="K130" s="40" t="str">
        <f>"V100003"</f>
        <v>V100003</v>
      </c>
      <c r="L130" s="40" t="str">
        <f>""</f>
        <v/>
      </c>
      <c r="M130" s="40" t="str">
        <f>"LogoMasters"</f>
        <v>LogoMasters</v>
      </c>
      <c r="N130" s="40" t="str">
        <f>""</f>
        <v/>
      </c>
      <c r="O130" s="41">
        <v>400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54"/>
    </row>
    <row r="131" spans="1:21" ht="17.25" customHeight="1" x14ac:dyDescent="0.3">
      <c r="A131" s="15" t="s">
        <v>29</v>
      </c>
      <c r="C131" s="19"/>
      <c r="D131" s="33" t="str">
        <f t="shared" ref="D131" si="111">D130</f>
        <v>C100031</v>
      </c>
      <c r="E131" s="33"/>
      <c r="F131" s="20"/>
      <c r="G131" s="20" t="str">
        <f>"""NAV"",""CRONUS JetCorp USA"",""32"",""1"",""7555"""</f>
        <v>"NAV","CRONUS JetCorp USA","32","1","7555"</v>
      </c>
      <c r="H131" s="39">
        <v>43469</v>
      </c>
      <c r="I131" s="40">
        <v>7555</v>
      </c>
      <c r="J131" s="40" t="str">
        <f>"Customer"</f>
        <v>Customer</v>
      </c>
      <c r="K131" s="40" t="str">
        <f>"C100030"</f>
        <v>C100030</v>
      </c>
      <c r="L131" s="40" t="str">
        <f>"Stutringers"</f>
        <v>Stutringers</v>
      </c>
      <c r="M131" s="40" t="str">
        <f>""</f>
        <v/>
      </c>
      <c r="N131" s="40" t="str">
        <f>""</f>
        <v/>
      </c>
      <c r="O131" s="41">
        <v>0</v>
      </c>
      <c r="P131" s="41">
        <v>-289</v>
      </c>
      <c r="Q131" s="41">
        <v>0</v>
      </c>
      <c r="R131" s="41">
        <v>0</v>
      </c>
      <c r="S131" s="41">
        <v>0</v>
      </c>
      <c r="T131" s="41">
        <v>0</v>
      </c>
      <c r="U131" s="54"/>
    </row>
    <row r="132" spans="1:21" ht="17.25" customHeight="1" x14ac:dyDescent="0.3">
      <c r="A132" s="15" t="s">
        <v>29</v>
      </c>
      <c r="C132" s="19"/>
      <c r="D132" s="33"/>
      <c r="E132" s="33"/>
      <c r="F132" s="20"/>
      <c r="G132" s="20"/>
      <c r="H132" s="20"/>
      <c r="I132" s="20"/>
      <c r="J132" s="20"/>
      <c r="K132" s="20"/>
      <c r="L132" s="20"/>
      <c r="M132" s="20"/>
      <c r="N132" s="20"/>
      <c r="O132" s="42"/>
      <c r="P132" s="42"/>
      <c r="Q132" s="42"/>
      <c r="R132" s="42"/>
      <c r="S132" s="42"/>
      <c r="T132" s="42"/>
      <c r="U132" s="55"/>
    </row>
    <row r="133" spans="1:21" ht="17.25" customHeight="1" x14ac:dyDescent="0.3">
      <c r="A133" s="15" t="s">
        <v>29</v>
      </c>
      <c r="C133" s="19"/>
      <c r="D133" s="33"/>
      <c r="E133" s="33" t="s">
        <v>30</v>
      </c>
      <c r="F133" s="20" t="s">
        <v>30</v>
      </c>
      <c r="G133" s="20" t="s">
        <v>30</v>
      </c>
      <c r="H133" s="20"/>
      <c r="I133" s="20"/>
      <c r="J133" s="20" t="s">
        <v>30</v>
      </c>
      <c r="K133" s="20" t="s">
        <v>30</v>
      </c>
      <c r="L133" s="20" t="s">
        <v>30</v>
      </c>
      <c r="M133" s="20" t="s">
        <v>30</v>
      </c>
      <c r="N133" s="20"/>
      <c r="U133" s="56"/>
    </row>
    <row r="134" spans="1:21" ht="20.25" customHeight="1" x14ac:dyDescent="0.35">
      <c r="A134" s="15" t="s">
        <v>29</v>
      </c>
      <c r="C134" s="19"/>
      <c r="D134" s="34" t="str">
        <f t="shared" ref="D134" si="112">E134</f>
        <v>C100032</v>
      </c>
      <c r="E134" s="35" t="str">
        <f>"C100032"</f>
        <v>C100032</v>
      </c>
      <c r="F134" s="36" t="str">
        <f>"Clip-on Clock"</f>
        <v>Clip-on Clock</v>
      </c>
      <c r="G134" s="36"/>
      <c r="H134" s="37" t="str">
        <f>"EA"</f>
        <v>EA</v>
      </c>
      <c r="I134" s="36"/>
      <c r="J134" s="36"/>
      <c r="K134" s="36"/>
      <c r="L134" s="36"/>
      <c r="M134" s="36"/>
      <c r="N134" s="36"/>
      <c r="O134" s="38">
        <f t="shared" ref="O134:T134" si="113">(SUBTOTAL(9,O135:O138))</f>
        <v>600</v>
      </c>
      <c r="P134" s="38">
        <f t="shared" si="113"/>
        <v>-288</v>
      </c>
      <c r="Q134" s="38">
        <f t="shared" si="113"/>
        <v>0</v>
      </c>
      <c r="R134" s="38">
        <f t="shared" si="113"/>
        <v>0</v>
      </c>
      <c r="S134" s="38">
        <f t="shared" si="113"/>
        <v>0</v>
      </c>
      <c r="T134" s="38">
        <f t="shared" si="113"/>
        <v>0</v>
      </c>
      <c r="U134" s="53">
        <f t="shared" ref="U134" si="114">SUBTOTAL(9,O135:T138)</f>
        <v>312</v>
      </c>
    </row>
    <row r="135" spans="1:21" ht="17.25" customHeight="1" x14ac:dyDescent="0.3">
      <c r="A135" s="15" t="s">
        <v>29</v>
      </c>
      <c r="C135" s="19"/>
      <c r="D135" s="33" t="str">
        <f t="shared" ref="D135" si="115">D134</f>
        <v>C100032</v>
      </c>
      <c r="E135" s="33"/>
      <c r="F135" s="20"/>
      <c r="G135" s="20" t="str">
        <f>"""NAV"",""CRONUS JetCorp USA"",""32"",""1"",""167615"""</f>
        <v>"NAV","CRONUS JetCorp USA","32","1","167615"</v>
      </c>
      <c r="H135" s="39">
        <v>43466</v>
      </c>
      <c r="I135" s="40">
        <v>167615</v>
      </c>
      <c r="J135" s="40" t="str">
        <f>"Vendor"</f>
        <v>Vendor</v>
      </c>
      <c r="K135" s="40" t="str">
        <f>"V100003"</f>
        <v>V100003</v>
      </c>
      <c r="L135" s="40" t="str">
        <f>""</f>
        <v/>
      </c>
      <c r="M135" s="40" t="str">
        <f>"LogoMasters"</f>
        <v>LogoMasters</v>
      </c>
      <c r="N135" s="40" t="str">
        <f>""</f>
        <v/>
      </c>
      <c r="O135" s="41">
        <v>600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54"/>
    </row>
    <row r="136" spans="1:21" ht="17.25" customHeight="1" x14ac:dyDescent="0.3">
      <c r="A136" s="15" t="s">
        <v>29</v>
      </c>
      <c r="C136" s="19"/>
      <c r="D136" s="33" t="str">
        <f t="shared" ref="D136:D137" si="116">D135</f>
        <v>C100032</v>
      </c>
      <c r="E136" s="33"/>
      <c r="F136" s="20"/>
      <c r="G136" s="20" t="str">
        <f>"""NAV"",""CRONUS JetCorp USA"",""32"",""1"",""7559"""</f>
        <v>"NAV","CRONUS JetCorp USA","32","1","7559"</v>
      </c>
      <c r="H136" s="39">
        <v>43469</v>
      </c>
      <c r="I136" s="40">
        <v>7559</v>
      </c>
      <c r="J136" s="40" t="str">
        <f>"Customer"</f>
        <v>Customer</v>
      </c>
      <c r="K136" s="40" t="str">
        <f>"C100030"</f>
        <v>C100030</v>
      </c>
      <c r="L136" s="40" t="str">
        <f>"Stutringers"</f>
        <v>Stutringers</v>
      </c>
      <c r="M136" s="40" t="str">
        <f>""</f>
        <v/>
      </c>
      <c r="N136" s="40" t="str">
        <f>""</f>
        <v/>
      </c>
      <c r="O136" s="41">
        <v>0</v>
      </c>
      <c r="P136" s="41">
        <v>-144</v>
      </c>
      <c r="Q136" s="41">
        <v>0</v>
      </c>
      <c r="R136" s="41">
        <v>0</v>
      </c>
      <c r="S136" s="41">
        <v>0</v>
      </c>
      <c r="T136" s="41">
        <v>0</v>
      </c>
      <c r="U136" s="54"/>
    </row>
    <row r="137" spans="1:21" ht="17.25" customHeight="1" x14ac:dyDescent="0.3">
      <c r="A137" s="15" t="s">
        <v>29</v>
      </c>
      <c r="C137" s="19"/>
      <c r="D137" s="33" t="str">
        <f t="shared" si="116"/>
        <v>C100032</v>
      </c>
      <c r="E137" s="33"/>
      <c r="F137" s="20"/>
      <c r="G137" s="20" t="str">
        <f>"""NAV"",""CRONUS JetCorp USA"",""32"",""1"",""30108"""</f>
        <v>"NAV","CRONUS JetCorp USA","32","1","30108"</v>
      </c>
      <c r="H137" s="39">
        <v>43475</v>
      </c>
      <c r="I137" s="40">
        <v>30108</v>
      </c>
      <c r="J137" s="40" t="str">
        <f>"Customer"</f>
        <v>Customer</v>
      </c>
      <c r="K137" s="40" t="str">
        <f>"C100012"</f>
        <v>C100012</v>
      </c>
      <c r="L137" s="40" t="str">
        <f>"Bainbridges"</f>
        <v>Bainbridges</v>
      </c>
      <c r="M137" s="40" t="str">
        <f>""</f>
        <v/>
      </c>
      <c r="N137" s="40" t="str">
        <f>""</f>
        <v/>
      </c>
      <c r="O137" s="41">
        <v>0</v>
      </c>
      <c r="P137" s="41">
        <v>-144</v>
      </c>
      <c r="Q137" s="41">
        <v>0</v>
      </c>
      <c r="R137" s="41">
        <v>0</v>
      </c>
      <c r="S137" s="41">
        <v>0</v>
      </c>
      <c r="T137" s="41">
        <v>0</v>
      </c>
      <c r="U137" s="54"/>
    </row>
    <row r="138" spans="1:21" ht="17.25" customHeight="1" x14ac:dyDescent="0.3">
      <c r="A138" s="15" t="s">
        <v>29</v>
      </c>
      <c r="C138" s="19"/>
      <c r="D138" s="33"/>
      <c r="E138" s="33"/>
      <c r="F138" s="20"/>
      <c r="G138" s="20"/>
      <c r="H138" s="20"/>
      <c r="I138" s="20"/>
      <c r="J138" s="20"/>
      <c r="K138" s="20"/>
      <c r="L138" s="20"/>
      <c r="M138" s="20"/>
      <c r="N138" s="20"/>
      <c r="O138" s="42"/>
      <c r="P138" s="42"/>
      <c r="Q138" s="42"/>
      <c r="R138" s="42"/>
      <c r="S138" s="42"/>
      <c r="T138" s="42"/>
      <c r="U138" s="55"/>
    </row>
    <row r="139" spans="1:21" ht="17.25" customHeight="1" x14ac:dyDescent="0.3">
      <c r="A139" s="15" t="s">
        <v>29</v>
      </c>
      <c r="C139" s="19"/>
      <c r="D139" s="33"/>
      <c r="E139" s="33" t="s">
        <v>30</v>
      </c>
      <c r="F139" s="20" t="s">
        <v>30</v>
      </c>
      <c r="G139" s="20" t="s">
        <v>30</v>
      </c>
      <c r="H139" s="20"/>
      <c r="I139" s="20"/>
      <c r="J139" s="20" t="s">
        <v>30</v>
      </c>
      <c r="K139" s="20" t="s">
        <v>30</v>
      </c>
      <c r="L139" s="20" t="s">
        <v>30</v>
      </c>
      <c r="M139" s="20" t="s">
        <v>30</v>
      </c>
      <c r="N139" s="20"/>
      <c r="U139" s="56"/>
    </row>
    <row r="140" spans="1:21" ht="20.25" customHeight="1" x14ac:dyDescent="0.35">
      <c r="A140" s="15" t="s">
        <v>29</v>
      </c>
      <c r="C140" s="19"/>
      <c r="D140" s="34" t="str">
        <f t="shared" ref="D140" si="117">E140</f>
        <v>C100033</v>
      </c>
      <c r="E140" s="35" t="str">
        <f>"C100033"</f>
        <v>C100033</v>
      </c>
      <c r="F140" s="36" t="str">
        <f>"Frames &amp; Clock"</f>
        <v>Frames &amp; Clock</v>
      </c>
      <c r="G140" s="36"/>
      <c r="H140" s="37" t="str">
        <f>"EA"</f>
        <v>EA</v>
      </c>
      <c r="I140" s="36"/>
      <c r="J140" s="36"/>
      <c r="K140" s="36"/>
      <c r="L140" s="36"/>
      <c r="M140" s="36"/>
      <c r="N140" s="36"/>
      <c r="O140" s="38">
        <f t="shared" ref="O140:T140" si="118">(SUBTOTAL(9,O141:O142))</f>
        <v>1800</v>
      </c>
      <c r="P140" s="38">
        <f t="shared" si="118"/>
        <v>0</v>
      </c>
      <c r="Q140" s="38">
        <f t="shared" si="118"/>
        <v>0</v>
      </c>
      <c r="R140" s="38">
        <f t="shared" si="118"/>
        <v>0</v>
      </c>
      <c r="S140" s="38">
        <f t="shared" si="118"/>
        <v>0</v>
      </c>
      <c r="T140" s="38">
        <f t="shared" si="118"/>
        <v>0</v>
      </c>
      <c r="U140" s="53">
        <f t="shared" ref="U140" si="119">SUBTOTAL(9,O141:T142)</f>
        <v>1800</v>
      </c>
    </row>
    <row r="141" spans="1:21" ht="17.25" customHeight="1" x14ac:dyDescent="0.3">
      <c r="A141" s="15" t="s">
        <v>29</v>
      </c>
      <c r="C141" s="19"/>
      <c r="D141" s="33" t="str">
        <f t="shared" ref="D141" si="120">D140</f>
        <v>C100033</v>
      </c>
      <c r="E141" s="33"/>
      <c r="F141" s="20"/>
      <c r="G141" s="20" t="str">
        <f>"""NAV"",""CRONUS JetCorp USA"",""32"",""1"",""167614"""</f>
        <v>"NAV","CRONUS JetCorp USA","32","1","167614"</v>
      </c>
      <c r="H141" s="39">
        <v>43466</v>
      </c>
      <c r="I141" s="40">
        <v>167614</v>
      </c>
      <c r="J141" s="40" t="str">
        <f>"Vendor"</f>
        <v>Vendor</v>
      </c>
      <c r="K141" s="40" t="str">
        <f>"V100003"</f>
        <v>V100003</v>
      </c>
      <c r="L141" s="40" t="str">
        <f>""</f>
        <v/>
      </c>
      <c r="M141" s="40" t="str">
        <f>"LogoMasters"</f>
        <v>LogoMasters</v>
      </c>
      <c r="N141" s="40" t="str">
        <f>""</f>
        <v/>
      </c>
      <c r="O141" s="41">
        <v>1800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54"/>
    </row>
    <row r="142" spans="1:21" ht="17.25" customHeight="1" x14ac:dyDescent="0.3">
      <c r="A142" s="15" t="s">
        <v>29</v>
      </c>
      <c r="C142" s="19"/>
      <c r="D142" s="33"/>
      <c r="E142" s="33"/>
      <c r="F142" s="20"/>
      <c r="G142" s="20"/>
      <c r="H142" s="20"/>
      <c r="I142" s="20"/>
      <c r="J142" s="20"/>
      <c r="K142" s="20"/>
      <c r="L142" s="20"/>
      <c r="M142" s="20"/>
      <c r="N142" s="20"/>
      <c r="O142" s="42"/>
      <c r="P142" s="42"/>
      <c r="Q142" s="42"/>
      <c r="R142" s="42"/>
      <c r="S142" s="42"/>
      <c r="T142" s="42"/>
      <c r="U142" s="55"/>
    </row>
    <row r="143" spans="1:21" ht="17.25" customHeight="1" x14ac:dyDescent="0.3">
      <c r="A143" s="15" t="s">
        <v>29</v>
      </c>
      <c r="C143" s="19"/>
      <c r="D143" s="33"/>
      <c r="E143" s="33" t="s">
        <v>30</v>
      </c>
      <c r="F143" s="20" t="s">
        <v>30</v>
      </c>
      <c r="G143" s="20" t="s">
        <v>30</v>
      </c>
      <c r="H143" s="20"/>
      <c r="I143" s="20"/>
      <c r="J143" s="20" t="s">
        <v>30</v>
      </c>
      <c r="K143" s="20" t="s">
        <v>30</v>
      </c>
      <c r="L143" s="20" t="s">
        <v>30</v>
      </c>
      <c r="M143" s="20" t="s">
        <v>30</v>
      </c>
      <c r="N143" s="20"/>
      <c r="U143" s="56"/>
    </row>
    <row r="144" spans="1:21" ht="20.25" customHeight="1" x14ac:dyDescent="0.35">
      <c r="A144" s="15" t="s">
        <v>29</v>
      </c>
      <c r="C144" s="19"/>
      <c r="D144" s="34" t="str">
        <f t="shared" ref="D144" si="121">E144</f>
        <v>C100034</v>
      </c>
      <c r="E144" s="35" t="str">
        <f>"C100034"</f>
        <v>C100034</v>
      </c>
      <c r="F144" s="36" t="str">
        <f>"Clock &amp; Pen Holder"</f>
        <v>Clock &amp; Pen Holder</v>
      </c>
      <c r="G144" s="36"/>
      <c r="H144" s="37" t="str">
        <f>"EA"</f>
        <v>EA</v>
      </c>
      <c r="I144" s="36"/>
      <c r="J144" s="36"/>
      <c r="K144" s="36"/>
      <c r="L144" s="36"/>
      <c r="M144" s="36"/>
      <c r="N144" s="36"/>
      <c r="O144" s="38">
        <f t="shared" ref="O144:T144" si="122">(SUBTOTAL(9,O145:O147))</f>
        <v>600</v>
      </c>
      <c r="P144" s="38">
        <f t="shared" si="122"/>
        <v>-1</v>
      </c>
      <c r="Q144" s="38">
        <f t="shared" si="122"/>
        <v>0</v>
      </c>
      <c r="R144" s="38">
        <f t="shared" si="122"/>
        <v>0</v>
      </c>
      <c r="S144" s="38">
        <f t="shared" si="122"/>
        <v>0</v>
      </c>
      <c r="T144" s="38">
        <f t="shared" si="122"/>
        <v>0</v>
      </c>
      <c r="U144" s="53">
        <f t="shared" ref="U144" si="123">SUBTOTAL(9,O145:T147)</f>
        <v>599</v>
      </c>
    </row>
    <row r="145" spans="1:21" ht="17.25" customHeight="1" x14ac:dyDescent="0.3">
      <c r="A145" s="15" t="s">
        <v>29</v>
      </c>
      <c r="C145" s="19"/>
      <c r="D145" s="33" t="str">
        <f t="shared" ref="D145" si="124">D144</f>
        <v>C100034</v>
      </c>
      <c r="E145" s="33"/>
      <c r="F145" s="20"/>
      <c r="G145" s="20" t="str">
        <f>"""NAV"",""CRONUS JetCorp USA"",""32"",""1"",""167613"""</f>
        <v>"NAV","CRONUS JetCorp USA","32","1","167613"</v>
      </c>
      <c r="H145" s="39">
        <v>43466</v>
      </c>
      <c r="I145" s="40">
        <v>167613</v>
      </c>
      <c r="J145" s="40" t="str">
        <f>"Vendor"</f>
        <v>Vendor</v>
      </c>
      <c r="K145" s="40" t="str">
        <f>"V100003"</f>
        <v>V100003</v>
      </c>
      <c r="L145" s="40" t="str">
        <f>""</f>
        <v/>
      </c>
      <c r="M145" s="40" t="str">
        <f>"LogoMasters"</f>
        <v>LogoMasters</v>
      </c>
      <c r="N145" s="40" t="str">
        <f>""</f>
        <v/>
      </c>
      <c r="O145" s="41">
        <v>600</v>
      </c>
      <c r="P145" s="41">
        <v>0</v>
      </c>
      <c r="Q145" s="41">
        <v>0</v>
      </c>
      <c r="R145" s="41">
        <v>0</v>
      </c>
      <c r="S145" s="41">
        <v>0</v>
      </c>
      <c r="T145" s="41">
        <v>0</v>
      </c>
      <c r="U145" s="54"/>
    </row>
    <row r="146" spans="1:21" ht="17.25" customHeight="1" x14ac:dyDescent="0.3">
      <c r="A146" s="15" t="s">
        <v>29</v>
      </c>
      <c r="C146" s="19"/>
      <c r="D146" s="33" t="str">
        <f t="shared" ref="D146" si="125">D145</f>
        <v>C100034</v>
      </c>
      <c r="E146" s="33"/>
      <c r="F146" s="20"/>
      <c r="G146" s="20" t="str">
        <f>"""NAV"",""CRONUS JetCorp USA"",""32"",""1"",""116375"""</f>
        <v>"NAV","CRONUS JetCorp USA","32","1","116375"</v>
      </c>
      <c r="H146" s="39">
        <v>43472</v>
      </c>
      <c r="I146" s="40">
        <v>116375</v>
      </c>
      <c r="J146" s="40" t="str">
        <f>"Customer"</f>
        <v>Customer</v>
      </c>
      <c r="K146" s="40" t="str">
        <f>"C100054"</f>
        <v>C100054</v>
      </c>
      <c r="L146" s="40" t="str">
        <f>"London Candoxy Storage Campus"</f>
        <v>London Candoxy Storage Campus</v>
      </c>
      <c r="M146" s="40" t="str">
        <f>""</f>
        <v/>
      </c>
      <c r="N146" s="40" t="str">
        <f>""</f>
        <v/>
      </c>
      <c r="O146" s="41">
        <v>0</v>
      </c>
      <c r="P146" s="41">
        <v>-1</v>
      </c>
      <c r="Q146" s="41">
        <v>0</v>
      </c>
      <c r="R146" s="41">
        <v>0</v>
      </c>
      <c r="S146" s="41">
        <v>0</v>
      </c>
      <c r="T146" s="41">
        <v>0</v>
      </c>
      <c r="U146" s="54"/>
    </row>
    <row r="147" spans="1:21" ht="17.25" customHeight="1" x14ac:dyDescent="0.3">
      <c r="A147" s="15" t="s">
        <v>29</v>
      </c>
      <c r="C147" s="19"/>
      <c r="D147" s="33"/>
      <c r="E147" s="33"/>
      <c r="F147" s="20"/>
      <c r="G147" s="20"/>
      <c r="H147" s="20"/>
      <c r="I147" s="20"/>
      <c r="J147" s="20"/>
      <c r="K147" s="20"/>
      <c r="L147" s="20"/>
      <c r="M147" s="20"/>
      <c r="N147" s="20"/>
      <c r="O147" s="42"/>
      <c r="P147" s="42"/>
      <c r="Q147" s="42"/>
      <c r="R147" s="42"/>
      <c r="S147" s="42"/>
      <c r="T147" s="42"/>
      <c r="U147" s="55"/>
    </row>
    <row r="148" spans="1:21" ht="17.25" customHeight="1" x14ac:dyDescent="0.3">
      <c r="A148" s="15" t="s">
        <v>29</v>
      </c>
      <c r="C148" s="19"/>
      <c r="D148" s="33"/>
      <c r="E148" s="33" t="s">
        <v>30</v>
      </c>
      <c r="F148" s="20" t="s">
        <v>30</v>
      </c>
      <c r="G148" s="20" t="s">
        <v>30</v>
      </c>
      <c r="H148" s="20"/>
      <c r="I148" s="20"/>
      <c r="J148" s="20" t="s">
        <v>30</v>
      </c>
      <c r="K148" s="20" t="s">
        <v>30</v>
      </c>
      <c r="L148" s="20" t="s">
        <v>30</v>
      </c>
      <c r="M148" s="20" t="s">
        <v>30</v>
      </c>
      <c r="N148" s="20"/>
      <c r="U148" s="56"/>
    </row>
    <row r="149" spans="1:21" ht="20.25" customHeight="1" x14ac:dyDescent="0.35">
      <c r="A149" s="15" t="s">
        <v>29</v>
      </c>
      <c r="C149" s="19"/>
      <c r="D149" s="34" t="str">
        <f t="shared" ref="D149" si="126">E149</f>
        <v>C100035</v>
      </c>
      <c r="E149" s="35" t="str">
        <f>"C100035"</f>
        <v>C100035</v>
      </c>
      <c r="F149" s="36" t="str">
        <f>"Calculator &amp; World Time Clock"</f>
        <v>Calculator &amp; World Time Clock</v>
      </c>
      <c r="G149" s="36"/>
      <c r="H149" s="37" t="str">
        <f>"EA"</f>
        <v>EA</v>
      </c>
      <c r="I149" s="36"/>
      <c r="J149" s="36"/>
      <c r="K149" s="36"/>
      <c r="L149" s="36"/>
      <c r="M149" s="36"/>
      <c r="N149" s="36"/>
      <c r="O149" s="38">
        <f t="shared" ref="O149:T149" si="127">(SUBTOTAL(9,O150:O152))</f>
        <v>1600</v>
      </c>
      <c r="P149" s="38">
        <f t="shared" si="127"/>
        <v>-168</v>
      </c>
      <c r="Q149" s="38">
        <f t="shared" si="127"/>
        <v>0</v>
      </c>
      <c r="R149" s="38">
        <f t="shared" si="127"/>
        <v>0</v>
      </c>
      <c r="S149" s="38">
        <f t="shared" si="127"/>
        <v>0</v>
      </c>
      <c r="T149" s="38">
        <f t="shared" si="127"/>
        <v>0</v>
      </c>
      <c r="U149" s="53">
        <f t="shared" ref="U149" si="128">SUBTOTAL(9,O150:T152)</f>
        <v>1432</v>
      </c>
    </row>
    <row r="150" spans="1:21" ht="17.25" customHeight="1" x14ac:dyDescent="0.3">
      <c r="A150" s="15" t="s">
        <v>29</v>
      </c>
      <c r="C150" s="19"/>
      <c r="D150" s="33" t="str">
        <f t="shared" ref="D150" si="129">D149</f>
        <v>C100035</v>
      </c>
      <c r="E150" s="33"/>
      <c r="F150" s="20"/>
      <c r="G150" s="20" t="str">
        <f>"""NAV"",""CRONUS JetCorp USA"",""32"",""1"",""167612"""</f>
        <v>"NAV","CRONUS JetCorp USA","32","1","167612"</v>
      </c>
      <c r="H150" s="39">
        <v>43466</v>
      </c>
      <c r="I150" s="40">
        <v>167612</v>
      </c>
      <c r="J150" s="40" t="str">
        <f>"Vendor"</f>
        <v>Vendor</v>
      </c>
      <c r="K150" s="40" t="str">
        <f>"V100003"</f>
        <v>V100003</v>
      </c>
      <c r="L150" s="40" t="str">
        <f>""</f>
        <v/>
      </c>
      <c r="M150" s="40" t="str">
        <f>"LogoMasters"</f>
        <v>LogoMasters</v>
      </c>
      <c r="N150" s="40" t="str">
        <f>""</f>
        <v/>
      </c>
      <c r="O150" s="41">
        <v>1600</v>
      </c>
      <c r="P150" s="41">
        <v>0</v>
      </c>
      <c r="Q150" s="41">
        <v>0</v>
      </c>
      <c r="R150" s="41">
        <v>0</v>
      </c>
      <c r="S150" s="41">
        <v>0</v>
      </c>
      <c r="T150" s="41">
        <v>0</v>
      </c>
      <c r="U150" s="54"/>
    </row>
    <row r="151" spans="1:21" ht="17.25" customHeight="1" x14ac:dyDescent="0.3">
      <c r="A151" s="15" t="s">
        <v>29</v>
      </c>
      <c r="C151" s="19"/>
      <c r="D151" s="33" t="str">
        <f t="shared" ref="D151" si="130">D150</f>
        <v>C100035</v>
      </c>
      <c r="E151" s="33"/>
      <c r="F151" s="20"/>
      <c r="G151" s="20" t="str">
        <f>"""NAV"",""CRONUS JetCorp USA"",""32"",""1"",""114279"""</f>
        <v>"NAV","CRONUS JetCorp USA","32","1","114279"</v>
      </c>
      <c r="H151" s="39">
        <v>43474</v>
      </c>
      <c r="I151" s="40">
        <v>114279</v>
      </c>
      <c r="J151" s="40" t="str">
        <f>"Customer"</f>
        <v>Customer</v>
      </c>
      <c r="K151" s="40" t="str">
        <f>"C100076"</f>
        <v>C100076</v>
      </c>
      <c r="L151" s="40" t="str">
        <f>"Showmasters"</f>
        <v>Showmasters</v>
      </c>
      <c r="M151" s="40" t="str">
        <f>""</f>
        <v/>
      </c>
      <c r="N151" s="40" t="str">
        <f>""</f>
        <v/>
      </c>
      <c r="O151" s="41">
        <v>0</v>
      </c>
      <c r="P151" s="41">
        <v>-168</v>
      </c>
      <c r="Q151" s="41">
        <v>0</v>
      </c>
      <c r="R151" s="41">
        <v>0</v>
      </c>
      <c r="S151" s="41">
        <v>0</v>
      </c>
      <c r="T151" s="41">
        <v>0</v>
      </c>
      <c r="U151" s="54"/>
    </row>
    <row r="152" spans="1:21" ht="17.25" customHeight="1" x14ac:dyDescent="0.3">
      <c r="A152" s="15" t="s">
        <v>29</v>
      </c>
      <c r="C152" s="19"/>
      <c r="D152" s="33"/>
      <c r="E152" s="33"/>
      <c r="F152" s="20"/>
      <c r="G152" s="20"/>
      <c r="H152" s="20"/>
      <c r="I152" s="20"/>
      <c r="J152" s="20"/>
      <c r="K152" s="20"/>
      <c r="L152" s="20"/>
      <c r="M152" s="20"/>
      <c r="N152" s="20"/>
      <c r="O152" s="42"/>
      <c r="P152" s="42"/>
      <c r="Q152" s="42"/>
      <c r="R152" s="42"/>
      <c r="S152" s="42"/>
      <c r="T152" s="42"/>
      <c r="U152" s="55"/>
    </row>
    <row r="153" spans="1:21" ht="17.25" customHeight="1" x14ac:dyDescent="0.3">
      <c r="A153" s="15" t="s">
        <v>29</v>
      </c>
      <c r="C153" s="19"/>
      <c r="D153" s="33"/>
      <c r="E153" s="33" t="s">
        <v>30</v>
      </c>
      <c r="F153" s="20" t="s">
        <v>30</v>
      </c>
      <c r="G153" s="20" t="s">
        <v>30</v>
      </c>
      <c r="H153" s="20"/>
      <c r="I153" s="20"/>
      <c r="J153" s="20" t="s">
        <v>30</v>
      </c>
      <c r="K153" s="20" t="s">
        <v>30</v>
      </c>
      <c r="L153" s="20" t="s">
        <v>30</v>
      </c>
      <c r="M153" s="20" t="s">
        <v>30</v>
      </c>
      <c r="N153" s="20"/>
      <c r="U153" s="56"/>
    </row>
    <row r="154" spans="1:21" ht="20.25" customHeight="1" x14ac:dyDescent="0.35">
      <c r="A154" s="15" t="s">
        <v>29</v>
      </c>
      <c r="C154" s="19"/>
      <c r="D154" s="34" t="str">
        <f t="shared" ref="D154" si="131">E154</f>
        <v>C100036</v>
      </c>
      <c r="E154" s="35" t="str">
        <f>"C100036"</f>
        <v>C100036</v>
      </c>
      <c r="F154" s="36" t="str">
        <f>"Clock &amp; Business Card Holder"</f>
        <v>Clock &amp; Business Card Holder</v>
      </c>
      <c r="G154" s="36"/>
      <c r="H154" s="37" t="str">
        <f>"EA"</f>
        <v>EA</v>
      </c>
      <c r="I154" s="36"/>
      <c r="J154" s="36"/>
      <c r="K154" s="36"/>
      <c r="L154" s="36"/>
      <c r="M154" s="36"/>
      <c r="N154" s="36"/>
      <c r="O154" s="38">
        <f t="shared" ref="O154:T154" si="132">(SUBTOTAL(9,O155:O156))</f>
        <v>200</v>
      </c>
      <c r="P154" s="38">
        <f t="shared" si="132"/>
        <v>0</v>
      </c>
      <c r="Q154" s="38">
        <f t="shared" si="132"/>
        <v>0</v>
      </c>
      <c r="R154" s="38">
        <f t="shared" si="132"/>
        <v>0</v>
      </c>
      <c r="S154" s="38">
        <f t="shared" si="132"/>
        <v>0</v>
      </c>
      <c r="T154" s="38">
        <f t="shared" si="132"/>
        <v>0</v>
      </c>
      <c r="U154" s="53">
        <f t="shared" ref="U154" si="133">SUBTOTAL(9,O155:T156)</f>
        <v>200</v>
      </c>
    </row>
    <row r="155" spans="1:21" ht="17.25" customHeight="1" x14ac:dyDescent="0.3">
      <c r="A155" s="15" t="s">
        <v>29</v>
      </c>
      <c r="C155" s="19"/>
      <c r="D155" s="33" t="str">
        <f t="shared" ref="D155" si="134">D154</f>
        <v>C100036</v>
      </c>
      <c r="E155" s="33"/>
      <c r="F155" s="20"/>
      <c r="G155" s="20" t="str">
        <f>"""NAV"",""CRONUS JetCorp USA"",""32"",""1"",""167611"""</f>
        <v>"NAV","CRONUS JetCorp USA","32","1","167611"</v>
      </c>
      <c r="H155" s="39">
        <v>43466</v>
      </c>
      <c r="I155" s="40">
        <v>167611</v>
      </c>
      <c r="J155" s="40" t="str">
        <f>"Vendor"</f>
        <v>Vendor</v>
      </c>
      <c r="K155" s="40" t="str">
        <f>"V100003"</f>
        <v>V100003</v>
      </c>
      <c r="L155" s="40" t="str">
        <f>""</f>
        <v/>
      </c>
      <c r="M155" s="40" t="str">
        <f>"LogoMasters"</f>
        <v>LogoMasters</v>
      </c>
      <c r="N155" s="40" t="str">
        <f>""</f>
        <v/>
      </c>
      <c r="O155" s="41">
        <v>200</v>
      </c>
      <c r="P155" s="41">
        <v>0</v>
      </c>
      <c r="Q155" s="41">
        <v>0</v>
      </c>
      <c r="R155" s="41">
        <v>0</v>
      </c>
      <c r="S155" s="41">
        <v>0</v>
      </c>
      <c r="T155" s="41">
        <v>0</v>
      </c>
      <c r="U155" s="54"/>
    </row>
    <row r="156" spans="1:21" ht="17.25" customHeight="1" x14ac:dyDescent="0.3">
      <c r="A156" s="15" t="s">
        <v>29</v>
      </c>
      <c r="C156" s="19"/>
      <c r="D156" s="33"/>
      <c r="E156" s="33"/>
      <c r="F156" s="20"/>
      <c r="G156" s="20"/>
      <c r="H156" s="20"/>
      <c r="I156" s="20"/>
      <c r="J156" s="20"/>
      <c r="K156" s="20"/>
      <c r="L156" s="20"/>
      <c r="M156" s="20"/>
      <c r="N156" s="20"/>
      <c r="O156" s="42"/>
      <c r="P156" s="42"/>
      <c r="Q156" s="42"/>
      <c r="R156" s="42"/>
      <c r="S156" s="42"/>
      <c r="T156" s="42"/>
      <c r="U156" s="55"/>
    </row>
    <row r="157" spans="1:21" ht="17.25" customHeight="1" x14ac:dyDescent="0.3">
      <c r="A157" s="15" t="s">
        <v>29</v>
      </c>
      <c r="C157" s="19"/>
      <c r="D157" s="33"/>
      <c r="E157" s="33" t="s">
        <v>30</v>
      </c>
      <c r="F157" s="20" t="s">
        <v>30</v>
      </c>
      <c r="G157" s="20" t="s">
        <v>30</v>
      </c>
      <c r="H157" s="20"/>
      <c r="I157" s="20"/>
      <c r="J157" s="20" t="s">
        <v>30</v>
      </c>
      <c r="K157" s="20" t="s">
        <v>30</v>
      </c>
      <c r="L157" s="20" t="s">
        <v>30</v>
      </c>
      <c r="M157" s="20" t="s">
        <v>30</v>
      </c>
      <c r="N157" s="20"/>
      <c r="U157" s="56"/>
    </row>
    <row r="158" spans="1:21" ht="20.25" customHeight="1" x14ac:dyDescent="0.35">
      <c r="A158" s="15" t="s">
        <v>29</v>
      </c>
      <c r="C158" s="19"/>
      <c r="D158" s="34" t="str">
        <f t="shared" ref="D158" si="135">E158</f>
        <v>C100037</v>
      </c>
      <c r="E158" s="35" t="str">
        <f>"C100037"</f>
        <v>C100037</v>
      </c>
      <c r="F158" s="36" t="str">
        <f>"World Time Travel Alarm"</f>
        <v>World Time Travel Alarm</v>
      </c>
      <c r="G158" s="36"/>
      <c r="H158" s="37" t="str">
        <f>"EA"</f>
        <v>EA</v>
      </c>
      <c r="I158" s="36"/>
      <c r="J158" s="36"/>
      <c r="K158" s="36"/>
      <c r="L158" s="36"/>
      <c r="M158" s="36"/>
      <c r="N158" s="36"/>
      <c r="O158" s="38">
        <f t="shared" ref="O158:T158" si="136">(SUBTOTAL(9,O159:O162))</f>
        <v>200</v>
      </c>
      <c r="P158" s="38">
        <f t="shared" si="136"/>
        <v>-145</v>
      </c>
      <c r="Q158" s="38">
        <f t="shared" si="136"/>
        <v>0</v>
      </c>
      <c r="R158" s="38">
        <f t="shared" si="136"/>
        <v>0</v>
      </c>
      <c r="S158" s="38">
        <f t="shared" si="136"/>
        <v>0</v>
      </c>
      <c r="T158" s="38">
        <f t="shared" si="136"/>
        <v>0</v>
      </c>
      <c r="U158" s="53">
        <f t="shared" ref="U158" si="137">SUBTOTAL(9,O159:T162)</f>
        <v>55</v>
      </c>
    </row>
    <row r="159" spans="1:21" ht="17.25" customHeight="1" x14ac:dyDescent="0.3">
      <c r="A159" s="15" t="s">
        <v>29</v>
      </c>
      <c r="C159" s="19"/>
      <c r="D159" s="33" t="str">
        <f t="shared" ref="D159" si="138">D158</f>
        <v>C100037</v>
      </c>
      <c r="E159" s="33"/>
      <c r="F159" s="20"/>
      <c r="G159" s="20" t="str">
        <f>"""NAV"",""CRONUS JetCorp USA"",""32"",""1"",""167610"""</f>
        <v>"NAV","CRONUS JetCorp USA","32","1","167610"</v>
      </c>
      <c r="H159" s="39">
        <v>43466</v>
      </c>
      <c r="I159" s="40">
        <v>167610</v>
      </c>
      <c r="J159" s="40" t="str">
        <f>"Vendor"</f>
        <v>Vendor</v>
      </c>
      <c r="K159" s="40" t="str">
        <f>"V100003"</f>
        <v>V100003</v>
      </c>
      <c r="L159" s="40" t="str">
        <f>""</f>
        <v/>
      </c>
      <c r="M159" s="40" t="str">
        <f>"LogoMasters"</f>
        <v>LogoMasters</v>
      </c>
      <c r="N159" s="40" t="str">
        <f>""</f>
        <v/>
      </c>
      <c r="O159" s="41">
        <v>200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  <c r="U159" s="54"/>
    </row>
    <row r="160" spans="1:21" ht="17.25" customHeight="1" x14ac:dyDescent="0.3">
      <c r="A160" s="15" t="s">
        <v>29</v>
      </c>
      <c r="C160" s="19"/>
      <c r="D160" s="33" t="str">
        <f t="shared" ref="D160:D161" si="139">D159</f>
        <v>C100037</v>
      </c>
      <c r="E160" s="33"/>
      <c r="F160" s="20"/>
      <c r="G160" s="20" t="str">
        <f>"""NAV"",""CRONUS JetCorp USA"",""32"",""1"",""7558"""</f>
        <v>"NAV","CRONUS JetCorp USA","32","1","7558"</v>
      </c>
      <c r="H160" s="39">
        <v>43469</v>
      </c>
      <c r="I160" s="40">
        <v>7558</v>
      </c>
      <c r="J160" s="40" t="str">
        <f>"Customer"</f>
        <v>Customer</v>
      </c>
      <c r="K160" s="40" t="str">
        <f>"C100030"</f>
        <v>C100030</v>
      </c>
      <c r="L160" s="40" t="str">
        <f>"Stutringers"</f>
        <v>Stutringers</v>
      </c>
      <c r="M160" s="40" t="str">
        <f>""</f>
        <v/>
      </c>
      <c r="N160" s="40" t="str">
        <f>""</f>
        <v/>
      </c>
      <c r="O160" s="41">
        <v>0</v>
      </c>
      <c r="P160" s="41">
        <v>-144</v>
      </c>
      <c r="Q160" s="41">
        <v>0</v>
      </c>
      <c r="R160" s="41">
        <v>0</v>
      </c>
      <c r="S160" s="41">
        <v>0</v>
      </c>
      <c r="T160" s="41">
        <v>0</v>
      </c>
      <c r="U160" s="54"/>
    </row>
    <row r="161" spans="1:21" ht="17.25" customHeight="1" x14ac:dyDescent="0.3">
      <c r="A161" s="15" t="s">
        <v>29</v>
      </c>
      <c r="C161" s="19"/>
      <c r="D161" s="33" t="str">
        <f t="shared" si="139"/>
        <v>C100037</v>
      </c>
      <c r="E161" s="33"/>
      <c r="F161" s="20"/>
      <c r="G161" s="20" t="str">
        <f>"""NAV"",""CRONUS JetCorp USA"",""32"",""1"",""114274"""</f>
        <v>"NAV","CRONUS JetCorp USA","32","1","114274"</v>
      </c>
      <c r="H161" s="39">
        <v>43470</v>
      </c>
      <c r="I161" s="40">
        <v>114274</v>
      </c>
      <c r="J161" s="40" t="str">
        <f>"Customer"</f>
        <v>Customer</v>
      </c>
      <c r="K161" s="40" t="str">
        <f>"C100076"</f>
        <v>C100076</v>
      </c>
      <c r="L161" s="40" t="str">
        <f>"Showmasters"</f>
        <v>Showmasters</v>
      </c>
      <c r="M161" s="40" t="str">
        <f>""</f>
        <v/>
      </c>
      <c r="N161" s="40" t="str">
        <f>""</f>
        <v/>
      </c>
      <c r="O161" s="41">
        <v>0</v>
      </c>
      <c r="P161" s="41">
        <v>-1</v>
      </c>
      <c r="Q161" s="41">
        <v>0</v>
      </c>
      <c r="R161" s="41">
        <v>0</v>
      </c>
      <c r="S161" s="41">
        <v>0</v>
      </c>
      <c r="T161" s="41">
        <v>0</v>
      </c>
      <c r="U161" s="54"/>
    </row>
    <row r="162" spans="1:21" ht="17.25" customHeight="1" x14ac:dyDescent="0.3">
      <c r="A162" s="15" t="s">
        <v>29</v>
      </c>
      <c r="C162" s="19"/>
      <c r="D162" s="33"/>
      <c r="E162" s="33"/>
      <c r="F162" s="20"/>
      <c r="G162" s="20"/>
      <c r="H162" s="20"/>
      <c r="I162" s="20"/>
      <c r="J162" s="20"/>
      <c r="K162" s="20"/>
      <c r="L162" s="20"/>
      <c r="M162" s="20"/>
      <c r="N162" s="20"/>
      <c r="O162" s="42"/>
      <c r="P162" s="42"/>
      <c r="Q162" s="42"/>
      <c r="R162" s="42"/>
      <c r="S162" s="42"/>
      <c r="T162" s="42"/>
      <c r="U162" s="55"/>
    </row>
    <row r="163" spans="1:21" ht="17.25" customHeight="1" x14ac:dyDescent="0.3">
      <c r="A163" s="15" t="s">
        <v>29</v>
      </c>
      <c r="C163" s="19"/>
      <c r="D163" s="33"/>
      <c r="E163" s="33" t="s">
        <v>30</v>
      </c>
      <c r="F163" s="20" t="s">
        <v>30</v>
      </c>
      <c r="G163" s="20" t="s">
        <v>30</v>
      </c>
      <c r="H163" s="20"/>
      <c r="I163" s="20"/>
      <c r="J163" s="20" t="s">
        <v>30</v>
      </c>
      <c r="K163" s="20" t="s">
        <v>30</v>
      </c>
      <c r="L163" s="20" t="s">
        <v>30</v>
      </c>
      <c r="M163" s="20" t="s">
        <v>30</v>
      </c>
      <c r="N163" s="20"/>
      <c r="U163" s="56"/>
    </row>
    <row r="164" spans="1:21" ht="20.25" customHeight="1" x14ac:dyDescent="0.35">
      <c r="A164" s="15" t="s">
        <v>29</v>
      </c>
      <c r="C164" s="19"/>
      <c r="D164" s="34" t="str">
        <f t="shared" ref="D164" si="140">E164</f>
        <v>C100038</v>
      </c>
      <c r="E164" s="35" t="str">
        <f>"C100038"</f>
        <v>C100038</v>
      </c>
      <c r="F164" s="36" t="str">
        <f>"Foldable Travel Speakers"</f>
        <v>Foldable Travel Speakers</v>
      </c>
      <c r="G164" s="36"/>
      <c r="H164" s="37" t="str">
        <f>"EA"</f>
        <v>EA</v>
      </c>
      <c r="I164" s="36"/>
      <c r="J164" s="36"/>
      <c r="K164" s="36"/>
      <c r="L164" s="36"/>
      <c r="M164" s="36"/>
      <c r="N164" s="36"/>
      <c r="O164" s="38">
        <f t="shared" ref="O164:T164" si="141">(SUBTOTAL(9,O165:O167))</f>
        <v>200</v>
      </c>
      <c r="P164" s="38">
        <f t="shared" si="141"/>
        <v>-12</v>
      </c>
      <c r="Q164" s="38">
        <f t="shared" si="141"/>
        <v>0</v>
      </c>
      <c r="R164" s="38">
        <f t="shared" si="141"/>
        <v>0</v>
      </c>
      <c r="S164" s="38">
        <f t="shared" si="141"/>
        <v>0</v>
      </c>
      <c r="T164" s="38">
        <f t="shared" si="141"/>
        <v>0</v>
      </c>
      <c r="U164" s="53">
        <f t="shared" ref="U164" si="142">SUBTOTAL(9,O165:T167)</f>
        <v>188</v>
      </c>
    </row>
    <row r="165" spans="1:21" ht="17.25" customHeight="1" x14ac:dyDescent="0.3">
      <c r="A165" s="15" t="s">
        <v>29</v>
      </c>
      <c r="C165" s="19"/>
      <c r="D165" s="33" t="str">
        <f t="shared" ref="D165" si="143">D164</f>
        <v>C100038</v>
      </c>
      <c r="E165" s="33"/>
      <c r="F165" s="20"/>
      <c r="G165" s="20" t="str">
        <f>"""NAV"",""CRONUS JetCorp USA"",""32"",""1"",""168056"""</f>
        <v>"NAV","CRONUS JetCorp USA","32","1","168056"</v>
      </c>
      <c r="H165" s="39">
        <v>43466</v>
      </c>
      <c r="I165" s="40">
        <v>168056</v>
      </c>
      <c r="J165" s="40" t="str">
        <f>"Vendor"</f>
        <v>Vendor</v>
      </c>
      <c r="K165" s="40" t="str">
        <f>"V100003"</f>
        <v>V100003</v>
      </c>
      <c r="L165" s="40" t="str">
        <f>""</f>
        <v/>
      </c>
      <c r="M165" s="40" t="str">
        <f>"LogoMasters"</f>
        <v>LogoMasters</v>
      </c>
      <c r="N165" s="40" t="str">
        <f>""</f>
        <v/>
      </c>
      <c r="O165" s="41">
        <v>200</v>
      </c>
      <c r="P165" s="41">
        <v>0</v>
      </c>
      <c r="Q165" s="41">
        <v>0</v>
      </c>
      <c r="R165" s="41">
        <v>0</v>
      </c>
      <c r="S165" s="41">
        <v>0</v>
      </c>
      <c r="T165" s="41">
        <v>0</v>
      </c>
      <c r="U165" s="54"/>
    </row>
    <row r="166" spans="1:21" ht="17.25" customHeight="1" x14ac:dyDescent="0.3">
      <c r="A166" s="15" t="s">
        <v>29</v>
      </c>
      <c r="C166" s="19"/>
      <c r="D166" s="33" t="str">
        <f t="shared" ref="D166" si="144">D165</f>
        <v>C100038</v>
      </c>
      <c r="E166" s="33"/>
      <c r="F166" s="20"/>
      <c r="G166" s="20" t="str">
        <f>"""NAV"",""CRONUS JetCorp USA"",""32"",""1"",""114272"""</f>
        <v>"NAV","CRONUS JetCorp USA","32","1","114272"</v>
      </c>
      <c r="H166" s="39">
        <v>43470</v>
      </c>
      <c r="I166" s="40">
        <v>114272</v>
      </c>
      <c r="J166" s="40" t="str">
        <f>"Customer"</f>
        <v>Customer</v>
      </c>
      <c r="K166" s="40" t="str">
        <f>"C100076"</f>
        <v>C100076</v>
      </c>
      <c r="L166" s="40" t="str">
        <f>"Showmasters"</f>
        <v>Showmasters</v>
      </c>
      <c r="M166" s="40" t="str">
        <f>""</f>
        <v/>
      </c>
      <c r="N166" s="40" t="str">
        <f>""</f>
        <v/>
      </c>
      <c r="O166" s="41">
        <v>0</v>
      </c>
      <c r="P166" s="41">
        <v>-12</v>
      </c>
      <c r="Q166" s="41">
        <v>0</v>
      </c>
      <c r="R166" s="41">
        <v>0</v>
      </c>
      <c r="S166" s="41">
        <v>0</v>
      </c>
      <c r="T166" s="41">
        <v>0</v>
      </c>
      <c r="U166" s="54"/>
    </row>
    <row r="167" spans="1:21" ht="17.25" customHeight="1" x14ac:dyDescent="0.3">
      <c r="A167" s="15" t="s">
        <v>29</v>
      </c>
      <c r="C167" s="19"/>
      <c r="D167" s="33"/>
      <c r="E167" s="33"/>
      <c r="F167" s="20"/>
      <c r="G167" s="20"/>
      <c r="H167" s="20"/>
      <c r="I167" s="20"/>
      <c r="J167" s="20"/>
      <c r="K167" s="20"/>
      <c r="L167" s="20"/>
      <c r="M167" s="20"/>
      <c r="N167" s="20"/>
      <c r="O167" s="42"/>
      <c r="P167" s="42"/>
      <c r="Q167" s="42"/>
      <c r="R167" s="42"/>
      <c r="S167" s="42"/>
      <c r="T167" s="42"/>
      <c r="U167" s="55"/>
    </row>
    <row r="168" spans="1:21" ht="17.25" customHeight="1" x14ac:dyDescent="0.3">
      <c r="A168" s="15" t="s">
        <v>29</v>
      </c>
      <c r="C168" s="19"/>
      <c r="D168" s="33"/>
      <c r="E168" s="33" t="s">
        <v>30</v>
      </c>
      <c r="F168" s="20" t="s">
        <v>30</v>
      </c>
      <c r="G168" s="20" t="s">
        <v>30</v>
      </c>
      <c r="H168" s="20"/>
      <c r="I168" s="20"/>
      <c r="J168" s="20" t="s">
        <v>30</v>
      </c>
      <c r="K168" s="20" t="s">
        <v>30</v>
      </c>
      <c r="L168" s="20" t="s">
        <v>30</v>
      </c>
      <c r="M168" s="20" t="s">
        <v>30</v>
      </c>
      <c r="N168" s="20"/>
      <c r="U168" s="56"/>
    </row>
    <row r="169" spans="1:21" ht="20.25" customHeight="1" x14ac:dyDescent="0.35">
      <c r="A169" s="15" t="s">
        <v>29</v>
      </c>
      <c r="C169" s="19"/>
      <c r="D169" s="34" t="str">
        <f t="shared" ref="D169" si="145">E169</f>
        <v>C100039</v>
      </c>
      <c r="E169" s="35" t="str">
        <f>"C100039"</f>
        <v>C100039</v>
      </c>
      <c r="F169" s="36" t="str">
        <f>"Portable Speaker &amp; MP3 Dock"</f>
        <v>Portable Speaker &amp; MP3 Dock</v>
      </c>
      <c r="G169" s="36"/>
      <c r="H169" s="37" t="str">
        <f>"EA"</f>
        <v>EA</v>
      </c>
      <c r="I169" s="36"/>
      <c r="J169" s="36"/>
      <c r="K169" s="36"/>
      <c r="L169" s="36"/>
      <c r="M169" s="36"/>
      <c r="N169" s="36"/>
      <c r="O169" s="38">
        <f t="shared" ref="O169:T169" si="146">(SUBTOTAL(9,O170:O172))</f>
        <v>0</v>
      </c>
      <c r="P169" s="38">
        <f t="shared" si="146"/>
        <v>-7</v>
      </c>
      <c r="Q169" s="38">
        <f t="shared" si="146"/>
        <v>0</v>
      </c>
      <c r="R169" s="38">
        <f t="shared" si="146"/>
        <v>0</v>
      </c>
      <c r="S169" s="38">
        <f t="shared" si="146"/>
        <v>0</v>
      </c>
      <c r="T169" s="38">
        <f t="shared" si="146"/>
        <v>0</v>
      </c>
      <c r="U169" s="53">
        <f t="shared" ref="U169" si="147">SUBTOTAL(9,O170:T172)</f>
        <v>-7</v>
      </c>
    </row>
    <row r="170" spans="1:21" ht="17.25" customHeight="1" x14ac:dyDescent="0.3">
      <c r="A170" s="15" t="s">
        <v>29</v>
      </c>
      <c r="C170" s="19"/>
      <c r="D170" s="33" t="str">
        <f t="shared" ref="D170" si="148">D169</f>
        <v>C100039</v>
      </c>
      <c r="E170" s="33"/>
      <c r="F170" s="20"/>
      <c r="G170" s="20" t="str">
        <f>"""NAV"",""CRONUS JetCorp USA"",""32"",""1"",""7560"""</f>
        <v>"NAV","CRONUS JetCorp USA","32","1","7560"</v>
      </c>
      <c r="H170" s="39">
        <v>43469</v>
      </c>
      <c r="I170" s="40">
        <v>7560</v>
      </c>
      <c r="J170" s="40" t="str">
        <f>"Customer"</f>
        <v>Customer</v>
      </c>
      <c r="K170" s="40" t="str">
        <f>"C100030"</f>
        <v>C100030</v>
      </c>
      <c r="L170" s="40" t="str">
        <f>"Stutringers"</f>
        <v>Stutringers</v>
      </c>
      <c r="M170" s="40" t="str">
        <f>""</f>
        <v/>
      </c>
      <c r="N170" s="40" t="str">
        <f>""</f>
        <v/>
      </c>
      <c r="O170" s="41">
        <v>0</v>
      </c>
      <c r="P170" s="41">
        <v>-6</v>
      </c>
      <c r="Q170" s="41">
        <v>0</v>
      </c>
      <c r="R170" s="41">
        <v>0</v>
      </c>
      <c r="S170" s="41">
        <v>0</v>
      </c>
      <c r="T170" s="41">
        <v>0</v>
      </c>
      <c r="U170" s="54"/>
    </row>
    <row r="171" spans="1:21" ht="17.25" customHeight="1" x14ac:dyDescent="0.3">
      <c r="A171" s="15" t="s">
        <v>29</v>
      </c>
      <c r="C171" s="19"/>
      <c r="D171" s="33" t="str">
        <f t="shared" ref="D171" si="149">D170</f>
        <v>C100039</v>
      </c>
      <c r="E171" s="33"/>
      <c r="F171" s="20"/>
      <c r="G171" s="20" t="str">
        <f>"""NAV"",""CRONUS JetCorp USA"",""32"",""1"",""114273"""</f>
        <v>"NAV","CRONUS JetCorp USA","32","1","114273"</v>
      </c>
      <c r="H171" s="39">
        <v>43470</v>
      </c>
      <c r="I171" s="40">
        <v>114273</v>
      </c>
      <c r="J171" s="40" t="str">
        <f>"Customer"</f>
        <v>Customer</v>
      </c>
      <c r="K171" s="40" t="str">
        <f>"C100076"</f>
        <v>C100076</v>
      </c>
      <c r="L171" s="40" t="str">
        <f>"Showmasters"</f>
        <v>Showmasters</v>
      </c>
      <c r="M171" s="40" t="str">
        <f>""</f>
        <v/>
      </c>
      <c r="N171" s="40" t="str">
        <f>""</f>
        <v/>
      </c>
      <c r="O171" s="41">
        <v>0</v>
      </c>
      <c r="P171" s="41">
        <v>-1</v>
      </c>
      <c r="Q171" s="41">
        <v>0</v>
      </c>
      <c r="R171" s="41">
        <v>0</v>
      </c>
      <c r="S171" s="41">
        <v>0</v>
      </c>
      <c r="T171" s="41">
        <v>0</v>
      </c>
      <c r="U171" s="54"/>
    </row>
    <row r="172" spans="1:21" ht="17.25" customHeight="1" x14ac:dyDescent="0.3">
      <c r="A172" s="15" t="s">
        <v>29</v>
      </c>
      <c r="C172" s="19"/>
      <c r="D172" s="33"/>
      <c r="E172" s="33"/>
      <c r="F172" s="20"/>
      <c r="G172" s="20"/>
      <c r="H172" s="20"/>
      <c r="I172" s="20"/>
      <c r="J172" s="20"/>
      <c r="K172" s="20"/>
      <c r="L172" s="20"/>
      <c r="M172" s="20"/>
      <c r="N172" s="20"/>
      <c r="O172" s="42"/>
      <c r="P172" s="42"/>
      <c r="Q172" s="42"/>
      <c r="R172" s="42"/>
      <c r="S172" s="42"/>
      <c r="T172" s="42"/>
      <c r="U172" s="55"/>
    </row>
    <row r="173" spans="1:21" ht="17.25" customHeight="1" x14ac:dyDescent="0.3">
      <c r="A173" s="15" t="s">
        <v>29</v>
      </c>
      <c r="C173" s="19"/>
      <c r="D173" s="33"/>
      <c r="E173" s="33" t="s">
        <v>30</v>
      </c>
      <c r="F173" s="20" t="s">
        <v>30</v>
      </c>
      <c r="G173" s="20" t="s">
        <v>30</v>
      </c>
      <c r="H173" s="20"/>
      <c r="I173" s="20"/>
      <c r="J173" s="20" t="s">
        <v>30</v>
      </c>
      <c r="K173" s="20" t="s">
        <v>30</v>
      </c>
      <c r="L173" s="20" t="s">
        <v>30</v>
      </c>
      <c r="M173" s="20" t="s">
        <v>30</v>
      </c>
      <c r="N173" s="20"/>
      <c r="U173" s="56"/>
    </row>
    <row r="174" spans="1:21" ht="20.25" customHeight="1" x14ac:dyDescent="0.35">
      <c r="A174" s="15" t="s">
        <v>29</v>
      </c>
      <c r="C174" s="19"/>
      <c r="D174" s="34" t="str">
        <f t="shared" ref="D174" si="150">E174</f>
        <v>C100040</v>
      </c>
      <c r="E174" s="35" t="str">
        <f>"C100040"</f>
        <v>C100040</v>
      </c>
      <c r="F174" s="36" t="str">
        <f>"Channel Speaker System"</f>
        <v>Channel Speaker System</v>
      </c>
      <c r="G174" s="36"/>
      <c r="H174" s="37" t="str">
        <f>"EA"</f>
        <v>EA</v>
      </c>
      <c r="I174" s="36"/>
      <c r="J174" s="36"/>
      <c r="K174" s="36"/>
      <c r="L174" s="36"/>
      <c r="M174" s="36"/>
      <c r="N174" s="36"/>
      <c r="O174" s="38">
        <f t="shared" ref="O174:T174" si="151">(SUBTOTAL(9,O175:O177))</f>
        <v>0</v>
      </c>
      <c r="P174" s="38">
        <f t="shared" si="151"/>
        <v>-72</v>
      </c>
      <c r="Q174" s="38">
        <f t="shared" si="151"/>
        <v>0</v>
      </c>
      <c r="R174" s="38">
        <f t="shared" si="151"/>
        <v>0</v>
      </c>
      <c r="S174" s="38">
        <f t="shared" si="151"/>
        <v>0</v>
      </c>
      <c r="T174" s="38">
        <f t="shared" si="151"/>
        <v>0</v>
      </c>
      <c r="U174" s="53">
        <f t="shared" ref="U174" si="152">SUBTOTAL(9,O175:T177)</f>
        <v>-72</v>
      </c>
    </row>
    <row r="175" spans="1:21" ht="17.25" customHeight="1" x14ac:dyDescent="0.3">
      <c r="A175" s="15" t="s">
        <v>29</v>
      </c>
      <c r="C175" s="19"/>
      <c r="D175" s="33" t="str">
        <f t="shared" ref="D175" si="153">D174</f>
        <v>C100040</v>
      </c>
      <c r="E175" s="33"/>
      <c r="F175" s="20"/>
      <c r="G175" s="20" t="str">
        <f>"""NAV"",""CRONUS JetCorp USA"",""32"",""1"",""114268"""</f>
        <v>"NAV","CRONUS JetCorp USA","32","1","114268"</v>
      </c>
      <c r="H175" s="39">
        <v>43470</v>
      </c>
      <c r="I175" s="40">
        <v>114268</v>
      </c>
      <c r="J175" s="40" t="str">
        <f>"Customer"</f>
        <v>Customer</v>
      </c>
      <c r="K175" s="40" t="str">
        <f>"C100076"</f>
        <v>C100076</v>
      </c>
      <c r="L175" s="40" t="str">
        <f>"Showmasters"</f>
        <v>Showmasters</v>
      </c>
      <c r="M175" s="40" t="str">
        <f>""</f>
        <v/>
      </c>
      <c r="N175" s="40" t="str">
        <f>""</f>
        <v/>
      </c>
      <c r="O175" s="41">
        <v>0</v>
      </c>
      <c r="P175" s="41">
        <v>-24</v>
      </c>
      <c r="Q175" s="41">
        <v>0</v>
      </c>
      <c r="R175" s="41">
        <v>0</v>
      </c>
      <c r="S175" s="41">
        <v>0</v>
      </c>
      <c r="T175" s="41">
        <v>0</v>
      </c>
      <c r="U175" s="54"/>
    </row>
    <row r="176" spans="1:21" ht="17.25" customHeight="1" x14ac:dyDescent="0.3">
      <c r="A176" s="15" t="s">
        <v>29</v>
      </c>
      <c r="C176" s="19"/>
      <c r="D176" s="33" t="str">
        <f t="shared" ref="D176" si="154">D175</f>
        <v>C100040</v>
      </c>
      <c r="E176" s="33"/>
      <c r="F176" s="20"/>
      <c r="G176" s="20" t="str">
        <f>"""NAV"",""CRONUS JetCorp USA"",""32"",""1"",""116371"""</f>
        <v>"NAV","CRONUS JetCorp USA","32","1","116371"</v>
      </c>
      <c r="H176" s="39">
        <v>43472</v>
      </c>
      <c r="I176" s="40">
        <v>116371</v>
      </c>
      <c r="J176" s="40" t="str">
        <f>"Customer"</f>
        <v>Customer</v>
      </c>
      <c r="K176" s="40" t="str">
        <f>"C100054"</f>
        <v>C100054</v>
      </c>
      <c r="L176" s="40" t="str">
        <f>"London Candoxy Storage Campus"</f>
        <v>London Candoxy Storage Campus</v>
      </c>
      <c r="M176" s="40" t="str">
        <f>""</f>
        <v/>
      </c>
      <c r="N176" s="40" t="str">
        <f>""</f>
        <v/>
      </c>
      <c r="O176" s="41">
        <v>0</v>
      </c>
      <c r="P176" s="41">
        <v>-48</v>
      </c>
      <c r="Q176" s="41">
        <v>0</v>
      </c>
      <c r="R176" s="41">
        <v>0</v>
      </c>
      <c r="S176" s="41">
        <v>0</v>
      </c>
      <c r="T176" s="41">
        <v>0</v>
      </c>
      <c r="U176" s="54"/>
    </row>
    <row r="177" spans="1:21" ht="17.25" customHeight="1" x14ac:dyDescent="0.3">
      <c r="A177" s="15" t="s">
        <v>29</v>
      </c>
      <c r="C177" s="19"/>
      <c r="D177" s="33"/>
      <c r="E177" s="33"/>
      <c r="F177" s="20"/>
      <c r="G177" s="20"/>
      <c r="H177" s="20"/>
      <c r="I177" s="20"/>
      <c r="J177" s="20"/>
      <c r="K177" s="20"/>
      <c r="L177" s="20"/>
      <c r="M177" s="20"/>
      <c r="N177" s="20"/>
      <c r="O177" s="42"/>
      <c r="P177" s="42"/>
      <c r="Q177" s="42"/>
      <c r="R177" s="42"/>
      <c r="S177" s="42"/>
      <c r="T177" s="42"/>
      <c r="U177" s="55"/>
    </row>
    <row r="178" spans="1:21" ht="17.25" customHeight="1" x14ac:dyDescent="0.3">
      <c r="A178" s="15" t="s">
        <v>29</v>
      </c>
      <c r="C178" s="19"/>
      <c r="D178" s="33"/>
      <c r="E178" s="33" t="s">
        <v>30</v>
      </c>
      <c r="F178" s="20" t="s">
        <v>30</v>
      </c>
      <c r="G178" s="20" t="s">
        <v>30</v>
      </c>
      <c r="H178" s="20"/>
      <c r="I178" s="20"/>
      <c r="J178" s="20" t="s">
        <v>30</v>
      </c>
      <c r="K178" s="20" t="s">
        <v>30</v>
      </c>
      <c r="L178" s="20" t="s">
        <v>30</v>
      </c>
      <c r="M178" s="20" t="s">
        <v>30</v>
      </c>
      <c r="N178" s="20"/>
      <c r="U178" s="56"/>
    </row>
    <row r="179" spans="1:21" ht="20.25" customHeight="1" x14ac:dyDescent="0.35">
      <c r="A179" s="15" t="s">
        <v>29</v>
      </c>
      <c r="C179" s="19"/>
      <c r="D179" s="34" t="str">
        <f t="shared" ref="D179" si="155">E179</f>
        <v>C100041</v>
      </c>
      <c r="E179" s="35" t="str">
        <f>"C100041"</f>
        <v>C100041</v>
      </c>
      <c r="F179" s="36" t="str">
        <f>"Folding Stereo Speakers"</f>
        <v>Folding Stereo Speakers</v>
      </c>
      <c r="G179" s="36"/>
      <c r="H179" s="37" t="str">
        <f>"EA"</f>
        <v>EA</v>
      </c>
      <c r="I179" s="36"/>
      <c r="J179" s="36"/>
      <c r="K179" s="36"/>
      <c r="L179" s="36"/>
      <c r="M179" s="36"/>
      <c r="N179" s="36"/>
      <c r="O179" s="38">
        <f t="shared" ref="O179:T179" si="156">(SUBTOTAL(9,O180:O181))</f>
        <v>400</v>
      </c>
      <c r="P179" s="38">
        <f t="shared" si="156"/>
        <v>0</v>
      </c>
      <c r="Q179" s="38">
        <f t="shared" si="156"/>
        <v>0</v>
      </c>
      <c r="R179" s="38">
        <f t="shared" si="156"/>
        <v>0</v>
      </c>
      <c r="S179" s="38">
        <f t="shared" si="156"/>
        <v>0</v>
      </c>
      <c r="T179" s="38">
        <f t="shared" si="156"/>
        <v>0</v>
      </c>
      <c r="U179" s="53">
        <f t="shared" ref="U179" si="157">SUBTOTAL(9,O180:T181)</f>
        <v>400</v>
      </c>
    </row>
    <row r="180" spans="1:21" ht="17.25" customHeight="1" x14ac:dyDescent="0.3">
      <c r="A180" s="15" t="s">
        <v>29</v>
      </c>
      <c r="C180" s="19"/>
      <c r="D180" s="33" t="str">
        <f t="shared" ref="D180" si="158">D179</f>
        <v>C100041</v>
      </c>
      <c r="E180" s="33"/>
      <c r="F180" s="20"/>
      <c r="G180" s="20" t="str">
        <f>"""NAV"",""CRONUS JetCorp USA"",""32"",""1"",""168055"""</f>
        <v>"NAV","CRONUS JetCorp USA","32","1","168055"</v>
      </c>
      <c r="H180" s="39">
        <v>43466</v>
      </c>
      <c r="I180" s="40">
        <v>168055</v>
      </c>
      <c r="J180" s="40" t="str">
        <f>"Vendor"</f>
        <v>Vendor</v>
      </c>
      <c r="K180" s="40" t="str">
        <f>"V100003"</f>
        <v>V100003</v>
      </c>
      <c r="L180" s="40" t="str">
        <f>""</f>
        <v/>
      </c>
      <c r="M180" s="40" t="str">
        <f>"LogoMasters"</f>
        <v>LogoMasters</v>
      </c>
      <c r="N180" s="40" t="str">
        <f>""</f>
        <v/>
      </c>
      <c r="O180" s="41">
        <v>400</v>
      </c>
      <c r="P180" s="41">
        <v>0</v>
      </c>
      <c r="Q180" s="41">
        <v>0</v>
      </c>
      <c r="R180" s="41">
        <v>0</v>
      </c>
      <c r="S180" s="41">
        <v>0</v>
      </c>
      <c r="T180" s="41">
        <v>0</v>
      </c>
      <c r="U180" s="54"/>
    </row>
    <row r="181" spans="1:21" ht="17.25" customHeight="1" x14ac:dyDescent="0.3">
      <c r="A181" s="15" t="s">
        <v>29</v>
      </c>
      <c r="C181" s="19"/>
      <c r="D181" s="33"/>
      <c r="E181" s="33"/>
      <c r="F181" s="20"/>
      <c r="G181" s="20"/>
      <c r="H181" s="20"/>
      <c r="I181" s="20"/>
      <c r="J181" s="20"/>
      <c r="K181" s="20"/>
      <c r="L181" s="20"/>
      <c r="M181" s="20"/>
      <c r="N181" s="20"/>
      <c r="O181" s="42"/>
      <c r="P181" s="42"/>
      <c r="Q181" s="42"/>
      <c r="R181" s="42"/>
      <c r="S181" s="42"/>
      <c r="T181" s="42"/>
      <c r="U181" s="55"/>
    </row>
    <row r="182" spans="1:21" ht="17.25" customHeight="1" x14ac:dyDescent="0.3">
      <c r="A182" s="15" t="s">
        <v>29</v>
      </c>
      <c r="C182" s="19"/>
      <c r="D182" s="33"/>
      <c r="E182" s="33" t="s">
        <v>30</v>
      </c>
      <c r="F182" s="20" t="s">
        <v>30</v>
      </c>
      <c r="G182" s="20" t="s">
        <v>30</v>
      </c>
      <c r="H182" s="20"/>
      <c r="I182" s="20"/>
      <c r="J182" s="20" t="s">
        <v>30</v>
      </c>
      <c r="K182" s="20" t="s">
        <v>30</v>
      </c>
      <c r="L182" s="20" t="s">
        <v>30</v>
      </c>
      <c r="M182" s="20" t="s">
        <v>30</v>
      </c>
      <c r="N182" s="20"/>
      <c r="U182" s="56"/>
    </row>
    <row r="183" spans="1:21" ht="20.25" customHeight="1" x14ac:dyDescent="0.35">
      <c r="A183" s="15" t="s">
        <v>29</v>
      </c>
      <c r="C183" s="19"/>
      <c r="D183" s="34" t="str">
        <f t="shared" ref="D183" si="159">E183</f>
        <v>C100042</v>
      </c>
      <c r="E183" s="35" t="str">
        <f>"C100042"</f>
        <v>C100042</v>
      </c>
      <c r="F183" s="36" t="str">
        <f>"Retractable Earbuds"</f>
        <v>Retractable Earbuds</v>
      </c>
      <c r="G183" s="36"/>
      <c r="H183" s="37" t="str">
        <f>"EA"</f>
        <v>EA</v>
      </c>
      <c r="I183" s="36"/>
      <c r="J183" s="36"/>
      <c r="K183" s="36"/>
      <c r="L183" s="36"/>
      <c r="M183" s="36"/>
      <c r="N183" s="36"/>
      <c r="O183" s="38">
        <f t="shared" ref="O183:T183" si="160">(SUBTOTAL(9,O184:O185))</f>
        <v>200</v>
      </c>
      <c r="P183" s="38">
        <f t="shared" si="160"/>
        <v>0</v>
      </c>
      <c r="Q183" s="38">
        <f t="shared" si="160"/>
        <v>0</v>
      </c>
      <c r="R183" s="38">
        <f t="shared" si="160"/>
        <v>0</v>
      </c>
      <c r="S183" s="38">
        <f t="shared" si="160"/>
        <v>0</v>
      </c>
      <c r="T183" s="38">
        <f t="shared" si="160"/>
        <v>0</v>
      </c>
      <c r="U183" s="53">
        <f t="shared" ref="U183" si="161">SUBTOTAL(9,O184:T185)</f>
        <v>200</v>
      </c>
    </row>
    <row r="184" spans="1:21" ht="17.25" customHeight="1" x14ac:dyDescent="0.3">
      <c r="A184" s="15" t="s">
        <v>29</v>
      </c>
      <c r="C184" s="19"/>
      <c r="D184" s="33" t="str">
        <f t="shared" ref="D184" si="162">D183</f>
        <v>C100042</v>
      </c>
      <c r="E184" s="33"/>
      <c r="F184" s="20"/>
      <c r="G184" s="20" t="str">
        <f>"""NAV"",""CRONUS JetCorp USA"",""32"",""1"",""168054"""</f>
        <v>"NAV","CRONUS JetCorp USA","32","1","168054"</v>
      </c>
      <c r="H184" s="39">
        <v>43466</v>
      </c>
      <c r="I184" s="40">
        <v>168054</v>
      </c>
      <c r="J184" s="40" t="str">
        <f>"Vendor"</f>
        <v>Vendor</v>
      </c>
      <c r="K184" s="40" t="str">
        <f>"V100003"</f>
        <v>V100003</v>
      </c>
      <c r="L184" s="40" t="str">
        <f>""</f>
        <v/>
      </c>
      <c r="M184" s="40" t="str">
        <f>"LogoMasters"</f>
        <v>LogoMasters</v>
      </c>
      <c r="N184" s="40" t="str">
        <f>""</f>
        <v/>
      </c>
      <c r="O184" s="41">
        <v>200</v>
      </c>
      <c r="P184" s="41">
        <v>0</v>
      </c>
      <c r="Q184" s="41">
        <v>0</v>
      </c>
      <c r="R184" s="41">
        <v>0</v>
      </c>
      <c r="S184" s="41">
        <v>0</v>
      </c>
      <c r="T184" s="41">
        <v>0</v>
      </c>
      <c r="U184" s="54"/>
    </row>
    <row r="185" spans="1:21" ht="17.25" customHeight="1" x14ac:dyDescent="0.3">
      <c r="A185" s="15" t="s">
        <v>29</v>
      </c>
      <c r="C185" s="19"/>
      <c r="D185" s="33"/>
      <c r="E185" s="33"/>
      <c r="F185" s="20"/>
      <c r="G185" s="20"/>
      <c r="H185" s="20"/>
      <c r="I185" s="20"/>
      <c r="J185" s="20"/>
      <c r="K185" s="20"/>
      <c r="L185" s="20"/>
      <c r="M185" s="20"/>
      <c r="N185" s="20"/>
      <c r="O185" s="42"/>
      <c r="P185" s="42"/>
      <c r="Q185" s="42"/>
      <c r="R185" s="42"/>
      <c r="S185" s="42"/>
      <c r="T185" s="42"/>
      <c r="U185" s="55"/>
    </row>
    <row r="186" spans="1:21" ht="17.25" customHeight="1" x14ac:dyDescent="0.3">
      <c r="A186" s="15" t="s">
        <v>29</v>
      </c>
      <c r="C186" s="19"/>
      <c r="D186" s="33"/>
      <c r="E186" s="33" t="s">
        <v>30</v>
      </c>
      <c r="F186" s="20" t="s">
        <v>30</v>
      </c>
      <c r="G186" s="20" t="s">
        <v>30</v>
      </c>
      <c r="H186" s="20"/>
      <c r="I186" s="20"/>
      <c r="J186" s="20" t="s">
        <v>30</v>
      </c>
      <c r="K186" s="20" t="s">
        <v>30</v>
      </c>
      <c r="L186" s="20" t="s">
        <v>30</v>
      </c>
      <c r="M186" s="20" t="s">
        <v>30</v>
      </c>
      <c r="N186" s="20"/>
      <c r="U186" s="56"/>
    </row>
    <row r="187" spans="1:21" ht="20.25" customHeight="1" x14ac:dyDescent="0.35">
      <c r="A187" s="15" t="s">
        <v>29</v>
      </c>
      <c r="C187" s="19"/>
      <c r="D187" s="34" t="str">
        <f t="shared" ref="D187" si="163">E187</f>
        <v>C100043</v>
      </c>
      <c r="E187" s="35" t="str">
        <f>"C100043"</f>
        <v>C100043</v>
      </c>
      <c r="F187" s="36" t="str">
        <f>"Pro-Travel Technology Set"</f>
        <v>Pro-Travel Technology Set</v>
      </c>
      <c r="G187" s="36"/>
      <c r="H187" s="37" t="str">
        <f>"EA"</f>
        <v>EA</v>
      </c>
      <c r="I187" s="36"/>
      <c r="J187" s="36"/>
      <c r="K187" s="36"/>
      <c r="L187" s="36"/>
      <c r="M187" s="36"/>
      <c r="N187" s="36"/>
      <c r="O187" s="38">
        <f t="shared" ref="O187:T187" si="164">(SUBTOTAL(9,O188:O189))</f>
        <v>100</v>
      </c>
      <c r="P187" s="38">
        <f t="shared" si="164"/>
        <v>0</v>
      </c>
      <c r="Q187" s="38">
        <f t="shared" si="164"/>
        <v>0</v>
      </c>
      <c r="R187" s="38">
        <f t="shared" si="164"/>
        <v>0</v>
      </c>
      <c r="S187" s="38">
        <f t="shared" si="164"/>
        <v>0</v>
      </c>
      <c r="T187" s="38">
        <f t="shared" si="164"/>
        <v>0</v>
      </c>
      <c r="U187" s="53">
        <f t="shared" ref="U187" si="165">SUBTOTAL(9,O188:T189)</f>
        <v>100</v>
      </c>
    </row>
    <row r="188" spans="1:21" ht="17.25" customHeight="1" x14ac:dyDescent="0.3">
      <c r="A188" s="15" t="s">
        <v>29</v>
      </c>
      <c r="C188" s="19"/>
      <c r="D188" s="33" t="str">
        <f t="shared" ref="D188" si="166">D187</f>
        <v>C100043</v>
      </c>
      <c r="E188" s="33"/>
      <c r="F188" s="20"/>
      <c r="G188" s="20" t="str">
        <f>"""NAV"",""CRONUS JetCorp USA"",""32"",""1"",""168053"""</f>
        <v>"NAV","CRONUS JetCorp USA","32","1","168053"</v>
      </c>
      <c r="H188" s="39">
        <v>43466</v>
      </c>
      <c r="I188" s="40">
        <v>168053</v>
      </c>
      <c r="J188" s="40" t="str">
        <f>"Vendor"</f>
        <v>Vendor</v>
      </c>
      <c r="K188" s="40" t="str">
        <f>"V100003"</f>
        <v>V100003</v>
      </c>
      <c r="L188" s="40" t="str">
        <f>""</f>
        <v/>
      </c>
      <c r="M188" s="40" t="str">
        <f>"LogoMasters"</f>
        <v>LogoMasters</v>
      </c>
      <c r="N188" s="40" t="str">
        <f>""</f>
        <v/>
      </c>
      <c r="O188" s="41">
        <v>100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  <c r="U188" s="54"/>
    </row>
    <row r="189" spans="1:21" ht="17.25" customHeight="1" x14ac:dyDescent="0.3">
      <c r="A189" s="15" t="s">
        <v>29</v>
      </c>
      <c r="C189" s="19"/>
      <c r="D189" s="33"/>
      <c r="E189" s="33"/>
      <c r="F189" s="20"/>
      <c r="G189" s="20"/>
      <c r="H189" s="20"/>
      <c r="I189" s="20"/>
      <c r="J189" s="20"/>
      <c r="K189" s="20"/>
      <c r="L189" s="20"/>
      <c r="M189" s="20"/>
      <c r="N189" s="20"/>
      <c r="O189" s="42"/>
      <c r="P189" s="42"/>
      <c r="Q189" s="42"/>
      <c r="R189" s="42"/>
      <c r="S189" s="42"/>
      <c r="T189" s="42"/>
      <c r="U189" s="55"/>
    </row>
    <row r="190" spans="1:21" ht="17.25" customHeight="1" x14ac:dyDescent="0.3">
      <c r="A190" s="15" t="s">
        <v>29</v>
      </c>
      <c r="C190" s="19"/>
      <c r="D190" s="33"/>
      <c r="E190" s="33" t="s">
        <v>30</v>
      </c>
      <c r="F190" s="20" t="s">
        <v>30</v>
      </c>
      <c r="G190" s="20" t="s">
        <v>30</v>
      </c>
      <c r="H190" s="20"/>
      <c r="I190" s="20"/>
      <c r="J190" s="20" t="s">
        <v>30</v>
      </c>
      <c r="K190" s="20" t="s">
        <v>30</v>
      </c>
      <c r="L190" s="20" t="s">
        <v>30</v>
      </c>
      <c r="M190" s="20" t="s">
        <v>30</v>
      </c>
      <c r="N190" s="20"/>
      <c r="U190" s="56"/>
    </row>
    <row r="191" spans="1:21" ht="20.25" customHeight="1" x14ac:dyDescent="0.35">
      <c r="A191" s="15" t="s">
        <v>29</v>
      </c>
      <c r="C191" s="19"/>
      <c r="D191" s="34" t="str">
        <f t="shared" ref="D191" si="167">E191</f>
        <v>C100044</v>
      </c>
      <c r="E191" s="35" t="str">
        <f>"C100044"</f>
        <v>C100044</v>
      </c>
      <c r="F191" s="36" t="str">
        <f>"VOIP Headset with Mic"</f>
        <v>VOIP Headset with Mic</v>
      </c>
      <c r="G191" s="36"/>
      <c r="H191" s="37" t="str">
        <f>"EA"</f>
        <v>EA</v>
      </c>
      <c r="I191" s="36"/>
      <c r="J191" s="36"/>
      <c r="K191" s="36"/>
      <c r="L191" s="36"/>
      <c r="M191" s="36"/>
      <c r="N191" s="36"/>
      <c r="O191" s="38">
        <f t="shared" ref="O191:T191" si="168">(SUBTOTAL(9,O192:O193))</f>
        <v>700</v>
      </c>
      <c r="P191" s="38">
        <f t="shared" si="168"/>
        <v>0</v>
      </c>
      <c r="Q191" s="38">
        <f t="shared" si="168"/>
        <v>0</v>
      </c>
      <c r="R191" s="38">
        <f t="shared" si="168"/>
        <v>0</v>
      </c>
      <c r="S191" s="38">
        <f t="shared" si="168"/>
        <v>0</v>
      </c>
      <c r="T191" s="38">
        <f t="shared" si="168"/>
        <v>0</v>
      </c>
      <c r="U191" s="53">
        <f t="shared" ref="U191" si="169">SUBTOTAL(9,O192:T193)</f>
        <v>700</v>
      </c>
    </row>
    <row r="192" spans="1:21" ht="17.25" customHeight="1" x14ac:dyDescent="0.3">
      <c r="A192" s="15" t="s">
        <v>29</v>
      </c>
      <c r="C192" s="19"/>
      <c r="D192" s="33" t="str">
        <f t="shared" ref="D192" si="170">D191</f>
        <v>C100044</v>
      </c>
      <c r="E192" s="33"/>
      <c r="F192" s="20"/>
      <c r="G192" s="20" t="str">
        <f>"""NAV"",""CRONUS JetCorp USA"",""32"",""1"",""168052"""</f>
        <v>"NAV","CRONUS JetCorp USA","32","1","168052"</v>
      </c>
      <c r="H192" s="39">
        <v>43466</v>
      </c>
      <c r="I192" s="40">
        <v>168052</v>
      </c>
      <c r="J192" s="40" t="str">
        <f>"Vendor"</f>
        <v>Vendor</v>
      </c>
      <c r="K192" s="40" t="str">
        <f>"V100003"</f>
        <v>V100003</v>
      </c>
      <c r="L192" s="40" t="str">
        <f>""</f>
        <v/>
      </c>
      <c r="M192" s="40" t="str">
        <f>"LogoMasters"</f>
        <v>LogoMasters</v>
      </c>
      <c r="N192" s="40" t="str">
        <f>""</f>
        <v/>
      </c>
      <c r="O192" s="41">
        <v>700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54"/>
    </row>
    <row r="193" spans="1:21" ht="17.25" customHeight="1" x14ac:dyDescent="0.3">
      <c r="A193" s="15" t="s">
        <v>29</v>
      </c>
      <c r="C193" s="19"/>
      <c r="D193" s="33"/>
      <c r="E193" s="33"/>
      <c r="F193" s="20"/>
      <c r="G193" s="20"/>
      <c r="H193" s="20"/>
      <c r="I193" s="20"/>
      <c r="J193" s="20"/>
      <c r="K193" s="20"/>
      <c r="L193" s="20"/>
      <c r="M193" s="20"/>
      <c r="N193" s="20"/>
      <c r="O193" s="42"/>
      <c r="P193" s="42"/>
      <c r="Q193" s="42"/>
      <c r="R193" s="42"/>
      <c r="S193" s="42"/>
      <c r="T193" s="42"/>
      <c r="U193" s="55"/>
    </row>
    <row r="194" spans="1:21" ht="17.25" customHeight="1" x14ac:dyDescent="0.3">
      <c r="A194" s="15" t="s">
        <v>29</v>
      </c>
      <c r="C194" s="19"/>
      <c r="D194" s="33"/>
      <c r="E194" s="33" t="s">
        <v>30</v>
      </c>
      <c r="F194" s="20" t="s">
        <v>30</v>
      </c>
      <c r="G194" s="20" t="s">
        <v>30</v>
      </c>
      <c r="H194" s="20"/>
      <c r="I194" s="20"/>
      <c r="J194" s="20" t="s">
        <v>30</v>
      </c>
      <c r="K194" s="20" t="s">
        <v>30</v>
      </c>
      <c r="L194" s="20" t="s">
        <v>30</v>
      </c>
      <c r="M194" s="20" t="s">
        <v>30</v>
      </c>
      <c r="N194" s="20"/>
      <c r="U194" s="56"/>
    </row>
    <row r="195" spans="1:21" ht="20.25" customHeight="1" x14ac:dyDescent="0.35">
      <c r="A195" s="15" t="s">
        <v>29</v>
      </c>
      <c r="C195" s="19"/>
      <c r="D195" s="34" t="str">
        <f t="shared" ref="D195" si="171">E195</f>
        <v>C100046</v>
      </c>
      <c r="E195" s="35" t="str">
        <f>"C100046"</f>
        <v>C100046</v>
      </c>
      <c r="F195" s="36" t="str">
        <f>"1GB MP3 Player"</f>
        <v>1GB MP3 Player</v>
      </c>
      <c r="G195" s="36"/>
      <c r="H195" s="37" t="str">
        <f>"EA"</f>
        <v>EA</v>
      </c>
      <c r="I195" s="36"/>
      <c r="J195" s="36"/>
      <c r="K195" s="36"/>
      <c r="L195" s="36"/>
      <c r="M195" s="36"/>
      <c r="N195" s="36"/>
      <c r="O195" s="38">
        <f t="shared" ref="O195:T195" si="172">(SUBTOTAL(9,O196:O198))</f>
        <v>0</v>
      </c>
      <c r="P195" s="38">
        <f t="shared" si="172"/>
        <v>-289</v>
      </c>
      <c r="Q195" s="38">
        <f t="shared" si="172"/>
        <v>0</v>
      </c>
      <c r="R195" s="38">
        <f t="shared" si="172"/>
        <v>0</v>
      </c>
      <c r="S195" s="38">
        <f t="shared" si="172"/>
        <v>0</v>
      </c>
      <c r="T195" s="38">
        <f t="shared" si="172"/>
        <v>0</v>
      </c>
      <c r="U195" s="53">
        <f t="shared" ref="U195" si="173">SUBTOTAL(9,O196:T198)</f>
        <v>-289</v>
      </c>
    </row>
    <row r="196" spans="1:21" ht="17.25" customHeight="1" x14ac:dyDescent="0.3">
      <c r="A196" s="15" t="s">
        <v>29</v>
      </c>
      <c r="C196" s="19"/>
      <c r="D196" s="33" t="str">
        <f t="shared" ref="D196" si="174">D195</f>
        <v>C100046</v>
      </c>
      <c r="E196" s="33"/>
      <c r="F196" s="20"/>
      <c r="G196" s="20" t="str">
        <f>"""NAV"",""CRONUS JetCorp USA"",""32"",""1"",""7556"""</f>
        <v>"NAV","CRONUS JetCorp USA","32","1","7556"</v>
      </c>
      <c r="H196" s="39">
        <v>43469</v>
      </c>
      <c r="I196" s="40">
        <v>7556</v>
      </c>
      <c r="J196" s="40" t="str">
        <f>"Customer"</f>
        <v>Customer</v>
      </c>
      <c r="K196" s="40" t="str">
        <f>"C100030"</f>
        <v>C100030</v>
      </c>
      <c r="L196" s="40" t="str">
        <f>"Stutringers"</f>
        <v>Stutringers</v>
      </c>
      <c r="M196" s="40" t="str">
        <f>""</f>
        <v/>
      </c>
      <c r="N196" s="40" t="str">
        <f>""</f>
        <v/>
      </c>
      <c r="O196" s="41">
        <v>0</v>
      </c>
      <c r="P196" s="41">
        <v>-144</v>
      </c>
      <c r="Q196" s="41">
        <v>0</v>
      </c>
      <c r="R196" s="41">
        <v>0</v>
      </c>
      <c r="S196" s="41">
        <v>0</v>
      </c>
      <c r="T196" s="41">
        <v>0</v>
      </c>
      <c r="U196" s="54"/>
    </row>
    <row r="197" spans="1:21" ht="17.25" customHeight="1" x14ac:dyDescent="0.3">
      <c r="A197" s="15" t="s">
        <v>29</v>
      </c>
      <c r="C197" s="19"/>
      <c r="D197" s="33" t="str">
        <f t="shared" ref="D197" si="175">D196</f>
        <v>C100046</v>
      </c>
      <c r="E197" s="33"/>
      <c r="F197" s="20"/>
      <c r="G197" s="20" t="str">
        <f>"""NAV"",""CRONUS JetCorp USA"",""32"",""1"",""114277"""</f>
        <v>"NAV","CRONUS JetCorp USA","32","1","114277"</v>
      </c>
      <c r="H197" s="39">
        <v>43474</v>
      </c>
      <c r="I197" s="40">
        <v>114277</v>
      </c>
      <c r="J197" s="40" t="str">
        <f>"Customer"</f>
        <v>Customer</v>
      </c>
      <c r="K197" s="40" t="str">
        <f>"C100076"</f>
        <v>C100076</v>
      </c>
      <c r="L197" s="40" t="str">
        <f>"Showmasters"</f>
        <v>Showmasters</v>
      </c>
      <c r="M197" s="40" t="str">
        <f>""</f>
        <v/>
      </c>
      <c r="N197" s="40" t="str">
        <f>""</f>
        <v/>
      </c>
      <c r="O197" s="41">
        <v>0</v>
      </c>
      <c r="P197" s="41">
        <v>-145</v>
      </c>
      <c r="Q197" s="41">
        <v>0</v>
      </c>
      <c r="R197" s="41">
        <v>0</v>
      </c>
      <c r="S197" s="41">
        <v>0</v>
      </c>
      <c r="T197" s="41">
        <v>0</v>
      </c>
      <c r="U197" s="54"/>
    </row>
    <row r="198" spans="1:21" ht="17.25" customHeight="1" x14ac:dyDescent="0.3">
      <c r="A198" s="15" t="s">
        <v>29</v>
      </c>
      <c r="C198" s="19"/>
      <c r="D198" s="33"/>
      <c r="E198" s="33"/>
      <c r="F198" s="20"/>
      <c r="G198" s="20"/>
      <c r="H198" s="20"/>
      <c r="I198" s="20"/>
      <c r="J198" s="20"/>
      <c r="K198" s="20"/>
      <c r="L198" s="20"/>
      <c r="M198" s="20"/>
      <c r="N198" s="20"/>
      <c r="O198" s="42"/>
      <c r="P198" s="42"/>
      <c r="Q198" s="42"/>
      <c r="R198" s="42"/>
      <c r="S198" s="42"/>
      <c r="T198" s="42"/>
      <c r="U198" s="55"/>
    </row>
    <row r="199" spans="1:21" ht="17.25" customHeight="1" x14ac:dyDescent="0.3">
      <c r="A199" s="15" t="s">
        <v>29</v>
      </c>
      <c r="C199" s="19"/>
      <c r="D199" s="33"/>
      <c r="E199" s="33" t="s">
        <v>30</v>
      </c>
      <c r="F199" s="20" t="s">
        <v>30</v>
      </c>
      <c r="G199" s="20" t="s">
        <v>30</v>
      </c>
      <c r="H199" s="20"/>
      <c r="I199" s="20"/>
      <c r="J199" s="20" t="s">
        <v>30</v>
      </c>
      <c r="K199" s="20" t="s">
        <v>30</v>
      </c>
      <c r="L199" s="20" t="s">
        <v>30</v>
      </c>
      <c r="M199" s="20" t="s">
        <v>30</v>
      </c>
      <c r="N199" s="20"/>
      <c r="U199" s="56"/>
    </row>
    <row r="200" spans="1:21" ht="20.25" customHeight="1" x14ac:dyDescent="0.35">
      <c r="A200" s="15" t="s">
        <v>29</v>
      </c>
      <c r="C200" s="19"/>
      <c r="D200" s="34" t="str">
        <f t="shared" ref="D200" si="176">E200</f>
        <v>C100047</v>
      </c>
      <c r="E200" s="35" t="str">
        <f>"C100047"</f>
        <v>C100047</v>
      </c>
      <c r="F200" s="36" t="str">
        <f>"2GB MP3 Player"</f>
        <v>2GB MP3 Player</v>
      </c>
      <c r="G200" s="36"/>
      <c r="H200" s="37" t="str">
        <f>"EA"</f>
        <v>EA</v>
      </c>
      <c r="I200" s="36"/>
      <c r="J200" s="36"/>
      <c r="K200" s="36"/>
      <c r="L200" s="36"/>
      <c r="M200" s="36"/>
      <c r="N200" s="36"/>
      <c r="O200" s="38">
        <f t="shared" ref="O200:T200" si="177">(SUBTOTAL(9,O201:O202))</f>
        <v>200</v>
      </c>
      <c r="P200" s="38">
        <f t="shared" si="177"/>
        <v>0</v>
      </c>
      <c r="Q200" s="38">
        <f t="shared" si="177"/>
        <v>0</v>
      </c>
      <c r="R200" s="38">
        <f t="shared" si="177"/>
        <v>0</v>
      </c>
      <c r="S200" s="38">
        <f t="shared" si="177"/>
        <v>0</v>
      </c>
      <c r="T200" s="38">
        <f t="shared" si="177"/>
        <v>0</v>
      </c>
      <c r="U200" s="53">
        <f t="shared" ref="U200" si="178">SUBTOTAL(9,O201:T202)</f>
        <v>200</v>
      </c>
    </row>
    <row r="201" spans="1:21" ht="17.25" customHeight="1" x14ac:dyDescent="0.3">
      <c r="A201" s="15" t="s">
        <v>29</v>
      </c>
      <c r="C201" s="19"/>
      <c r="D201" s="33" t="str">
        <f t="shared" ref="D201" si="179">D200</f>
        <v>C100047</v>
      </c>
      <c r="E201" s="33"/>
      <c r="F201" s="20"/>
      <c r="G201" s="20" t="str">
        <f>"""NAV"",""CRONUS JetCorp USA"",""32"",""1"",""168051"""</f>
        <v>"NAV","CRONUS JetCorp USA","32","1","168051"</v>
      </c>
      <c r="H201" s="39">
        <v>43466</v>
      </c>
      <c r="I201" s="40">
        <v>168051</v>
      </c>
      <c r="J201" s="40" t="str">
        <f>"Vendor"</f>
        <v>Vendor</v>
      </c>
      <c r="K201" s="40" t="str">
        <f>"V100003"</f>
        <v>V100003</v>
      </c>
      <c r="L201" s="40" t="str">
        <f>""</f>
        <v/>
      </c>
      <c r="M201" s="40" t="str">
        <f>"LogoMasters"</f>
        <v>LogoMasters</v>
      </c>
      <c r="N201" s="40" t="str">
        <f>""</f>
        <v/>
      </c>
      <c r="O201" s="41">
        <v>200</v>
      </c>
      <c r="P201" s="41">
        <v>0</v>
      </c>
      <c r="Q201" s="41">
        <v>0</v>
      </c>
      <c r="R201" s="41">
        <v>0</v>
      </c>
      <c r="S201" s="41">
        <v>0</v>
      </c>
      <c r="T201" s="41">
        <v>0</v>
      </c>
      <c r="U201" s="54"/>
    </row>
    <row r="202" spans="1:21" ht="17.25" customHeight="1" x14ac:dyDescent="0.3">
      <c r="A202" s="15" t="s">
        <v>29</v>
      </c>
      <c r="C202" s="19"/>
      <c r="D202" s="33"/>
      <c r="E202" s="33"/>
      <c r="F202" s="20"/>
      <c r="G202" s="20"/>
      <c r="H202" s="20"/>
      <c r="I202" s="20"/>
      <c r="J202" s="20"/>
      <c r="K202" s="20"/>
      <c r="L202" s="20"/>
      <c r="M202" s="20"/>
      <c r="N202" s="20"/>
      <c r="O202" s="42"/>
      <c r="P202" s="42"/>
      <c r="Q202" s="42"/>
      <c r="R202" s="42"/>
      <c r="S202" s="42"/>
      <c r="T202" s="42"/>
      <c r="U202" s="55"/>
    </row>
    <row r="203" spans="1:21" ht="17.25" customHeight="1" x14ac:dyDescent="0.3">
      <c r="A203" s="15" t="s">
        <v>29</v>
      </c>
      <c r="C203" s="19"/>
      <c r="D203" s="33"/>
      <c r="E203" s="33" t="s">
        <v>30</v>
      </c>
      <c r="F203" s="20" t="s">
        <v>30</v>
      </c>
      <c r="G203" s="20" t="s">
        <v>30</v>
      </c>
      <c r="H203" s="20"/>
      <c r="I203" s="20"/>
      <c r="J203" s="20" t="s">
        <v>30</v>
      </c>
      <c r="K203" s="20" t="s">
        <v>30</v>
      </c>
      <c r="L203" s="20" t="s">
        <v>30</v>
      </c>
      <c r="M203" s="20" t="s">
        <v>30</v>
      </c>
      <c r="N203" s="20"/>
      <c r="U203" s="56"/>
    </row>
    <row r="204" spans="1:21" ht="20.25" customHeight="1" x14ac:dyDescent="0.35">
      <c r="A204" s="15" t="s">
        <v>29</v>
      </c>
      <c r="C204" s="19"/>
      <c r="D204" s="34" t="str">
        <f t="shared" ref="D204" si="180">E204</f>
        <v>C100048</v>
      </c>
      <c r="E204" s="35" t="str">
        <f>"C100048"</f>
        <v>C100048</v>
      </c>
      <c r="F204" s="36" t="str">
        <f>"USB MP3 Player"</f>
        <v>USB MP3 Player</v>
      </c>
      <c r="G204" s="36"/>
      <c r="H204" s="37" t="str">
        <f>"EA"</f>
        <v>EA</v>
      </c>
      <c r="I204" s="36"/>
      <c r="J204" s="36"/>
      <c r="K204" s="36"/>
      <c r="L204" s="36"/>
      <c r="M204" s="36"/>
      <c r="N204" s="36"/>
      <c r="O204" s="38">
        <f t="shared" ref="O204:T204" si="181">(SUBTOTAL(9,O205:O207))</f>
        <v>300</v>
      </c>
      <c r="P204" s="38">
        <f t="shared" si="181"/>
        <v>-144</v>
      </c>
      <c r="Q204" s="38">
        <f t="shared" si="181"/>
        <v>0</v>
      </c>
      <c r="R204" s="38">
        <f t="shared" si="181"/>
        <v>0</v>
      </c>
      <c r="S204" s="38">
        <f t="shared" si="181"/>
        <v>0</v>
      </c>
      <c r="T204" s="38">
        <f t="shared" si="181"/>
        <v>0</v>
      </c>
      <c r="U204" s="53">
        <f t="shared" ref="U204" si="182">SUBTOTAL(9,O205:T207)</f>
        <v>156</v>
      </c>
    </row>
    <row r="205" spans="1:21" ht="17.25" customHeight="1" x14ac:dyDescent="0.3">
      <c r="A205" s="15" t="s">
        <v>29</v>
      </c>
      <c r="C205" s="19"/>
      <c r="D205" s="33" t="str">
        <f t="shared" ref="D205" si="183">D204</f>
        <v>C100048</v>
      </c>
      <c r="E205" s="33"/>
      <c r="F205" s="20"/>
      <c r="G205" s="20" t="str">
        <f>"""NAV"",""CRONUS JetCorp USA"",""32"",""1"",""168050"""</f>
        <v>"NAV","CRONUS JetCorp USA","32","1","168050"</v>
      </c>
      <c r="H205" s="39">
        <v>43466</v>
      </c>
      <c r="I205" s="40">
        <v>168050</v>
      </c>
      <c r="J205" s="40" t="str">
        <f>"Vendor"</f>
        <v>Vendor</v>
      </c>
      <c r="K205" s="40" t="str">
        <f>"V100003"</f>
        <v>V100003</v>
      </c>
      <c r="L205" s="40" t="str">
        <f>""</f>
        <v/>
      </c>
      <c r="M205" s="40" t="str">
        <f>"LogoMasters"</f>
        <v>LogoMasters</v>
      </c>
      <c r="N205" s="40" t="str">
        <f>""</f>
        <v/>
      </c>
      <c r="O205" s="41">
        <v>300</v>
      </c>
      <c r="P205" s="41">
        <v>0</v>
      </c>
      <c r="Q205" s="41">
        <v>0</v>
      </c>
      <c r="R205" s="41">
        <v>0</v>
      </c>
      <c r="S205" s="41">
        <v>0</v>
      </c>
      <c r="T205" s="41">
        <v>0</v>
      </c>
      <c r="U205" s="54"/>
    </row>
    <row r="206" spans="1:21" ht="17.25" customHeight="1" x14ac:dyDescent="0.3">
      <c r="A206" s="15" t="s">
        <v>29</v>
      </c>
      <c r="C206" s="19"/>
      <c r="D206" s="33" t="str">
        <f t="shared" ref="D206" si="184">D205</f>
        <v>C100048</v>
      </c>
      <c r="E206" s="33"/>
      <c r="F206" s="20"/>
      <c r="G206" s="20" t="str">
        <f>"""NAV"",""CRONUS JetCorp USA"",""32"",""1"",""7557"""</f>
        <v>"NAV","CRONUS JetCorp USA","32","1","7557"</v>
      </c>
      <c r="H206" s="39">
        <v>43469</v>
      </c>
      <c r="I206" s="40">
        <v>7557</v>
      </c>
      <c r="J206" s="40" t="str">
        <f>"Customer"</f>
        <v>Customer</v>
      </c>
      <c r="K206" s="40" t="str">
        <f>"C100030"</f>
        <v>C100030</v>
      </c>
      <c r="L206" s="40" t="str">
        <f>"Stutringers"</f>
        <v>Stutringers</v>
      </c>
      <c r="M206" s="40" t="str">
        <f>""</f>
        <v/>
      </c>
      <c r="N206" s="40" t="str">
        <f>""</f>
        <v/>
      </c>
      <c r="O206" s="41">
        <v>0</v>
      </c>
      <c r="P206" s="41">
        <v>-144</v>
      </c>
      <c r="Q206" s="41">
        <v>0</v>
      </c>
      <c r="R206" s="41">
        <v>0</v>
      </c>
      <c r="S206" s="41">
        <v>0</v>
      </c>
      <c r="T206" s="41">
        <v>0</v>
      </c>
      <c r="U206" s="54"/>
    </row>
    <row r="207" spans="1:21" ht="17.25" customHeight="1" x14ac:dyDescent="0.3">
      <c r="A207" s="15" t="s">
        <v>29</v>
      </c>
      <c r="C207" s="19"/>
      <c r="D207" s="33"/>
      <c r="E207" s="33"/>
      <c r="F207" s="20"/>
      <c r="G207" s="20"/>
      <c r="H207" s="20"/>
      <c r="I207" s="20"/>
      <c r="J207" s="20"/>
      <c r="K207" s="20"/>
      <c r="L207" s="20"/>
      <c r="M207" s="20"/>
      <c r="N207" s="20"/>
      <c r="O207" s="42"/>
      <c r="P207" s="42"/>
      <c r="Q207" s="42"/>
      <c r="R207" s="42"/>
      <c r="S207" s="42"/>
      <c r="T207" s="42"/>
      <c r="U207" s="55"/>
    </row>
    <row r="208" spans="1:21" ht="17.25" customHeight="1" x14ac:dyDescent="0.3">
      <c r="A208" s="15" t="s">
        <v>29</v>
      </c>
      <c r="C208" s="19"/>
      <c r="D208" s="33"/>
      <c r="E208" s="33" t="s">
        <v>30</v>
      </c>
      <c r="F208" s="20" t="s">
        <v>30</v>
      </c>
      <c r="G208" s="20" t="s">
        <v>30</v>
      </c>
      <c r="H208" s="20"/>
      <c r="I208" s="20"/>
      <c r="J208" s="20" t="s">
        <v>30</v>
      </c>
      <c r="K208" s="20" t="s">
        <v>30</v>
      </c>
      <c r="L208" s="20" t="s">
        <v>30</v>
      </c>
      <c r="M208" s="20" t="s">
        <v>30</v>
      </c>
      <c r="N208" s="20"/>
      <c r="U208" s="56"/>
    </row>
    <row r="209" spans="1:21" ht="20.25" customHeight="1" x14ac:dyDescent="0.35">
      <c r="A209" s="15" t="s">
        <v>29</v>
      </c>
      <c r="C209" s="19"/>
      <c r="D209" s="34" t="str">
        <f t="shared" ref="D209" si="185">E209</f>
        <v>C100050</v>
      </c>
      <c r="E209" s="35" t="str">
        <f>"C100050"</f>
        <v>C100050</v>
      </c>
      <c r="F209" s="36" t="str">
        <f>"Clip-on MP3 Player"</f>
        <v>Clip-on MP3 Player</v>
      </c>
      <c r="G209" s="36"/>
      <c r="H209" s="37" t="str">
        <f>"EA"</f>
        <v>EA</v>
      </c>
      <c r="I209" s="36"/>
      <c r="J209" s="36"/>
      <c r="K209" s="36"/>
      <c r="L209" s="36"/>
      <c r="M209" s="36"/>
      <c r="N209" s="36"/>
      <c r="O209" s="38">
        <f t="shared" ref="O209:T209" si="186">(SUBTOTAL(9,O210:O211))</f>
        <v>100</v>
      </c>
      <c r="P209" s="38">
        <f t="shared" si="186"/>
        <v>0</v>
      </c>
      <c r="Q209" s="38">
        <f t="shared" si="186"/>
        <v>0</v>
      </c>
      <c r="R209" s="38">
        <f t="shared" si="186"/>
        <v>0</v>
      </c>
      <c r="S209" s="38">
        <f t="shared" si="186"/>
        <v>0</v>
      </c>
      <c r="T209" s="38">
        <f t="shared" si="186"/>
        <v>0</v>
      </c>
      <c r="U209" s="53">
        <f t="shared" ref="U209" si="187">SUBTOTAL(9,O210:T211)</f>
        <v>100</v>
      </c>
    </row>
    <row r="210" spans="1:21" ht="17.25" customHeight="1" x14ac:dyDescent="0.3">
      <c r="A210" s="15" t="s">
        <v>29</v>
      </c>
      <c r="C210" s="19"/>
      <c r="D210" s="33" t="str">
        <f t="shared" ref="D210" si="188">D209</f>
        <v>C100050</v>
      </c>
      <c r="E210" s="33"/>
      <c r="F210" s="20"/>
      <c r="G210" s="20" t="str">
        <f>"""NAV"",""CRONUS JetCorp USA"",""32"",""1"",""168049"""</f>
        <v>"NAV","CRONUS JetCorp USA","32","1","168049"</v>
      </c>
      <c r="H210" s="39">
        <v>43466</v>
      </c>
      <c r="I210" s="40">
        <v>168049</v>
      </c>
      <c r="J210" s="40" t="str">
        <f>"Vendor"</f>
        <v>Vendor</v>
      </c>
      <c r="K210" s="40" t="str">
        <f>"V100003"</f>
        <v>V100003</v>
      </c>
      <c r="L210" s="40" t="str">
        <f>""</f>
        <v/>
      </c>
      <c r="M210" s="40" t="str">
        <f>"LogoMasters"</f>
        <v>LogoMasters</v>
      </c>
      <c r="N210" s="40" t="str">
        <f>""</f>
        <v/>
      </c>
      <c r="O210" s="41">
        <v>100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  <c r="U210" s="54"/>
    </row>
    <row r="211" spans="1:21" ht="17.25" customHeight="1" x14ac:dyDescent="0.3">
      <c r="A211" s="15" t="s">
        <v>29</v>
      </c>
      <c r="C211" s="19"/>
      <c r="D211" s="33"/>
      <c r="E211" s="33"/>
      <c r="F211" s="20"/>
      <c r="G211" s="20"/>
      <c r="H211" s="20"/>
      <c r="I211" s="20"/>
      <c r="J211" s="20"/>
      <c r="K211" s="20"/>
      <c r="L211" s="20"/>
      <c r="M211" s="20"/>
      <c r="N211" s="20"/>
      <c r="O211" s="42"/>
      <c r="P211" s="42"/>
      <c r="Q211" s="42"/>
      <c r="R211" s="42"/>
      <c r="S211" s="42"/>
      <c r="T211" s="42"/>
      <c r="U211" s="55"/>
    </row>
    <row r="212" spans="1:21" ht="17.25" customHeight="1" x14ac:dyDescent="0.3">
      <c r="A212" s="15" t="s">
        <v>29</v>
      </c>
      <c r="C212" s="19"/>
      <c r="D212" s="33"/>
      <c r="E212" s="33" t="s">
        <v>30</v>
      </c>
      <c r="F212" s="20" t="s">
        <v>30</v>
      </c>
      <c r="G212" s="20" t="s">
        <v>30</v>
      </c>
      <c r="H212" s="20"/>
      <c r="I212" s="20"/>
      <c r="J212" s="20" t="s">
        <v>30</v>
      </c>
      <c r="K212" s="20" t="s">
        <v>30</v>
      </c>
      <c r="L212" s="20" t="s">
        <v>30</v>
      </c>
      <c r="M212" s="20" t="s">
        <v>30</v>
      </c>
      <c r="N212" s="20"/>
      <c r="U212" s="56"/>
    </row>
    <row r="213" spans="1:21" ht="20.25" customHeight="1" x14ac:dyDescent="0.35">
      <c r="A213" s="15" t="s">
        <v>29</v>
      </c>
      <c r="C213" s="19"/>
      <c r="D213" s="34" t="str">
        <f t="shared" ref="D213" si="189">E213</f>
        <v>C100051</v>
      </c>
      <c r="E213" s="35" t="str">
        <f>"C100051"</f>
        <v>C100051</v>
      </c>
      <c r="F213" s="36" t="str">
        <f>"Bamboo Digital Picutre Frame"</f>
        <v>Bamboo Digital Picutre Frame</v>
      </c>
      <c r="G213" s="36"/>
      <c r="H213" s="37" t="str">
        <f>"EA"</f>
        <v>EA</v>
      </c>
      <c r="I213" s="36"/>
      <c r="J213" s="36"/>
      <c r="K213" s="36"/>
      <c r="L213" s="36"/>
      <c r="M213" s="36"/>
      <c r="N213" s="36"/>
      <c r="O213" s="38">
        <f t="shared" ref="O213:T213" si="190">(SUBTOTAL(9,O214:O216))</f>
        <v>600</v>
      </c>
      <c r="P213" s="38">
        <f t="shared" si="190"/>
        <v>-144</v>
      </c>
      <c r="Q213" s="38">
        <f t="shared" si="190"/>
        <v>0</v>
      </c>
      <c r="R213" s="38">
        <f t="shared" si="190"/>
        <v>0</v>
      </c>
      <c r="S213" s="38">
        <f t="shared" si="190"/>
        <v>0</v>
      </c>
      <c r="T213" s="38">
        <f t="shared" si="190"/>
        <v>0</v>
      </c>
      <c r="U213" s="53">
        <f t="shared" ref="U213" si="191">SUBTOTAL(9,O214:T216)</f>
        <v>456</v>
      </c>
    </row>
    <row r="214" spans="1:21" ht="17.25" customHeight="1" x14ac:dyDescent="0.3">
      <c r="A214" s="15" t="s">
        <v>29</v>
      </c>
      <c r="C214" s="19"/>
      <c r="D214" s="33" t="str">
        <f t="shared" ref="D214" si="192">D213</f>
        <v>C100051</v>
      </c>
      <c r="E214" s="33"/>
      <c r="F214" s="20"/>
      <c r="G214" s="20" t="str">
        <f>"""NAV"",""CRONUS JetCorp USA"",""32"",""1"",""168048"""</f>
        <v>"NAV","CRONUS JetCorp USA","32","1","168048"</v>
      </c>
      <c r="H214" s="39">
        <v>43466</v>
      </c>
      <c r="I214" s="40">
        <v>168048</v>
      </c>
      <c r="J214" s="40" t="str">
        <f>"Vendor"</f>
        <v>Vendor</v>
      </c>
      <c r="K214" s="40" t="str">
        <f>"V100003"</f>
        <v>V100003</v>
      </c>
      <c r="L214" s="40" t="str">
        <f>""</f>
        <v/>
      </c>
      <c r="M214" s="40" t="str">
        <f>"LogoMasters"</f>
        <v>LogoMasters</v>
      </c>
      <c r="N214" s="40" t="str">
        <f>""</f>
        <v/>
      </c>
      <c r="O214" s="41">
        <v>600</v>
      </c>
      <c r="P214" s="41">
        <v>0</v>
      </c>
      <c r="Q214" s="41">
        <v>0</v>
      </c>
      <c r="R214" s="41">
        <v>0</v>
      </c>
      <c r="S214" s="41">
        <v>0</v>
      </c>
      <c r="T214" s="41">
        <v>0</v>
      </c>
      <c r="U214" s="54"/>
    </row>
    <row r="215" spans="1:21" ht="17.25" customHeight="1" x14ac:dyDescent="0.3">
      <c r="A215" s="15" t="s">
        <v>29</v>
      </c>
      <c r="C215" s="19"/>
      <c r="D215" s="33" t="str">
        <f t="shared" ref="D215" si="193">D214</f>
        <v>C100051</v>
      </c>
      <c r="E215" s="33"/>
      <c r="F215" s="20"/>
      <c r="G215" s="20" t="str">
        <f>"""NAV"",""CRONUS JetCorp USA"",""32"",""1"",""114265"""</f>
        <v>"NAV","CRONUS JetCorp USA","32","1","114265"</v>
      </c>
      <c r="H215" s="39">
        <v>43470</v>
      </c>
      <c r="I215" s="40">
        <v>114265</v>
      </c>
      <c r="J215" s="40" t="str">
        <f>"Customer"</f>
        <v>Customer</v>
      </c>
      <c r="K215" s="40" t="str">
        <f>"C100076"</f>
        <v>C100076</v>
      </c>
      <c r="L215" s="40" t="str">
        <f>"Showmasters"</f>
        <v>Showmasters</v>
      </c>
      <c r="M215" s="40" t="str">
        <f>""</f>
        <v/>
      </c>
      <c r="N215" s="40" t="str">
        <f>""</f>
        <v/>
      </c>
      <c r="O215" s="41">
        <v>0</v>
      </c>
      <c r="P215" s="41">
        <v>-144</v>
      </c>
      <c r="Q215" s="41">
        <v>0</v>
      </c>
      <c r="R215" s="41">
        <v>0</v>
      </c>
      <c r="S215" s="41">
        <v>0</v>
      </c>
      <c r="T215" s="41">
        <v>0</v>
      </c>
      <c r="U215" s="54"/>
    </row>
    <row r="216" spans="1:21" ht="17.25" customHeight="1" x14ac:dyDescent="0.3">
      <c r="A216" s="15" t="s">
        <v>29</v>
      </c>
      <c r="C216" s="19"/>
      <c r="D216" s="33"/>
      <c r="E216" s="33"/>
      <c r="F216" s="20"/>
      <c r="G216" s="20"/>
      <c r="H216" s="20"/>
      <c r="I216" s="20"/>
      <c r="J216" s="20"/>
      <c r="K216" s="20"/>
      <c r="L216" s="20"/>
      <c r="M216" s="20"/>
      <c r="N216" s="20"/>
      <c r="O216" s="42"/>
      <c r="P216" s="42"/>
      <c r="Q216" s="42"/>
      <c r="R216" s="42"/>
      <c r="S216" s="42"/>
      <c r="T216" s="42"/>
      <c r="U216" s="55"/>
    </row>
    <row r="217" spans="1:21" ht="17.25" customHeight="1" x14ac:dyDescent="0.3">
      <c r="A217" s="15" t="s">
        <v>29</v>
      </c>
      <c r="C217" s="19"/>
      <c r="D217" s="33"/>
      <c r="E217" s="33" t="s">
        <v>30</v>
      </c>
      <c r="F217" s="20" t="s">
        <v>30</v>
      </c>
      <c r="G217" s="20" t="s">
        <v>30</v>
      </c>
      <c r="H217" s="20"/>
      <c r="I217" s="20"/>
      <c r="J217" s="20" t="s">
        <v>30</v>
      </c>
      <c r="K217" s="20" t="s">
        <v>30</v>
      </c>
      <c r="L217" s="20" t="s">
        <v>30</v>
      </c>
      <c r="M217" s="20" t="s">
        <v>30</v>
      </c>
      <c r="N217" s="20"/>
      <c r="U217" s="56"/>
    </row>
    <row r="218" spans="1:21" ht="20.25" customHeight="1" x14ac:dyDescent="0.35">
      <c r="A218" s="15" t="s">
        <v>29</v>
      </c>
      <c r="C218" s="19"/>
      <c r="D218" s="34" t="str">
        <f t="shared" ref="D218" si="194">E218</f>
        <v>C100052</v>
      </c>
      <c r="E218" s="35" t="str">
        <f>"C100052"</f>
        <v>C100052</v>
      </c>
      <c r="F218" s="36" t="str">
        <f>"Black Digital Picture Frame"</f>
        <v>Black Digital Picture Frame</v>
      </c>
      <c r="G218" s="36"/>
      <c r="H218" s="37" t="str">
        <f>"EA"</f>
        <v>EA</v>
      </c>
      <c r="I218" s="36"/>
      <c r="J218" s="36"/>
      <c r="K218" s="36"/>
      <c r="L218" s="36"/>
      <c r="M218" s="36"/>
      <c r="N218" s="36"/>
      <c r="O218" s="38">
        <f t="shared" ref="O218:T218" si="195">(SUBTOTAL(9,O219:O220))</f>
        <v>300</v>
      </c>
      <c r="P218" s="38">
        <f t="shared" si="195"/>
        <v>0</v>
      </c>
      <c r="Q218" s="38">
        <f t="shared" si="195"/>
        <v>0</v>
      </c>
      <c r="R218" s="38">
        <f t="shared" si="195"/>
        <v>0</v>
      </c>
      <c r="S218" s="38">
        <f t="shared" si="195"/>
        <v>0</v>
      </c>
      <c r="T218" s="38">
        <f t="shared" si="195"/>
        <v>0</v>
      </c>
      <c r="U218" s="53">
        <f t="shared" ref="U218" si="196">SUBTOTAL(9,O219:T220)</f>
        <v>300</v>
      </c>
    </row>
    <row r="219" spans="1:21" ht="17.25" customHeight="1" x14ac:dyDescent="0.3">
      <c r="A219" s="15" t="s">
        <v>29</v>
      </c>
      <c r="C219" s="19"/>
      <c r="D219" s="33" t="str">
        <f t="shared" ref="D219" si="197">D218</f>
        <v>C100052</v>
      </c>
      <c r="E219" s="33"/>
      <c r="F219" s="20"/>
      <c r="G219" s="20" t="str">
        <f>"""NAV"",""CRONUS JetCorp USA"",""32"",""1"",""168047"""</f>
        <v>"NAV","CRONUS JetCorp USA","32","1","168047"</v>
      </c>
      <c r="H219" s="39">
        <v>43466</v>
      </c>
      <c r="I219" s="40">
        <v>168047</v>
      </c>
      <c r="J219" s="40" t="str">
        <f>"Vendor"</f>
        <v>Vendor</v>
      </c>
      <c r="K219" s="40" t="str">
        <f>"V100003"</f>
        <v>V100003</v>
      </c>
      <c r="L219" s="40" t="str">
        <f>""</f>
        <v/>
      </c>
      <c r="M219" s="40" t="str">
        <f>"LogoMasters"</f>
        <v>LogoMasters</v>
      </c>
      <c r="N219" s="40" t="str">
        <f>""</f>
        <v/>
      </c>
      <c r="O219" s="41">
        <v>300</v>
      </c>
      <c r="P219" s="41">
        <v>0</v>
      </c>
      <c r="Q219" s="41">
        <v>0</v>
      </c>
      <c r="R219" s="41">
        <v>0</v>
      </c>
      <c r="S219" s="41">
        <v>0</v>
      </c>
      <c r="T219" s="41">
        <v>0</v>
      </c>
      <c r="U219" s="54"/>
    </row>
    <row r="220" spans="1:21" ht="17.25" customHeight="1" x14ac:dyDescent="0.3">
      <c r="A220" s="15" t="s">
        <v>29</v>
      </c>
      <c r="C220" s="19"/>
      <c r="D220" s="33"/>
      <c r="E220" s="33"/>
      <c r="F220" s="20"/>
      <c r="G220" s="20"/>
      <c r="H220" s="20"/>
      <c r="I220" s="20"/>
      <c r="J220" s="20"/>
      <c r="K220" s="20"/>
      <c r="L220" s="20"/>
      <c r="M220" s="20"/>
      <c r="N220" s="20"/>
      <c r="O220" s="42"/>
      <c r="P220" s="42"/>
      <c r="Q220" s="42"/>
      <c r="R220" s="42"/>
      <c r="S220" s="42"/>
      <c r="T220" s="42"/>
      <c r="U220" s="55"/>
    </row>
    <row r="221" spans="1:21" ht="17.25" customHeight="1" x14ac:dyDescent="0.3">
      <c r="A221" s="15" t="s">
        <v>29</v>
      </c>
      <c r="C221" s="19"/>
      <c r="D221" s="33"/>
      <c r="E221" s="33" t="s">
        <v>30</v>
      </c>
      <c r="F221" s="20" t="s">
        <v>30</v>
      </c>
      <c r="G221" s="20" t="s">
        <v>30</v>
      </c>
      <c r="H221" s="20"/>
      <c r="I221" s="20"/>
      <c r="J221" s="20" t="s">
        <v>30</v>
      </c>
      <c r="K221" s="20" t="s">
        <v>30</v>
      </c>
      <c r="L221" s="20" t="s">
        <v>30</v>
      </c>
      <c r="M221" s="20" t="s">
        <v>30</v>
      </c>
      <c r="N221" s="20"/>
      <c r="U221" s="56"/>
    </row>
    <row r="222" spans="1:21" ht="20.25" customHeight="1" x14ac:dyDescent="0.35">
      <c r="A222" s="15" t="s">
        <v>29</v>
      </c>
      <c r="C222" s="19"/>
      <c r="D222" s="34" t="str">
        <f t="shared" ref="D222" si="198">E222</f>
        <v>C100053</v>
      </c>
      <c r="E222" s="35" t="str">
        <f>"C100053"</f>
        <v>C100053</v>
      </c>
      <c r="F222" s="36" t="str">
        <f>"Book Style Photo Frame &amp; Clock"</f>
        <v>Book Style Photo Frame &amp; Clock</v>
      </c>
      <c r="G222" s="36"/>
      <c r="H222" s="37" t="str">
        <f>"EA"</f>
        <v>EA</v>
      </c>
      <c r="I222" s="36"/>
      <c r="J222" s="36"/>
      <c r="K222" s="36"/>
      <c r="L222" s="36"/>
      <c r="M222" s="36"/>
      <c r="N222" s="36"/>
      <c r="O222" s="38">
        <f t="shared" ref="O222:T222" si="199">(SUBTOTAL(9,O223:O225))</f>
        <v>400</v>
      </c>
      <c r="P222" s="38">
        <f t="shared" si="199"/>
        <v>-24</v>
      </c>
      <c r="Q222" s="38">
        <f t="shared" si="199"/>
        <v>0</v>
      </c>
      <c r="R222" s="38">
        <f t="shared" si="199"/>
        <v>0</v>
      </c>
      <c r="S222" s="38">
        <f t="shared" si="199"/>
        <v>0</v>
      </c>
      <c r="T222" s="38">
        <f t="shared" si="199"/>
        <v>0</v>
      </c>
      <c r="U222" s="53">
        <f t="shared" ref="U222" si="200">SUBTOTAL(9,O223:T225)</f>
        <v>376</v>
      </c>
    </row>
    <row r="223" spans="1:21" ht="17.25" customHeight="1" x14ac:dyDescent="0.3">
      <c r="A223" s="15" t="s">
        <v>29</v>
      </c>
      <c r="C223" s="19"/>
      <c r="D223" s="33" t="str">
        <f t="shared" ref="D223" si="201">D222</f>
        <v>C100053</v>
      </c>
      <c r="E223" s="33"/>
      <c r="F223" s="20"/>
      <c r="G223" s="20" t="str">
        <f>"""NAV"",""CRONUS JetCorp USA"",""32"",""1"",""168046"""</f>
        <v>"NAV","CRONUS JetCorp USA","32","1","168046"</v>
      </c>
      <c r="H223" s="39">
        <v>43466</v>
      </c>
      <c r="I223" s="40">
        <v>168046</v>
      </c>
      <c r="J223" s="40" t="str">
        <f>"Vendor"</f>
        <v>Vendor</v>
      </c>
      <c r="K223" s="40" t="str">
        <f>"V100003"</f>
        <v>V100003</v>
      </c>
      <c r="L223" s="40" t="str">
        <f>""</f>
        <v/>
      </c>
      <c r="M223" s="40" t="str">
        <f>"LogoMasters"</f>
        <v>LogoMasters</v>
      </c>
      <c r="N223" s="40" t="str">
        <f>""</f>
        <v/>
      </c>
      <c r="O223" s="41">
        <v>400</v>
      </c>
      <c r="P223" s="41">
        <v>0</v>
      </c>
      <c r="Q223" s="41">
        <v>0</v>
      </c>
      <c r="R223" s="41">
        <v>0</v>
      </c>
      <c r="S223" s="41">
        <v>0</v>
      </c>
      <c r="T223" s="41">
        <v>0</v>
      </c>
      <c r="U223" s="54"/>
    </row>
    <row r="224" spans="1:21" ht="17.25" customHeight="1" x14ac:dyDescent="0.3">
      <c r="A224" s="15" t="s">
        <v>29</v>
      </c>
      <c r="C224" s="19"/>
      <c r="D224" s="33" t="str">
        <f t="shared" ref="D224" si="202">D223</f>
        <v>C100053</v>
      </c>
      <c r="E224" s="33"/>
      <c r="F224" s="20"/>
      <c r="G224" s="20" t="str">
        <f>"""NAV"",""CRONUS JetCorp USA"",""32"",""1"",""116372"""</f>
        <v>"NAV","CRONUS JetCorp USA","32","1","116372"</v>
      </c>
      <c r="H224" s="39">
        <v>43472</v>
      </c>
      <c r="I224" s="40">
        <v>116372</v>
      </c>
      <c r="J224" s="40" t="str">
        <f>"Customer"</f>
        <v>Customer</v>
      </c>
      <c r="K224" s="40" t="str">
        <f>"C100054"</f>
        <v>C100054</v>
      </c>
      <c r="L224" s="40" t="str">
        <f>"London Candoxy Storage Campus"</f>
        <v>London Candoxy Storage Campus</v>
      </c>
      <c r="M224" s="40" t="str">
        <f>""</f>
        <v/>
      </c>
      <c r="N224" s="40" t="str">
        <f>""</f>
        <v/>
      </c>
      <c r="O224" s="41">
        <v>0</v>
      </c>
      <c r="P224" s="41">
        <v>-24</v>
      </c>
      <c r="Q224" s="41">
        <v>0</v>
      </c>
      <c r="R224" s="41">
        <v>0</v>
      </c>
      <c r="S224" s="41">
        <v>0</v>
      </c>
      <c r="T224" s="41">
        <v>0</v>
      </c>
      <c r="U224" s="54"/>
    </row>
    <row r="225" spans="1:21" ht="17.25" customHeight="1" x14ac:dyDescent="0.3">
      <c r="A225" s="15" t="s">
        <v>29</v>
      </c>
      <c r="C225" s="19"/>
      <c r="D225" s="33"/>
      <c r="E225" s="33"/>
      <c r="F225" s="20"/>
      <c r="G225" s="20"/>
      <c r="H225" s="20"/>
      <c r="I225" s="20"/>
      <c r="J225" s="20"/>
      <c r="K225" s="20"/>
      <c r="L225" s="20"/>
      <c r="M225" s="20"/>
      <c r="N225" s="20"/>
      <c r="O225" s="42"/>
      <c r="P225" s="42"/>
      <c r="Q225" s="42"/>
      <c r="R225" s="42"/>
      <c r="S225" s="42"/>
      <c r="T225" s="42"/>
      <c r="U225" s="55"/>
    </row>
    <row r="226" spans="1:21" ht="17.25" customHeight="1" x14ac:dyDescent="0.3">
      <c r="A226" s="15" t="s">
        <v>29</v>
      </c>
      <c r="C226" s="19"/>
      <c r="D226" s="33"/>
      <c r="E226" s="33" t="s">
        <v>30</v>
      </c>
      <c r="F226" s="20" t="s">
        <v>30</v>
      </c>
      <c r="G226" s="20" t="s">
        <v>30</v>
      </c>
      <c r="H226" s="20"/>
      <c r="I226" s="20"/>
      <c r="J226" s="20" t="s">
        <v>30</v>
      </c>
      <c r="K226" s="20" t="s">
        <v>30</v>
      </c>
      <c r="L226" s="20" t="s">
        <v>30</v>
      </c>
      <c r="M226" s="20" t="s">
        <v>30</v>
      </c>
      <c r="N226" s="20"/>
      <c r="U226" s="56"/>
    </row>
    <row r="227" spans="1:21" ht="20.25" customHeight="1" x14ac:dyDescent="0.35">
      <c r="A227" s="15" t="s">
        <v>29</v>
      </c>
      <c r="C227" s="19"/>
      <c r="D227" s="34" t="str">
        <f t="shared" ref="D227" si="203">E227</f>
        <v>C100054</v>
      </c>
      <c r="E227" s="35" t="str">
        <f>"C100054"</f>
        <v>C100054</v>
      </c>
      <c r="F227" s="36" t="str">
        <f>"Cherry Finish Photo Frame &amp; Clock"</f>
        <v>Cherry Finish Photo Frame &amp; Clock</v>
      </c>
      <c r="G227" s="36"/>
      <c r="H227" s="37" t="str">
        <f>"EA"</f>
        <v>EA</v>
      </c>
      <c r="I227" s="36"/>
      <c r="J227" s="36"/>
      <c r="K227" s="36"/>
      <c r="L227" s="36"/>
      <c r="M227" s="36"/>
      <c r="N227" s="36"/>
      <c r="O227" s="38">
        <f t="shared" ref="O227:T227" si="204">(SUBTOTAL(9,O228:O231))</f>
        <v>400</v>
      </c>
      <c r="P227" s="38">
        <f t="shared" si="204"/>
        <v>-198</v>
      </c>
      <c r="Q227" s="38">
        <f t="shared" si="204"/>
        <v>0</v>
      </c>
      <c r="R227" s="38">
        <f t="shared" si="204"/>
        <v>0</v>
      </c>
      <c r="S227" s="38">
        <f t="shared" si="204"/>
        <v>0</v>
      </c>
      <c r="T227" s="38">
        <f t="shared" si="204"/>
        <v>0</v>
      </c>
      <c r="U227" s="53">
        <f t="shared" ref="U227" si="205">SUBTOTAL(9,O228:T231)</f>
        <v>202</v>
      </c>
    </row>
    <row r="228" spans="1:21" ht="17.25" customHeight="1" x14ac:dyDescent="0.3">
      <c r="A228" s="15" t="s">
        <v>29</v>
      </c>
      <c r="C228" s="19"/>
      <c r="D228" s="33" t="str">
        <f t="shared" ref="D228" si="206">D227</f>
        <v>C100054</v>
      </c>
      <c r="E228" s="33"/>
      <c r="F228" s="20"/>
      <c r="G228" s="20" t="str">
        <f>"""NAV"",""CRONUS JetCorp USA"",""32"",""1"",""168045"""</f>
        <v>"NAV","CRONUS JetCorp USA","32","1","168045"</v>
      </c>
      <c r="H228" s="39">
        <v>43466</v>
      </c>
      <c r="I228" s="40">
        <v>168045</v>
      </c>
      <c r="J228" s="40" t="str">
        <f>"Vendor"</f>
        <v>Vendor</v>
      </c>
      <c r="K228" s="40" t="str">
        <f>"V100003"</f>
        <v>V100003</v>
      </c>
      <c r="L228" s="40" t="str">
        <f>""</f>
        <v/>
      </c>
      <c r="M228" s="40" t="str">
        <f>"LogoMasters"</f>
        <v>LogoMasters</v>
      </c>
      <c r="N228" s="40" t="str">
        <f>""</f>
        <v/>
      </c>
      <c r="O228" s="41">
        <v>400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54"/>
    </row>
    <row r="229" spans="1:21" ht="17.25" customHeight="1" x14ac:dyDescent="0.3">
      <c r="A229" s="15" t="s">
        <v>29</v>
      </c>
      <c r="C229" s="19"/>
      <c r="D229" s="33" t="str">
        <f t="shared" ref="D229:D230" si="207">D228</f>
        <v>C100054</v>
      </c>
      <c r="E229" s="33"/>
      <c r="F229" s="20"/>
      <c r="G229" s="20" t="str">
        <f>"""NAV"",""CRONUS JetCorp USA"",""32"",""1"",""114267"""</f>
        <v>"NAV","CRONUS JetCorp USA","32","1","114267"</v>
      </c>
      <c r="H229" s="39">
        <v>43470</v>
      </c>
      <c r="I229" s="40">
        <v>114267</v>
      </c>
      <c r="J229" s="40" t="str">
        <f>"Customer"</f>
        <v>Customer</v>
      </c>
      <c r="K229" s="40" t="str">
        <f>"C100076"</f>
        <v>C100076</v>
      </c>
      <c r="L229" s="40" t="str">
        <f>"Showmasters"</f>
        <v>Showmasters</v>
      </c>
      <c r="M229" s="40" t="str">
        <f>""</f>
        <v/>
      </c>
      <c r="N229" s="40" t="str">
        <f>""</f>
        <v/>
      </c>
      <c r="O229" s="41">
        <v>0</v>
      </c>
      <c r="P229" s="41">
        <v>-54</v>
      </c>
      <c r="Q229" s="41">
        <v>0</v>
      </c>
      <c r="R229" s="41">
        <v>0</v>
      </c>
      <c r="S229" s="41">
        <v>0</v>
      </c>
      <c r="T229" s="41">
        <v>0</v>
      </c>
      <c r="U229" s="54"/>
    </row>
    <row r="230" spans="1:21" ht="17.25" customHeight="1" x14ac:dyDescent="0.3">
      <c r="A230" s="15" t="s">
        <v>29</v>
      </c>
      <c r="C230" s="19"/>
      <c r="D230" s="33" t="str">
        <f t="shared" si="207"/>
        <v>C100054</v>
      </c>
      <c r="E230" s="33"/>
      <c r="F230" s="20"/>
      <c r="G230" s="20" t="str">
        <f>"""NAV"",""CRONUS JetCorp USA"",""32"",""1"",""114276"""</f>
        <v>"NAV","CRONUS JetCorp USA","32","1","114276"</v>
      </c>
      <c r="H230" s="39">
        <v>43474</v>
      </c>
      <c r="I230" s="40">
        <v>114276</v>
      </c>
      <c r="J230" s="40" t="str">
        <f>"Customer"</f>
        <v>Customer</v>
      </c>
      <c r="K230" s="40" t="str">
        <f>"C100076"</f>
        <v>C100076</v>
      </c>
      <c r="L230" s="40" t="str">
        <f>"Showmasters"</f>
        <v>Showmasters</v>
      </c>
      <c r="M230" s="40" t="str">
        <f>""</f>
        <v/>
      </c>
      <c r="N230" s="40" t="str">
        <f>""</f>
        <v/>
      </c>
      <c r="O230" s="41">
        <v>0</v>
      </c>
      <c r="P230" s="41">
        <v>-144</v>
      </c>
      <c r="Q230" s="41">
        <v>0</v>
      </c>
      <c r="R230" s="41">
        <v>0</v>
      </c>
      <c r="S230" s="41">
        <v>0</v>
      </c>
      <c r="T230" s="41">
        <v>0</v>
      </c>
      <c r="U230" s="54"/>
    </row>
    <row r="231" spans="1:21" ht="17.25" customHeight="1" x14ac:dyDescent="0.3">
      <c r="A231" s="15" t="s">
        <v>29</v>
      </c>
      <c r="C231" s="19"/>
      <c r="D231" s="33"/>
      <c r="E231" s="33"/>
      <c r="F231" s="20"/>
      <c r="G231" s="20"/>
      <c r="H231" s="20"/>
      <c r="I231" s="20"/>
      <c r="J231" s="20"/>
      <c r="K231" s="20"/>
      <c r="L231" s="20"/>
      <c r="M231" s="20"/>
      <c r="N231" s="20"/>
      <c r="O231" s="42"/>
      <c r="P231" s="42"/>
      <c r="Q231" s="42"/>
      <c r="R231" s="42"/>
      <c r="S231" s="42"/>
      <c r="T231" s="42"/>
      <c r="U231" s="55"/>
    </row>
    <row r="232" spans="1:21" ht="17.25" customHeight="1" x14ac:dyDescent="0.3">
      <c r="A232" s="15" t="s">
        <v>29</v>
      </c>
      <c r="C232" s="19"/>
      <c r="D232" s="33"/>
      <c r="E232" s="33" t="s">
        <v>30</v>
      </c>
      <c r="F232" s="20" t="s">
        <v>30</v>
      </c>
      <c r="G232" s="20" t="s">
        <v>30</v>
      </c>
      <c r="H232" s="20"/>
      <c r="I232" s="20"/>
      <c r="J232" s="20" t="s">
        <v>30</v>
      </c>
      <c r="K232" s="20" t="s">
        <v>30</v>
      </c>
      <c r="L232" s="20" t="s">
        <v>30</v>
      </c>
      <c r="M232" s="20" t="s">
        <v>30</v>
      </c>
      <c r="N232" s="20"/>
      <c r="U232" s="56"/>
    </row>
    <row r="233" spans="1:21" ht="20.25" customHeight="1" x14ac:dyDescent="0.35">
      <c r="A233" s="15" t="s">
        <v>29</v>
      </c>
      <c r="C233" s="19"/>
      <c r="D233" s="34" t="str">
        <f t="shared" ref="D233" si="208">E233</f>
        <v>C100055</v>
      </c>
      <c r="E233" s="35" t="str">
        <f>"C100055"</f>
        <v>C100055</v>
      </c>
      <c r="F233" s="36" t="str">
        <f>"Silver Plated Photo Frame"</f>
        <v>Silver Plated Photo Frame</v>
      </c>
      <c r="G233" s="36"/>
      <c r="H233" s="37" t="str">
        <f>"EA"</f>
        <v>EA</v>
      </c>
      <c r="I233" s="36"/>
      <c r="J233" s="36"/>
      <c r="K233" s="36"/>
      <c r="L233" s="36"/>
      <c r="M233" s="36"/>
      <c r="N233" s="36"/>
      <c r="O233" s="38">
        <f t="shared" ref="O233:T233" si="209">(SUBTOTAL(9,O234:O235))</f>
        <v>200</v>
      </c>
      <c r="P233" s="38">
        <f t="shared" si="209"/>
        <v>0</v>
      </c>
      <c r="Q233" s="38">
        <f t="shared" si="209"/>
        <v>0</v>
      </c>
      <c r="R233" s="38">
        <f t="shared" si="209"/>
        <v>0</v>
      </c>
      <c r="S233" s="38">
        <f t="shared" si="209"/>
        <v>0</v>
      </c>
      <c r="T233" s="38">
        <f t="shared" si="209"/>
        <v>0</v>
      </c>
      <c r="U233" s="53">
        <f t="shared" ref="U233" si="210">SUBTOTAL(9,O234:T235)</f>
        <v>200</v>
      </c>
    </row>
    <row r="234" spans="1:21" ht="17.25" customHeight="1" x14ac:dyDescent="0.3">
      <c r="A234" s="15" t="s">
        <v>29</v>
      </c>
      <c r="C234" s="19"/>
      <c r="D234" s="33" t="str">
        <f t="shared" ref="D234" si="211">D233</f>
        <v>C100055</v>
      </c>
      <c r="E234" s="33"/>
      <c r="F234" s="20"/>
      <c r="G234" s="20" t="str">
        <f>"""NAV"",""CRONUS JetCorp USA"",""32"",""1"",""168044"""</f>
        <v>"NAV","CRONUS JetCorp USA","32","1","168044"</v>
      </c>
      <c r="H234" s="39">
        <v>43466</v>
      </c>
      <c r="I234" s="40">
        <v>168044</v>
      </c>
      <c r="J234" s="40" t="str">
        <f>"Vendor"</f>
        <v>Vendor</v>
      </c>
      <c r="K234" s="40" t="str">
        <f>"V100003"</f>
        <v>V100003</v>
      </c>
      <c r="L234" s="40" t="str">
        <f>""</f>
        <v/>
      </c>
      <c r="M234" s="40" t="str">
        <f>"LogoMasters"</f>
        <v>LogoMasters</v>
      </c>
      <c r="N234" s="40" t="str">
        <f>""</f>
        <v/>
      </c>
      <c r="O234" s="41">
        <v>200</v>
      </c>
      <c r="P234" s="41">
        <v>0</v>
      </c>
      <c r="Q234" s="41">
        <v>0</v>
      </c>
      <c r="R234" s="41">
        <v>0</v>
      </c>
      <c r="S234" s="41">
        <v>0</v>
      </c>
      <c r="T234" s="41">
        <v>0</v>
      </c>
      <c r="U234" s="54"/>
    </row>
    <row r="235" spans="1:21" ht="17.25" customHeight="1" x14ac:dyDescent="0.3">
      <c r="A235" s="15" t="s">
        <v>29</v>
      </c>
      <c r="C235" s="19"/>
      <c r="D235" s="33"/>
      <c r="E235" s="33"/>
      <c r="F235" s="20"/>
      <c r="G235" s="20"/>
      <c r="H235" s="20"/>
      <c r="I235" s="20"/>
      <c r="J235" s="20"/>
      <c r="K235" s="20"/>
      <c r="L235" s="20"/>
      <c r="M235" s="20"/>
      <c r="N235" s="20"/>
      <c r="O235" s="42"/>
      <c r="P235" s="42"/>
      <c r="Q235" s="42"/>
      <c r="R235" s="42"/>
      <c r="S235" s="42"/>
      <c r="T235" s="42"/>
      <c r="U235" s="55"/>
    </row>
    <row r="236" spans="1:21" ht="17.25" customHeight="1" x14ac:dyDescent="0.3">
      <c r="A236" s="15" t="s">
        <v>29</v>
      </c>
      <c r="C236" s="19"/>
      <c r="D236" s="33"/>
      <c r="E236" s="33" t="s">
        <v>30</v>
      </c>
      <c r="F236" s="20" t="s">
        <v>30</v>
      </c>
      <c r="G236" s="20" t="s">
        <v>30</v>
      </c>
      <c r="H236" s="20"/>
      <c r="I236" s="20"/>
      <c r="J236" s="20" t="s">
        <v>30</v>
      </c>
      <c r="K236" s="20" t="s">
        <v>30</v>
      </c>
      <c r="L236" s="20" t="s">
        <v>30</v>
      </c>
      <c r="M236" s="20" t="s">
        <v>30</v>
      </c>
      <c r="N236" s="20"/>
      <c r="U236" s="56"/>
    </row>
    <row r="237" spans="1:21" ht="20.25" customHeight="1" x14ac:dyDescent="0.35">
      <c r="A237" s="15" t="s">
        <v>29</v>
      </c>
      <c r="C237" s="19"/>
      <c r="D237" s="34" t="str">
        <f t="shared" ref="D237" si="212">E237</f>
        <v>C100056</v>
      </c>
      <c r="E237" s="35" t="str">
        <f>"C100056"</f>
        <v>C100056</v>
      </c>
      <c r="F237" s="36" t="str">
        <f>"Contemporary Desk Calculator"</f>
        <v>Contemporary Desk Calculator</v>
      </c>
      <c r="G237" s="36"/>
      <c r="H237" s="37" t="str">
        <f>"EA"</f>
        <v>EA</v>
      </c>
      <c r="I237" s="36"/>
      <c r="J237" s="36"/>
      <c r="K237" s="36"/>
      <c r="L237" s="36"/>
      <c r="M237" s="36"/>
      <c r="N237" s="36"/>
      <c r="O237" s="38">
        <f t="shared" ref="O237:T237" si="213">(SUBTOTAL(9,O238:O239))</f>
        <v>1250</v>
      </c>
      <c r="P237" s="38">
        <f t="shared" si="213"/>
        <v>0</v>
      </c>
      <c r="Q237" s="38">
        <f t="shared" si="213"/>
        <v>0</v>
      </c>
      <c r="R237" s="38">
        <f t="shared" si="213"/>
        <v>0</v>
      </c>
      <c r="S237" s="38">
        <f t="shared" si="213"/>
        <v>0</v>
      </c>
      <c r="T237" s="38">
        <f t="shared" si="213"/>
        <v>0</v>
      </c>
      <c r="U237" s="53">
        <f t="shared" ref="U237" si="214">SUBTOTAL(9,O238:T239)</f>
        <v>1250</v>
      </c>
    </row>
    <row r="238" spans="1:21" ht="17.25" customHeight="1" x14ac:dyDescent="0.3">
      <c r="A238" s="15" t="s">
        <v>29</v>
      </c>
      <c r="C238" s="19"/>
      <c r="D238" s="33" t="str">
        <f t="shared" ref="D238" si="215">D237</f>
        <v>C100056</v>
      </c>
      <c r="E238" s="33"/>
      <c r="F238" s="20"/>
      <c r="G238" s="20" t="str">
        <f>"""NAV"",""CRONUS JetCorp USA"",""32"",""1"",""168360"""</f>
        <v>"NAV","CRONUS JetCorp USA","32","1","168360"</v>
      </c>
      <c r="H238" s="39">
        <v>43466</v>
      </c>
      <c r="I238" s="40">
        <v>168360</v>
      </c>
      <c r="J238" s="40" t="str">
        <f>"Vendor"</f>
        <v>Vendor</v>
      </c>
      <c r="K238" s="40" t="str">
        <f>"V100003"</f>
        <v>V100003</v>
      </c>
      <c r="L238" s="40" t="str">
        <f>""</f>
        <v/>
      </c>
      <c r="M238" s="40" t="str">
        <f>"LogoMasters"</f>
        <v>LogoMasters</v>
      </c>
      <c r="N238" s="40" t="str">
        <f>""</f>
        <v/>
      </c>
      <c r="O238" s="41">
        <v>1250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54"/>
    </row>
    <row r="239" spans="1:21" ht="17.25" customHeight="1" x14ac:dyDescent="0.3">
      <c r="A239" s="15" t="s">
        <v>29</v>
      </c>
      <c r="C239" s="19"/>
      <c r="D239" s="33"/>
      <c r="E239" s="33"/>
      <c r="F239" s="20"/>
      <c r="G239" s="20"/>
      <c r="H239" s="20"/>
      <c r="I239" s="20"/>
      <c r="J239" s="20"/>
      <c r="K239" s="20"/>
      <c r="L239" s="20"/>
      <c r="M239" s="20"/>
      <c r="N239" s="20"/>
      <c r="O239" s="42"/>
      <c r="P239" s="42"/>
      <c r="Q239" s="42"/>
      <c r="R239" s="42"/>
      <c r="S239" s="42"/>
      <c r="T239" s="42"/>
      <c r="U239" s="55"/>
    </row>
    <row r="240" spans="1:21" ht="17.25" customHeight="1" x14ac:dyDescent="0.3">
      <c r="A240" s="15" t="s">
        <v>29</v>
      </c>
      <c r="C240" s="19"/>
      <c r="D240" s="33"/>
      <c r="E240" s="33" t="s">
        <v>30</v>
      </c>
      <c r="F240" s="20" t="s">
        <v>30</v>
      </c>
      <c r="G240" s="20" t="s">
        <v>30</v>
      </c>
      <c r="H240" s="20"/>
      <c r="I240" s="20"/>
      <c r="J240" s="20" t="s">
        <v>30</v>
      </c>
      <c r="K240" s="20" t="s">
        <v>30</v>
      </c>
      <c r="L240" s="20" t="s">
        <v>30</v>
      </c>
      <c r="M240" s="20" t="s">
        <v>30</v>
      </c>
      <c r="N240" s="20"/>
      <c r="U240" s="56"/>
    </row>
    <row r="241" spans="1:21" ht="20.25" customHeight="1" x14ac:dyDescent="0.35">
      <c r="A241" s="15" t="s">
        <v>29</v>
      </c>
      <c r="C241" s="19"/>
      <c r="D241" s="34" t="str">
        <f t="shared" ref="D241" si="216">E241</f>
        <v>C100061</v>
      </c>
      <c r="E241" s="35" t="str">
        <f>"C100061"</f>
        <v>C100061</v>
      </c>
      <c r="F241" s="36" t="str">
        <f>"Bistro Mug"</f>
        <v>Bistro Mug</v>
      </c>
      <c r="G241" s="36"/>
      <c r="H241" s="37" t="str">
        <f>"EA"</f>
        <v>EA</v>
      </c>
      <c r="I241" s="36"/>
      <c r="J241" s="36"/>
      <c r="K241" s="36"/>
      <c r="L241" s="36"/>
      <c r="M241" s="36"/>
      <c r="N241" s="36"/>
      <c r="O241" s="38">
        <f t="shared" ref="O241:T241" si="217">(SUBTOTAL(9,O242:O243))</f>
        <v>750</v>
      </c>
      <c r="P241" s="38">
        <f t="shared" si="217"/>
        <v>0</v>
      </c>
      <c r="Q241" s="38">
        <f t="shared" si="217"/>
        <v>0</v>
      </c>
      <c r="R241" s="38">
        <f t="shared" si="217"/>
        <v>0</v>
      </c>
      <c r="S241" s="38">
        <f t="shared" si="217"/>
        <v>0</v>
      </c>
      <c r="T241" s="38">
        <f t="shared" si="217"/>
        <v>0</v>
      </c>
      <c r="U241" s="53">
        <f t="shared" ref="U241" si="218">SUBTOTAL(9,O242:T243)</f>
        <v>750</v>
      </c>
    </row>
    <row r="242" spans="1:21" ht="17.25" customHeight="1" x14ac:dyDescent="0.3">
      <c r="A242" s="15" t="s">
        <v>29</v>
      </c>
      <c r="C242" s="19"/>
      <c r="D242" s="33" t="str">
        <f t="shared" ref="D242" si="219">D241</f>
        <v>C100061</v>
      </c>
      <c r="E242" s="33"/>
      <c r="F242" s="20"/>
      <c r="G242" s="20" t="str">
        <f>"""NAV"",""CRONUS JetCorp USA"",""32"",""1"",""168670"""</f>
        <v>"NAV","CRONUS JetCorp USA","32","1","168670"</v>
      </c>
      <c r="H242" s="39">
        <v>43466</v>
      </c>
      <c r="I242" s="40">
        <v>168670</v>
      </c>
      <c r="J242" s="40" t="str">
        <f>"Vendor"</f>
        <v>Vendor</v>
      </c>
      <c r="K242" s="40" t="str">
        <f>"V100003"</f>
        <v>V100003</v>
      </c>
      <c r="L242" s="40" t="str">
        <f>""</f>
        <v/>
      </c>
      <c r="M242" s="40" t="str">
        <f>"LogoMasters"</f>
        <v>LogoMasters</v>
      </c>
      <c r="N242" s="40" t="str">
        <f>""</f>
        <v/>
      </c>
      <c r="O242" s="41">
        <v>750</v>
      </c>
      <c r="P242" s="41">
        <v>0</v>
      </c>
      <c r="Q242" s="41">
        <v>0</v>
      </c>
      <c r="R242" s="41">
        <v>0</v>
      </c>
      <c r="S242" s="41">
        <v>0</v>
      </c>
      <c r="T242" s="41">
        <v>0</v>
      </c>
      <c r="U242" s="54"/>
    </row>
    <row r="243" spans="1:21" ht="17.25" customHeight="1" x14ac:dyDescent="0.3">
      <c r="A243" s="15" t="s">
        <v>29</v>
      </c>
      <c r="C243" s="19"/>
      <c r="D243" s="33"/>
      <c r="E243" s="33"/>
      <c r="F243" s="20"/>
      <c r="G243" s="20"/>
      <c r="H243" s="20"/>
      <c r="I243" s="20"/>
      <c r="J243" s="20"/>
      <c r="K243" s="20"/>
      <c r="L243" s="20"/>
      <c r="M243" s="20"/>
      <c r="N243" s="20"/>
      <c r="O243" s="42"/>
      <c r="P243" s="42"/>
      <c r="Q243" s="42"/>
      <c r="R243" s="42"/>
      <c r="S243" s="42"/>
      <c r="T243" s="42"/>
      <c r="U243" s="55"/>
    </row>
    <row r="244" spans="1:21" ht="17.25" customHeight="1" x14ac:dyDescent="0.3">
      <c r="A244" s="15" t="s">
        <v>29</v>
      </c>
      <c r="C244" s="19"/>
      <c r="D244" s="33"/>
      <c r="E244" s="33" t="s">
        <v>30</v>
      </c>
      <c r="F244" s="20" t="s">
        <v>30</v>
      </c>
      <c r="G244" s="20" t="s">
        <v>30</v>
      </c>
      <c r="H244" s="20"/>
      <c r="I244" s="20"/>
      <c r="J244" s="20" t="s">
        <v>30</v>
      </c>
      <c r="K244" s="20" t="s">
        <v>30</v>
      </c>
      <c r="L244" s="20" t="s">
        <v>30</v>
      </c>
      <c r="M244" s="20" t="s">
        <v>30</v>
      </c>
      <c r="N244" s="20"/>
      <c r="U244" s="56"/>
    </row>
    <row r="245" spans="1:21" ht="20.25" customHeight="1" x14ac:dyDescent="0.35">
      <c r="A245" s="15" t="s">
        <v>29</v>
      </c>
      <c r="C245" s="19"/>
      <c r="D245" s="34" t="str">
        <f t="shared" ref="D245" si="220">E245</f>
        <v>C100062</v>
      </c>
      <c r="E245" s="35" t="str">
        <f>"C100062"</f>
        <v>C100062</v>
      </c>
      <c r="F245" s="36" t="str">
        <f>"Tall Matte Finish Mug"</f>
        <v>Tall Matte Finish Mug</v>
      </c>
      <c r="G245" s="36"/>
      <c r="H245" s="37" t="str">
        <f>"EA"</f>
        <v>EA</v>
      </c>
      <c r="I245" s="36"/>
      <c r="J245" s="36"/>
      <c r="K245" s="36"/>
      <c r="L245" s="36"/>
      <c r="M245" s="36"/>
      <c r="N245" s="36"/>
      <c r="O245" s="38">
        <f t="shared" ref="O245:T245" si="221">(SUBTOTAL(9,O246:O247))</f>
        <v>750</v>
      </c>
      <c r="P245" s="38">
        <f t="shared" si="221"/>
        <v>0</v>
      </c>
      <c r="Q245" s="38">
        <f t="shared" si="221"/>
        <v>0</v>
      </c>
      <c r="R245" s="38">
        <f t="shared" si="221"/>
        <v>0</v>
      </c>
      <c r="S245" s="38">
        <f t="shared" si="221"/>
        <v>0</v>
      </c>
      <c r="T245" s="38">
        <f t="shared" si="221"/>
        <v>0</v>
      </c>
      <c r="U245" s="53">
        <f t="shared" ref="U245" si="222">SUBTOTAL(9,O246:T247)</f>
        <v>750</v>
      </c>
    </row>
    <row r="246" spans="1:21" ht="17.25" customHeight="1" x14ac:dyDescent="0.3">
      <c r="A246" s="15" t="s">
        <v>29</v>
      </c>
      <c r="C246" s="19"/>
      <c r="D246" s="33" t="str">
        <f t="shared" ref="D246" si="223">D245</f>
        <v>C100062</v>
      </c>
      <c r="E246" s="33"/>
      <c r="F246" s="20"/>
      <c r="G246" s="20" t="str">
        <f>"""NAV"",""CRONUS JetCorp USA"",""32"",""1"",""168669"""</f>
        <v>"NAV","CRONUS JetCorp USA","32","1","168669"</v>
      </c>
      <c r="H246" s="39">
        <v>43466</v>
      </c>
      <c r="I246" s="40">
        <v>168669</v>
      </c>
      <c r="J246" s="40" t="str">
        <f>"Vendor"</f>
        <v>Vendor</v>
      </c>
      <c r="K246" s="40" t="str">
        <f>"V100003"</f>
        <v>V100003</v>
      </c>
      <c r="L246" s="40" t="str">
        <f>""</f>
        <v/>
      </c>
      <c r="M246" s="40" t="str">
        <f>"LogoMasters"</f>
        <v>LogoMasters</v>
      </c>
      <c r="N246" s="40" t="str">
        <f>""</f>
        <v/>
      </c>
      <c r="O246" s="41">
        <v>750</v>
      </c>
      <c r="P246" s="41">
        <v>0</v>
      </c>
      <c r="Q246" s="41">
        <v>0</v>
      </c>
      <c r="R246" s="41">
        <v>0</v>
      </c>
      <c r="S246" s="41">
        <v>0</v>
      </c>
      <c r="T246" s="41">
        <v>0</v>
      </c>
      <c r="U246" s="54"/>
    </row>
    <row r="247" spans="1:21" ht="17.25" customHeight="1" x14ac:dyDescent="0.3">
      <c r="A247" s="15" t="s">
        <v>29</v>
      </c>
      <c r="C247" s="19"/>
      <c r="D247" s="33"/>
      <c r="E247" s="33"/>
      <c r="F247" s="20"/>
      <c r="G247" s="20"/>
      <c r="H247" s="20"/>
      <c r="I247" s="20"/>
      <c r="J247" s="20"/>
      <c r="K247" s="20"/>
      <c r="L247" s="20"/>
      <c r="M247" s="20"/>
      <c r="N247" s="20"/>
      <c r="O247" s="42"/>
      <c r="P247" s="42"/>
      <c r="Q247" s="42"/>
      <c r="R247" s="42"/>
      <c r="S247" s="42"/>
      <c r="T247" s="42"/>
      <c r="U247" s="55"/>
    </row>
    <row r="248" spans="1:21" ht="17.25" customHeight="1" x14ac:dyDescent="0.3">
      <c r="A248" s="15" t="s">
        <v>29</v>
      </c>
      <c r="C248" s="19"/>
      <c r="D248" s="33"/>
      <c r="E248" s="33" t="s">
        <v>30</v>
      </c>
      <c r="F248" s="20" t="s">
        <v>30</v>
      </c>
      <c r="G248" s="20" t="s">
        <v>30</v>
      </c>
      <c r="H248" s="20"/>
      <c r="I248" s="20"/>
      <c r="J248" s="20" t="s">
        <v>30</v>
      </c>
      <c r="K248" s="20" t="s">
        <v>30</v>
      </c>
      <c r="L248" s="20" t="s">
        <v>30</v>
      </c>
      <c r="M248" s="20" t="s">
        <v>30</v>
      </c>
      <c r="N248" s="20"/>
      <c r="U248" s="56"/>
    </row>
    <row r="249" spans="1:21" ht="20.25" customHeight="1" x14ac:dyDescent="0.35">
      <c r="A249" s="15" t="s">
        <v>29</v>
      </c>
      <c r="C249" s="19"/>
      <c r="D249" s="34" t="str">
        <f t="shared" ref="D249" si="224">E249</f>
        <v>C100063</v>
      </c>
      <c r="E249" s="35" t="str">
        <f>"C100063"</f>
        <v>C100063</v>
      </c>
      <c r="F249" s="36" t="str">
        <f>"Soup Mug"</f>
        <v>Soup Mug</v>
      </c>
      <c r="G249" s="36"/>
      <c r="H249" s="37" t="str">
        <f>"EA"</f>
        <v>EA</v>
      </c>
      <c r="I249" s="36"/>
      <c r="J249" s="36"/>
      <c r="K249" s="36"/>
      <c r="L249" s="36"/>
      <c r="M249" s="36"/>
      <c r="N249" s="36"/>
      <c r="O249" s="38">
        <f t="shared" ref="O249:T249" si="225">(SUBTOTAL(9,O250:O251))</f>
        <v>999.99999999999989</v>
      </c>
      <c r="P249" s="38">
        <f t="shared" si="225"/>
        <v>0</v>
      </c>
      <c r="Q249" s="38">
        <f t="shared" si="225"/>
        <v>0</v>
      </c>
      <c r="R249" s="38">
        <f t="shared" si="225"/>
        <v>0</v>
      </c>
      <c r="S249" s="38">
        <f t="shared" si="225"/>
        <v>0</v>
      </c>
      <c r="T249" s="38">
        <f t="shared" si="225"/>
        <v>0</v>
      </c>
      <c r="U249" s="53">
        <f t="shared" ref="U249" si="226">SUBTOTAL(9,O250:T251)</f>
        <v>999.99999999999989</v>
      </c>
    </row>
    <row r="250" spans="1:21" ht="17.25" customHeight="1" x14ac:dyDescent="0.3">
      <c r="A250" s="15" t="s">
        <v>29</v>
      </c>
      <c r="C250" s="19"/>
      <c r="D250" s="33" t="str">
        <f t="shared" ref="D250" si="227">D249</f>
        <v>C100063</v>
      </c>
      <c r="E250" s="33"/>
      <c r="F250" s="20"/>
      <c r="G250" s="20" t="str">
        <f>"""NAV"",""CRONUS JetCorp USA"",""32"",""1"",""168668"""</f>
        <v>"NAV","CRONUS JetCorp USA","32","1","168668"</v>
      </c>
      <c r="H250" s="39">
        <v>43466</v>
      </c>
      <c r="I250" s="40">
        <v>168668</v>
      </c>
      <c r="J250" s="40" t="str">
        <f>"Vendor"</f>
        <v>Vendor</v>
      </c>
      <c r="K250" s="40" t="str">
        <f>"V100003"</f>
        <v>V100003</v>
      </c>
      <c r="L250" s="40" t="str">
        <f>""</f>
        <v/>
      </c>
      <c r="M250" s="40" t="str">
        <f>"LogoMasters"</f>
        <v>LogoMasters</v>
      </c>
      <c r="N250" s="40" t="str">
        <f>""</f>
        <v/>
      </c>
      <c r="O250" s="41">
        <v>999.99999999999989</v>
      </c>
      <c r="P250" s="41">
        <v>0</v>
      </c>
      <c r="Q250" s="41">
        <v>0</v>
      </c>
      <c r="R250" s="41">
        <v>0</v>
      </c>
      <c r="S250" s="41">
        <v>0</v>
      </c>
      <c r="T250" s="41">
        <v>0</v>
      </c>
      <c r="U250" s="54"/>
    </row>
    <row r="251" spans="1:21" ht="17.25" customHeight="1" x14ac:dyDescent="0.3">
      <c r="A251" s="15" t="s">
        <v>29</v>
      </c>
      <c r="C251" s="19"/>
      <c r="D251" s="33"/>
      <c r="E251" s="33"/>
      <c r="F251" s="20"/>
      <c r="G251" s="20"/>
      <c r="H251" s="20"/>
      <c r="I251" s="20"/>
      <c r="J251" s="20"/>
      <c r="K251" s="20"/>
      <c r="L251" s="20"/>
      <c r="M251" s="20"/>
      <c r="N251" s="20"/>
      <c r="O251" s="42"/>
      <c r="P251" s="42"/>
      <c r="Q251" s="42"/>
      <c r="R251" s="42"/>
      <c r="S251" s="42"/>
      <c r="T251" s="42"/>
      <c r="U251" s="55"/>
    </row>
    <row r="252" spans="1:21" ht="17.25" customHeight="1" x14ac:dyDescent="0.3">
      <c r="A252" s="15" t="s">
        <v>29</v>
      </c>
      <c r="C252" s="19"/>
      <c r="D252" s="33"/>
      <c r="E252" s="33" t="s">
        <v>30</v>
      </c>
      <c r="F252" s="20" t="s">
        <v>30</v>
      </c>
      <c r="G252" s="20" t="s">
        <v>30</v>
      </c>
      <c r="H252" s="20"/>
      <c r="I252" s="20"/>
      <c r="J252" s="20" t="s">
        <v>30</v>
      </c>
      <c r="K252" s="20" t="s">
        <v>30</v>
      </c>
      <c r="L252" s="20" t="s">
        <v>30</v>
      </c>
      <c r="M252" s="20" t="s">
        <v>30</v>
      </c>
      <c r="N252" s="20"/>
      <c r="U252" s="56"/>
    </row>
    <row r="253" spans="1:21" ht="20.25" customHeight="1" x14ac:dyDescent="0.35">
      <c r="A253" s="15" t="s">
        <v>29</v>
      </c>
      <c r="C253" s="19"/>
      <c r="D253" s="34" t="str">
        <f t="shared" ref="D253" si="228">E253</f>
        <v>C100066</v>
      </c>
      <c r="E253" s="35" t="str">
        <f>"C100066"</f>
        <v>C100066</v>
      </c>
      <c r="F253" s="36" t="str">
        <f>"Fashion Travel Mug"</f>
        <v>Fashion Travel Mug</v>
      </c>
      <c r="G253" s="36"/>
      <c r="H253" s="37" t="str">
        <f>"EA"</f>
        <v>EA</v>
      </c>
      <c r="I253" s="36"/>
      <c r="J253" s="36"/>
      <c r="K253" s="36"/>
      <c r="L253" s="36"/>
      <c r="M253" s="36"/>
      <c r="N253" s="36"/>
      <c r="O253" s="38">
        <f t="shared" ref="O253:T253" si="229">(SUBTOTAL(9,O254:O255))</f>
        <v>1250</v>
      </c>
      <c r="P253" s="38">
        <f t="shared" si="229"/>
        <v>0</v>
      </c>
      <c r="Q253" s="38">
        <f t="shared" si="229"/>
        <v>0</v>
      </c>
      <c r="R253" s="38">
        <f t="shared" si="229"/>
        <v>0</v>
      </c>
      <c r="S253" s="38">
        <f t="shared" si="229"/>
        <v>0</v>
      </c>
      <c r="T253" s="38">
        <f t="shared" si="229"/>
        <v>0</v>
      </c>
      <c r="U253" s="53">
        <f t="shared" ref="U253" si="230">SUBTOTAL(9,O254:T255)</f>
        <v>1250</v>
      </c>
    </row>
    <row r="254" spans="1:21" ht="17.25" customHeight="1" x14ac:dyDescent="0.3">
      <c r="A254" s="15" t="s">
        <v>29</v>
      </c>
      <c r="C254" s="19"/>
      <c r="D254" s="33" t="str">
        <f t="shared" ref="D254" si="231">D253</f>
        <v>C100066</v>
      </c>
      <c r="E254" s="33"/>
      <c r="F254" s="20"/>
      <c r="G254" s="20" t="str">
        <f>"""NAV"",""CRONUS JetCorp USA"",""32"",""1"",""168667"""</f>
        <v>"NAV","CRONUS JetCorp USA","32","1","168667"</v>
      </c>
      <c r="H254" s="39">
        <v>43466</v>
      </c>
      <c r="I254" s="40">
        <v>168667</v>
      </c>
      <c r="J254" s="40" t="str">
        <f>"Vendor"</f>
        <v>Vendor</v>
      </c>
      <c r="K254" s="40" t="str">
        <f>"V100003"</f>
        <v>V100003</v>
      </c>
      <c r="L254" s="40" t="str">
        <f>""</f>
        <v/>
      </c>
      <c r="M254" s="40" t="str">
        <f>"LogoMasters"</f>
        <v>LogoMasters</v>
      </c>
      <c r="N254" s="40" t="str">
        <f>""</f>
        <v/>
      </c>
      <c r="O254" s="41">
        <v>1250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54"/>
    </row>
    <row r="255" spans="1:21" ht="17.25" customHeight="1" x14ac:dyDescent="0.3">
      <c r="A255" s="15" t="s">
        <v>29</v>
      </c>
      <c r="C255" s="19"/>
      <c r="D255" s="33"/>
      <c r="E255" s="33"/>
      <c r="F255" s="20"/>
      <c r="G255" s="20"/>
      <c r="H255" s="20"/>
      <c r="I255" s="20"/>
      <c r="J255" s="20"/>
      <c r="K255" s="20"/>
      <c r="L255" s="20"/>
      <c r="M255" s="20"/>
      <c r="N255" s="20"/>
      <c r="O255" s="42"/>
      <c r="P255" s="42"/>
      <c r="Q255" s="42"/>
      <c r="R255" s="42"/>
      <c r="S255" s="42"/>
      <c r="T255" s="42"/>
      <c r="U255" s="55"/>
    </row>
    <row r="256" spans="1:21" ht="17.25" customHeight="1" x14ac:dyDescent="0.3">
      <c r="A256" s="15" t="s">
        <v>29</v>
      </c>
      <c r="C256" s="19"/>
      <c r="D256" s="33"/>
      <c r="E256" s="33" t="s">
        <v>30</v>
      </c>
      <c r="F256" s="20" t="s">
        <v>30</v>
      </c>
      <c r="G256" s="20" t="s">
        <v>30</v>
      </c>
      <c r="H256" s="20"/>
      <c r="I256" s="20"/>
      <c r="J256" s="20" t="s">
        <v>30</v>
      </c>
      <c r="K256" s="20" t="s">
        <v>30</v>
      </c>
      <c r="L256" s="20" t="s">
        <v>30</v>
      </c>
      <c r="M256" s="20" t="s">
        <v>30</v>
      </c>
      <c r="N256" s="20"/>
      <c r="U256" s="56"/>
    </row>
    <row r="257" spans="1:21" ht="20.25" customHeight="1" x14ac:dyDescent="0.35">
      <c r="A257" s="15" t="s">
        <v>29</v>
      </c>
      <c r="C257" s="19"/>
      <c r="D257" s="34" t="str">
        <f t="shared" ref="D257" si="232">E257</f>
        <v>C100067</v>
      </c>
      <c r="E257" s="35" t="str">
        <f>"C100067"</f>
        <v>C100067</v>
      </c>
      <c r="F257" s="36" t="str">
        <f>"Stainless Thermos"</f>
        <v>Stainless Thermos</v>
      </c>
      <c r="G257" s="36"/>
      <c r="H257" s="37" t="str">
        <f>"EA"</f>
        <v>EA</v>
      </c>
      <c r="I257" s="36"/>
      <c r="J257" s="36"/>
      <c r="K257" s="36"/>
      <c r="L257" s="36"/>
      <c r="M257" s="36"/>
      <c r="N257" s="36"/>
      <c r="O257" s="38">
        <f t="shared" ref="O257:T257" si="233">(SUBTOTAL(9,O258:O259))</f>
        <v>1250</v>
      </c>
      <c r="P257" s="38">
        <f t="shared" si="233"/>
        <v>0</v>
      </c>
      <c r="Q257" s="38">
        <f t="shared" si="233"/>
        <v>0</v>
      </c>
      <c r="R257" s="38">
        <f t="shared" si="233"/>
        <v>0</v>
      </c>
      <c r="S257" s="38">
        <f t="shared" si="233"/>
        <v>0</v>
      </c>
      <c r="T257" s="38">
        <f t="shared" si="233"/>
        <v>0</v>
      </c>
      <c r="U257" s="53">
        <f t="shared" ref="U257" si="234">SUBTOTAL(9,O258:T259)</f>
        <v>1250</v>
      </c>
    </row>
    <row r="258" spans="1:21" ht="17.25" customHeight="1" x14ac:dyDescent="0.3">
      <c r="A258" s="15" t="s">
        <v>29</v>
      </c>
      <c r="C258" s="19"/>
      <c r="D258" s="33" t="str">
        <f t="shared" ref="D258" si="235">D257</f>
        <v>C100067</v>
      </c>
      <c r="E258" s="33"/>
      <c r="F258" s="20"/>
      <c r="G258" s="20" t="str">
        <f>"""NAV"",""CRONUS JetCorp USA"",""32"",""1"",""168666"""</f>
        <v>"NAV","CRONUS JetCorp USA","32","1","168666"</v>
      </c>
      <c r="H258" s="39">
        <v>43466</v>
      </c>
      <c r="I258" s="40">
        <v>168666</v>
      </c>
      <c r="J258" s="40" t="str">
        <f>"Vendor"</f>
        <v>Vendor</v>
      </c>
      <c r="K258" s="40" t="str">
        <f>"V100003"</f>
        <v>V100003</v>
      </c>
      <c r="L258" s="40" t="str">
        <f>""</f>
        <v/>
      </c>
      <c r="M258" s="40" t="str">
        <f>"LogoMasters"</f>
        <v>LogoMasters</v>
      </c>
      <c r="N258" s="40" t="str">
        <f>""</f>
        <v/>
      </c>
      <c r="O258" s="41">
        <v>1250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54"/>
    </row>
    <row r="259" spans="1:21" ht="17.25" customHeight="1" x14ac:dyDescent="0.3">
      <c r="A259" s="15" t="s">
        <v>29</v>
      </c>
      <c r="C259" s="19"/>
      <c r="D259" s="33"/>
      <c r="E259" s="33"/>
      <c r="F259" s="20"/>
      <c r="G259" s="20"/>
      <c r="H259" s="20"/>
      <c r="I259" s="20"/>
      <c r="J259" s="20"/>
      <c r="K259" s="20"/>
      <c r="L259" s="20"/>
      <c r="M259" s="20"/>
      <c r="N259" s="20"/>
      <c r="O259" s="42"/>
      <c r="P259" s="42"/>
      <c r="Q259" s="42"/>
      <c r="R259" s="42"/>
      <c r="S259" s="42"/>
      <c r="T259" s="42"/>
      <c r="U259" s="55"/>
    </row>
    <row r="260" spans="1:21" ht="17.25" customHeight="1" x14ac:dyDescent="0.3">
      <c r="A260" s="15" t="s">
        <v>29</v>
      </c>
      <c r="C260" s="19"/>
      <c r="D260" s="33"/>
      <c r="E260" s="33" t="s">
        <v>30</v>
      </c>
      <c r="F260" s="20" t="s">
        <v>30</v>
      </c>
      <c r="G260" s="20" t="s">
        <v>30</v>
      </c>
      <c r="H260" s="20"/>
      <c r="I260" s="20"/>
      <c r="J260" s="20" t="s">
        <v>30</v>
      </c>
      <c r="K260" s="20" t="s">
        <v>30</v>
      </c>
      <c r="L260" s="20" t="s">
        <v>30</v>
      </c>
      <c r="M260" s="20" t="s">
        <v>30</v>
      </c>
      <c r="N260" s="20"/>
      <c r="U260" s="56"/>
    </row>
    <row r="261" spans="1:21" ht="20.25" customHeight="1" x14ac:dyDescent="0.35">
      <c r="A261" s="15" t="s">
        <v>29</v>
      </c>
      <c r="C261" s="19"/>
      <c r="D261" s="34" t="str">
        <f t="shared" ref="D261" si="236">E261</f>
        <v>E100001</v>
      </c>
      <c r="E261" s="35" t="str">
        <f>"E100001"</f>
        <v>E100001</v>
      </c>
      <c r="F261" s="36" t="str">
        <f>"Sport Bag"</f>
        <v>Sport Bag</v>
      </c>
      <c r="G261" s="36"/>
      <c r="H261" s="37" t="str">
        <f>"EA"</f>
        <v>EA</v>
      </c>
      <c r="I261" s="36"/>
      <c r="J261" s="36"/>
      <c r="K261" s="36"/>
      <c r="L261" s="36"/>
      <c r="M261" s="36"/>
      <c r="N261" s="36"/>
      <c r="O261" s="38">
        <f t="shared" ref="O261:T261" si="237">(SUBTOTAL(9,O262:O264))</f>
        <v>1400</v>
      </c>
      <c r="P261" s="38">
        <f t="shared" si="237"/>
        <v>-1</v>
      </c>
      <c r="Q261" s="38">
        <f t="shared" si="237"/>
        <v>0</v>
      </c>
      <c r="R261" s="38">
        <f t="shared" si="237"/>
        <v>0</v>
      </c>
      <c r="S261" s="38">
        <f t="shared" si="237"/>
        <v>0</v>
      </c>
      <c r="T261" s="38">
        <f t="shared" si="237"/>
        <v>0</v>
      </c>
      <c r="U261" s="53">
        <f t="shared" ref="U261" si="238">SUBTOTAL(9,O262:T264)</f>
        <v>1399</v>
      </c>
    </row>
    <row r="262" spans="1:21" ht="17.25" customHeight="1" x14ac:dyDescent="0.3">
      <c r="A262" s="15" t="s">
        <v>29</v>
      </c>
      <c r="C262" s="19"/>
      <c r="D262" s="33" t="str">
        <f t="shared" ref="D262" si="239">D261</f>
        <v>E100001</v>
      </c>
      <c r="E262" s="33"/>
      <c r="F262" s="20"/>
      <c r="G262" s="20" t="str">
        <f>"""NAV"",""CRONUS JetCorp USA"",""32"",""1"",""166794"""</f>
        <v>"NAV","CRONUS JetCorp USA","32","1","166794"</v>
      </c>
      <c r="H262" s="39">
        <v>43466</v>
      </c>
      <c r="I262" s="40">
        <v>166794</v>
      </c>
      <c r="J262" s="40" t="str">
        <f>"Vendor"</f>
        <v>Vendor</v>
      </c>
      <c r="K262" s="40" t="str">
        <f>"V100003"</f>
        <v>V100003</v>
      </c>
      <c r="L262" s="40" t="str">
        <f>""</f>
        <v/>
      </c>
      <c r="M262" s="40" t="str">
        <f>"LogoMasters"</f>
        <v>LogoMasters</v>
      </c>
      <c r="N262" s="40" t="str">
        <f>""</f>
        <v/>
      </c>
      <c r="O262" s="41">
        <v>1400</v>
      </c>
      <c r="P262" s="41">
        <v>0</v>
      </c>
      <c r="Q262" s="41">
        <v>0</v>
      </c>
      <c r="R262" s="41">
        <v>0</v>
      </c>
      <c r="S262" s="41">
        <v>0</v>
      </c>
      <c r="T262" s="41">
        <v>0</v>
      </c>
      <c r="U262" s="54"/>
    </row>
    <row r="263" spans="1:21" ht="17.25" customHeight="1" x14ac:dyDescent="0.3">
      <c r="A263" s="15" t="s">
        <v>29</v>
      </c>
      <c r="C263" s="19"/>
      <c r="D263" s="33" t="str">
        <f t="shared" ref="D263" si="240">D262</f>
        <v>E100001</v>
      </c>
      <c r="E263" s="33"/>
      <c r="F263" s="20"/>
      <c r="G263" s="20" t="str">
        <f>"""NAV"",""CRONUS JetCorp USA"",""32"",""1"",""30043"""</f>
        <v>"NAV","CRONUS JetCorp USA","32","1","30043"</v>
      </c>
      <c r="H263" s="39">
        <v>43471</v>
      </c>
      <c r="I263" s="40">
        <v>30043</v>
      </c>
      <c r="J263" s="40" t="str">
        <f>"Customer"</f>
        <v>Customer</v>
      </c>
      <c r="K263" s="40" t="str">
        <f>"C100012"</f>
        <v>C100012</v>
      </c>
      <c r="L263" s="40" t="str">
        <f>"Bainbridges"</f>
        <v>Bainbridges</v>
      </c>
      <c r="M263" s="40" t="str">
        <f>""</f>
        <v/>
      </c>
      <c r="N263" s="40" t="str">
        <f>""</f>
        <v/>
      </c>
      <c r="O263" s="41">
        <v>0</v>
      </c>
      <c r="P263" s="41">
        <v>-1</v>
      </c>
      <c r="Q263" s="41">
        <v>0</v>
      </c>
      <c r="R263" s="41">
        <v>0</v>
      </c>
      <c r="S263" s="41">
        <v>0</v>
      </c>
      <c r="T263" s="41">
        <v>0</v>
      </c>
      <c r="U263" s="54"/>
    </row>
    <row r="264" spans="1:21" ht="17.25" customHeight="1" x14ac:dyDescent="0.3">
      <c r="A264" s="15" t="s">
        <v>29</v>
      </c>
      <c r="C264" s="19"/>
      <c r="D264" s="33"/>
      <c r="E264" s="33"/>
      <c r="F264" s="20"/>
      <c r="G264" s="20"/>
      <c r="H264" s="20"/>
      <c r="I264" s="20"/>
      <c r="J264" s="20"/>
      <c r="K264" s="20"/>
      <c r="L264" s="20"/>
      <c r="M264" s="20"/>
      <c r="N264" s="20"/>
      <c r="O264" s="42"/>
      <c r="P264" s="42"/>
      <c r="Q264" s="42"/>
      <c r="R264" s="42"/>
      <c r="S264" s="42"/>
      <c r="T264" s="42"/>
      <c r="U264" s="55"/>
    </row>
    <row r="265" spans="1:21" ht="17.25" customHeight="1" x14ac:dyDescent="0.3">
      <c r="A265" s="15" t="s">
        <v>29</v>
      </c>
      <c r="C265" s="19"/>
      <c r="D265" s="33"/>
      <c r="E265" s="33" t="s">
        <v>30</v>
      </c>
      <c r="F265" s="20" t="s">
        <v>30</v>
      </c>
      <c r="G265" s="20" t="s">
        <v>30</v>
      </c>
      <c r="H265" s="20"/>
      <c r="I265" s="20"/>
      <c r="J265" s="20" t="s">
        <v>30</v>
      </c>
      <c r="K265" s="20" t="s">
        <v>30</v>
      </c>
      <c r="L265" s="20" t="s">
        <v>30</v>
      </c>
      <c r="M265" s="20" t="s">
        <v>30</v>
      </c>
      <c r="N265" s="20"/>
      <c r="U265" s="56"/>
    </row>
    <row r="266" spans="1:21" ht="20.25" customHeight="1" x14ac:dyDescent="0.35">
      <c r="A266" s="15" t="s">
        <v>29</v>
      </c>
      <c r="C266" s="19"/>
      <c r="D266" s="34" t="str">
        <f t="shared" ref="D266" si="241">E266</f>
        <v>E100002</v>
      </c>
      <c r="E266" s="35" t="str">
        <f>"E100002"</f>
        <v>E100002</v>
      </c>
      <c r="F266" s="36" t="str">
        <f>"Cotton Classic Tote"</f>
        <v>Cotton Classic Tote</v>
      </c>
      <c r="G266" s="36"/>
      <c r="H266" s="37" t="str">
        <f>"EA"</f>
        <v>EA</v>
      </c>
      <c r="I266" s="36"/>
      <c r="J266" s="36"/>
      <c r="K266" s="36"/>
      <c r="L266" s="36"/>
      <c r="M266" s="36"/>
      <c r="N266" s="36"/>
      <c r="O266" s="38">
        <f t="shared" ref="O266:T266" si="242">(SUBTOTAL(9,O267:O268))</f>
        <v>999.99999999999989</v>
      </c>
      <c r="P266" s="38">
        <f t="shared" si="242"/>
        <v>0</v>
      </c>
      <c r="Q266" s="38">
        <f t="shared" si="242"/>
        <v>0</v>
      </c>
      <c r="R266" s="38">
        <f t="shared" si="242"/>
        <v>0</v>
      </c>
      <c r="S266" s="38">
        <f t="shared" si="242"/>
        <v>0</v>
      </c>
      <c r="T266" s="38">
        <f t="shared" si="242"/>
        <v>0</v>
      </c>
      <c r="U266" s="53">
        <f t="shared" ref="U266" si="243">SUBTOTAL(9,O267:T268)</f>
        <v>999.99999999999989</v>
      </c>
    </row>
    <row r="267" spans="1:21" ht="17.25" customHeight="1" x14ac:dyDescent="0.3">
      <c r="A267" s="15" t="s">
        <v>29</v>
      </c>
      <c r="C267" s="19"/>
      <c r="D267" s="33" t="str">
        <f t="shared" ref="D267" si="244">D266</f>
        <v>E100002</v>
      </c>
      <c r="E267" s="33"/>
      <c r="F267" s="20"/>
      <c r="G267" s="20" t="str">
        <f>"""NAV"",""CRONUS JetCorp USA"",""32"",""1"",""166793"""</f>
        <v>"NAV","CRONUS JetCorp USA","32","1","166793"</v>
      </c>
      <c r="H267" s="39">
        <v>43466</v>
      </c>
      <c r="I267" s="40">
        <v>166793</v>
      </c>
      <c r="J267" s="40" t="str">
        <f>"Vendor"</f>
        <v>Vendor</v>
      </c>
      <c r="K267" s="40" t="str">
        <f>"V100003"</f>
        <v>V100003</v>
      </c>
      <c r="L267" s="40" t="str">
        <f>""</f>
        <v/>
      </c>
      <c r="M267" s="40" t="str">
        <f>"LogoMasters"</f>
        <v>LogoMasters</v>
      </c>
      <c r="N267" s="40" t="str">
        <f>""</f>
        <v/>
      </c>
      <c r="O267" s="41">
        <v>999.99999999999989</v>
      </c>
      <c r="P267" s="41">
        <v>0</v>
      </c>
      <c r="Q267" s="41">
        <v>0</v>
      </c>
      <c r="R267" s="41">
        <v>0</v>
      </c>
      <c r="S267" s="41">
        <v>0</v>
      </c>
      <c r="T267" s="41">
        <v>0</v>
      </c>
      <c r="U267" s="54"/>
    </row>
    <row r="268" spans="1:21" ht="17.25" customHeight="1" x14ac:dyDescent="0.3">
      <c r="A268" s="15" t="s">
        <v>29</v>
      </c>
      <c r="C268" s="19"/>
      <c r="D268" s="33"/>
      <c r="E268" s="33"/>
      <c r="F268" s="20"/>
      <c r="G268" s="20"/>
      <c r="H268" s="20"/>
      <c r="I268" s="20"/>
      <c r="J268" s="20"/>
      <c r="K268" s="20"/>
      <c r="L268" s="20"/>
      <c r="M268" s="20"/>
      <c r="N268" s="20"/>
      <c r="O268" s="42"/>
      <c r="P268" s="42"/>
      <c r="Q268" s="42"/>
      <c r="R268" s="42"/>
      <c r="S268" s="42"/>
      <c r="T268" s="42"/>
      <c r="U268" s="55"/>
    </row>
    <row r="269" spans="1:21" ht="17.25" customHeight="1" x14ac:dyDescent="0.3">
      <c r="A269" s="15" t="s">
        <v>29</v>
      </c>
      <c r="C269" s="19"/>
      <c r="D269" s="33"/>
      <c r="E269" s="33" t="s">
        <v>30</v>
      </c>
      <c r="F269" s="20" t="s">
        <v>30</v>
      </c>
      <c r="G269" s="20" t="s">
        <v>30</v>
      </c>
      <c r="H269" s="20"/>
      <c r="I269" s="20"/>
      <c r="J269" s="20" t="s">
        <v>30</v>
      </c>
      <c r="K269" s="20" t="s">
        <v>30</v>
      </c>
      <c r="L269" s="20" t="s">
        <v>30</v>
      </c>
      <c r="M269" s="20" t="s">
        <v>30</v>
      </c>
      <c r="N269" s="20"/>
      <c r="U269" s="56"/>
    </row>
    <row r="270" spans="1:21" ht="20.25" customHeight="1" x14ac:dyDescent="0.35">
      <c r="A270" s="15" t="s">
        <v>29</v>
      </c>
      <c r="C270" s="19"/>
      <c r="D270" s="34" t="str">
        <f t="shared" ref="D270" si="245">E270</f>
        <v>E100003</v>
      </c>
      <c r="E270" s="35" t="str">
        <f>"E100003"</f>
        <v>E100003</v>
      </c>
      <c r="F270" s="36" t="str">
        <f>"Recycled Tote"</f>
        <v>Recycled Tote</v>
      </c>
      <c r="G270" s="36"/>
      <c r="H270" s="37" t="str">
        <f>"EA"</f>
        <v>EA</v>
      </c>
      <c r="I270" s="36"/>
      <c r="J270" s="36"/>
      <c r="K270" s="36"/>
      <c r="L270" s="36"/>
      <c r="M270" s="36"/>
      <c r="N270" s="36"/>
      <c r="O270" s="38">
        <f t="shared" ref="O270:T270" si="246">(SUBTOTAL(9,O271:O272))</f>
        <v>400</v>
      </c>
      <c r="P270" s="38">
        <f t="shared" si="246"/>
        <v>0</v>
      </c>
      <c r="Q270" s="38">
        <f t="shared" si="246"/>
        <v>0</v>
      </c>
      <c r="R270" s="38">
        <f t="shared" si="246"/>
        <v>0</v>
      </c>
      <c r="S270" s="38">
        <f t="shared" si="246"/>
        <v>0</v>
      </c>
      <c r="T270" s="38">
        <f t="shared" si="246"/>
        <v>0</v>
      </c>
      <c r="U270" s="53">
        <f t="shared" ref="U270" si="247">SUBTOTAL(9,O271:T272)</f>
        <v>400</v>
      </c>
    </row>
    <row r="271" spans="1:21" ht="17.25" customHeight="1" x14ac:dyDescent="0.3">
      <c r="A271" s="15" t="s">
        <v>29</v>
      </c>
      <c r="C271" s="19"/>
      <c r="D271" s="33" t="str">
        <f t="shared" ref="D271" si="248">D270</f>
        <v>E100003</v>
      </c>
      <c r="E271" s="33"/>
      <c r="F271" s="20"/>
      <c r="G271" s="20" t="str">
        <f>"""NAV"",""CRONUS JetCorp USA"",""32"",""1"",""166792"""</f>
        <v>"NAV","CRONUS JetCorp USA","32","1","166792"</v>
      </c>
      <c r="H271" s="39">
        <v>43466</v>
      </c>
      <c r="I271" s="40">
        <v>166792</v>
      </c>
      <c r="J271" s="40" t="str">
        <f>"Vendor"</f>
        <v>Vendor</v>
      </c>
      <c r="K271" s="40" t="str">
        <f>"V100003"</f>
        <v>V100003</v>
      </c>
      <c r="L271" s="40" t="str">
        <f>""</f>
        <v/>
      </c>
      <c r="M271" s="40" t="str">
        <f>"LogoMasters"</f>
        <v>LogoMasters</v>
      </c>
      <c r="N271" s="40" t="str">
        <f>""</f>
        <v/>
      </c>
      <c r="O271" s="41">
        <v>400</v>
      </c>
      <c r="P271" s="41">
        <v>0</v>
      </c>
      <c r="Q271" s="41">
        <v>0</v>
      </c>
      <c r="R271" s="41">
        <v>0</v>
      </c>
      <c r="S271" s="41">
        <v>0</v>
      </c>
      <c r="T271" s="41">
        <v>0</v>
      </c>
      <c r="U271" s="54"/>
    </row>
    <row r="272" spans="1:21" ht="17.25" customHeight="1" x14ac:dyDescent="0.3">
      <c r="A272" s="15" t="s">
        <v>29</v>
      </c>
      <c r="C272" s="19"/>
      <c r="D272" s="33"/>
      <c r="E272" s="33"/>
      <c r="F272" s="20"/>
      <c r="G272" s="20"/>
      <c r="H272" s="20"/>
      <c r="I272" s="20"/>
      <c r="J272" s="20"/>
      <c r="K272" s="20"/>
      <c r="L272" s="20"/>
      <c r="M272" s="20"/>
      <c r="N272" s="20"/>
      <c r="O272" s="42"/>
      <c r="P272" s="42"/>
      <c r="Q272" s="42"/>
      <c r="R272" s="42"/>
      <c r="S272" s="42"/>
      <c r="T272" s="42"/>
      <c r="U272" s="55"/>
    </row>
    <row r="273" spans="1:21" ht="17.25" customHeight="1" x14ac:dyDescent="0.3">
      <c r="A273" s="15" t="s">
        <v>29</v>
      </c>
      <c r="C273" s="19"/>
      <c r="D273" s="33"/>
      <c r="E273" s="33" t="s">
        <v>30</v>
      </c>
      <c r="F273" s="20" t="s">
        <v>30</v>
      </c>
      <c r="G273" s="20" t="s">
        <v>30</v>
      </c>
      <c r="H273" s="20"/>
      <c r="I273" s="20"/>
      <c r="J273" s="20" t="s">
        <v>30</v>
      </c>
      <c r="K273" s="20" t="s">
        <v>30</v>
      </c>
      <c r="L273" s="20" t="s">
        <v>30</v>
      </c>
      <c r="M273" s="20" t="s">
        <v>30</v>
      </c>
      <c r="N273" s="20"/>
      <c r="U273" s="56"/>
    </row>
    <row r="274" spans="1:21" ht="20.25" customHeight="1" x14ac:dyDescent="0.35">
      <c r="A274" s="15" t="s">
        <v>29</v>
      </c>
      <c r="C274" s="19"/>
      <c r="D274" s="34" t="str">
        <f t="shared" ref="D274" si="249">E274</f>
        <v>E100004</v>
      </c>
      <c r="E274" s="35" t="str">
        <f>"E100004"</f>
        <v>E100004</v>
      </c>
      <c r="F274" s="36" t="str">
        <f>"Laminated Tote"</f>
        <v>Laminated Tote</v>
      </c>
      <c r="G274" s="36"/>
      <c r="H274" s="37" t="str">
        <f>"EA"</f>
        <v>EA</v>
      </c>
      <c r="I274" s="36"/>
      <c r="J274" s="36"/>
      <c r="K274" s="36"/>
      <c r="L274" s="36"/>
      <c r="M274" s="36"/>
      <c r="N274" s="36"/>
      <c r="O274" s="38">
        <f t="shared" ref="O274:T274" si="250">(SUBTOTAL(9,O275:O276))</f>
        <v>400</v>
      </c>
      <c r="P274" s="38">
        <f t="shared" si="250"/>
        <v>0</v>
      </c>
      <c r="Q274" s="38">
        <f t="shared" si="250"/>
        <v>0</v>
      </c>
      <c r="R274" s="38">
        <f t="shared" si="250"/>
        <v>0</v>
      </c>
      <c r="S274" s="38">
        <f t="shared" si="250"/>
        <v>0</v>
      </c>
      <c r="T274" s="38">
        <f t="shared" si="250"/>
        <v>0</v>
      </c>
      <c r="U274" s="53">
        <f t="shared" ref="U274" si="251">SUBTOTAL(9,O275:T276)</f>
        <v>400</v>
      </c>
    </row>
    <row r="275" spans="1:21" ht="17.25" customHeight="1" x14ac:dyDescent="0.3">
      <c r="A275" s="15" t="s">
        <v>29</v>
      </c>
      <c r="C275" s="19"/>
      <c r="D275" s="33" t="str">
        <f t="shared" ref="D275" si="252">D274</f>
        <v>E100004</v>
      </c>
      <c r="E275" s="33"/>
      <c r="F275" s="20"/>
      <c r="G275" s="20" t="str">
        <f>"""NAV"",""CRONUS JetCorp USA"",""32"",""1"",""166791"""</f>
        <v>"NAV","CRONUS JetCorp USA","32","1","166791"</v>
      </c>
      <c r="H275" s="39">
        <v>43466</v>
      </c>
      <c r="I275" s="40">
        <v>166791</v>
      </c>
      <c r="J275" s="40" t="str">
        <f>"Vendor"</f>
        <v>Vendor</v>
      </c>
      <c r="K275" s="40" t="str">
        <f>"V100003"</f>
        <v>V100003</v>
      </c>
      <c r="L275" s="40" t="str">
        <f>""</f>
        <v/>
      </c>
      <c r="M275" s="40" t="str">
        <f>"LogoMasters"</f>
        <v>LogoMasters</v>
      </c>
      <c r="N275" s="40" t="str">
        <f>""</f>
        <v/>
      </c>
      <c r="O275" s="41">
        <v>400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54"/>
    </row>
    <row r="276" spans="1:21" ht="17.25" customHeight="1" x14ac:dyDescent="0.3">
      <c r="A276" s="15" t="s">
        <v>29</v>
      </c>
      <c r="C276" s="19"/>
      <c r="D276" s="33"/>
      <c r="E276" s="33"/>
      <c r="F276" s="20"/>
      <c r="G276" s="20"/>
      <c r="H276" s="20"/>
      <c r="I276" s="20"/>
      <c r="J276" s="20"/>
      <c r="K276" s="20"/>
      <c r="L276" s="20"/>
      <c r="M276" s="20"/>
      <c r="N276" s="20"/>
      <c r="O276" s="42"/>
      <c r="P276" s="42"/>
      <c r="Q276" s="42"/>
      <c r="R276" s="42"/>
      <c r="S276" s="42"/>
      <c r="T276" s="42"/>
      <c r="U276" s="55"/>
    </row>
    <row r="277" spans="1:21" ht="17.25" customHeight="1" x14ac:dyDescent="0.3">
      <c r="A277" s="15" t="s">
        <v>29</v>
      </c>
      <c r="C277" s="19"/>
      <c r="D277" s="33"/>
      <c r="E277" s="33" t="s">
        <v>30</v>
      </c>
      <c r="F277" s="20" t="s">
        <v>30</v>
      </c>
      <c r="G277" s="20" t="s">
        <v>30</v>
      </c>
      <c r="H277" s="20"/>
      <c r="I277" s="20"/>
      <c r="J277" s="20" t="s">
        <v>30</v>
      </c>
      <c r="K277" s="20" t="s">
        <v>30</v>
      </c>
      <c r="L277" s="20" t="s">
        <v>30</v>
      </c>
      <c r="M277" s="20" t="s">
        <v>30</v>
      </c>
      <c r="N277" s="20"/>
      <c r="U277" s="56"/>
    </row>
    <row r="278" spans="1:21" ht="20.25" customHeight="1" x14ac:dyDescent="0.35">
      <c r="A278" s="15" t="s">
        <v>29</v>
      </c>
      <c r="C278" s="19"/>
      <c r="D278" s="34" t="str">
        <f t="shared" ref="D278" si="253">E278</f>
        <v>E100006</v>
      </c>
      <c r="E278" s="35" t="str">
        <f>"E100006"</f>
        <v>E100006</v>
      </c>
      <c r="F278" s="36" t="str">
        <f>"Budget Tote Bag"</f>
        <v>Budget Tote Bag</v>
      </c>
      <c r="G278" s="36"/>
      <c r="H278" s="37" t="str">
        <f>"EA"</f>
        <v>EA</v>
      </c>
      <c r="I278" s="36"/>
      <c r="J278" s="36"/>
      <c r="K278" s="36"/>
      <c r="L278" s="36"/>
      <c r="M278" s="36"/>
      <c r="N278" s="36"/>
      <c r="O278" s="38">
        <f t="shared" ref="O278:T278" si="254">(SUBTOTAL(9,O279:O280))</f>
        <v>400</v>
      </c>
      <c r="P278" s="38">
        <f t="shared" si="254"/>
        <v>0</v>
      </c>
      <c r="Q278" s="38">
        <f t="shared" si="254"/>
        <v>0</v>
      </c>
      <c r="R278" s="38">
        <f t="shared" si="254"/>
        <v>0</v>
      </c>
      <c r="S278" s="38">
        <f t="shared" si="254"/>
        <v>0</v>
      </c>
      <c r="T278" s="38">
        <f t="shared" si="254"/>
        <v>0</v>
      </c>
      <c r="U278" s="53">
        <f t="shared" ref="U278" si="255">SUBTOTAL(9,O279:T280)</f>
        <v>400</v>
      </c>
    </row>
    <row r="279" spans="1:21" ht="17.25" customHeight="1" x14ac:dyDescent="0.3">
      <c r="A279" s="15" t="s">
        <v>29</v>
      </c>
      <c r="C279" s="19"/>
      <c r="D279" s="33" t="str">
        <f t="shared" ref="D279" si="256">D278</f>
        <v>E100006</v>
      </c>
      <c r="E279" s="33"/>
      <c r="F279" s="20"/>
      <c r="G279" s="20" t="str">
        <f>"""NAV"",""CRONUS JetCorp USA"",""32"",""1"",""166790"""</f>
        <v>"NAV","CRONUS JetCorp USA","32","1","166790"</v>
      </c>
      <c r="H279" s="39">
        <v>43466</v>
      </c>
      <c r="I279" s="40">
        <v>166790</v>
      </c>
      <c r="J279" s="40" t="str">
        <f>"Vendor"</f>
        <v>Vendor</v>
      </c>
      <c r="K279" s="40" t="str">
        <f>"V100003"</f>
        <v>V100003</v>
      </c>
      <c r="L279" s="40" t="str">
        <f>""</f>
        <v/>
      </c>
      <c r="M279" s="40" t="str">
        <f>"LogoMasters"</f>
        <v>LogoMasters</v>
      </c>
      <c r="N279" s="40" t="str">
        <f>""</f>
        <v/>
      </c>
      <c r="O279" s="41">
        <v>400</v>
      </c>
      <c r="P279" s="41">
        <v>0</v>
      </c>
      <c r="Q279" s="41">
        <v>0</v>
      </c>
      <c r="R279" s="41">
        <v>0</v>
      </c>
      <c r="S279" s="41">
        <v>0</v>
      </c>
      <c r="T279" s="41">
        <v>0</v>
      </c>
      <c r="U279" s="54"/>
    </row>
    <row r="280" spans="1:21" ht="17.25" customHeight="1" x14ac:dyDescent="0.3">
      <c r="A280" s="15" t="s">
        <v>29</v>
      </c>
      <c r="C280" s="19"/>
      <c r="D280" s="33"/>
      <c r="E280" s="33"/>
      <c r="F280" s="20"/>
      <c r="G280" s="20"/>
      <c r="H280" s="20"/>
      <c r="I280" s="20"/>
      <c r="J280" s="20"/>
      <c r="K280" s="20"/>
      <c r="L280" s="20"/>
      <c r="M280" s="20"/>
      <c r="N280" s="20"/>
      <c r="O280" s="42"/>
      <c r="P280" s="42"/>
      <c r="Q280" s="42"/>
      <c r="R280" s="42"/>
      <c r="S280" s="42"/>
      <c r="T280" s="42"/>
      <c r="U280" s="55"/>
    </row>
    <row r="281" spans="1:21" ht="17.25" customHeight="1" x14ac:dyDescent="0.3">
      <c r="A281" s="15" t="s">
        <v>29</v>
      </c>
      <c r="C281" s="19"/>
      <c r="D281" s="33"/>
      <c r="E281" s="33" t="s">
        <v>30</v>
      </c>
      <c r="F281" s="20" t="s">
        <v>30</v>
      </c>
      <c r="G281" s="20" t="s">
        <v>30</v>
      </c>
      <c r="H281" s="20"/>
      <c r="I281" s="20"/>
      <c r="J281" s="20" t="s">
        <v>30</v>
      </c>
      <c r="K281" s="20" t="s">
        <v>30</v>
      </c>
      <c r="L281" s="20" t="s">
        <v>30</v>
      </c>
      <c r="M281" s="20" t="s">
        <v>30</v>
      </c>
      <c r="N281" s="20"/>
      <c r="U281" s="56"/>
    </row>
    <row r="282" spans="1:21" ht="20.25" customHeight="1" x14ac:dyDescent="0.35">
      <c r="A282" s="15" t="s">
        <v>29</v>
      </c>
      <c r="C282" s="19"/>
      <c r="D282" s="34" t="str">
        <f t="shared" ref="D282" si="257">E282</f>
        <v>E100007</v>
      </c>
      <c r="E282" s="35" t="str">
        <f>"E100007"</f>
        <v>E100007</v>
      </c>
      <c r="F282" s="36" t="str">
        <f>"Plastic Handle Bag"</f>
        <v>Plastic Handle Bag</v>
      </c>
      <c r="G282" s="36"/>
      <c r="H282" s="37" t="str">
        <f>"EA"</f>
        <v>EA</v>
      </c>
      <c r="I282" s="36"/>
      <c r="J282" s="36"/>
      <c r="K282" s="36"/>
      <c r="L282" s="36"/>
      <c r="M282" s="36"/>
      <c r="N282" s="36"/>
      <c r="O282" s="38">
        <f t="shared" ref="O282:T282" si="258">(SUBTOTAL(9,O283:O284))</f>
        <v>400</v>
      </c>
      <c r="P282" s="38">
        <f t="shared" si="258"/>
        <v>0</v>
      </c>
      <c r="Q282" s="38">
        <f t="shared" si="258"/>
        <v>0</v>
      </c>
      <c r="R282" s="38">
        <f t="shared" si="258"/>
        <v>0</v>
      </c>
      <c r="S282" s="38">
        <f t="shared" si="258"/>
        <v>0</v>
      </c>
      <c r="T282" s="38">
        <f t="shared" si="258"/>
        <v>0</v>
      </c>
      <c r="U282" s="53">
        <f t="shared" ref="U282" si="259">SUBTOTAL(9,O283:T284)</f>
        <v>400</v>
      </c>
    </row>
    <row r="283" spans="1:21" ht="17.25" customHeight="1" x14ac:dyDescent="0.3">
      <c r="A283" s="15" t="s">
        <v>29</v>
      </c>
      <c r="C283" s="19"/>
      <c r="D283" s="33" t="str">
        <f t="shared" ref="D283" si="260">D282</f>
        <v>E100007</v>
      </c>
      <c r="E283" s="33"/>
      <c r="F283" s="20"/>
      <c r="G283" s="20" t="str">
        <f>"""NAV"",""CRONUS JetCorp USA"",""32"",""1"",""166789"""</f>
        <v>"NAV","CRONUS JetCorp USA","32","1","166789"</v>
      </c>
      <c r="H283" s="39">
        <v>43466</v>
      </c>
      <c r="I283" s="40">
        <v>166789</v>
      </c>
      <c r="J283" s="40" t="str">
        <f>"Vendor"</f>
        <v>Vendor</v>
      </c>
      <c r="K283" s="40" t="str">
        <f>"V100003"</f>
        <v>V100003</v>
      </c>
      <c r="L283" s="40" t="str">
        <f>""</f>
        <v/>
      </c>
      <c r="M283" s="40" t="str">
        <f>"LogoMasters"</f>
        <v>LogoMasters</v>
      </c>
      <c r="N283" s="40" t="str">
        <f>""</f>
        <v/>
      </c>
      <c r="O283" s="41">
        <v>400</v>
      </c>
      <c r="P283" s="41">
        <v>0</v>
      </c>
      <c r="Q283" s="41">
        <v>0</v>
      </c>
      <c r="R283" s="41">
        <v>0</v>
      </c>
      <c r="S283" s="41">
        <v>0</v>
      </c>
      <c r="T283" s="41">
        <v>0</v>
      </c>
      <c r="U283" s="54"/>
    </row>
    <row r="284" spans="1:21" ht="17.25" customHeight="1" x14ac:dyDescent="0.3">
      <c r="A284" s="15" t="s">
        <v>29</v>
      </c>
      <c r="C284" s="19"/>
      <c r="D284" s="33"/>
      <c r="E284" s="33"/>
      <c r="F284" s="20"/>
      <c r="G284" s="20"/>
      <c r="H284" s="20"/>
      <c r="I284" s="20"/>
      <c r="J284" s="20"/>
      <c r="K284" s="20"/>
      <c r="L284" s="20"/>
      <c r="M284" s="20"/>
      <c r="N284" s="20"/>
      <c r="O284" s="42"/>
      <c r="P284" s="42"/>
      <c r="Q284" s="42"/>
      <c r="R284" s="42"/>
      <c r="S284" s="42"/>
      <c r="T284" s="42"/>
      <c r="U284" s="55"/>
    </row>
    <row r="285" spans="1:21" ht="17.25" customHeight="1" x14ac:dyDescent="0.3">
      <c r="A285" s="15" t="s">
        <v>29</v>
      </c>
      <c r="C285" s="19"/>
      <c r="D285" s="33"/>
      <c r="E285" s="33" t="s">
        <v>30</v>
      </c>
      <c r="F285" s="20" t="s">
        <v>30</v>
      </c>
      <c r="G285" s="20" t="s">
        <v>30</v>
      </c>
      <c r="H285" s="20"/>
      <c r="I285" s="20"/>
      <c r="J285" s="20" t="s">
        <v>30</v>
      </c>
      <c r="K285" s="20" t="s">
        <v>30</v>
      </c>
      <c r="L285" s="20" t="s">
        <v>30</v>
      </c>
      <c r="M285" s="20" t="s">
        <v>30</v>
      </c>
      <c r="N285" s="20"/>
      <c r="U285" s="56"/>
    </row>
    <row r="286" spans="1:21" ht="20.25" customHeight="1" x14ac:dyDescent="0.35">
      <c r="A286" s="15" t="s">
        <v>29</v>
      </c>
      <c r="C286" s="19"/>
      <c r="D286" s="34" t="str">
        <f t="shared" ref="D286" si="261">E286</f>
        <v>E100008</v>
      </c>
      <c r="E286" s="35" t="str">
        <f>"E100008"</f>
        <v>E100008</v>
      </c>
      <c r="F286" s="36" t="str">
        <f>"Super Shopper"</f>
        <v>Super Shopper</v>
      </c>
      <c r="G286" s="36"/>
      <c r="H286" s="37" t="str">
        <f>"EA"</f>
        <v>EA</v>
      </c>
      <c r="I286" s="36"/>
      <c r="J286" s="36"/>
      <c r="K286" s="36"/>
      <c r="L286" s="36"/>
      <c r="M286" s="36"/>
      <c r="N286" s="36"/>
      <c r="O286" s="38">
        <f t="shared" ref="O286:T286" si="262">(SUBTOTAL(9,O287:O288))</f>
        <v>400</v>
      </c>
      <c r="P286" s="38">
        <f t="shared" si="262"/>
        <v>0</v>
      </c>
      <c r="Q286" s="38">
        <f t="shared" si="262"/>
        <v>0</v>
      </c>
      <c r="R286" s="38">
        <f t="shared" si="262"/>
        <v>0</v>
      </c>
      <c r="S286" s="38">
        <f t="shared" si="262"/>
        <v>0</v>
      </c>
      <c r="T286" s="38">
        <f t="shared" si="262"/>
        <v>0</v>
      </c>
      <c r="U286" s="53">
        <f t="shared" ref="U286" si="263">SUBTOTAL(9,O287:T288)</f>
        <v>400</v>
      </c>
    </row>
    <row r="287" spans="1:21" ht="17.25" customHeight="1" x14ac:dyDescent="0.3">
      <c r="A287" s="15" t="s">
        <v>29</v>
      </c>
      <c r="C287" s="19"/>
      <c r="D287" s="33" t="str">
        <f t="shared" ref="D287" si="264">D286</f>
        <v>E100008</v>
      </c>
      <c r="E287" s="33"/>
      <c r="F287" s="20"/>
      <c r="G287" s="20" t="str">
        <f>"""NAV"",""CRONUS JetCorp USA"",""32"",""1"",""166788"""</f>
        <v>"NAV","CRONUS JetCorp USA","32","1","166788"</v>
      </c>
      <c r="H287" s="39">
        <v>43466</v>
      </c>
      <c r="I287" s="40">
        <v>166788</v>
      </c>
      <c r="J287" s="40" t="str">
        <f>"Vendor"</f>
        <v>Vendor</v>
      </c>
      <c r="K287" s="40" t="str">
        <f>"V100003"</f>
        <v>V100003</v>
      </c>
      <c r="L287" s="40" t="str">
        <f>""</f>
        <v/>
      </c>
      <c r="M287" s="40" t="str">
        <f>"LogoMasters"</f>
        <v>LogoMasters</v>
      </c>
      <c r="N287" s="40" t="str">
        <f>""</f>
        <v/>
      </c>
      <c r="O287" s="41">
        <v>400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54"/>
    </row>
    <row r="288" spans="1:21" ht="17.25" customHeight="1" x14ac:dyDescent="0.3">
      <c r="A288" s="15" t="s">
        <v>29</v>
      </c>
      <c r="C288" s="19"/>
      <c r="D288" s="33"/>
      <c r="E288" s="33"/>
      <c r="F288" s="20"/>
      <c r="G288" s="20"/>
      <c r="H288" s="20"/>
      <c r="I288" s="20"/>
      <c r="J288" s="20"/>
      <c r="K288" s="20"/>
      <c r="L288" s="20"/>
      <c r="M288" s="20"/>
      <c r="N288" s="20"/>
      <c r="O288" s="42"/>
      <c r="P288" s="42"/>
      <c r="Q288" s="42"/>
      <c r="R288" s="42"/>
      <c r="S288" s="42"/>
      <c r="T288" s="42"/>
      <c r="U288" s="55"/>
    </row>
    <row r="289" spans="1:21" ht="17.25" customHeight="1" x14ac:dyDescent="0.3">
      <c r="A289" s="15" t="s">
        <v>29</v>
      </c>
      <c r="C289" s="19"/>
      <c r="D289" s="33"/>
      <c r="E289" s="33" t="s">
        <v>30</v>
      </c>
      <c r="F289" s="20" t="s">
        <v>30</v>
      </c>
      <c r="G289" s="20" t="s">
        <v>30</v>
      </c>
      <c r="H289" s="20"/>
      <c r="I289" s="20"/>
      <c r="J289" s="20" t="s">
        <v>30</v>
      </c>
      <c r="K289" s="20" t="s">
        <v>30</v>
      </c>
      <c r="L289" s="20" t="s">
        <v>30</v>
      </c>
      <c r="M289" s="20" t="s">
        <v>30</v>
      </c>
      <c r="N289" s="20"/>
      <c r="U289" s="56"/>
    </row>
    <row r="290" spans="1:21" ht="20.25" customHeight="1" x14ac:dyDescent="0.35">
      <c r="A290" s="15" t="s">
        <v>29</v>
      </c>
      <c r="C290" s="19"/>
      <c r="D290" s="34" t="str">
        <f t="shared" ref="D290" si="265">E290</f>
        <v>E100009</v>
      </c>
      <c r="E290" s="35" t="str">
        <f>"E100009"</f>
        <v>E100009</v>
      </c>
      <c r="F290" s="36" t="str">
        <f>"Die-Cut Tote"</f>
        <v>Die-Cut Tote</v>
      </c>
      <c r="G290" s="36"/>
      <c r="H290" s="37" t="str">
        <f>"EA"</f>
        <v>EA</v>
      </c>
      <c r="I290" s="36"/>
      <c r="J290" s="36"/>
      <c r="K290" s="36"/>
      <c r="L290" s="36"/>
      <c r="M290" s="36"/>
      <c r="N290" s="36"/>
      <c r="O290" s="38">
        <f t="shared" ref="O290:T290" si="266">(SUBTOTAL(9,O291:O292))</f>
        <v>400</v>
      </c>
      <c r="P290" s="38">
        <f t="shared" si="266"/>
        <v>0</v>
      </c>
      <c r="Q290" s="38">
        <f t="shared" si="266"/>
        <v>0</v>
      </c>
      <c r="R290" s="38">
        <f t="shared" si="266"/>
        <v>0</v>
      </c>
      <c r="S290" s="38">
        <f t="shared" si="266"/>
        <v>0</v>
      </c>
      <c r="T290" s="38">
        <f t="shared" si="266"/>
        <v>0</v>
      </c>
      <c r="U290" s="53">
        <f t="shared" ref="U290" si="267">SUBTOTAL(9,O291:T292)</f>
        <v>400</v>
      </c>
    </row>
    <row r="291" spans="1:21" ht="17.25" customHeight="1" x14ac:dyDescent="0.3">
      <c r="A291" s="15" t="s">
        <v>29</v>
      </c>
      <c r="C291" s="19"/>
      <c r="D291" s="33" t="str">
        <f t="shared" ref="D291" si="268">D290</f>
        <v>E100009</v>
      </c>
      <c r="E291" s="33"/>
      <c r="F291" s="20"/>
      <c r="G291" s="20" t="str">
        <f>"""NAV"",""CRONUS JetCorp USA"",""32"",""1"",""166787"""</f>
        <v>"NAV","CRONUS JetCorp USA","32","1","166787"</v>
      </c>
      <c r="H291" s="39">
        <v>43466</v>
      </c>
      <c r="I291" s="40">
        <v>166787</v>
      </c>
      <c r="J291" s="40" t="str">
        <f>"Vendor"</f>
        <v>Vendor</v>
      </c>
      <c r="K291" s="40" t="str">
        <f>"V100003"</f>
        <v>V100003</v>
      </c>
      <c r="L291" s="40" t="str">
        <f>""</f>
        <v/>
      </c>
      <c r="M291" s="40" t="str">
        <f>"LogoMasters"</f>
        <v>LogoMasters</v>
      </c>
      <c r="N291" s="40" t="str">
        <f>""</f>
        <v/>
      </c>
      <c r="O291" s="41">
        <v>400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54"/>
    </row>
    <row r="292" spans="1:21" ht="17.25" customHeight="1" x14ac:dyDescent="0.3">
      <c r="A292" s="15" t="s">
        <v>29</v>
      </c>
      <c r="C292" s="19"/>
      <c r="D292" s="33"/>
      <c r="E292" s="33"/>
      <c r="F292" s="20"/>
      <c r="G292" s="20"/>
      <c r="H292" s="20"/>
      <c r="I292" s="20"/>
      <c r="J292" s="20"/>
      <c r="K292" s="20"/>
      <c r="L292" s="20"/>
      <c r="M292" s="20"/>
      <c r="N292" s="20"/>
      <c r="O292" s="42"/>
      <c r="P292" s="42"/>
      <c r="Q292" s="42"/>
      <c r="R292" s="42"/>
      <c r="S292" s="42"/>
      <c r="T292" s="42"/>
      <c r="U292" s="55"/>
    </row>
    <row r="293" spans="1:21" ht="17.25" customHeight="1" x14ac:dyDescent="0.3">
      <c r="A293" s="15" t="s">
        <v>29</v>
      </c>
      <c r="C293" s="19"/>
      <c r="D293" s="33"/>
      <c r="E293" s="33" t="s">
        <v>30</v>
      </c>
      <c r="F293" s="20" t="s">
        <v>30</v>
      </c>
      <c r="G293" s="20" t="s">
        <v>30</v>
      </c>
      <c r="H293" s="20"/>
      <c r="I293" s="20"/>
      <c r="J293" s="20" t="s">
        <v>30</v>
      </c>
      <c r="K293" s="20" t="s">
        <v>30</v>
      </c>
      <c r="L293" s="20" t="s">
        <v>30</v>
      </c>
      <c r="M293" s="20" t="s">
        <v>30</v>
      </c>
      <c r="N293" s="20"/>
      <c r="U293" s="56"/>
    </row>
    <row r="294" spans="1:21" ht="20.25" customHeight="1" x14ac:dyDescent="0.35">
      <c r="A294" s="15" t="s">
        <v>29</v>
      </c>
      <c r="C294" s="19"/>
      <c r="D294" s="34" t="str">
        <f t="shared" ref="D294" si="269">E294</f>
        <v>E100010</v>
      </c>
      <c r="E294" s="35" t="str">
        <f>"E100010"</f>
        <v>E100010</v>
      </c>
      <c r="F294" s="36" t="str">
        <f>"Vinyl Tote"</f>
        <v>Vinyl Tote</v>
      </c>
      <c r="G294" s="36"/>
      <c r="H294" s="37" t="str">
        <f>"EA"</f>
        <v>EA</v>
      </c>
      <c r="I294" s="36"/>
      <c r="J294" s="36"/>
      <c r="K294" s="36"/>
      <c r="L294" s="36"/>
      <c r="M294" s="36"/>
      <c r="N294" s="36"/>
      <c r="O294" s="38">
        <f t="shared" ref="O294:T294" si="270">(SUBTOTAL(9,O295:O296))</f>
        <v>800</v>
      </c>
      <c r="P294" s="38">
        <f t="shared" si="270"/>
        <v>0</v>
      </c>
      <c r="Q294" s="38">
        <f t="shared" si="270"/>
        <v>0</v>
      </c>
      <c r="R294" s="38">
        <f t="shared" si="270"/>
        <v>0</v>
      </c>
      <c r="S294" s="38">
        <f t="shared" si="270"/>
        <v>0</v>
      </c>
      <c r="T294" s="38">
        <f t="shared" si="270"/>
        <v>0</v>
      </c>
      <c r="U294" s="53">
        <f t="shared" ref="U294" si="271">SUBTOTAL(9,O295:T296)</f>
        <v>800</v>
      </c>
    </row>
    <row r="295" spans="1:21" ht="17.25" customHeight="1" x14ac:dyDescent="0.3">
      <c r="A295" s="15" t="s">
        <v>29</v>
      </c>
      <c r="C295" s="19"/>
      <c r="D295" s="33" t="str">
        <f t="shared" ref="D295" si="272">D294</f>
        <v>E100010</v>
      </c>
      <c r="E295" s="33"/>
      <c r="F295" s="20"/>
      <c r="G295" s="20" t="str">
        <f>"""NAV"",""CRONUS JetCorp USA"",""32"",""1"",""166786"""</f>
        <v>"NAV","CRONUS JetCorp USA","32","1","166786"</v>
      </c>
      <c r="H295" s="39">
        <v>43466</v>
      </c>
      <c r="I295" s="40">
        <v>166786</v>
      </c>
      <c r="J295" s="40" t="str">
        <f>"Vendor"</f>
        <v>Vendor</v>
      </c>
      <c r="K295" s="40" t="str">
        <f>"V100003"</f>
        <v>V100003</v>
      </c>
      <c r="L295" s="40" t="str">
        <f>""</f>
        <v/>
      </c>
      <c r="M295" s="40" t="str">
        <f>"LogoMasters"</f>
        <v>LogoMasters</v>
      </c>
      <c r="N295" s="40" t="str">
        <f>""</f>
        <v/>
      </c>
      <c r="O295" s="41">
        <v>800</v>
      </c>
      <c r="P295" s="41">
        <v>0</v>
      </c>
      <c r="Q295" s="41">
        <v>0</v>
      </c>
      <c r="R295" s="41">
        <v>0</v>
      </c>
      <c r="S295" s="41">
        <v>0</v>
      </c>
      <c r="T295" s="41">
        <v>0</v>
      </c>
      <c r="U295" s="54"/>
    </row>
    <row r="296" spans="1:21" ht="17.25" customHeight="1" x14ac:dyDescent="0.3">
      <c r="A296" s="15" t="s">
        <v>29</v>
      </c>
      <c r="C296" s="19"/>
      <c r="D296" s="33"/>
      <c r="E296" s="33"/>
      <c r="F296" s="20"/>
      <c r="G296" s="20"/>
      <c r="H296" s="20"/>
      <c r="I296" s="20"/>
      <c r="J296" s="20"/>
      <c r="K296" s="20"/>
      <c r="L296" s="20"/>
      <c r="M296" s="20"/>
      <c r="N296" s="20"/>
      <c r="O296" s="42"/>
      <c r="P296" s="42"/>
      <c r="Q296" s="42"/>
      <c r="R296" s="42"/>
      <c r="S296" s="42"/>
      <c r="T296" s="42"/>
      <c r="U296" s="55"/>
    </row>
    <row r="297" spans="1:21" ht="17.25" customHeight="1" x14ac:dyDescent="0.3">
      <c r="A297" s="15" t="s">
        <v>29</v>
      </c>
      <c r="C297" s="19"/>
      <c r="D297" s="33"/>
      <c r="E297" s="33" t="s">
        <v>30</v>
      </c>
      <c r="F297" s="20" t="s">
        <v>30</v>
      </c>
      <c r="G297" s="20" t="s">
        <v>30</v>
      </c>
      <c r="H297" s="20"/>
      <c r="I297" s="20"/>
      <c r="J297" s="20" t="s">
        <v>30</v>
      </c>
      <c r="K297" s="20" t="s">
        <v>30</v>
      </c>
      <c r="L297" s="20" t="s">
        <v>30</v>
      </c>
      <c r="M297" s="20" t="s">
        <v>30</v>
      </c>
      <c r="N297" s="20"/>
      <c r="U297" s="56"/>
    </row>
    <row r="298" spans="1:21" ht="20.25" customHeight="1" x14ac:dyDescent="0.35">
      <c r="A298" s="15" t="s">
        <v>29</v>
      </c>
      <c r="C298" s="19"/>
      <c r="D298" s="34" t="str">
        <f t="shared" ref="D298" si="273">E298</f>
        <v>E100011</v>
      </c>
      <c r="E298" s="35" t="str">
        <f>"E100011"</f>
        <v>E100011</v>
      </c>
      <c r="F298" s="36" t="str">
        <f>"Plastic Sun Visor"</f>
        <v>Plastic Sun Visor</v>
      </c>
      <c r="G298" s="36"/>
      <c r="H298" s="37" t="str">
        <f>"EA"</f>
        <v>EA</v>
      </c>
      <c r="I298" s="36"/>
      <c r="J298" s="36"/>
      <c r="K298" s="36"/>
      <c r="L298" s="36"/>
      <c r="M298" s="36"/>
      <c r="N298" s="36"/>
      <c r="O298" s="38">
        <f t="shared" ref="O298:T298" si="274">(SUBTOTAL(9,O299:O301))</f>
        <v>1600</v>
      </c>
      <c r="P298" s="38">
        <f t="shared" si="274"/>
        <v>-289</v>
      </c>
      <c r="Q298" s="38">
        <f t="shared" si="274"/>
        <v>0</v>
      </c>
      <c r="R298" s="38">
        <f t="shared" si="274"/>
        <v>0</v>
      </c>
      <c r="S298" s="38">
        <f t="shared" si="274"/>
        <v>0</v>
      </c>
      <c r="T298" s="38">
        <f t="shared" si="274"/>
        <v>0</v>
      </c>
      <c r="U298" s="53">
        <f t="shared" ref="U298" si="275">SUBTOTAL(9,O299:T301)</f>
        <v>1311</v>
      </c>
    </row>
    <row r="299" spans="1:21" ht="17.25" customHeight="1" x14ac:dyDescent="0.3">
      <c r="A299" s="15" t="s">
        <v>29</v>
      </c>
      <c r="C299" s="19"/>
      <c r="D299" s="33" t="str">
        <f t="shared" ref="D299" si="276">D298</f>
        <v>E100011</v>
      </c>
      <c r="E299" s="33"/>
      <c r="F299" s="20"/>
      <c r="G299" s="20" t="str">
        <f>"""NAV"",""CRONUS JetCorp USA"",""32"",""1"",""167160"""</f>
        <v>"NAV","CRONUS JetCorp USA","32","1","167160"</v>
      </c>
      <c r="H299" s="39">
        <v>43466</v>
      </c>
      <c r="I299" s="40">
        <v>167160</v>
      </c>
      <c r="J299" s="40" t="str">
        <f>"Vendor"</f>
        <v>Vendor</v>
      </c>
      <c r="K299" s="40" t="str">
        <f>"V100003"</f>
        <v>V100003</v>
      </c>
      <c r="L299" s="40" t="str">
        <f>""</f>
        <v/>
      </c>
      <c r="M299" s="40" t="str">
        <f>"LogoMasters"</f>
        <v>LogoMasters</v>
      </c>
      <c r="N299" s="40" t="str">
        <f>""</f>
        <v/>
      </c>
      <c r="O299" s="41">
        <v>1600</v>
      </c>
      <c r="P299" s="41">
        <v>0</v>
      </c>
      <c r="Q299" s="41">
        <v>0</v>
      </c>
      <c r="R299" s="41">
        <v>0</v>
      </c>
      <c r="S299" s="41">
        <v>0</v>
      </c>
      <c r="T299" s="41">
        <v>0</v>
      </c>
      <c r="U299" s="54"/>
    </row>
    <row r="300" spans="1:21" ht="17.25" customHeight="1" x14ac:dyDescent="0.3">
      <c r="A300" s="15" t="s">
        <v>29</v>
      </c>
      <c r="C300" s="19"/>
      <c r="D300" s="33" t="str">
        <f t="shared" ref="D300" si="277">D299</f>
        <v>E100011</v>
      </c>
      <c r="E300" s="33"/>
      <c r="F300" s="20"/>
      <c r="G300" s="20" t="str">
        <f>"""NAV"",""CRONUS JetCorp USA"",""32"",""1"",""30039"""</f>
        <v>"NAV","CRONUS JetCorp USA","32","1","30039"</v>
      </c>
      <c r="H300" s="39">
        <v>43471</v>
      </c>
      <c r="I300" s="40">
        <v>30039</v>
      </c>
      <c r="J300" s="40" t="str">
        <f>"Customer"</f>
        <v>Customer</v>
      </c>
      <c r="K300" s="40" t="str">
        <f>"C100012"</f>
        <v>C100012</v>
      </c>
      <c r="L300" s="40" t="str">
        <f>"Bainbridges"</f>
        <v>Bainbridges</v>
      </c>
      <c r="M300" s="40" t="str">
        <f>""</f>
        <v/>
      </c>
      <c r="N300" s="40" t="str">
        <f>""</f>
        <v/>
      </c>
      <c r="O300" s="41">
        <v>0</v>
      </c>
      <c r="P300" s="41">
        <v>-289</v>
      </c>
      <c r="Q300" s="41">
        <v>0</v>
      </c>
      <c r="R300" s="41">
        <v>0</v>
      </c>
      <c r="S300" s="41">
        <v>0</v>
      </c>
      <c r="T300" s="41">
        <v>0</v>
      </c>
      <c r="U300" s="54"/>
    </row>
    <row r="301" spans="1:21" ht="17.25" customHeight="1" x14ac:dyDescent="0.3">
      <c r="A301" s="15" t="s">
        <v>29</v>
      </c>
      <c r="C301" s="19"/>
      <c r="D301" s="33"/>
      <c r="E301" s="33"/>
      <c r="F301" s="20"/>
      <c r="G301" s="20"/>
      <c r="H301" s="20"/>
      <c r="I301" s="20"/>
      <c r="J301" s="20"/>
      <c r="K301" s="20"/>
      <c r="L301" s="20"/>
      <c r="M301" s="20"/>
      <c r="N301" s="20"/>
      <c r="O301" s="42"/>
      <c r="P301" s="42"/>
      <c r="Q301" s="42"/>
      <c r="R301" s="42"/>
      <c r="S301" s="42"/>
      <c r="T301" s="42"/>
      <c r="U301" s="55"/>
    </row>
    <row r="302" spans="1:21" ht="17.25" customHeight="1" x14ac:dyDescent="0.3">
      <c r="A302" s="15" t="s">
        <v>29</v>
      </c>
      <c r="C302" s="19"/>
      <c r="D302" s="33"/>
      <c r="E302" s="33" t="s">
        <v>30</v>
      </c>
      <c r="F302" s="20" t="s">
        <v>30</v>
      </c>
      <c r="G302" s="20" t="s">
        <v>30</v>
      </c>
      <c r="H302" s="20"/>
      <c r="I302" s="20"/>
      <c r="J302" s="20" t="s">
        <v>30</v>
      </c>
      <c r="K302" s="20" t="s">
        <v>30</v>
      </c>
      <c r="L302" s="20" t="s">
        <v>30</v>
      </c>
      <c r="M302" s="20" t="s">
        <v>30</v>
      </c>
      <c r="N302" s="20"/>
      <c r="U302" s="56"/>
    </row>
    <row r="303" spans="1:21" ht="20.25" customHeight="1" x14ac:dyDescent="0.35">
      <c r="A303" s="15" t="s">
        <v>29</v>
      </c>
      <c r="C303" s="19"/>
      <c r="D303" s="34" t="str">
        <f t="shared" ref="D303" si="278">E303</f>
        <v>E100012</v>
      </c>
      <c r="E303" s="35" t="str">
        <f>"E100012"</f>
        <v>E100012</v>
      </c>
      <c r="F303" s="36" t="str">
        <f>"Canvas Stopwatch"</f>
        <v>Canvas Stopwatch</v>
      </c>
      <c r="G303" s="36"/>
      <c r="H303" s="37" t="str">
        <f>"EA"</f>
        <v>EA</v>
      </c>
      <c r="I303" s="36"/>
      <c r="J303" s="36"/>
      <c r="K303" s="36"/>
      <c r="L303" s="36"/>
      <c r="M303" s="36"/>
      <c r="N303" s="36"/>
      <c r="O303" s="38">
        <f t="shared" ref="O303:T303" si="279">(SUBTOTAL(9,O304:O306))</f>
        <v>1400</v>
      </c>
      <c r="P303" s="38">
        <f t="shared" si="279"/>
        <v>-144</v>
      </c>
      <c r="Q303" s="38">
        <f t="shared" si="279"/>
        <v>0</v>
      </c>
      <c r="R303" s="38">
        <f t="shared" si="279"/>
        <v>0</v>
      </c>
      <c r="S303" s="38">
        <f t="shared" si="279"/>
        <v>0</v>
      </c>
      <c r="T303" s="38">
        <f t="shared" si="279"/>
        <v>0</v>
      </c>
      <c r="U303" s="53">
        <f t="shared" ref="U303" si="280">SUBTOTAL(9,O304:T306)</f>
        <v>1256</v>
      </c>
    </row>
    <row r="304" spans="1:21" ht="17.25" customHeight="1" x14ac:dyDescent="0.3">
      <c r="A304" s="15" t="s">
        <v>29</v>
      </c>
      <c r="C304" s="19"/>
      <c r="D304" s="33" t="str">
        <f t="shared" ref="D304" si="281">D303</f>
        <v>E100012</v>
      </c>
      <c r="E304" s="33"/>
      <c r="F304" s="20"/>
      <c r="G304" s="20" t="str">
        <f>"""NAV"",""CRONUS JetCorp USA"",""32"",""1"",""167609"""</f>
        <v>"NAV","CRONUS JetCorp USA","32","1","167609"</v>
      </c>
      <c r="H304" s="39">
        <v>43466</v>
      </c>
      <c r="I304" s="40">
        <v>167609</v>
      </c>
      <c r="J304" s="40" t="str">
        <f>"Vendor"</f>
        <v>Vendor</v>
      </c>
      <c r="K304" s="40" t="str">
        <f>"V100003"</f>
        <v>V100003</v>
      </c>
      <c r="L304" s="40" t="str">
        <f>""</f>
        <v/>
      </c>
      <c r="M304" s="40" t="str">
        <f>"LogoMasters"</f>
        <v>LogoMasters</v>
      </c>
      <c r="N304" s="40" t="str">
        <f>""</f>
        <v/>
      </c>
      <c r="O304" s="41">
        <v>1400</v>
      </c>
      <c r="P304" s="41">
        <v>0</v>
      </c>
      <c r="Q304" s="41">
        <v>0</v>
      </c>
      <c r="R304" s="41">
        <v>0</v>
      </c>
      <c r="S304" s="41">
        <v>0</v>
      </c>
      <c r="T304" s="41">
        <v>0</v>
      </c>
      <c r="U304" s="54"/>
    </row>
    <row r="305" spans="1:21" ht="17.25" customHeight="1" x14ac:dyDescent="0.3">
      <c r="A305" s="15" t="s">
        <v>29</v>
      </c>
      <c r="C305" s="19"/>
      <c r="D305" s="33" t="str">
        <f t="shared" ref="D305" si="282">D304</f>
        <v>E100012</v>
      </c>
      <c r="E305" s="33"/>
      <c r="F305" s="20"/>
      <c r="G305" s="20" t="str">
        <f>"""NAV"",""CRONUS JetCorp USA"",""32"",""1"",""30115"""</f>
        <v>"NAV","CRONUS JetCorp USA","32","1","30115"</v>
      </c>
      <c r="H305" s="39">
        <v>43475</v>
      </c>
      <c r="I305" s="40">
        <v>30115</v>
      </c>
      <c r="J305" s="40" t="str">
        <f>"Customer"</f>
        <v>Customer</v>
      </c>
      <c r="K305" s="40" t="str">
        <f>"C100012"</f>
        <v>C100012</v>
      </c>
      <c r="L305" s="40" t="str">
        <f>"Bainbridges"</f>
        <v>Bainbridges</v>
      </c>
      <c r="M305" s="40" t="str">
        <f>""</f>
        <v/>
      </c>
      <c r="N305" s="40" t="str">
        <f>""</f>
        <v/>
      </c>
      <c r="O305" s="41">
        <v>0</v>
      </c>
      <c r="P305" s="41">
        <v>-144</v>
      </c>
      <c r="Q305" s="41">
        <v>0</v>
      </c>
      <c r="R305" s="41">
        <v>0</v>
      </c>
      <c r="S305" s="41">
        <v>0</v>
      </c>
      <c r="T305" s="41">
        <v>0</v>
      </c>
      <c r="U305" s="54"/>
    </row>
    <row r="306" spans="1:21" ht="17.25" customHeight="1" x14ac:dyDescent="0.3">
      <c r="A306" s="15" t="s">
        <v>29</v>
      </c>
      <c r="C306" s="19"/>
      <c r="D306" s="33"/>
      <c r="E306" s="33"/>
      <c r="F306" s="20"/>
      <c r="G306" s="20"/>
      <c r="H306" s="20"/>
      <c r="I306" s="20"/>
      <c r="J306" s="20"/>
      <c r="K306" s="20"/>
      <c r="L306" s="20"/>
      <c r="M306" s="20"/>
      <c r="N306" s="20"/>
      <c r="O306" s="42"/>
      <c r="P306" s="42"/>
      <c r="Q306" s="42"/>
      <c r="R306" s="42"/>
      <c r="S306" s="42"/>
      <c r="T306" s="42"/>
      <c r="U306" s="55"/>
    </row>
    <row r="307" spans="1:21" ht="17.25" customHeight="1" x14ac:dyDescent="0.3">
      <c r="A307" s="15" t="s">
        <v>29</v>
      </c>
      <c r="C307" s="19"/>
      <c r="D307" s="33"/>
      <c r="E307" s="33" t="s">
        <v>30</v>
      </c>
      <c r="F307" s="20" t="s">
        <v>30</v>
      </c>
      <c r="G307" s="20" t="s">
        <v>30</v>
      </c>
      <c r="H307" s="20"/>
      <c r="I307" s="20"/>
      <c r="J307" s="20" t="s">
        <v>30</v>
      </c>
      <c r="K307" s="20" t="s">
        <v>30</v>
      </c>
      <c r="L307" s="20" t="s">
        <v>30</v>
      </c>
      <c r="M307" s="20" t="s">
        <v>30</v>
      </c>
      <c r="N307" s="20"/>
      <c r="U307" s="56"/>
    </row>
    <row r="308" spans="1:21" ht="20.25" customHeight="1" x14ac:dyDescent="0.35">
      <c r="A308" s="15" t="s">
        <v>29</v>
      </c>
      <c r="C308" s="19"/>
      <c r="D308" s="34" t="str">
        <f t="shared" ref="D308" si="283">E308</f>
        <v>E100013</v>
      </c>
      <c r="E308" s="35" t="str">
        <f>"E100013"</f>
        <v>E100013</v>
      </c>
      <c r="F308" s="36" t="str">
        <f>"Clip-on Stopwatch"</f>
        <v>Clip-on Stopwatch</v>
      </c>
      <c r="G308" s="36"/>
      <c r="H308" s="37" t="str">
        <f>"EA"</f>
        <v>EA</v>
      </c>
      <c r="I308" s="36"/>
      <c r="J308" s="36"/>
      <c r="K308" s="36"/>
      <c r="L308" s="36"/>
      <c r="M308" s="36"/>
      <c r="N308" s="36"/>
      <c r="O308" s="38">
        <f t="shared" ref="O308:T308" si="284">(SUBTOTAL(9,O309:O310))</f>
        <v>999.99999999999989</v>
      </c>
      <c r="P308" s="38">
        <f t="shared" si="284"/>
        <v>0</v>
      </c>
      <c r="Q308" s="38">
        <f t="shared" si="284"/>
        <v>0</v>
      </c>
      <c r="R308" s="38">
        <f t="shared" si="284"/>
        <v>0</v>
      </c>
      <c r="S308" s="38">
        <f t="shared" si="284"/>
        <v>0</v>
      </c>
      <c r="T308" s="38">
        <f t="shared" si="284"/>
        <v>0</v>
      </c>
      <c r="U308" s="53">
        <f t="shared" ref="U308" si="285">SUBTOTAL(9,O309:T310)</f>
        <v>999.99999999999989</v>
      </c>
    </row>
    <row r="309" spans="1:21" ht="17.25" customHeight="1" x14ac:dyDescent="0.3">
      <c r="A309" s="15" t="s">
        <v>29</v>
      </c>
      <c r="C309" s="19"/>
      <c r="D309" s="33" t="str">
        <f t="shared" ref="D309" si="286">D308</f>
        <v>E100013</v>
      </c>
      <c r="E309" s="33"/>
      <c r="F309" s="20"/>
      <c r="G309" s="20" t="str">
        <f>"""NAV"",""CRONUS JetCorp USA"",""32"",""1"",""167608"""</f>
        <v>"NAV","CRONUS JetCorp USA","32","1","167608"</v>
      </c>
      <c r="H309" s="39">
        <v>43466</v>
      </c>
      <c r="I309" s="40">
        <v>167608</v>
      </c>
      <c r="J309" s="40" t="str">
        <f>"Vendor"</f>
        <v>Vendor</v>
      </c>
      <c r="K309" s="40" t="str">
        <f>"V100003"</f>
        <v>V100003</v>
      </c>
      <c r="L309" s="40" t="str">
        <f>""</f>
        <v/>
      </c>
      <c r="M309" s="40" t="str">
        <f>"LogoMasters"</f>
        <v>LogoMasters</v>
      </c>
      <c r="N309" s="40" t="str">
        <f>""</f>
        <v/>
      </c>
      <c r="O309" s="41">
        <v>999.99999999999989</v>
      </c>
      <c r="P309" s="41">
        <v>0</v>
      </c>
      <c r="Q309" s="41">
        <v>0</v>
      </c>
      <c r="R309" s="41">
        <v>0</v>
      </c>
      <c r="S309" s="41">
        <v>0</v>
      </c>
      <c r="T309" s="41">
        <v>0</v>
      </c>
      <c r="U309" s="54"/>
    </row>
    <row r="310" spans="1:21" ht="17.25" customHeight="1" x14ac:dyDescent="0.3">
      <c r="A310" s="15" t="s">
        <v>29</v>
      </c>
      <c r="C310" s="19"/>
      <c r="D310" s="33"/>
      <c r="E310" s="33"/>
      <c r="F310" s="20"/>
      <c r="G310" s="20"/>
      <c r="H310" s="20"/>
      <c r="I310" s="20"/>
      <c r="J310" s="20"/>
      <c r="K310" s="20"/>
      <c r="L310" s="20"/>
      <c r="M310" s="20"/>
      <c r="N310" s="20"/>
      <c r="O310" s="42"/>
      <c r="P310" s="42"/>
      <c r="Q310" s="42"/>
      <c r="R310" s="42"/>
      <c r="S310" s="42"/>
      <c r="T310" s="42"/>
      <c r="U310" s="55"/>
    </row>
    <row r="311" spans="1:21" ht="17.25" customHeight="1" x14ac:dyDescent="0.3">
      <c r="A311" s="15" t="s">
        <v>29</v>
      </c>
      <c r="C311" s="19"/>
      <c r="D311" s="33"/>
      <c r="E311" s="33" t="s">
        <v>30</v>
      </c>
      <c r="F311" s="20" t="s">
        <v>30</v>
      </c>
      <c r="G311" s="20" t="s">
        <v>30</v>
      </c>
      <c r="H311" s="20"/>
      <c r="I311" s="20"/>
      <c r="J311" s="20" t="s">
        <v>30</v>
      </c>
      <c r="K311" s="20" t="s">
        <v>30</v>
      </c>
      <c r="L311" s="20" t="s">
        <v>30</v>
      </c>
      <c r="M311" s="20" t="s">
        <v>30</v>
      </c>
      <c r="N311" s="20"/>
      <c r="U311" s="56"/>
    </row>
    <row r="312" spans="1:21" ht="20.25" customHeight="1" x14ac:dyDescent="0.35">
      <c r="A312" s="15" t="s">
        <v>29</v>
      </c>
      <c r="C312" s="19"/>
      <c r="D312" s="34" t="str">
        <f t="shared" ref="D312" si="287">E312</f>
        <v>E100014</v>
      </c>
      <c r="E312" s="35" t="str">
        <f>"E100014"</f>
        <v>E100014</v>
      </c>
      <c r="F312" s="36" t="str">
        <f>"Stopwatch with Neck Rope"</f>
        <v>Stopwatch with Neck Rope</v>
      </c>
      <c r="G312" s="36"/>
      <c r="H312" s="37" t="str">
        <f>"EA"</f>
        <v>EA</v>
      </c>
      <c r="I312" s="36"/>
      <c r="J312" s="36"/>
      <c r="K312" s="36"/>
      <c r="L312" s="36"/>
      <c r="M312" s="36"/>
      <c r="N312" s="36"/>
      <c r="O312" s="38">
        <f t="shared" ref="O312:T312" si="288">(SUBTOTAL(9,O313:O315))</f>
        <v>999.99999999999989</v>
      </c>
      <c r="P312" s="38">
        <f t="shared" si="288"/>
        <v>-144</v>
      </c>
      <c r="Q312" s="38">
        <f t="shared" si="288"/>
        <v>0</v>
      </c>
      <c r="R312" s="38">
        <f t="shared" si="288"/>
        <v>0</v>
      </c>
      <c r="S312" s="38">
        <f t="shared" si="288"/>
        <v>0</v>
      </c>
      <c r="T312" s="38">
        <f t="shared" si="288"/>
        <v>0</v>
      </c>
      <c r="U312" s="53">
        <f t="shared" ref="U312" si="289">SUBTOTAL(9,O313:T315)</f>
        <v>855.99999999999989</v>
      </c>
    </row>
    <row r="313" spans="1:21" ht="17.25" customHeight="1" x14ac:dyDescent="0.3">
      <c r="A313" s="15" t="s">
        <v>29</v>
      </c>
      <c r="C313" s="19"/>
      <c r="D313" s="33" t="str">
        <f t="shared" ref="D313" si="290">D312</f>
        <v>E100014</v>
      </c>
      <c r="E313" s="33"/>
      <c r="F313" s="20"/>
      <c r="G313" s="20" t="str">
        <f>"""NAV"",""CRONUS JetCorp USA"",""32"",""1"",""167607"""</f>
        <v>"NAV","CRONUS JetCorp USA","32","1","167607"</v>
      </c>
      <c r="H313" s="39">
        <v>43466</v>
      </c>
      <c r="I313" s="40">
        <v>167607</v>
      </c>
      <c r="J313" s="40" t="str">
        <f>"Vendor"</f>
        <v>Vendor</v>
      </c>
      <c r="K313" s="40" t="str">
        <f>"V100003"</f>
        <v>V100003</v>
      </c>
      <c r="L313" s="40" t="str">
        <f>""</f>
        <v/>
      </c>
      <c r="M313" s="40" t="str">
        <f>"LogoMasters"</f>
        <v>LogoMasters</v>
      </c>
      <c r="N313" s="40" t="str">
        <f>""</f>
        <v/>
      </c>
      <c r="O313" s="41">
        <v>999.99999999999989</v>
      </c>
      <c r="P313" s="41">
        <v>0</v>
      </c>
      <c r="Q313" s="41">
        <v>0</v>
      </c>
      <c r="R313" s="41">
        <v>0</v>
      </c>
      <c r="S313" s="41">
        <v>0</v>
      </c>
      <c r="T313" s="41">
        <v>0</v>
      </c>
      <c r="U313" s="54"/>
    </row>
    <row r="314" spans="1:21" ht="17.25" customHeight="1" x14ac:dyDescent="0.3">
      <c r="A314" s="15" t="s">
        <v>29</v>
      </c>
      <c r="C314" s="19"/>
      <c r="D314" s="33" t="str">
        <f t="shared" ref="D314" si="291">D313</f>
        <v>E100014</v>
      </c>
      <c r="E314" s="33"/>
      <c r="F314" s="20"/>
      <c r="G314" s="20" t="str">
        <f>"""NAV"",""CRONUS JetCorp USA"",""32"",""1"",""30037"""</f>
        <v>"NAV","CRONUS JetCorp USA","32","1","30037"</v>
      </c>
      <c r="H314" s="39">
        <v>43471</v>
      </c>
      <c r="I314" s="40">
        <v>30037</v>
      </c>
      <c r="J314" s="40" t="str">
        <f>"Customer"</f>
        <v>Customer</v>
      </c>
      <c r="K314" s="40" t="str">
        <f>"C100012"</f>
        <v>C100012</v>
      </c>
      <c r="L314" s="40" t="str">
        <f>"Bainbridges"</f>
        <v>Bainbridges</v>
      </c>
      <c r="M314" s="40" t="str">
        <f>""</f>
        <v/>
      </c>
      <c r="N314" s="40" t="str">
        <f>""</f>
        <v/>
      </c>
      <c r="O314" s="41">
        <v>0</v>
      </c>
      <c r="P314" s="41">
        <v>-144</v>
      </c>
      <c r="Q314" s="41">
        <v>0</v>
      </c>
      <c r="R314" s="41">
        <v>0</v>
      </c>
      <c r="S314" s="41">
        <v>0</v>
      </c>
      <c r="T314" s="41">
        <v>0</v>
      </c>
      <c r="U314" s="54"/>
    </row>
    <row r="315" spans="1:21" ht="17.25" customHeight="1" x14ac:dyDescent="0.3">
      <c r="A315" s="15" t="s">
        <v>29</v>
      </c>
      <c r="C315" s="19"/>
      <c r="D315" s="33"/>
      <c r="E315" s="33"/>
      <c r="F315" s="20"/>
      <c r="G315" s="20"/>
      <c r="H315" s="20"/>
      <c r="I315" s="20"/>
      <c r="J315" s="20"/>
      <c r="K315" s="20"/>
      <c r="L315" s="20"/>
      <c r="M315" s="20"/>
      <c r="N315" s="20"/>
      <c r="O315" s="42"/>
      <c r="P315" s="42"/>
      <c r="Q315" s="42"/>
      <c r="R315" s="42"/>
      <c r="S315" s="42"/>
      <c r="T315" s="42"/>
      <c r="U315" s="55"/>
    </row>
    <row r="316" spans="1:21" ht="17.25" customHeight="1" x14ac:dyDescent="0.3">
      <c r="A316" s="15" t="s">
        <v>29</v>
      </c>
      <c r="C316" s="19"/>
      <c r="D316" s="33"/>
      <c r="E316" s="33" t="s">
        <v>30</v>
      </c>
      <c r="F316" s="20" t="s">
        <v>30</v>
      </c>
      <c r="G316" s="20" t="s">
        <v>30</v>
      </c>
      <c r="H316" s="20"/>
      <c r="I316" s="20"/>
      <c r="J316" s="20" t="s">
        <v>30</v>
      </c>
      <c r="K316" s="20" t="s">
        <v>30</v>
      </c>
      <c r="L316" s="20" t="s">
        <v>30</v>
      </c>
      <c r="M316" s="20" t="s">
        <v>30</v>
      </c>
      <c r="N316" s="20"/>
      <c r="U316" s="56"/>
    </row>
    <row r="317" spans="1:21" ht="20.25" customHeight="1" x14ac:dyDescent="0.35">
      <c r="A317" s="15" t="s">
        <v>29</v>
      </c>
      <c r="C317" s="19"/>
      <c r="D317" s="34" t="str">
        <f t="shared" ref="D317" si="292">E317</f>
        <v>E100015</v>
      </c>
      <c r="E317" s="35" t="str">
        <f>"E100015"</f>
        <v>E100015</v>
      </c>
      <c r="F317" s="36" t="str">
        <f>"360 Clip Watch"</f>
        <v>360 Clip Watch</v>
      </c>
      <c r="G317" s="36"/>
      <c r="H317" s="37" t="str">
        <f>"EA"</f>
        <v>EA</v>
      </c>
      <c r="I317" s="36"/>
      <c r="J317" s="36"/>
      <c r="K317" s="36"/>
      <c r="L317" s="36"/>
      <c r="M317" s="36"/>
      <c r="N317" s="36"/>
      <c r="O317" s="38">
        <f t="shared" ref="O317:T317" si="293">(SUBTOTAL(9,O318:O319))</f>
        <v>400</v>
      </c>
      <c r="P317" s="38">
        <f t="shared" si="293"/>
        <v>0</v>
      </c>
      <c r="Q317" s="38">
        <f t="shared" si="293"/>
        <v>0</v>
      </c>
      <c r="R317" s="38">
        <f t="shared" si="293"/>
        <v>0</v>
      </c>
      <c r="S317" s="38">
        <f t="shared" si="293"/>
        <v>0</v>
      </c>
      <c r="T317" s="38">
        <f t="shared" si="293"/>
        <v>0</v>
      </c>
      <c r="U317" s="53">
        <f t="shared" ref="U317" si="294">SUBTOTAL(9,O318:T319)</f>
        <v>400</v>
      </c>
    </row>
    <row r="318" spans="1:21" ht="17.25" customHeight="1" x14ac:dyDescent="0.3">
      <c r="A318" s="15" t="s">
        <v>29</v>
      </c>
      <c r="C318" s="19"/>
      <c r="D318" s="33" t="str">
        <f t="shared" ref="D318" si="295">D317</f>
        <v>E100015</v>
      </c>
      <c r="E318" s="33"/>
      <c r="F318" s="20"/>
      <c r="G318" s="20" t="str">
        <f>"""NAV"",""CRONUS JetCorp USA"",""32"",""1"",""167606"""</f>
        <v>"NAV","CRONUS JetCorp USA","32","1","167606"</v>
      </c>
      <c r="H318" s="39">
        <v>43466</v>
      </c>
      <c r="I318" s="40">
        <v>167606</v>
      </c>
      <c r="J318" s="40" t="str">
        <f>"Vendor"</f>
        <v>Vendor</v>
      </c>
      <c r="K318" s="40" t="str">
        <f>"V100003"</f>
        <v>V100003</v>
      </c>
      <c r="L318" s="40" t="str">
        <f>""</f>
        <v/>
      </c>
      <c r="M318" s="40" t="str">
        <f>"LogoMasters"</f>
        <v>LogoMasters</v>
      </c>
      <c r="N318" s="40" t="str">
        <f>""</f>
        <v/>
      </c>
      <c r="O318" s="41">
        <v>400</v>
      </c>
      <c r="P318" s="41">
        <v>0</v>
      </c>
      <c r="Q318" s="41">
        <v>0</v>
      </c>
      <c r="R318" s="41">
        <v>0</v>
      </c>
      <c r="S318" s="41">
        <v>0</v>
      </c>
      <c r="T318" s="41">
        <v>0</v>
      </c>
      <c r="U318" s="54"/>
    </row>
    <row r="319" spans="1:21" ht="17.25" customHeight="1" x14ac:dyDescent="0.3">
      <c r="A319" s="15" t="s">
        <v>29</v>
      </c>
      <c r="C319" s="19"/>
      <c r="D319" s="33"/>
      <c r="E319" s="33"/>
      <c r="F319" s="20"/>
      <c r="G319" s="20"/>
      <c r="H319" s="20"/>
      <c r="I319" s="20"/>
      <c r="J319" s="20"/>
      <c r="K319" s="20"/>
      <c r="L319" s="20"/>
      <c r="M319" s="20"/>
      <c r="N319" s="20"/>
      <c r="O319" s="42"/>
      <c r="P319" s="42"/>
      <c r="Q319" s="42"/>
      <c r="R319" s="42"/>
      <c r="S319" s="42"/>
      <c r="T319" s="42"/>
      <c r="U319" s="55"/>
    </row>
    <row r="320" spans="1:21" ht="17.25" customHeight="1" x14ac:dyDescent="0.3">
      <c r="A320" s="15" t="s">
        <v>29</v>
      </c>
      <c r="C320" s="19"/>
      <c r="D320" s="33"/>
      <c r="E320" s="33" t="s">
        <v>30</v>
      </c>
      <c r="F320" s="20" t="s">
        <v>30</v>
      </c>
      <c r="G320" s="20" t="s">
        <v>30</v>
      </c>
      <c r="H320" s="20"/>
      <c r="I320" s="20"/>
      <c r="J320" s="20" t="s">
        <v>30</v>
      </c>
      <c r="K320" s="20" t="s">
        <v>30</v>
      </c>
      <c r="L320" s="20" t="s">
        <v>30</v>
      </c>
      <c r="M320" s="20" t="s">
        <v>30</v>
      </c>
      <c r="N320" s="20"/>
      <c r="U320" s="56"/>
    </row>
    <row r="321" spans="1:21" ht="20.25" customHeight="1" x14ac:dyDescent="0.35">
      <c r="A321" s="15" t="s">
        <v>29</v>
      </c>
      <c r="C321" s="19"/>
      <c r="D321" s="34" t="str">
        <f t="shared" ref="D321" si="296">E321</f>
        <v>E100016</v>
      </c>
      <c r="E321" s="35" t="str">
        <f>"E100016"</f>
        <v>E100016</v>
      </c>
      <c r="F321" s="36" t="str">
        <f>"4 Function Rotating Carabiner Watch"</f>
        <v>4 Function Rotating Carabiner Watch</v>
      </c>
      <c r="G321" s="36"/>
      <c r="H321" s="37" t="str">
        <f>"EA"</f>
        <v>EA</v>
      </c>
      <c r="I321" s="36"/>
      <c r="J321" s="36"/>
      <c r="K321" s="36"/>
      <c r="L321" s="36"/>
      <c r="M321" s="36"/>
      <c r="N321" s="36"/>
      <c r="O321" s="38">
        <f t="shared" ref="O321:T321" si="297">(SUBTOTAL(9,O322:O324))</f>
        <v>800</v>
      </c>
      <c r="P321" s="38">
        <f t="shared" si="297"/>
        <v>-144</v>
      </c>
      <c r="Q321" s="38">
        <f t="shared" si="297"/>
        <v>0</v>
      </c>
      <c r="R321" s="38">
        <f t="shared" si="297"/>
        <v>0</v>
      </c>
      <c r="S321" s="38">
        <f t="shared" si="297"/>
        <v>0</v>
      </c>
      <c r="T321" s="38">
        <f t="shared" si="297"/>
        <v>0</v>
      </c>
      <c r="U321" s="53">
        <f t="shared" ref="U321" si="298">SUBTOTAL(9,O322:T324)</f>
        <v>656</v>
      </c>
    </row>
    <row r="322" spans="1:21" ht="17.25" customHeight="1" x14ac:dyDescent="0.3">
      <c r="A322" s="15" t="s">
        <v>29</v>
      </c>
      <c r="C322" s="19"/>
      <c r="D322" s="33" t="str">
        <f t="shared" ref="D322" si="299">D321</f>
        <v>E100016</v>
      </c>
      <c r="E322" s="33"/>
      <c r="F322" s="20"/>
      <c r="G322" s="20" t="str">
        <f>"""NAV"",""CRONUS JetCorp USA"",""32"",""1"",""167605"""</f>
        <v>"NAV","CRONUS JetCorp USA","32","1","167605"</v>
      </c>
      <c r="H322" s="39">
        <v>43466</v>
      </c>
      <c r="I322" s="40">
        <v>167605</v>
      </c>
      <c r="J322" s="40" t="str">
        <f>"Vendor"</f>
        <v>Vendor</v>
      </c>
      <c r="K322" s="40" t="str">
        <f>"V100003"</f>
        <v>V100003</v>
      </c>
      <c r="L322" s="40" t="str">
        <f>""</f>
        <v/>
      </c>
      <c r="M322" s="40" t="str">
        <f>"LogoMasters"</f>
        <v>LogoMasters</v>
      </c>
      <c r="N322" s="40" t="str">
        <f>""</f>
        <v/>
      </c>
      <c r="O322" s="41">
        <v>800</v>
      </c>
      <c r="P322" s="41">
        <v>0</v>
      </c>
      <c r="Q322" s="41">
        <v>0</v>
      </c>
      <c r="R322" s="41">
        <v>0</v>
      </c>
      <c r="S322" s="41">
        <v>0</v>
      </c>
      <c r="T322" s="41">
        <v>0</v>
      </c>
      <c r="U322" s="54"/>
    </row>
    <row r="323" spans="1:21" ht="17.25" customHeight="1" x14ac:dyDescent="0.3">
      <c r="A323" s="15" t="s">
        <v>29</v>
      </c>
      <c r="C323" s="19"/>
      <c r="D323" s="33" t="str">
        <f t="shared" ref="D323" si="300">D322</f>
        <v>E100016</v>
      </c>
      <c r="E323" s="33"/>
      <c r="F323" s="20"/>
      <c r="G323" s="20" t="str">
        <f>"""NAV"",""CRONUS JetCorp USA"",""32"",""1"",""30036"""</f>
        <v>"NAV","CRONUS JetCorp USA","32","1","30036"</v>
      </c>
      <c r="H323" s="39">
        <v>43471</v>
      </c>
      <c r="I323" s="40">
        <v>30036</v>
      </c>
      <c r="J323" s="40" t="str">
        <f>"Customer"</f>
        <v>Customer</v>
      </c>
      <c r="K323" s="40" t="str">
        <f>"C100012"</f>
        <v>C100012</v>
      </c>
      <c r="L323" s="40" t="str">
        <f>"Bainbridges"</f>
        <v>Bainbridges</v>
      </c>
      <c r="M323" s="40" t="str">
        <f>""</f>
        <v/>
      </c>
      <c r="N323" s="40" t="str">
        <f>""</f>
        <v/>
      </c>
      <c r="O323" s="41">
        <v>0</v>
      </c>
      <c r="P323" s="41">
        <v>-144</v>
      </c>
      <c r="Q323" s="41">
        <v>0</v>
      </c>
      <c r="R323" s="41">
        <v>0</v>
      </c>
      <c r="S323" s="41">
        <v>0</v>
      </c>
      <c r="T323" s="41">
        <v>0</v>
      </c>
      <c r="U323" s="54"/>
    </row>
    <row r="324" spans="1:21" ht="17.25" customHeight="1" x14ac:dyDescent="0.3">
      <c r="A324" s="15" t="s">
        <v>29</v>
      </c>
      <c r="C324" s="19"/>
      <c r="D324" s="33"/>
      <c r="E324" s="33"/>
      <c r="F324" s="20"/>
      <c r="G324" s="20"/>
      <c r="H324" s="20"/>
      <c r="I324" s="20"/>
      <c r="J324" s="20"/>
      <c r="K324" s="20"/>
      <c r="L324" s="20"/>
      <c r="M324" s="20"/>
      <c r="N324" s="20"/>
      <c r="O324" s="42"/>
      <c r="P324" s="42"/>
      <c r="Q324" s="42"/>
      <c r="R324" s="42"/>
      <c r="S324" s="42"/>
      <c r="T324" s="42"/>
      <c r="U324" s="55"/>
    </row>
    <row r="325" spans="1:21" ht="17.25" customHeight="1" x14ac:dyDescent="0.3">
      <c r="A325" s="15" t="s">
        <v>29</v>
      </c>
      <c r="C325" s="19"/>
      <c r="D325" s="33"/>
      <c r="E325" s="33" t="s">
        <v>30</v>
      </c>
      <c r="F325" s="20" t="s">
        <v>30</v>
      </c>
      <c r="G325" s="20" t="s">
        <v>30</v>
      </c>
      <c r="H325" s="20"/>
      <c r="I325" s="20"/>
      <c r="J325" s="20" t="s">
        <v>30</v>
      </c>
      <c r="K325" s="20" t="s">
        <v>30</v>
      </c>
      <c r="L325" s="20" t="s">
        <v>30</v>
      </c>
      <c r="M325" s="20" t="s">
        <v>30</v>
      </c>
      <c r="N325" s="20"/>
      <c r="U325" s="56"/>
    </row>
    <row r="326" spans="1:21" ht="20.25" customHeight="1" x14ac:dyDescent="0.35">
      <c r="A326" s="15" t="s">
        <v>29</v>
      </c>
      <c r="C326" s="19"/>
      <c r="D326" s="34" t="str">
        <f t="shared" ref="D326" si="301">E326</f>
        <v>E100017</v>
      </c>
      <c r="E326" s="35" t="str">
        <f>"E100017"</f>
        <v>E100017</v>
      </c>
      <c r="F326" s="36" t="str">
        <f>"Clip-on Clock with Compass"</f>
        <v>Clip-on Clock with Compass</v>
      </c>
      <c r="G326" s="36"/>
      <c r="H326" s="37" t="str">
        <f>"EA"</f>
        <v>EA</v>
      </c>
      <c r="I326" s="36"/>
      <c r="J326" s="36"/>
      <c r="K326" s="36"/>
      <c r="L326" s="36"/>
      <c r="M326" s="36"/>
      <c r="N326" s="36"/>
      <c r="O326" s="38">
        <f t="shared" ref="O326:T326" si="302">(SUBTOTAL(9,O327:O329))</f>
        <v>1800</v>
      </c>
      <c r="P326" s="38">
        <f t="shared" si="302"/>
        <v>-48</v>
      </c>
      <c r="Q326" s="38">
        <f t="shared" si="302"/>
        <v>0</v>
      </c>
      <c r="R326" s="38">
        <f t="shared" si="302"/>
        <v>0</v>
      </c>
      <c r="S326" s="38">
        <f t="shared" si="302"/>
        <v>0</v>
      </c>
      <c r="T326" s="38">
        <f t="shared" si="302"/>
        <v>0</v>
      </c>
      <c r="U326" s="53">
        <f t="shared" ref="U326" si="303">SUBTOTAL(9,O327:T329)</f>
        <v>1752</v>
      </c>
    </row>
    <row r="327" spans="1:21" ht="17.25" customHeight="1" x14ac:dyDescent="0.3">
      <c r="A327" s="15" t="s">
        <v>29</v>
      </c>
      <c r="C327" s="19"/>
      <c r="D327" s="33" t="str">
        <f t="shared" ref="D327" si="304">D326</f>
        <v>E100017</v>
      </c>
      <c r="E327" s="33"/>
      <c r="F327" s="20"/>
      <c r="G327" s="20" t="str">
        <f>"""NAV"",""CRONUS JetCorp USA"",""32"",""1"",""167604"""</f>
        <v>"NAV","CRONUS JetCorp USA","32","1","167604"</v>
      </c>
      <c r="H327" s="39">
        <v>43466</v>
      </c>
      <c r="I327" s="40">
        <v>167604</v>
      </c>
      <c r="J327" s="40" t="str">
        <f>"Vendor"</f>
        <v>Vendor</v>
      </c>
      <c r="K327" s="40" t="str">
        <f>"V100003"</f>
        <v>V100003</v>
      </c>
      <c r="L327" s="40" t="str">
        <f>""</f>
        <v/>
      </c>
      <c r="M327" s="40" t="str">
        <f>"LogoMasters"</f>
        <v>LogoMasters</v>
      </c>
      <c r="N327" s="40" t="str">
        <f>""</f>
        <v/>
      </c>
      <c r="O327" s="41">
        <v>1800</v>
      </c>
      <c r="P327" s="41">
        <v>0</v>
      </c>
      <c r="Q327" s="41">
        <v>0</v>
      </c>
      <c r="R327" s="41">
        <v>0</v>
      </c>
      <c r="S327" s="41">
        <v>0</v>
      </c>
      <c r="T327" s="41">
        <v>0</v>
      </c>
      <c r="U327" s="54"/>
    </row>
    <row r="328" spans="1:21" ht="17.25" customHeight="1" x14ac:dyDescent="0.3">
      <c r="A328" s="15" t="s">
        <v>29</v>
      </c>
      <c r="C328" s="19"/>
      <c r="D328" s="33" t="str">
        <f t="shared" ref="D328" si="305">D327</f>
        <v>E100017</v>
      </c>
      <c r="E328" s="33"/>
      <c r="F328" s="20"/>
      <c r="G328" s="20" t="str">
        <f>"""NAV"",""CRONUS JetCorp USA"",""32"",""1"",""30041"""</f>
        <v>"NAV","CRONUS JetCorp USA","32","1","30041"</v>
      </c>
      <c r="H328" s="39">
        <v>43471</v>
      </c>
      <c r="I328" s="40">
        <v>30041</v>
      </c>
      <c r="J328" s="40" t="str">
        <f>"Customer"</f>
        <v>Customer</v>
      </c>
      <c r="K328" s="40" t="str">
        <f>"C100012"</f>
        <v>C100012</v>
      </c>
      <c r="L328" s="40" t="str">
        <f>"Bainbridges"</f>
        <v>Bainbridges</v>
      </c>
      <c r="M328" s="40" t="str">
        <f>""</f>
        <v/>
      </c>
      <c r="N328" s="40" t="str">
        <f>""</f>
        <v/>
      </c>
      <c r="O328" s="41">
        <v>0</v>
      </c>
      <c r="P328" s="41">
        <v>-48</v>
      </c>
      <c r="Q328" s="41">
        <v>0</v>
      </c>
      <c r="R328" s="41">
        <v>0</v>
      </c>
      <c r="S328" s="41">
        <v>0</v>
      </c>
      <c r="T328" s="41">
        <v>0</v>
      </c>
      <c r="U328" s="54"/>
    </row>
    <row r="329" spans="1:21" ht="17.25" customHeight="1" x14ac:dyDescent="0.3">
      <c r="A329" s="15" t="s">
        <v>29</v>
      </c>
      <c r="C329" s="19"/>
      <c r="D329" s="33"/>
      <c r="E329" s="33"/>
      <c r="F329" s="20"/>
      <c r="G329" s="20"/>
      <c r="H329" s="20"/>
      <c r="I329" s="20"/>
      <c r="J329" s="20"/>
      <c r="K329" s="20"/>
      <c r="L329" s="20"/>
      <c r="M329" s="20"/>
      <c r="N329" s="20"/>
      <c r="O329" s="42"/>
      <c r="P329" s="42"/>
      <c r="Q329" s="42"/>
      <c r="R329" s="42"/>
      <c r="S329" s="42"/>
      <c r="T329" s="42"/>
      <c r="U329" s="55"/>
    </row>
    <row r="330" spans="1:21" ht="17.25" customHeight="1" x14ac:dyDescent="0.3">
      <c r="A330" s="15" t="s">
        <v>29</v>
      </c>
      <c r="C330" s="19"/>
      <c r="D330" s="33"/>
      <c r="E330" s="33" t="s">
        <v>30</v>
      </c>
      <c r="F330" s="20" t="s">
        <v>30</v>
      </c>
      <c r="G330" s="20" t="s">
        <v>30</v>
      </c>
      <c r="H330" s="20"/>
      <c r="I330" s="20"/>
      <c r="J330" s="20" t="s">
        <v>30</v>
      </c>
      <c r="K330" s="20" t="s">
        <v>30</v>
      </c>
      <c r="L330" s="20" t="s">
        <v>30</v>
      </c>
      <c r="M330" s="20" t="s">
        <v>30</v>
      </c>
      <c r="N330" s="20"/>
      <c r="U330" s="56"/>
    </row>
    <row r="331" spans="1:21" ht="20.25" customHeight="1" x14ac:dyDescent="0.35">
      <c r="A331" s="15" t="s">
        <v>29</v>
      </c>
      <c r="C331" s="19"/>
      <c r="D331" s="34" t="str">
        <f t="shared" ref="D331" si="306">E331</f>
        <v>E100018</v>
      </c>
      <c r="E331" s="35" t="str">
        <f>"E100018"</f>
        <v>E100018</v>
      </c>
      <c r="F331" s="36" t="str">
        <f>"Flexi-Clock &amp; Clip"</f>
        <v>Flexi-Clock &amp; Clip</v>
      </c>
      <c r="G331" s="36"/>
      <c r="H331" s="37" t="str">
        <f>"EA"</f>
        <v>EA</v>
      </c>
      <c r="I331" s="36"/>
      <c r="J331" s="36"/>
      <c r="K331" s="36"/>
      <c r="L331" s="36"/>
      <c r="M331" s="36"/>
      <c r="N331" s="36"/>
      <c r="O331" s="38">
        <f t="shared" ref="O331:T331" si="307">(SUBTOTAL(9,O332:O336))</f>
        <v>800</v>
      </c>
      <c r="P331" s="38">
        <f t="shared" si="307"/>
        <v>-193</v>
      </c>
      <c r="Q331" s="38">
        <f t="shared" si="307"/>
        <v>0</v>
      </c>
      <c r="R331" s="38">
        <f t="shared" si="307"/>
        <v>0</v>
      </c>
      <c r="S331" s="38">
        <f t="shared" si="307"/>
        <v>0</v>
      </c>
      <c r="T331" s="38">
        <f t="shared" si="307"/>
        <v>0</v>
      </c>
      <c r="U331" s="53">
        <f t="shared" ref="U331" si="308">SUBTOTAL(9,O332:T336)</f>
        <v>607</v>
      </c>
    </row>
    <row r="332" spans="1:21" ht="17.25" customHeight="1" x14ac:dyDescent="0.3">
      <c r="A332" s="15" t="s">
        <v>29</v>
      </c>
      <c r="C332" s="19"/>
      <c r="D332" s="33" t="str">
        <f t="shared" ref="D332" si="309">D331</f>
        <v>E100018</v>
      </c>
      <c r="E332" s="33"/>
      <c r="F332" s="20"/>
      <c r="G332" s="20" t="str">
        <f>"""NAV"",""CRONUS JetCorp USA"",""32"",""1"",""167603"""</f>
        <v>"NAV","CRONUS JetCorp USA","32","1","167603"</v>
      </c>
      <c r="H332" s="39">
        <v>43466</v>
      </c>
      <c r="I332" s="40">
        <v>167603</v>
      </c>
      <c r="J332" s="40" t="str">
        <f>"Vendor"</f>
        <v>Vendor</v>
      </c>
      <c r="K332" s="40" t="str">
        <f>"V100003"</f>
        <v>V100003</v>
      </c>
      <c r="L332" s="40" t="str">
        <f>""</f>
        <v/>
      </c>
      <c r="M332" s="40" t="str">
        <f>"LogoMasters"</f>
        <v>LogoMasters</v>
      </c>
      <c r="N332" s="40" t="str">
        <f>""</f>
        <v/>
      </c>
      <c r="O332" s="41">
        <v>800</v>
      </c>
      <c r="P332" s="41">
        <v>0</v>
      </c>
      <c r="Q332" s="41">
        <v>0</v>
      </c>
      <c r="R332" s="41">
        <v>0</v>
      </c>
      <c r="S332" s="41">
        <v>0</v>
      </c>
      <c r="T332" s="41">
        <v>0</v>
      </c>
      <c r="U332" s="54"/>
    </row>
    <row r="333" spans="1:21" ht="17.25" customHeight="1" x14ac:dyDescent="0.3">
      <c r="A333" s="15" t="s">
        <v>29</v>
      </c>
      <c r="C333" s="19"/>
      <c r="D333" s="33" t="str">
        <f t="shared" ref="D333:D335" si="310">D332</f>
        <v>E100018</v>
      </c>
      <c r="E333" s="33"/>
      <c r="F333" s="20"/>
      <c r="G333" s="20" t="str">
        <f>"""NAV"",""CRONUS JetCorp USA"",""32"",""1"",""30040"""</f>
        <v>"NAV","CRONUS JetCorp USA","32","1","30040"</v>
      </c>
      <c r="H333" s="39">
        <v>43471</v>
      </c>
      <c r="I333" s="40">
        <v>30040</v>
      </c>
      <c r="J333" s="40" t="str">
        <f>"Customer"</f>
        <v>Customer</v>
      </c>
      <c r="K333" s="40" t="str">
        <f>"C100012"</f>
        <v>C100012</v>
      </c>
      <c r="L333" s="40" t="str">
        <f>"Bainbridges"</f>
        <v>Bainbridges</v>
      </c>
      <c r="M333" s="40" t="str">
        <f>""</f>
        <v/>
      </c>
      <c r="N333" s="40" t="str">
        <f>""</f>
        <v/>
      </c>
      <c r="O333" s="41">
        <v>0</v>
      </c>
      <c r="P333" s="41">
        <v>-144</v>
      </c>
      <c r="Q333" s="41">
        <v>0</v>
      </c>
      <c r="R333" s="41">
        <v>0</v>
      </c>
      <c r="S333" s="41">
        <v>0</v>
      </c>
      <c r="T333" s="41">
        <v>0</v>
      </c>
      <c r="U333" s="54"/>
    </row>
    <row r="334" spans="1:21" ht="17.25" customHeight="1" x14ac:dyDescent="0.3">
      <c r="A334" s="15" t="s">
        <v>29</v>
      </c>
      <c r="C334" s="19"/>
      <c r="D334" s="33" t="str">
        <f t="shared" si="310"/>
        <v>E100018</v>
      </c>
      <c r="E334" s="33"/>
      <c r="F334" s="20"/>
      <c r="G334" s="20" t="str">
        <f>"""NAV"",""CRONUS JetCorp USA"",""32"",""1"",""116374"""</f>
        <v>"NAV","CRONUS JetCorp USA","32","1","116374"</v>
      </c>
      <c r="H334" s="39">
        <v>43472</v>
      </c>
      <c r="I334" s="40">
        <v>116374</v>
      </c>
      <c r="J334" s="40" t="str">
        <f>"Customer"</f>
        <v>Customer</v>
      </c>
      <c r="K334" s="40" t="str">
        <f>"C100054"</f>
        <v>C100054</v>
      </c>
      <c r="L334" s="40" t="str">
        <f>"London Candoxy Storage Campus"</f>
        <v>London Candoxy Storage Campus</v>
      </c>
      <c r="M334" s="40" t="str">
        <f>""</f>
        <v/>
      </c>
      <c r="N334" s="40" t="str">
        <f>""</f>
        <v/>
      </c>
      <c r="O334" s="41">
        <v>0</v>
      </c>
      <c r="P334" s="41">
        <v>-48</v>
      </c>
      <c r="Q334" s="41">
        <v>0</v>
      </c>
      <c r="R334" s="41">
        <v>0</v>
      </c>
      <c r="S334" s="41">
        <v>0</v>
      </c>
      <c r="T334" s="41">
        <v>0</v>
      </c>
      <c r="U334" s="54"/>
    </row>
    <row r="335" spans="1:21" ht="17.25" customHeight="1" x14ac:dyDescent="0.3">
      <c r="A335" s="15" t="s">
        <v>29</v>
      </c>
      <c r="C335" s="19"/>
      <c r="D335" s="33" t="str">
        <f t="shared" si="310"/>
        <v>E100018</v>
      </c>
      <c r="E335" s="33"/>
      <c r="F335" s="20"/>
      <c r="G335" s="20" t="str">
        <f>"""NAV"",""CRONUS JetCorp USA"",""32"",""1"",""30119"""</f>
        <v>"NAV","CRONUS JetCorp USA","32","1","30119"</v>
      </c>
      <c r="H335" s="39">
        <v>43475</v>
      </c>
      <c r="I335" s="40">
        <v>30119</v>
      </c>
      <c r="J335" s="40" t="str">
        <f>"Customer"</f>
        <v>Customer</v>
      </c>
      <c r="K335" s="40" t="str">
        <f>"C100012"</f>
        <v>C100012</v>
      </c>
      <c r="L335" s="40" t="str">
        <f>"Bainbridges"</f>
        <v>Bainbridges</v>
      </c>
      <c r="M335" s="40" t="str">
        <f>""</f>
        <v/>
      </c>
      <c r="N335" s="40" t="str">
        <f>""</f>
        <v/>
      </c>
      <c r="O335" s="41">
        <v>0</v>
      </c>
      <c r="P335" s="41">
        <v>-1</v>
      </c>
      <c r="Q335" s="41">
        <v>0</v>
      </c>
      <c r="R335" s="41">
        <v>0</v>
      </c>
      <c r="S335" s="41">
        <v>0</v>
      </c>
      <c r="T335" s="41">
        <v>0</v>
      </c>
      <c r="U335" s="54"/>
    </row>
    <row r="336" spans="1:21" ht="17.25" customHeight="1" x14ac:dyDescent="0.3">
      <c r="A336" s="15" t="s">
        <v>29</v>
      </c>
      <c r="C336" s="19"/>
      <c r="D336" s="33"/>
      <c r="E336" s="33"/>
      <c r="F336" s="20"/>
      <c r="G336" s="20"/>
      <c r="H336" s="20"/>
      <c r="I336" s="20"/>
      <c r="J336" s="20"/>
      <c r="K336" s="20"/>
      <c r="L336" s="20"/>
      <c r="M336" s="20"/>
      <c r="N336" s="20"/>
      <c r="O336" s="42"/>
      <c r="P336" s="42"/>
      <c r="Q336" s="42"/>
      <c r="R336" s="42"/>
      <c r="S336" s="42"/>
      <c r="T336" s="42"/>
      <c r="U336" s="55"/>
    </row>
    <row r="337" spans="1:21" ht="17.25" customHeight="1" x14ac:dyDescent="0.3">
      <c r="A337" s="15" t="s">
        <v>29</v>
      </c>
      <c r="C337" s="19"/>
      <c r="D337" s="33"/>
      <c r="E337" s="33" t="s">
        <v>30</v>
      </c>
      <c r="F337" s="20" t="s">
        <v>30</v>
      </c>
      <c r="G337" s="20" t="s">
        <v>30</v>
      </c>
      <c r="H337" s="20"/>
      <c r="I337" s="20"/>
      <c r="J337" s="20" t="s">
        <v>30</v>
      </c>
      <c r="K337" s="20" t="s">
        <v>30</v>
      </c>
      <c r="L337" s="20" t="s">
        <v>30</v>
      </c>
      <c r="M337" s="20" t="s">
        <v>30</v>
      </c>
      <c r="N337" s="20"/>
      <c r="U337" s="56"/>
    </row>
    <row r="338" spans="1:21" ht="20.25" customHeight="1" x14ac:dyDescent="0.35">
      <c r="A338" s="15" t="s">
        <v>29</v>
      </c>
      <c r="C338" s="19"/>
      <c r="D338" s="34" t="str">
        <f t="shared" ref="D338" si="311">E338</f>
        <v>E100019</v>
      </c>
      <c r="E338" s="35" t="str">
        <f>"E100019"</f>
        <v>E100019</v>
      </c>
      <c r="F338" s="36" t="str">
        <f>"Mini Travel Alarm"</f>
        <v>Mini Travel Alarm</v>
      </c>
      <c r="G338" s="36"/>
      <c r="H338" s="37" t="str">
        <f>"EA"</f>
        <v>EA</v>
      </c>
      <c r="I338" s="36"/>
      <c r="J338" s="36"/>
      <c r="K338" s="36"/>
      <c r="L338" s="36"/>
      <c r="M338" s="36"/>
      <c r="N338" s="36"/>
      <c r="O338" s="38">
        <f t="shared" ref="O338:T338" si="312">(SUBTOTAL(9,O339:O341))</f>
        <v>999.99999999999989</v>
      </c>
      <c r="P338" s="38">
        <f t="shared" si="312"/>
        <v>-144</v>
      </c>
      <c r="Q338" s="38">
        <f t="shared" si="312"/>
        <v>0</v>
      </c>
      <c r="R338" s="38">
        <f t="shared" si="312"/>
        <v>0</v>
      </c>
      <c r="S338" s="38">
        <f t="shared" si="312"/>
        <v>0</v>
      </c>
      <c r="T338" s="38">
        <f t="shared" si="312"/>
        <v>0</v>
      </c>
      <c r="U338" s="53">
        <f t="shared" ref="U338" si="313">SUBTOTAL(9,O339:T341)</f>
        <v>855.99999999999989</v>
      </c>
    </row>
    <row r="339" spans="1:21" ht="17.25" customHeight="1" x14ac:dyDescent="0.3">
      <c r="A339" s="15" t="s">
        <v>29</v>
      </c>
      <c r="C339" s="19"/>
      <c r="D339" s="33" t="str">
        <f t="shared" ref="D339" si="314">D338</f>
        <v>E100019</v>
      </c>
      <c r="E339" s="33"/>
      <c r="F339" s="20"/>
      <c r="G339" s="20" t="str">
        <f>"""NAV"",""CRONUS JetCorp USA"",""32"",""1"",""167602"""</f>
        <v>"NAV","CRONUS JetCorp USA","32","1","167602"</v>
      </c>
      <c r="H339" s="39">
        <v>43466</v>
      </c>
      <c r="I339" s="40">
        <v>167602</v>
      </c>
      <c r="J339" s="40" t="str">
        <f>"Vendor"</f>
        <v>Vendor</v>
      </c>
      <c r="K339" s="40" t="str">
        <f>"V100003"</f>
        <v>V100003</v>
      </c>
      <c r="L339" s="40" t="str">
        <f>""</f>
        <v/>
      </c>
      <c r="M339" s="40" t="str">
        <f>"LogoMasters"</f>
        <v>LogoMasters</v>
      </c>
      <c r="N339" s="40" t="str">
        <f>""</f>
        <v/>
      </c>
      <c r="O339" s="41">
        <v>999.99999999999989</v>
      </c>
      <c r="P339" s="41">
        <v>0</v>
      </c>
      <c r="Q339" s="41">
        <v>0</v>
      </c>
      <c r="R339" s="41">
        <v>0</v>
      </c>
      <c r="S339" s="41">
        <v>0</v>
      </c>
      <c r="T339" s="41">
        <v>0</v>
      </c>
      <c r="U339" s="54"/>
    </row>
    <row r="340" spans="1:21" ht="17.25" customHeight="1" x14ac:dyDescent="0.3">
      <c r="A340" s="15" t="s">
        <v>29</v>
      </c>
      <c r="C340" s="19"/>
      <c r="D340" s="33" t="str">
        <f t="shared" ref="D340" si="315">D339</f>
        <v>E100019</v>
      </c>
      <c r="E340" s="33"/>
      <c r="F340" s="20"/>
      <c r="G340" s="20" t="str">
        <f>"""NAV"",""CRONUS JetCorp USA"",""32"",""1"",""114269"""</f>
        <v>"NAV","CRONUS JetCorp USA","32","1","114269"</v>
      </c>
      <c r="H340" s="39">
        <v>43470</v>
      </c>
      <c r="I340" s="40">
        <v>114269</v>
      </c>
      <c r="J340" s="40" t="str">
        <f>"Customer"</f>
        <v>Customer</v>
      </c>
      <c r="K340" s="40" t="str">
        <f>"C100076"</f>
        <v>C100076</v>
      </c>
      <c r="L340" s="40" t="str">
        <f>"Showmasters"</f>
        <v>Showmasters</v>
      </c>
      <c r="M340" s="40" t="str">
        <f>""</f>
        <v/>
      </c>
      <c r="N340" s="40" t="str">
        <f>""</f>
        <v/>
      </c>
      <c r="O340" s="41">
        <v>0</v>
      </c>
      <c r="P340" s="41">
        <v>-144</v>
      </c>
      <c r="Q340" s="41">
        <v>0</v>
      </c>
      <c r="R340" s="41">
        <v>0</v>
      </c>
      <c r="S340" s="41">
        <v>0</v>
      </c>
      <c r="T340" s="41">
        <v>0</v>
      </c>
      <c r="U340" s="54"/>
    </row>
    <row r="341" spans="1:21" ht="17.25" customHeight="1" x14ac:dyDescent="0.3">
      <c r="A341" s="15" t="s">
        <v>29</v>
      </c>
      <c r="C341" s="19"/>
      <c r="D341" s="33"/>
      <c r="E341" s="33"/>
      <c r="F341" s="20"/>
      <c r="G341" s="20"/>
      <c r="H341" s="20"/>
      <c r="I341" s="20"/>
      <c r="J341" s="20"/>
      <c r="K341" s="20"/>
      <c r="L341" s="20"/>
      <c r="M341" s="20"/>
      <c r="N341" s="20"/>
      <c r="O341" s="42"/>
      <c r="P341" s="42"/>
      <c r="Q341" s="42"/>
      <c r="R341" s="42"/>
      <c r="S341" s="42"/>
      <c r="T341" s="42"/>
      <c r="U341" s="55"/>
    </row>
    <row r="342" spans="1:21" ht="17.25" customHeight="1" x14ac:dyDescent="0.3">
      <c r="A342" s="15" t="s">
        <v>29</v>
      </c>
      <c r="C342" s="19"/>
      <c r="D342" s="33"/>
      <c r="E342" s="33" t="s">
        <v>30</v>
      </c>
      <c r="F342" s="20" t="s">
        <v>30</v>
      </c>
      <c r="G342" s="20" t="s">
        <v>30</v>
      </c>
      <c r="H342" s="20"/>
      <c r="I342" s="20"/>
      <c r="J342" s="20" t="s">
        <v>30</v>
      </c>
      <c r="K342" s="20" t="s">
        <v>30</v>
      </c>
      <c r="L342" s="20" t="s">
        <v>30</v>
      </c>
      <c r="M342" s="20" t="s">
        <v>30</v>
      </c>
      <c r="N342" s="20"/>
      <c r="U342" s="56"/>
    </row>
    <row r="343" spans="1:21" ht="20.25" customHeight="1" x14ac:dyDescent="0.35">
      <c r="A343" s="15" t="s">
        <v>29</v>
      </c>
      <c r="C343" s="19"/>
      <c r="D343" s="34" t="str">
        <f t="shared" ref="D343" si="316">E343</f>
        <v>E100020</v>
      </c>
      <c r="E343" s="35" t="str">
        <f>"E100020"</f>
        <v>E100020</v>
      </c>
      <c r="F343" s="36" t="str">
        <f>"Flip-up Travel Alarm"</f>
        <v>Flip-up Travel Alarm</v>
      </c>
      <c r="G343" s="36"/>
      <c r="H343" s="37" t="str">
        <f>"EA"</f>
        <v>EA</v>
      </c>
      <c r="I343" s="36"/>
      <c r="J343" s="36"/>
      <c r="K343" s="36"/>
      <c r="L343" s="36"/>
      <c r="M343" s="36"/>
      <c r="N343" s="36"/>
      <c r="O343" s="38">
        <f t="shared" ref="O343:T343" si="317">(SUBTOTAL(9,O344:O346))</f>
        <v>600</v>
      </c>
      <c r="P343" s="38">
        <f t="shared" si="317"/>
        <v>-144</v>
      </c>
      <c r="Q343" s="38">
        <f t="shared" si="317"/>
        <v>0</v>
      </c>
      <c r="R343" s="38">
        <f t="shared" si="317"/>
        <v>0</v>
      </c>
      <c r="S343" s="38">
        <f t="shared" si="317"/>
        <v>0</v>
      </c>
      <c r="T343" s="38">
        <f t="shared" si="317"/>
        <v>0</v>
      </c>
      <c r="U343" s="53">
        <f t="shared" ref="U343" si="318">SUBTOTAL(9,O344:T346)</f>
        <v>456</v>
      </c>
    </row>
    <row r="344" spans="1:21" ht="17.25" customHeight="1" x14ac:dyDescent="0.3">
      <c r="A344" s="15" t="s">
        <v>29</v>
      </c>
      <c r="C344" s="19"/>
      <c r="D344" s="33" t="str">
        <f t="shared" ref="D344" si="319">D343</f>
        <v>E100020</v>
      </c>
      <c r="E344" s="33"/>
      <c r="F344" s="20"/>
      <c r="G344" s="20" t="str">
        <f>"""NAV"",""CRONUS JetCorp USA"",""32"",""1"",""167601"""</f>
        <v>"NAV","CRONUS JetCorp USA","32","1","167601"</v>
      </c>
      <c r="H344" s="39">
        <v>43466</v>
      </c>
      <c r="I344" s="40">
        <v>167601</v>
      </c>
      <c r="J344" s="40" t="str">
        <f>"Vendor"</f>
        <v>Vendor</v>
      </c>
      <c r="K344" s="40" t="str">
        <f>"V100003"</f>
        <v>V100003</v>
      </c>
      <c r="L344" s="40" t="str">
        <f>""</f>
        <v/>
      </c>
      <c r="M344" s="40" t="str">
        <f>"LogoMasters"</f>
        <v>LogoMasters</v>
      </c>
      <c r="N344" s="40" t="str">
        <f>""</f>
        <v/>
      </c>
      <c r="O344" s="41">
        <v>600</v>
      </c>
      <c r="P344" s="41">
        <v>0</v>
      </c>
      <c r="Q344" s="41">
        <v>0</v>
      </c>
      <c r="R344" s="41">
        <v>0</v>
      </c>
      <c r="S344" s="41">
        <v>0</v>
      </c>
      <c r="T344" s="41">
        <v>0</v>
      </c>
      <c r="U344" s="54"/>
    </row>
    <row r="345" spans="1:21" ht="17.25" customHeight="1" x14ac:dyDescent="0.3">
      <c r="A345" s="15" t="s">
        <v>29</v>
      </c>
      <c r="C345" s="19"/>
      <c r="D345" s="33" t="str">
        <f t="shared" ref="D345" si="320">D344</f>
        <v>E100020</v>
      </c>
      <c r="E345" s="33"/>
      <c r="F345" s="20"/>
      <c r="G345" s="20" t="str">
        <f>"""NAV"",""CRONUS JetCorp USA"",""32"",""1"",""114278"""</f>
        <v>"NAV","CRONUS JetCorp USA","32","1","114278"</v>
      </c>
      <c r="H345" s="39">
        <v>43474</v>
      </c>
      <c r="I345" s="40">
        <v>114278</v>
      </c>
      <c r="J345" s="40" t="str">
        <f>"Customer"</f>
        <v>Customer</v>
      </c>
      <c r="K345" s="40" t="str">
        <f>"C100076"</f>
        <v>C100076</v>
      </c>
      <c r="L345" s="40" t="str">
        <f>"Showmasters"</f>
        <v>Showmasters</v>
      </c>
      <c r="M345" s="40" t="str">
        <f>""</f>
        <v/>
      </c>
      <c r="N345" s="40" t="str">
        <f>""</f>
        <v/>
      </c>
      <c r="O345" s="41">
        <v>0</v>
      </c>
      <c r="P345" s="41">
        <v>-144</v>
      </c>
      <c r="Q345" s="41">
        <v>0</v>
      </c>
      <c r="R345" s="41">
        <v>0</v>
      </c>
      <c r="S345" s="41">
        <v>0</v>
      </c>
      <c r="T345" s="41">
        <v>0</v>
      </c>
      <c r="U345" s="54"/>
    </row>
    <row r="346" spans="1:21" ht="17.25" customHeight="1" x14ac:dyDescent="0.3">
      <c r="A346" s="15" t="s">
        <v>29</v>
      </c>
      <c r="C346" s="19"/>
      <c r="D346" s="33"/>
      <c r="E346" s="33"/>
      <c r="F346" s="20"/>
      <c r="G346" s="20"/>
      <c r="H346" s="20"/>
      <c r="I346" s="20"/>
      <c r="J346" s="20"/>
      <c r="K346" s="20"/>
      <c r="L346" s="20"/>
      <c r="M346" s="20"/>
      <c r="N346" s="20"/>
      <c r="O346" s="42"/>
      <c r="P346" s="42"/>
      <c r="Q346" s="42"/>
      <c r="R346" s="42"/>
      <c r="S346" s="42"/>
      <c r="T346" s="42"/>
      <c r="U346" s="55"/>
    </row>
    <row r="347" spans="1:21" ht="17.25" customHeight="1" x14ac:dyDescent="0.3">
      <c r="A347" s="15" t="s">
        <v>29</v>
      </c>
      <c r="C347" s="19"/>
      <c r="D347" s="33"/>
      <c r="E347" s="33" t="s">
        <v>30</v>
      </c>
      <c r="F347" s="20" t="s">
        <v>30</v>
      </c>
      <c r="G347" s="20" t="s">
        <v>30</v>
      </c>
      <c r="H347" s="20"/>
      <c r="I347" s="20"/>
      <c r="J347" s="20" t="s">
        <v>30</v>
      </c>
      <c r="K347" s="20" t="s">
        <v>30</v>
      </c>
      <c r="L347" s="20" t="s">
        <v>30</v>
      </c>
      <c r="M347" s="20" t="s">
        <v>30</v>
      </c>
      <c r="N347" s="20"/>
      <c r="U347" s="56"/>
    </row>
    <row r="348" spans="1:21" ht="20.25" customHeight="1" x14ac:dyDescent="0.35">
      <c r="A348" s="15" t="s">
        <v>29</v>
      </c>
      <c r="C348" s="19"/>
      <c r="D348" s="34" t="str">
        <f t="shared" ref="D348" si="321">E348</f>
        <v>E100021</v>
      </c>
      <c r="E348" s="35" t="str">
        <f>"E100021"</f>
        <v>E100021</v>
      </c>
      <c r="F348" s="36" t="str">
        <f>"Slim Travel Alarm"</f>
        <v>Slim Travel Alarm</v>
      </c>
      <c r="G348" s="36"/>
      <c r="H348" s="37" t="str">
        <f>"EA"</f>
        <v>EA</v>
      </c>
      <c r="I348" s="36"/>
      <c r="J348" s="36"/>
      <c r="K348" s="36"/>
      <c r="L348" s="36"/>
      <c r="M348" s="36"/>
      <c r="N348" s="36"/>
      <c r="O348" s="38">
        <f t="shared" ref="O348:T348" si="322">(SUBTOTAL(9,O349:O353))</f>
        <v>1000</v>
      </c>
      <c r="P348" s="38">
        <f t="shared" si="322"/>
        <v>-55</v>
      </c>
      <c r="Q348" s="38">
        <f t="shared" si="322"/>
        <v>0</v>
      </c>
      <c r="R348" s="38">
        <f t="shared" si="322"/>
        <v>0</v>
      </c>
      <c r="S348" s="38">
        <f t="shared" si="322"/>
        <v>0</v>
      </c>
      <c r="T348" s="38">
        <f t="shared" si="322"/>
        <v>0</v>
      </c>
      <c r="U348" s="53">
        <f t="shared" ref="U348" si="323">SUBTOTAL(9,O349:T353)</f>
        <v>945</v>
      </c>
    </row>
    <row r="349" spans="1:21" ht="17.25" customHeight="1" x14ac:dyDescent="0.3">
      <c r="A349" s="15" t="s">
        <v>29</v>
      </c>
      <c r="C349" s="19"/>
      <c r="D349" s="33" t="str">
        <f t="shared" ref="D349" si="324">D348</f>
        <v>E100021</v>
      </c>
      <c r="E349" s="33"/>
      <c r="F349" s="20"/>
      <c r="G349" s="20" t="str">
        <f>"""NAV"",""CRONUS JetCorp USA"",""32"",""1"",""167600"""</f>
        <v>"NAV","CRONUS JetCorp USA","32","1","167600"</v>
      </c>
      <c r="H349" s="39">
        <v>43466</v>
      </c>
      <c r="I349" s="40">
        <v>167600</v>
      </c>
      <c r="J349" s="40" t="str">
        <f>"Vendor"</f>
        <v>Vendor</v>
      </c>
      <c r="K349" s="40" t="str">
        <f>"V100003"</f>
        <v>V100003</v>
      </c>
      <c r="L349" s="40" t="str">
        <f>""</f>
        <v/>
      </c>
      <c r="M349" s="40" t="str">
        <f>"LogoMasters"</f>
        <v>LogoMasters</v>
      </c>
      <c r="N349" s="40" t="str">
        <f>""</f>
        <v/>
      </c>
      <c r="O349" s="41">
        <v>1000</v>
      </c>
      <c r="P349" s="41">
        <v>0</v>
      </c>
      <c r="Q349" s="41">
        <v>0</v>
      </c>
      <c r="R349" s="41">
        <v>0</v>
      </c>
      <c r="S349" s="41">
        <v>0</v>
      </c>
      <c r="T349" s="41">
        <v>0</v>
      </c>
      <c r="U349" s="54"/>
    </row>
    <row r="350" spans="1:21" ht="17.25" customHeight="1" x14ac:dyDescent="0.3">
      <c r="A350" s="15" t="s">
        <v>29</v>
      </c>
      <c r="C350" s="19"/>
      <c r="D350" s="33" t="str">
        <f t="shared" ref="D350:D352" si="325">D349</f>
        <v>E100021</v>
      </c>
      <c r="E350" s="33"/>
      <c r="F350" s="20"/>
      <c r="G350" s="20" t="str">
        <f>"""NAV"",""CRONUS JetCorp USA"",""32"",""1"",""7563"""</f>
        <v>"NAV","CRONUS JetCorp USA","32","1","7563"</v>
      </c>
      <c r="H350" s="39">
        <v>43469</v>
      </c>
      <c r="I350" s="40">
        <v>7563</v>
      </c>
      <c r="J350" s="40" t="str">
        <f>"Customer"</f>
        <v>Customer</v>
      </c>
      <c r="K350" s="40" t="str">
        <f>"C100030"</f>
        <v>C100030</v>
      </c>
      <c r="L350" s="40" t="str">
        <f>"Stutringers"</f>
        <v>Stutringers</v>
      </c>
      <c r="M350" s="40" t="str">
        <f>""</f>
        <v/>
      </c>
      <c r="N350" s="40" t="str">
        <f>""</f>
        <v/>
      </c>
      <c r="O350" s="41">
        <v>0</v>
      </c>
      <c r="P350" s="41">
        <v>-1</v>
      </c>
      <c r="Q350" s="41">
        <v>0</v>
      </c>
      <c r="R350" s="41">
        <v>0</v>
      </c>
      <c r="S350" s="41">
        <v>0</v>
      </c>
      <c r="T350" s="41">
        <v>0</v>
      </c>
      <c r="U350" s="54"/>
    </row>
    <row r="351" spans="1:21" ht="17.25" customHeight="1" x14ac:dyDescent="0.3">
      <c r="A351" s="15" t="s">
        <v>29</v>
      </c>
      <c r="C351" s="19"/>
      <c r="D351" s="33" t="str">
        <f t="shared" si="325"/>
        <v>E100021</v>
      </c>
      <c r="E351" s="33"/>
      <c r="F351" s="20"/>
      <c r="G351" s="20" t="str">
        <f>"""NAV"",""CRONUS JetCorp USA"",""32"",""1"",""114270"""</f>
        <v>"NAV","CRONUS JetCorp USA","32","1","114270"</v>
      </c>
      <c r="H351" s="39">
        <v>43470</v>
      </c>
      <c r="I351" s="40">
        <v>114270</v>
      </c>
      <c r="J351" s="40" t="str">
        <f>"Customer"</f>
        <v>Customer</v>
      </c>
      <c r="K351" s="40" t="str">
        <f>"C100076"</f>
        <v>C100076</v>
      </c>
      <c r="L351" s="40" t="str">
        <f>"Showmasters"</f>
        <v>Showmasters</v>
      </c>
      <c r="M351" s="40" t="str">
        <f>""</f>
        <v/>
      </c>
      <c r="N351" s="40" t="str">
        <f>""</f>
        <v/>
      </c>
      <c r="O351" s="41">
        <v>0</v>
      </c>
      <c r="P351" s="41">
        <v>-48</v>
      </c>
      <c r="Q351" s="41">
        <v>0</v>
      </c>
      <c r="R351" s="41">
        <v>0</v>
      </c>
      <c r="S351" s="41">
        <v>0</v>
      </c>
      <c r="T351" s="41">
        <v>0</v>
      </c>
      <c r="U351" s="54"/>
    </row>
    <row r="352" spans="1:21" ht="17.25" customHeight="1" x14ac:dyDescent="0.3">
      <c r="A352" s="15" t="s">
        <v>29</v>
      </c>
      <c r="C352" s="19"/>
      <c r="D352" s="33" t="str">
        <f t="shared" si="325"/>
        <v>E100021</v>
      </c>
      <c r="E352" s="33"/>
      <c r="F352" s="20"/>
      <c r="G352" s="20" t="str">
        <f>"""NAV"",""CRONUS JetCorp USA"",""32"",""1"",""114280"""</f>
        <v>"NAV","CRONUS JetCorp USA","32","1","114280"</v>
      </c>
      <c r="H352" s="39">
        <v>43474</v>
      </c>
      <c r="I352" s="40">
        <v>114280</v>
      </c>
      <c r="J352" s="40" t="str">
        <f>"Customer"</f>
        <v>Customer</v>
      </c>
      <c r="K352" s="40" t="str">
        <f>"C100076"</f>
        <v>C100076</v>
      </c>
      <c r="L352" s="40" t="str">
        <f>"Showmasters"</f>
        <v>Showmasters</v>
      </c>
      <c r="M352" s="40" t="str">
        <f>""</f>
        <v/>
      </c>
      <c r="N352" s="40" t="str">
        <f>""</f>
        <v/>
      </c>
      <c r="O352" s="41">
        <v>0</v>
      </c>
      <c r="P352" s="41">
        <v>-6</v>
      </c>
      <c r="Q352" s="41">
        <v>0</v>
      </c>
      <c r="R352" s="41">
        <v>0</v>
      </c>
      <c r="S352" s="41">
        <v>0</v>
      </c>
      <c r="T352" s="41">
        <v>0</v>
      </c>
      <c r="U352" s="54"/>
    </row>
    <row r="353" spans="1:21" ht="17.25" customHeight="1" x14ac:dyDescent="0.3">
      <c r="A353" s="15" t="s">
        <v>29</v>
      </c>
      <c r="C353" s="19"/>
      <c r="D353" s="33"/>
      <c r="E353" s="33"/>
      <c r="F353" s="20"/>
      <c r="G353" s="20"/>
      <c r="H353" s="20"/>
      <c r="I353" s="20"/>
      <c r="J353" s="20"/>
      <c r="K353" s="20"/>
      <c r="L353" s="20"/>
      <c r="M353" s="20"/>
      <c r="N353" s="20"/>
      <c r="O353" s="42"/>
      <c r="P353" s="42"/>
      <c r="Q353" s="42"/>
      <c r="R353" s="42"/>
      <c r="S353" s="42"/>
      <c r="T353" s="42"/>
      <c r="U353" s="55"/>
    </row>
    <row r="354" spans="1:21" ht="17.25" customHeight="1" x14ac:dyDescent="0.3">
      <c r="A354" s="15" t="s">
        <v>29</v>
      </c>
      <c r="C354" s="19"/>
      <c r="D354" s="33"/>
      <c r="E354" s="33" t="s">
        <v>30</v>
      </c>
      <c r="F354" s="20" t="s">
        <v>30</v>
      </c>
      <c r="G354" s="20" t="s">
        <v>30</v>
      </c>
      <c r="H354" s="20"/>
      <c r="I354" s="20"/>
      <c r="J354" s="20" t="s">
        <v>30</v>
      </c>
      <c r="K354" s="20" t="s">
        <v>30</v>
      </c>
      <c r="L354" s="20" t="s">
        <v>30</v>
      </c>
      <c r="M354" s="20" t="s">
        <v>30</v>
      </c>
      <c r="N354" s="20"/>
      <c r="U354" s="56"/>
    </row>
    <row r="355" spans="1:21" ht="20.25" customHeight="1" x14ac:dyDescent="0.35">
      <c r="A355" s="15" t="s">
        <v>29</v>
      </c>
      <c r="C355" s="19"/>
      <c r="D355" s="34" t="str">
        <f t="shared" ref="D355" si="326">E355</f>
        <v>E100022</v>
      </c>
      <c r="E355" s="35" t="str">
        <f>"E100022"</f>
        <v>E100022</v>
      </c>
      <c r="F355" s="36" t="str">
        <f>"Wide Screen Alarm Clock"</f>
        <v>Wide Screen Alarm Clock</v>
      </c>
      <c r="G355" s="36"/>
      <c r="H355" s="37" t="str">
        <f>"EA"</f>
        <v>EA</v>
      </c>
      <c r="I355" s="36"/>
      <c r="J355" s="36"/>
      <c r="K355" s="36"/>
      <c r="L355" s="36"/>
      <c r="M355" s="36"/>
      <c r="N355" s="36"/>
      <c r="O355" s="38">
        <f t="shared" ref="O355:T355" si="327">(SUBTOTAL(9,O356:O357))</f>
        <v>1800</v>
      </c>
      <c r="P355" s="38">
        <f t="shared" si="327"/>
        <v>0</v>
      </c>
      <c r="Q355" s="38">
        <f t="shared" si="327"/>
        <v>0</v>
      </c>
      <c r="R355" s="38">
        <f t="shared" si="327"/>
        <v>0</v>
      </c>
      <c r="S355" s="38">
        <f t="shared" si="327"/>
        <v>0</v>
      </c>
      <c r="T355" s="38">
        <f t="shared" si="327"/>
        <v>0</v>
      </c>
      <c r="U355" s="53">
        <f t="shared" ref="U355" si="328">SUBTOTAL(9,O356:T357)</f>
        <v>1800</v>
      </c>
    </row>
    <row r="356" spans="1:21" ht="17.25" customHeight="1" x14ac:dyDescent="0.3">
      <c r="A356" s="15" t="s">
        <v>29</v>
      </c>
      <c r="C356" s="19"/>
      <c r="D356" s="33" t="str">
        <f t="shared" ref="D356" si="329">D355</f>
        <v>E100022</v>
      </c>
      <c r="E356" s="33"/>
      <c r="F356" s="20"/>
      <c r="G356" s="20" t="str">
        <f>"""NAV"",""CRONUS JetCorp USA"",""32"",""1"",""167599"""</f>
        <v>"NAV","CRONUS JetCorp USA","32","1","167599"</v>
      </c>
      <c r="H356" s="39">
        <v>43466</v>
      </c>
      <c r="I356" s="40">
        <v>167599</v>
      </c>
      <c r="J356" s="40" t="str">
        <f>"Vendor"</f>
        <v>Vendor</v>
      </c>
      <c r="K356" s="40" t="str">
        <f>"V100003"</f>
        <v>V100003</v>
      </c>
      <c r="L356" s="40" t="str">
        <f>""</f>
        <v/>
      </c>
      <c r="M356" s="40" t="str">
        <f>"LogoMasters"</f>
        <v>LogoMasters</v>
      </c>
      <c r="N356" s="40" t="str">
        <f>""</f>
        <v/>
      </c>
      <c r="O356" s="41">
        <v>1800</v>
      </c>
      <c r="P356" s="41">
        <v>0</v>
      </c>
      <c r="Q356" s="41">
        <v>0</v>
      </c>
      <c r="R356" s="41">
        <v>0</v>
      </c>
      <c r="S356" s="41">
        <v>0</v>
      </c>
      <c r="T356" s="41">
        <v>0</v>
      </c>
      <c r="U356" s="54"/>
    </row>
    <row r="357" spans="1:21" ht="17.25" customHeight="1" x14ac:dyDescent="0.3">
      <c r="A357" s="15" t="s">
        <v>29</v>
      </c>
      <c r="C357" s="19"/>
      <c r="D357" s="33"/>
      <c r="E357" s="33"/>
      <c r="F357" s="20"/>
      <c r="G357" s="20"/>
      <c r="H357" s="20"/>
      <c r="I357" s="20"/>
      <c r="J357" s="20"/>
      <c r="K357" s="20"/>
      <c r="L357" s="20"/>
      <c r="M357" s="20"/>
      <c r="N357" s="20"/>
      <c r="O357" s="42"/>
      <c r="P357" s="42"/>
      <c r="Q357" s="42"/>
      <c r="R357" s="42"/>
      <c r="S357" s="42"/>
      <c r="T357" s="42"/>
      <c r="U357" s="55"/>
    </row>
    <row r="358" spans="1:21" ht="17.25" customHeight="1" x14ac:dyDescent="0.3">
      <c r="A358" s="15" t="s">
        <v>29</v>
      </c>
      <c r="C358" s="19"/>
      <c r="D358" s="33"/>
      <c r="E358" s="33" t="s">
        <v>30</v>
      </c>
      <c r="F358" s="20" t="s">
        <v>30</v>
      </c>
      <c r="G358" s="20" t="s">
        <v>30</v>
      </c>
      <c r="H358" s="20"/>
      <c r="I358" s="20"/>
      <c r="J358" s="20" t="s">
        <v>30</v>
      </c>
      <c r="K358" s="20" t="s">
        <v>30</v>
      </c>
      <c r="L358" s="20" t="s">
        <v>30</v>
      </c>
      <c r="M358" s="20" t="s">
        <v>30</v>
      </c>
      <c r="N358" s="20"/>
      <c r="U358" s="56"/>
    </row>
    <row r="359" spans="1:21" ht="20.25" customHeight="1" x14ac:dyDescent="0.35">
      <c r="A359" s="15" t="s">
        <v>29</v>
      </c>
      <c r="C359" s="19"/>
      <c r="D359" s="34" t="str">
        <f t="shared" ref="D359" si="330">E359</f>
        <v>E100023</v>
      </c>
      <c r="E359" s="35" t="str">
        <f>"E100023"</f>
        <v>E100023</v>
      </c>
      <c r="F359" s="36" t="str">
        <f>"Sport Earbuds"</f>
        <v>Sport Earbuds</v>
      </c>
      <c r="G359" s="36"/>
      <c r="H359" s="37" t="str">
        <f>"EA"</f>
        <v>EA</v>
      </c>
      <c r="I359" s="36"/>
      <c r="J359" s="36"/>
      <c r="K359" s="36"/>
      <c r="L359" s="36"/>
      <c r="M359" s="36"/>
      <c r="N359" s="36"/>
      <c r="O359" s="38">
        <f t="shared" ref="O359:T359" si="331">(SUBTOTAL(9,O360:O361))</f>
        <v>700</v>
      </c>
      <c r="P359" s="38">
        <f t="shared" si="331"/>
        <v>0</v>
      </c>
      <c r="Q359" s="38">
        <f t="shared" si="331"/>
        <v>0</v>
      </c>
      <c r="R359" s="38">
        <f t="shared" si="331"/>
        <v>0</v>
      </c>
      <c r="S359" s="38">
        <f t="shared" si="331"/>
        <v>0</v>
      </c>
      <c r="T359" s="38">
        <f t="shared" si="331"/>
        <v>0</v>
      </c>
      <c r="U359" s="53">
        <f t="shared" ref="U359" si="332">SUBTOTAL(9,O360:T361)</f>
        <v>700</v>
      </c>
    </row>
    <row r="360" spans="1:21" ht="17.25" customHeight="1" x14ac:dyDescent="0.3">
      <c r="A360" s="15" t="s">
        <v>29</v>
      </c>
      <c r="C360" s="19"/>
      <c r="D360" s="33" t="str">
        <f t="shared" ref="D360" si="333">D359</f>
        <v>E100023</v>
      </c>
      <c r="E360" s="33"/>
      <c r="F360" s="20"/>
      <c r="G360" s="20" t="str">
        <f>"""NAV"",""CRONUS JetCorp USA"",""32"",""1"",""168043"""</f>
        <v>"NAV","CRONUS JetCorp USA","32","1","168043"</v>
      </c>
      <c r="H360" s="39">
        <v>43466</v>
      </c>
      <c r="I360" s="40">
        <v>168043</v>
      </c>
      <c r="J360" s="40" t="str">
        <f>"Vendor"</f>
        <v>Vendor</v>
      </c>
      <c r="K360" s="40" t="str">
        <f>"V100003"</f>
        <v>V100003</v>
      </c>
      <c r="L360" s="40" t="str">
        <f>""</f>
        <v/>
      </c>
      <c r="M360" s="40" t="str">
        <f>"LogoMasters"</f>
        <v>LogoMasters</v>
      </c>
      <c r="N360" s="40" t="str">
        <f>""</f>
        <v/>
      </c>
      <c r="O360" s="41">
        <v>700</v>
      </c>
      <c r="P360" s="41">
        <v>0</v>
      </c>
      <c r="Q360" s="41">
        <v>0</v>
      </c>
      <c r="R360" s="41">
        <v>0</v>
      </c>
      <c r="S360" s="41">
        <v>0</v>
      </c>
      <c r="T360" s="41">
        <v>0</v>
      </c>
      <c r="U360" s="54"/>
    </row>
    <row r="361" spans="1:21" ht="17.25" customHeight="1" x14ac:dyDescent="0.3">
      <c r="A361" s="15" t="s">
        <v>29</v>
      </c>
      <c r="C361" s="19"/>
      <c r="D361" s="33"/>
      <c r="E361" s="33"/>
      <c r="F361" s="20"/>
      <c r="G361" s="20"/>
      <c r="H361" s="20"/>
      <c r="I361" s="20"/>
      <c r="J361" s="20"/>
      <c r="K361" s="20"/>
      <c r="L361" s="20"/>
      <c r="M361" s="20"/>
      <c r="N361" s="20"/>
      <c r="O361" s="42"/>
      <c r="P361" s="42"/>
      <c r="Q361" s="42"/>
      <c r="R361" s="42"/>
      <c r="S361" s="42"/>
      <c r="T361" s="42"/>
      <c r="U361" s="55"/>
    </row>
    <row r="362" spans="1:21" ht="17.25" customHeight="1" x14ac:dyDescent="0.3">
      <c r="A362" s="15" t="s">
        <v>29</v>
      </c>
      <c r="C362" s="19"/>
      <c r="D362" s="33"/>
      <c r="E362" s="33" t="s">
        <v>30</v>
      </c>
      <c r="F362" s="20" t="s">
        <v>30</v>
      </c>
      <c r="G362" s="20" t="s">
        <v>30</v>
      </c>
      <c r="H362" s="20"/>
      <c r="I362" s="20"/>
      <c r="J362" s="20" t="s">
        <v>30</v>
      </c>
      <c r="K362" s="20" t="s">
        <v>30</v>
      </c>
      <c r="L362" s="20" t="s">
        <v>30</v>
      </c>
      <c r="M362" s="20" t="s">
        <v>30</v>
      </c>
      <c r="N362" s="20"/>
      <c r="U362" s="56"/>
    </row>
    <row r="363" spans="1:21" ht="20.25" customHeight="1" x14ac:dyDescent="0.35">
      <c r="A363" s="15" t="s">
        <v>29</v>
      </c>
      <c r="C363" s="19"/>
      <c r="D363" s="34" t="str">
        <f t="shared" ref="D363" si="334">E363</f>
        <v>E100024</v>
      </c>
      <c r="E363" s="35" t="str">
        <f>"E100024"</f>
        <v>E100024</v>
      </c>
      <c r="F363" s="36" t="str">
        <f>"Arch Calculator"</f>
        <v>Arch Calculator</v>
      </c>
      <c r="G363" s="36"/>
      <c r="H363" s="37" t="str">
        <f>"EA"</f>
        <v>EA</v>
      </c>
      <c r="I363" s="36"/>
      <c r="J363" s="36"/>
      <c r="K363" s="36"/>
      <c r="L363" s="36"/>
      <c r="M363" s="36"/>
      <c r="N363" s="36"/>
      <c r="O363" s="38">
        <f t="shared" ref="O363:T363" si="335">(SUBTOTAL(9,O364:O366))</f>
        <v>249.99999999999997</v>
      </c>
      <c r="P363" s="38">
        <f t="shared" si="335"/>
        <v>12</v>
      </c>
      <c r="Q363" s="38">
        <f t="shared" si="335"/>
        <v>0</v>
      </c>
      <c r="R363" s="38">
        <f t="shared" si="335"/>
        <v>0</v>
      </c>
      <c r="S363" s="38">
        <f t="shared" si="335"/>
        <v>0</v>
      </c>
      <c r="T363" s="38">
        <f t="shared" si="335"/>
        <v>0</v>
      </c>
      <c r="U363" s="53">
        <f t="shared" ref="U363" si="336">SUBTOTAL(9,O364:T366)</f>
        <v>262</v>
      </c>
    </row>
    <row r="364" spans="1:21" ht="17.25" customHeight="1" x14ac:dyDescent="0.3">
      <c r="A364" s="15" t="s">
        <v>29</v>
      </c>
      <c r="C364" s="19"/>
      <c r="D364" s="33" t="str">
        <f t="shared" ref="D364" si="337">D363</f>
        <v>E100024</v>
      </c>
      <c r="E364" s="33"/>
      <c r="F364" s="20"/>
      <c r="G364" s="20" t="str">
        <f>"""NAV"",""CRONUS JetCorp USA"",""32"",""1"",""168359"""</f>
        <v>"NAV","CRONUS JetCorp USA","32","1","168359"</v>
      </c>
      <c r="H364" s="39">
        <v>43466</v>
      </c>
      <c r="I364" s="40">
        <v>168359</v>
      </c>
      <c r="J364" s="40" t="str">
        <f>"Vendor"</f>
        <v>Vendor</v>
      </c>
      <c r="K364" s="40" t="str">
        <f>"V100003"</f>
        <v>V100003</v>
      </c>
      <c r="L364" s="40" t="str">
        <f>""</f>
        <v/>
      </c>
      <c r="M364" s="40" t="str">
        <f>"LogoMasters"</f>
        <v>LogoMasters</v>
      </c>
      <c r="N364" s="40" t="str">
        <f>""</f>
        <v/>
      </c>
      <c r="O364" s="41">
        <v>249.99999999999997</v>
      </c>
      <c r="P364" s="41">
        <v>0</v>
      </c>
      <c r="Q364" s="41">
        <v>0</v>
      </c>
      <c r="R364" s="41">
        <v>0</v>
      </c>
      <c r="S364" s="41">
        <v>0</v>
      </c>
      <c r="T364" s="41">
        <v>0</v>
      </c>
      <c r="U364" s="54"/>
    </row>
    <row r="365" spans="1:21" ht="17.25" customHeight="1" x14ac:dyDescent="0.3">
      <c r="A365" s="15" t="s">
        <v>29</v>
      </c>
      <c r="C365" s="19"/>
      <c r="D365" s="33" t="str">
        <f t="shared" ref="D365" si="338">D364</f>
        <v>E100024</v>
      </c>
      <c r="E365" s="33"/>
      <c r="F365" s="20"/>
      <c r="G365" s="20" t="str">
        <f>"""NAV"",""CRONUS JetCorp USA"",""32"",""1"",""158691"""</f>
        <v>"NAV","CRONUS JetCorp USA","32","1","158691"</v>
      </c>
      <c r="H365" s="39">
        <v>43471</v>
      </c>
      <c r="I365" s="40">
        <v>158691</v>
      </c>
      <c r="J365" s="40" t="str">
        <f>"Customer"</f>
        <v>Customer</v>
      </c>
      <c r="K365" s="40" t="str">
        <f>"C100126"</f>
        <v>C100126</v>
      </c>
      <c r="L365" s="40" t="str">
        <f>"Moveex"</f>
        <v>Moveex</v>
      </c>
      <c r="M365" s="40" t="str">
        <f>""</f>
        <v/>
      </c>
      <c r="N365" s="40" t="str">
        <f>""</f>
        <v/>
      </c>
      <c r="O365" s="41">
        <v>0</v>
      </c>
      <c r="P365" s="41">
        <v>12</v>
      </c>
      <c r="Q365" s="41">
        <v>0</v>
      </c>
      <c r="R365" s="41">
        <v>0</v>
      </c>
      <c r="S365" s="41">
        <v>0</v>
      </c>
      <c r="T365" s="41">
        <v>0</v>
      </c>
      <c r="U365" s="54"/>
    </row>
    <row r="366" spans="1:21" ht="17.25" customHeight="1" x14ac:dyDescent="0.3">
      <c r="A366" s="15" t="s">
        <v>29</v>
      </c>
      <c r="C366" s="19"/>
      <c r="D366" s="33"/>
      <c r="E366" s="33"/>
      <c r="F366" s="20"/>
      <c r="G366" s="20"/>
      <c r="H366" s="20"/>
      <c r="I366" s="20"/>
      <c r="J366" s="20"/>
      <c r="K366" s="20"/>
      <c r="L366" s="20"/>
      <c r="M366" s="20"/>
      <c r="N366" s="20"/>
      <c r="O366" s="42"/>
      <c r="P366" s="42"/>
      <c r="Q366" s="42"/>
      <c r="R366" s="42"/>
      <c r="S366" s="42"/>
      <c r="T366" s="42"/>
      <c r="U366" s="55"/>
    </row>
    <row r="367" spans="1:21" ht="17.25" customHeight="1" x14ac:dyDescent="0.3">
      <c r="A367" s="15" t="s">
        <v>29</v>
      </c>
      <c r="C367" s="19"/>
      <c r="D367" s="33"/>
      <c r="E367" s="33" t="s">
        <v>30</v>
      </c>
      <c r="F367" s="20" t="s">
        <v>30</v>
      </c>
      <c r="G367" s="20" t="s">
        <v>30</v>
      </c>
      <c r="H367" s="20"/>
      <c r="I367" s="20"/>
      <c r="J367" s="20" t="s">
        <v>30</v>
      </c>
      <c r="K367" s="20" t="s">
        <v>30</v>
      </c>
      <c r="L367" s="20" t="s">
        <v>30</v>
      </c>
      <c r="M367" s="20" t="s">
        <v>30</v>
      </c>
      <c r="N367" s="20"/>
      <c r="U367" s="56"/>
    </row>
    <row r="368" spans="1:21" ht="20.25" customHeight="1" x14ac:dyDescent="0.35">
      <c r="A368" s="15" t="s">
        <v>29</v>
      </c>
      <c r="C368" s="19"/>
      <c r="D368" s="34" t="str">
        <f t="shared" ref="D368" si="339">E368</f>
        <v>E100025</v>
      </c>
      <c r="E368" s="35" t="str">
        <f>"E100025"</f>
        <v>E100025</v>
      </c>
      <c r="F368" s="36" t="str">
        <f>"Calc-U-Note"</f>
        <v>Calc-U-Note</v>
      </c>
      <c r="G368" s="36"/>
      <c r="H368" s="37" t="str">
        <f>"EA"</f>
        <v>EA</v>
      </c>
      <c r="I368" s="36"/>
      <c r="J368" s="36"/>
      <c r="K368" s="36"/>
      <c r="L368" s="36"/>
      <c r="M368" s="36"/>
      <c r="N368" s="36"/>
      <c r="O368" s="38">
        <f t="shared" ref="O368:T368" si="340">(SUBTOTAL(9,O369:O370))</f>
        <v>1250</v>
      </c>
      <c r="P368" s="38">
        <f t="shared" si="340"/>
        <v>0</v>
      </c>
      <c r="Q368" s="38">
        <f t="shared" si="340"/>
        <v>0</v>
      </c>
      <c r="R368" s="38">
        <f t="shared" si="340"/>
        <v>0</v>
      </c>
      <c r="S368" s="38">
        <f t="shared" si="340"/>
        <v>0</v>
      </c>
      <c r="T368" s="38">
        <f t="shared" si="340"/>
        <v>0</v>
      </c>
      <c r="U368" s="53">
        <f t="shared" ref="U368" si="341">SUBTOTAL(9,O369:T370)</f>
        <v>1250</v>
      </c>
    </row>
    <row r="369" spans="1:21" ht="17.25" customHeight="1" x14ac:dyDescent="0.3">
      <c r="A369" s="15" t="s">
        <v>29</v>
      </c>
      <c r="C369" s="19"/>
      <c r="D369" s="33" t="str">
        <f t="shared" ref="D369" si="342">D368</f>
        <v>E100025</v>
      </c>
      <c r="E369" s="33"/>
      <c r="F369" s="20"/>
      <c r="G369" s="20" t="str">
        <f>"""NAV"",""CRONUS JetCorp USA"",""32"",""1"",""168358"""</f>
        <v>"NAV","CRONUS JetCorp USA","32","1","168358"</v>
      </c>
      <c r="H369" s="39">
        <v>43466</v>
      </c>
      <c r="I369" s="40">
        <v>168358</v>
      </c>
      <c r="J369" s="40" t="str">
        <f>"Vendor"</f>
        <v>Vendor</v>
      </c>
      <c r="K369" s="40" t="str">
        <f>"V100003"</f>
        <v>V100003</v>
      </c>
      <c r="L369" s="40" t="str">
        <f>""</f>
        <v/>
      </c>
      <c r="M369" s="40" t="str">
        <f>"LogoMasters"</f>
        <v>LogoMasters</v>
      </c>
      <c r="N369" s="40" t="str">
        <f>""</f>
        <v/>
      </c>
      <c r="O369" s="41">
        <v>1250</v>
      </c>
      <c r="P369" s="41">
        <v>0</v>
      </c>
      <c r="Q369" s="41">
        <v>0</v>
      </c>
      <c r="R369" s="41">
        <v>0</v>
      </c>
      <c r="S369" s="41">
        <v>0</v>
      </c>
      <c r="T369" s="41">
        <v>0</v>
      </c>
      <c r="U369" s="54"/>
    </row>
    <row r="370" spans="1:21" ht="17.25" customHeight="1" x14ac:dyDescent="0.3">
      <c r="A370" s="15" t="s">
        <v>29</v>
      </c>
      <c r="C370" s="19"/>
      <c r="D370" s="33"/>
      <c r="E370" s="33"/>
      <c r="F370" s="20"/>
      <c r="G370" s="20"/>
      <c r="H370" s="20"/>
      <c r="I370" s="20"/>
      <c r="J370" s="20"/>
      <c r="K370" s="20"/>
      <c r="L370" s="20"/>
      <c r="M370" s="20"/>
      <c r="N370" s="20"/>
      <c r="O370" s="42"/>
      <c r="P370" s="42"/>
      <c r="Q370" s="42"/>
      <c r="R370" s="42"/>
      <c r="S370" s="42"/>
      <c r="T370" s="42"/>
      <c r="U370" s="55"/>
    </row>
    <row r="371" spans="1:21" ht="17.25" customHeight="1" x14ac:dyDescent="0.3">
      <c r="A371" s="15" t="s">
        <v>29</v>
      </c>
      <c r="C371" s="19"/>
      <c r="D371" s="33"/>
      <c r="E371" s="33" t="s">
        <v>30</v>
      </c>
      <c r="F371" s="20" t="s">
        <v>30</v>
      </c>
      <c r="G371" s="20" t="s">
        <v>30</v>
      </c>
      <c r="H371" s="20"/>
      <c r="I371" s="20"/>
      <c r="J371" s="20" t="s">
        <v>30</v>
      </c>
      <c r="K371" s="20" t="s">
        <v>30</v>
      </c>
      <c r="L371" s="20" t="s">
        <v>30</v>
      </c>
      <c r="M371" s="20" t="s">
        <v>30</v>
      </c>
      <c r="N371" s="20"/>
      <c r="U371" s="56"/>
    </row>
    <row r="372" spans="1:21" ht="20.25" customHeight="1" x14ac:dyDescent="0.35">
      <c r="A372" s="15" t="s">
        <v>29</v>
      </c>
      <c r="C372" s="19"/>
      <c r="D372" s="34" t="str">
        <f t="shared" ref="D372" si="343">E372</f>
        <v>E100026</v>
      </c>
      <c r="E372" s="35" t="str">
        <f>"E100026"</f>
        <v>E100026</v>
      </c>
      <c r="F372" s="36" t="str">
        <f>"Desk Calculator"</f>
        <v>Desk Calculator</v>
      </c>
      <c r="G372" s="36"/>
      <c r="H372" s="37" t="str">
        <f>"EA"</f>
        <v>EA</v>
      </c>
      <c r="I372" s="36"/>
      <c r="J372" s="36"/>
      <c r="K372" s="36"/>
      <c r="L372" s="36"/>
      <c r="M372" s="36"/>
      <c r="N372" s="36"/>
      <c r="O372" s="38">
        <f t="shared" ref="O372:T372" si="344">(SUBTOTAL(9,O373:O374))</f>
        <v>499.99999999999994</v>
      </c>
      <c r="P372" s="38">
        <f t="shared" si="344"/>
        <v>0</v>
      </c>
      <c r="Q372" s="38">
        <f t="shared" si="344"/>
        <v>0</v>
      </c>
      <c r="R372" s="38">
        <f t="shared" si="344"/>
        <v>0</v>
      </c>
      <c r="S372" s="38">
        <f t="shared" si="344"/>
        <v>0</v>
      </c>
      <c r="T372" s="38">
        <f t="shared" si="344"/>
        <v>0</v>
      </c>
      <c r="U372" s="53">
        <f t="shared" ref="U372" si="345">SUBTOTAL(9,O373:T374)</f>
        <v>499.99999999999994</v>
      </c>
    </row>
    <row r="373" spans="1:21" ht="17.25" customHeight="1" x14ac:dyDescent="0.3">
      <c r="A373" s="15" t="s">
        <v>29</v>
      </c>
      <c r="C373" s="19"/>
      <c r="D373" s="33" t="str">
        <f t="shared" ref="D373" si="346">D372</f>
        <v>E100026</v>
      </c>
      <c r="E373" s="33"/>
      <c r="F373" s="20"/>
      <c r="G373" s="20" t="str">
        <f>"""NAV"",""CRONUS JetCorp USA"",""32"",""1"",""168357"""</f>
        <v>"NAV","CRONUS JetCorp USA","32","1","168357"</v>
      </c>
      <c r="H373" s="39">
        <v>43466</v>
      </c>
      <c r="I373" s="40">
        <v>168357</v>
      </c>
      <c r="J373" s="40" t="str">
        <f>"Vendor"</f>
        <v>Vendor</v>
      </c>
      <c r="K373" s="40" t="str">
        <f>"V100003"</f>
        <v>V100003</v>
      </c>
      <c r="L373" s="40" t="str">
        <f>""</f>
        <v/>
      </c>
      <c r="M373" s="40" t="str">
        <f>"LogoMasters"</f>
        <v>LogoMasters</v>
      </c>
      <c r="N373" s="40" t="str">
        <f>""</f>
        <v/>
      </c>
      <c r="O373" s="41">
        <v>499.99999999999994</v>
      </c>
      <c r="P373" s="41">
        <v>0</v>
      </c>
      <c r="Q373" s="41">
        <v>0</v>
      </c>
      <c r="R373" s="41">
        <v>0</v>
      </c>
      <c r="S373" s="41">
        <v>0</v>
      </c>
      <c r="T373" s="41">
        <v>0</v>
      </c>
      <c r="U373" s="54"/>
    </row>
    <row r="374" spans="1:21" ht="17.25" customHeight="1" x14ac:dyDescent="0.3">
      <c r="A374" s="15" t="s">
        <v>29</v>
      </c>
      <c r="C374" s="19"/>
      <c r="D374" s="33"/>
      <c r="E374" s="33"/>
      <c r="F374" s="20"/>
      <c r="G374" s="20"/>
      <c r="H374" s="20"/>
      <c r="I374" s="20"/>
      <c r="J374" s="20"/>
      <c r="K374" s="20"/>
      <c r="L374" s="20"/>
      <c r="M374" s="20"/>
      <c r="N374" s="20"/>
      <c r="O374" s="42"/>
      <c r="P374" s="42"/>
      <c r="Q374" s="42"/>
      <c r="R374" s="42"/>
      <c r="S374" s="42"/>
      <c r="T374" s="42"/>
      <c r="U374" s="55"/>
    </row>
    <row r="375" spans="1:21" ht="17.25" customHeight="1" x14ac:dyDescent="0.3">
      <c r="A375" s="15" t="s">
        <v>29</v>
      </c>
      <c r="C375" s="19"/>
      <c r="D375" s="33"/>
      <c r="E375" s="33" t="s">
        <v>30</v>
      </c>
      <c r="F375" s="20" t="s">
        <v>30</v>
      </c>
      <c r="G375" s="20" t="s">
        <v>30</v>
      </c>
      <c r="H375" s="20"/>
      <c r="I375" s="20"/>
      <c r="J375" s="20" t="s">
        <v>30</v>
      </c>
      <c r="K375" s="20" t="s">
        <v>30</v>
      </c>
      <c r="L375" s="20" t="s">
        <v>30</v>
      </c>
      <c r="M375" s="20" t="s">
        <v>30</v>
      </c>
      <c r="N375" s="20"/>
      <c r="U375" s="56"/>
    </row>
    <row r="376" spans="1:21" ht="20.25" customHeight="1" x14ac:dyDescent="0.35">
      <c r="A376" s="15" t="s">
        <v>29</v>
      </c>
      <c r="C376" s="19"/>
      <c r="D376" s="34" t="str">
        <f t="shared" ref="D376" si="347">E376</f>
        <v>E100027</v>
      </c>
      <c r="E376" s="35" t="str">
        <f>"E100027"</f>
        <v>E100027</v>
      </c>
      <c r="F376" s="36" t="str">
        <f>"Ergo-Calculator"</f>
        <v>Ergo-Calculator</v>
      </c>
      <c r="G376" s="36"/>
      <c r="H376" s="37" t="str">
        <f>"EA"</f>
        <v>EA</v>
      </c>
      <c r="I376" s="36"/>
      <c r="J376" s="36"/>
      <c r="K376" s="36"/>
      <c r="L376" s="36"/>
      <c r="M376" s="36"/>
      <c r="N376" s="36"/>
      <c r="O376" s="38">
        <f t="shared" ref="O376:T376" si="348">(SUBTOTAL(9,O377:O378))</f>
        <v>750</v>
      </c>
      <c r="P376" s="38">
        <f t="shared" si="348"/>
        <v>0</v>
      </c>
      <c r="Q376" s="38">
        <f t="shared" si="348"/>
        <v>0</v>
      </c>
      <c r="R376" s="38">
        <f t="shared" si="348"/>
        <v>0</v>
      </c>
      <c r="S376" s="38">
        <f t="shared" si="348"/>
        <v>0</v>
      </c>
      <c r="T376" s="38">
        <f t="shared" si="348"/>
        <v>0</v>
      </c>
      <c r="U376" s="53">
        <f t="shared" ref="U376" si="349">SUBTOTAL(9,O377:T378)</f>
        <v>750</v>
      </c>
    </row>
    <row r="377" spans="1:21" ht="17.25" customHeight="1" x14ac:dyDescent="0.3">
      <c r="A377" s="15" t="s">
        <v>29</v>
      </c>
      <c r="C377" s="19"/>
      <c r="D377" s="33" t="str">
        <f t="shared" ref="D377" si="350">D376</f>
        <v>E100027</v>
      </c>
      <c r="E377" s="33"/>
      <c r="F377" s="20"/>
      <c r="G377" s="20" t="str">
        <f>"""NAV"",""CRONUS JetCorp USA"",""32"",""1"",""168356"""</f>
        <v>"NAV","CRONUS JetCorp USA","32","1","168356"</v>
      </c>
      <c r="H377" s="39">
        <v>43466</v>
      </c>
      <c r="I377" s="40">
        <v>168356</v>
      </c>
      <c r="J377" s="40" t="str">
        <f>"Vendor"</f>
        <v>Vendor</v>
      </c>
      <c r="K377" s="40" t="str">
        <f>"V100003"</f>
        <v>V100003</v>
      </c>
      <c r="L377" s="40" t="str">
        <f>""</f>
        <v/>
      </c>
      <c r="M377" s="40" t="str">
        <f>"LogoMasters"</f>
        <v>LogoMasters</v>
      </c>
      <c r="N377" s="40" t="str">
        <f>""</f>
        <v/>
      </c>
      <c r="O377" s="41">
        <v>750</v>
      </c>
      <c r="P377" s="41">
        <v>0</v>
      </c>
      <c r="Q377" s="41">
        <v>0</v>
      </c>
      <c r="R377" s="41">
        <v>0</v>
      </c>
      <c r="S377" s="41">
        <v>0</v>
      </c>
      <c r="T377" s="41">
        <v>0</v>
      </c>
      <c r="U377" s="54"/>
    </row>
    <row r="378" spans="1:21" ht="17.25" customHeight="1" x14ac:dyDescent="0.3">
      <c r="A378" s="15" t="s">
        <v>29</v>
      </c>
      <c r="C378" s="19"/>
      <c r="D378" s="33"/>
      <c r="E378" s="33"/>
      <c r="F378" s="20"/>
      <c r="G378" s="20"/>
      <c r="H378" s="20"/>
      <c r="I378" s="20"/>
      <c r="J378" s="20"/>
      <c r="K378" s="20"/>
      <c r="L378" s="20"/>
      <c r="M378" s="20"/>
      <c r="N378" s="20"/>
      <c r="O378" s="42"/>
      <c r="P378" s="42"/>
      <c r="Q378" s="42"/>
      <c r="R378" s="42"/>
      <c r="S378" s="42"/>
      <c r="T378" s="42"/>
      <c r="U378" s="55"/>
    </row>
    <row r="379" spans="1:21" ht="17.25" customHeight="1" x14ac:dyDescent="0.3">
      <c r="A379" s="15" t="s">
        <v>29</v>
      </c>
      <c r="C379" s="19"/>
      <c r="D379" s="33"/>
      <c r="E379" s="33" t="s">
        <v>30</v>
      </c>
      <c r="F379" s="20" t="s">
        <v>30</v>
      </c>
      <c r="G379" s="20" t="s">
        <v>30</v>
      </c>
      <c r="H379" s="20"/>
      <c r="I379" s="20"/>
      <c r="J379" s="20" t="s">
        <v>30</v>
      </c>
      <c r="K379" s="20" t="s">
        <v>30</v>
      </c>
      <c r="L379" s="20" t="s">
        <v>30</v>
      </c>
      <c r="M379" s="20" t="s">
        <v>30</v>
      </c>
      <c r="N379" s="20"/>
      <c r="U379" s="56"/>
    </row>
    <row r="380" spans="1:21" ht="20.25" customHeight="1" x14ac:dyDescent="0.35">
      <c r="A380" s="15" t="s">
        <v>29</v>
      </c>
      <c r="C380" s="19"/>
      <c r="D380" s="34" t="str">
        <f t="shared" ref="D380" si="351">E380</f>
        <v>E100028</v>
      </c>
      <c r="E380" s="35" t="str">
        <f>"E100028"</f>
        <v>E100028</v>
      </c>
      <c r="F380" s="36" t="str">
        <f>"USB 4-Port Hub"</f>
        <v>USB 4-Port Hub</v>
      </c>
      <c r="G380" s="36"/>
      <c r="H380" s="37" t="str">
        <f>"EA"</f>
        <v>EA</v>
      </c>
      <c r="I380" s="36"/>
      <c r="J380" s="36"/>
      <c r="K380" s="36"/>
      <c r="L380" s="36"/>
      <c r="M380" s="36"/>
      <c r="N380" s="36"/>
      <c r="O380" s="38">
        <f t="shared" ref="O380:T380" si="352">(SUBTOTAL(9,O381:O382))</f>
        <v>499.99999999999994</v>
      </c>
      <c r="P380" s="38">
        <f t="shared" si="352"/>
        <v>0</v>
      </c>
      <c r="Q380" s="38">
        <f t="shared" si="352"/>
        <v>0</v>
      </c>
      <c r="R380" s="38">
        <f t="shared" si="352"/>
        <v>0</v>
      </c>
      <c r="S380" s="38">
        <f t="shared" si="352"/>
        <v>0</v>
      </c>
      <c r="T380" s="38">
        <f t="shared" si="352"/>
        <v>0</v>
      </c>
      <c r="U380" s="53">
        <f t="shared" ref="U380" si="353">SUBTOTAL(9,O381:T382)</f>
        <v>499.99999999999994</v>
      </c>
    </row>
    <row r="381" spans="1:21" ht="17.25" customHeight="1" x14ac:dyDescent="0.3">
      <c r="A381" s="15" t="s">
        <v>29</v>
      </c>
      <c r="C381" s="19"/>
      <c r="D381" s="33" t="str">
        <f t="shared" ref="D381" si="354">D380</f>
        <v>E100028</v>
      </c>
      <c r="E381" s="33"/>
      <c r="F381" s="20"/>
      <c r="G381" s="20" t="str">
        <f>"""NAV"",""CRONUS JetCorp USA"",""32"",""1"",""168355"""</f>
        <v>"NAV","CRONUS JetCorp USA","32","1","168355"</v>
      </c>
      <c r="H381" s="39">
        <v>43466</v>
      </c>
      <c r="I381" s="40">
        <v>168355</v>
      </c>
      <c r="J381" s="40" t="str">
        <f>"Vendor"</f>
        <v>Vendor</v>
      </c>
      <c r="K381" s="40" t="str">
        <f>"V100003"</f>
        <v>V100003</v>
      </c>
      <c r="L381" s="40" t="str">
        <f>""</f>
        <v/>
      </c>
      <c r="M381" s="40" t="str">
        <f>"LogoMasters"</f>
        <v>LogoMasters</v>
      </c>
      <c r="N381" s="40" t="str">
        <f>""</f>
        <v/>
      </c>
      <c r="O381" s="41">
        <v>499.99999999999994</v>
      </c>
      <c r="P381" s="41">
        <v>0</v>
      </c>
      <c r="Q381" s="41">
        <v>0</v>
      </c>
      <c r="R381" s="41">
        <v>0</v>
      </c>
      <c r="S381" s="41">
        <v>0</v>
      </c>
      <c r="T381" s="41">
        <v>0</v>
      </c>
      <c r="U381" s="54"/>
    </row>
    <row r="382" spans="1:21" ht="17.25" customHeight="1" x14ac:dyDescent="0.3">
      <c r="A382" s="15" t="s">
        <v>29</v>
      </c>
      <c r="C382" s="19"/>
      <c r="D382" s="33"/>
      <c r="E382" s="33"/>
      <c r="F382" s="20"/>
      <c r="G382" s="20"/>
      <c r="H382" s="20"/>
      <c r="I382" s="20"/>
      <c r="J382" s="20"/>
      <c r="K382" s="20"/>
      <c r="L382" s="20"/>
      <c r="M382" s="20"/>
      <c r="N382" s="20"/>
      <c r="O382" s="42"/>
      <c r="P382" s="42"/>
      <c r="Q382" s="42"/>
      <c r="R382" s="42"/>
      <c r="S382" s="42"/>
      <c r="T382" s="42"/>
      <c r="U382" s="55"/>
    </row>
    <row r="383" spans="1:21" ht="17.25" customHeight="1" x14ac:dyDescent="0.3">
      <c r="A383" s="15" t="s">
        <v>29</v>
      </c>
      <c r="C383" s="19"/>
      <c r="D383" s="33"/>
      <c r="E383" s="33" t="s">
        <v>30</v>
      </c>
      <c r="F383" s="20" t="s">
        <v>30</v>
      </c>
      <c r="G383" s="20" t="s">
        <v>30</v>
      </c>
      <c r="H383" s="20"/>
      <c r="I383" s="20"/>
      <c r="J383" s="20" t="s">
        <v>30</v>
      </c>
      <c r="K383" s="20" t="s">
        <v>30</v>
      </c>
      <c r="L383" s="20" t="s">
        <v>30</v>
      </c>
      <c r="M383" s="20" t="s">
        <v>30</v>
      </c>
      <c r="N383" s="20"/>
      <c r="U383" s="56"/>
    </row>
    <row r="384" spans="1:21" ht="20.25" customHeight="1" x14ac:dyDescent="0.35">
      <c r="A384" s="15" t="s">
        <v>29</v>
      </c>
      <c r="C384" s="19"/>
      <c r="D384" s="34" t="str">
        <f t="shared" ref="D384" si="355">E384</f>
        <v>E100029</v>
      </c>
      <c r="E384" s="35" t="str">
        <f>"E100029"</f>
        <v>E100029</v>
      </c>
      <c r="F384" s="36" t="str">
        <f>"LED Flex Light"</f>
        <v>LED Flex Light</v>
      </c>
      <c r="G384" s="36"/>
      <c r="H384" s="37" t="str">
        <f>"EA"</f>
        <v>EA</v>
      </c>
      <c r="I384" s="36"/>
      <c r="J384" s="36"/>
      <c r="K384" s="36"/>
      <c r="L384" s="36"/>
      <c r="M384" s="36"/>
      <c r="N384" s="36"/>
      <c r="O384" s="38">
        <f t="shared" ref="O384:T384" si="356">(SUBTOTAL(9,O385:O386))</f>
        <v>1250</v>
      </c>
      <c r="P384" s="38">
        <f t="shared" si="356"/>
        <v>0</v>
      </c>
      <c r="Q384" s="38">
        <f t="shared" si="356"/>
        <v>0</v>
      </c>
      <c r="R384" s="38">
        <f t="shared" si="356"/>
        <v>0</v>
      </c>
      <c r="S384" s="38">
        <f t="shared" si="356"/>
        <v>0</v>
      </c>
      <c r="T384" s="38">
        <f t="shared" si="356"/>
        <v>0</v>
      </c>
      <c r="U384" s="53">
        <f t="shared" ref="U384" si="357">SUBTOTAL(9,O385:T386)</f>
        <v>1250</v>
      </c>
    </row>
    <row r="385" spans="1:21" ht="17.25" customHeight="1" x14ac:dyDescent="0.3">
      <c r="A385" s="15" t="s">
        <v>29</v>
      </c>
      <c r="C385" s="19"/>
      <c r="D385" s="33" t="str">
        <f t="shared" ref="D385" si="358">D384</f>
        <v>E100029</v>
      </c>
      <c r="E385" s="33"/>
      <c r="F385" s="20"/>
      <c r="G385" s="20" t="str">
        <f>"""NAV"",""CRONUS JetCorp USA"",""32"",""1"",""168354"""</f>
        <v>"NAV","CRONUS JetCorp USA","32","1","168354"</v>
      </c>
      <c r="H385" s="39">
        <v>43466</v>
      </c>
      <c r="I385" s="40">
        <v>168354</v>
      </c>
      <c r="J385" s="40" t="str">
        <f>"Vendor"</f>
        <v>Vendor</v>
      </c>
      <c r="K385" s="40" t="str">
        <f>"V100003"</f>
        <v>V100003</v>
      </c>
      <c r="L385" s="40" t="str">
        <f>""</f>
        <v/>
      </c>
      <c r="M385" s="40" t="str">
        <f>"LogoMasters"</f>
        <v>LogoMasters</v>
      </c>
      <c r="N385" s="40" t="str">
        <f>""</f>
        <v/>
      </c>
      <c r="O385" s="41">
        <v>1250</v>
      </c>
      <c r="P385" s="41">
        <v>0</v>
      </c>
      <c r="Q385" s="41">
        <v>0</v>
      </c>
      <c r="R385" s="41">
        <v>0</v>
      </c>
      <c r="S385" s="41">
        <v>0</v>
      </c>
      <c r="T385" s="41">
        <v>0</v>
      </c>
      <c r="U385" s="54"/>
    </row>
    <row r="386" spans="1:21" ht="17.25" customHeight="1" x14ac:dyDescent="0.3">
      <c r="A386" s="15" t="s">
        <v>29</v>
      </c>
      <c r="C386" s="19"/>
      <c r="D386" s="33"/>
      <c r="E386" s="33"/>
      <c r="F386" s="20"/>
      <c r="G386" s="20"/>
      <c r="H386" s="20"/>
      <c r="I386" s="20"/>
      <c r="J386" s="20"/>
      <c r="K386" s="20"/>
      <c r="L386" s="20"/>
      <c r="M386" s="20"/>
      <c r="N386" s="20"/>
      <c r="O386" s="42"/>
      <c r="P386" s="42"/>
      <c r="Q386" s="42"/>
      <c r="R386" s="42"/>
      <c r="S386" s="42"/>
      <c r="T386" s="42"/>
      <c r="U386" s="55"/>
    </row>
    <row r="387" spans="1:21" ht="17.25" customHeight="1" x14ac:dyDescent="0.3">
      <c r="A387" s="15" t="s">
        <v>29</v>
      </c>
      <c r="C387" s="19"/>
      <c r="D387" s="33"/>
      <c r="E387" s="33" t="s">
        <v>30</v>
      </c>
      <c r="F387" s="20" t="s">
        <v>30</v>
      </c>
      <c r="G387" s="20" t="s">
        <v>30</v>
      </c>
      <c r="H387" s="20"/>
      <c r="I387" s="20"/>
      <c r="J387" s="20" t="s">
        <v>30</v>
      </c>
      <c r="K387" s="20" t="s">
        <v>30</v>
      </c>
      <c r="L387" s="20" t="s">
        <v>30</v>
      </c>
      <c r="M387" s="20" t="s">
        <v>30</v>
      </c>
      <c r="N387" s="20"/>
      <c r="U387" s="56"/>
    </row>
    <row r="388" spans="1:21" ht="20.25" customHeight="1" x14ac:dyDescent="0.35">
      <c r="A388" s="15" t="s">
        <v>29</v>
      </c>
      <c r="C388" s="19"/>
      <c r="D388" s="34" t="str">
        <f t="shared" ref="D388" si="359">E388</f>
        <v>E100030</v>
      </c>
      <c r="E388" s="35" t="str">
        <f>"E100030"</f>
        <v>E100030</v>
      </c>
      <c r="F388" s="36" t="str">
        <f>"LED Keychain"</f>
        <v>LED Keychain</v>
      </c>
      <c r="G388" s="36"/>
      <c r="H388" s="37" t="str">
        <f>"EA"</f>
        <v>EA</v>
      </c>
      <c r="I388" s="36"/>
      <c r="J388" s="36"/>
      <c r="K388" s="36"/>
      <c r="L388" s="36"/>
      <c r="M388" s="36"/>
      <c r="N388" s="36"/>
      <c r="O388" s="38">
        <f t="shared" ref="O388:T388" si="360">(SUBTOTAL(9,O389:O390))</f>
        <v>499.99999999999994</v>
      </c>
      <c r="P388" s="38">
        <f t="shared" si="360"/>
        <v>0</v>
      </c>
      <c r="Q388" s="38">
        <f t="shared" si="360"/>
        <v>0</v>
      </c>
      <c r="R388" s="38">
        <f t="shared" si="360"/>
        <v>0</v>
      </c>
      <c r="S388" s="38">
        <f t="shared" si="360"/>
        <v>0</v>
      </c>
      <c r="T388" s="38">
        <f t="shared" si="360"/>
        <v>0</v>
      </c>
      <c r="U388" s="53">
        <f t="shared" ref="U388" si="361">SUBTOTAL(9,O389:T390)</f>
        <v>499.99999999999994</v>
      </c>
    </row>
    <row r="389" spans="1:21" ht="17.25" customHeight="1" x14ac:dyDescent="0.3">
      <c r="A389" s="15" t="s">
        <v>29</v>
      </c>
      <c r="C389" s="19"/>
      <c r="D389" s="33" t="str">
        <f t="shared" ref="D389" si="362">D388</f>
        <v>E100030</v>
      </c>
      <c r="E389" s="33"/>
      <c r="F389" s="20"/>
      <c r="G389" s="20" t="str">
        <f>"""NAV"",""CRONUS JetCorp USA"",""32"",""1"",""168353"""</f>
        <v>"NAV","CRONUS JetCorp USA","32","1","168353"</v>
      </c>
      <c r="H389" s="39">
        <v>43466</v>
      </c>
      <c r="I389" s="40">
        <v>168353</v>
      </c>
      <c r="J389" s="40" t="str">
        <f>"Vendor"</f>
        <v>Vendor</v>
      </c>
      <c r="K389" s="40" t="str">
        <f>"V100003"</f>
        <v>V100003</v>
      </c>
      <c r="L389" s="40" t="str">
        <f>""</f>
        <v/>
      </c>
      <c r="M389" s="40" t="str">
        <f>"LogoMasters"</f>
        <v>LogoMasters</v>
      </c>
      <c r="N389" s="40" t="str">
        <f>""</f>
        <v/>
      </c>
      <c r="O389" s="41">
        <v>499.99999999999994</v>
      </c>
      <c r="P389" s="41">
        <v>0</v>
      </c>
      <c r="Q389" s="41">
        <v>0</v>
      </c>
      <c r="R389" s="41">
        <v>0</v>
      </c>
      <c r="S389" s="41">
        <v>0</v>
      </c>
      <c r="T389" s="41">
        <v>0</v>
      </c>
      <c r="U389" s="54"/>
    </row>
    <row r="390" spans="1:21" ht="17.25" customHeight="1" x14ac:dyDescent="0.3">
      <c r="A390" s="15" t="s">
        <v>29</v>
      </c>
      <c r="C390" s="19"/>
      <c r="D390" s="33"/>
      <c r="E390" s="33"/>
      <c r="F390" s="20"/>
      <c r="G390" s="20"/>
      <c r="H390" s="20"/>
      <c r="I390" s="20"/>
      <c r="J390" s="20"/>
      <c r="K390" s="20"/>
      <c r="L390" s="20"/>
      <c r="M390" s="20"/>
      <c r="N390" s="20"/>
      <c r="O390" s="42"/>
      <c r="P390" s="42"/>
      <c r="Q390" s="42"/>
      <c r="R390" s="42"/>
      <c r="S390" s="42"/>
      <c r="T390" s="42"/>
      <c r="U390" s="55"/>
    </row>
    <row r="391" spans="1:21" ht="17.25" customHeight="1" x14ac:dyDescent="0.3">
      <c r="A391" s="15" t="s">
        <v>29</v>
      </c>
      <c r="C391" s="19"/>
      <c r="D391" s="33"/>
      <c r="E391" s="33" t="s">
        <v>30</v>
      </c>
      <c r="F391" s="20" t="s">
        <v>30</v>
      </c>
      <c r="G391" s="20" t="s">
        <v>30</v>
      </c>
      <c r="H391" s="20"/>
      <c r="I391" s="20"/>
      <c r="J391" s="20" t="s">
        <v>30</v>
      </c>
      <c r="K391" s="20" t="s">
        <v>30</v>
      </c>
      <c r="L391" s="20" t="s">
        <v>30</v>
      </c>
      <c r="M391" s="20" t="s">
        <v>30</v>
      </c>
      <c r="N391" s="20"/>
      <c r="U391" s="56"/>
    </row>
    <row r="392" spans="1:21" ht="20.25" customHeight="1" x14ac:dyDescent="0.35">
      <c r="A392" s="15" t="s">
        <v>29</v>
      </c>
      <c r="C392" s="19"/>
      <c r="D392" s="34" t="str">
        <f t="shared" ref="D392" si="363">E392</f>
        <v>E100031</v>
      </c>
      <c r="E392" s="35" t="str">
        <f>"E100031"</f>
        <v>E100031</v>
      </c>
      <c r="F392" s="36" t="str">
        <f>"Ad Torch"</f>
        <v>Ad Torch</v>
      </c>
      <c r="G392" s="36"/>
      <c r="H392" s="37" t="str">
        <f>"EA"</f>
        <v>EA</v>
      </c>
      <c r="I392" s="36"/>
      <c r="J392" s="36"/>
      <c r="K392" s="36"/>
      <c r="L392" s="36"/>
      <c r="M392" s="36"/>
      <c r="N392" s="36"/>
      <c r="O392" s="38">
        <f t="shared" ref="O392:T392" si="364">(SUBTOTAL(9,O393:O394))</f>
        <v>750</v>
      </c>
      <c r="P392" s="38">
        <f t="shared" si="364"/>
        <v>0</v>
      </c>
      <c r="Q392" s="38">
        <f t="shared" si="364"/>
        <v>0</v>
      </c>
      <c r="R392" s="38">
        <f t="shared" si="364"/>
        <v>0</v>
      </c>
      <c r="S392" s="38">
        <f t="shared" si="364"/>
        <v>0</v>
      </c>
      <c r="T392" s="38">
        <f t="shared" si="364"/>
        <v>0</v>
      </c>
      <c r="U392" s="53">
        <f t="shared" ref="U392" si="365">SUBTOTAL(9,O393:T394)</f>
        <v>750</v>
      </c>
    </row>
    <row r="393" spans="1:21" ht="17.25" customHeight="1" x14ac:dyDescent="0.3">
      <c r="A393" s="15" t="s">
        <v>29</v>
      </c>
      <c r="C393" s="19"/>
      <c r="D393" s="33" t="str">
        <f t="shared" ref="D393" si="366">D392</f>
        <v>E100031</v>
      </c>
      <c r="E393" s="33"/>
      <c r="F393" s="20"/>
      <c r="G393" s="20" t="str">
        <f>"""NAV"",""CRONUS JetCorp USA"",""32"",""1"",""168352"""</f>
        <v>"NAV","CRONUS JetCorp USA","32","1","168352"</v>
      </c>
      <c r="H393" s="39">
        <v>43466</v>
      </c>
      <c r="I393" s="40">
        <v>168352</v>
      </c>
      <c r="J393" s="40" t="str">
        <f>"Vendor"</f>
        <v>Vendor</v>
      </c>
      <c r="K393" s="40" t="str">
        <f>"V100003"</f>
        <v>V100003</v>
      </c>
      <c r="L393" s="40" t="str">
        <f>""</f>
        <v/>
      </c>
      <c r="M393" s="40" t="str">
        <f>"LogoMasters"</f>
        <v>LogoMasters</v>
      </c>
      <c r="N393" s="40" t="str">
        <f>""</f>
        <v/>
      </c>
      <c r="O393" s="41">
        <v>750</v>
      </c>
      <c r="P393" s="41">
        <v>0</v>
      </c>
      <c r="Q393" s="41">
        <v>0</v>
      </c>
      <c r="R393" s="41">
        <v>0</v>
      </c>
      <c r="S393" s="41">
        <v>0</v>
      </c>
      <c r="T393" s="41">
        <v>0</v>
      </c>
      <c r="U393" s="54"/>
    </row>
    <row r="394" spans="1:21" ht="17.25" customHeight="1" x14ac:dyDescent="0.3">
      <c r="A394" s="15" t="s">
        <v>29</v>
      </c>
      <c r="C394" s="19"/>
      <c r="D394" s="33"/>
      <c r="E394" s="33"/>
      <c r="F394" s="20"/>
      <c r="G394" s="20"/>
      <c r="H394" s="20"/>
      <c r="I394" s="20"/>
      <c r="J394" s="20"/>
      <c r="K394" s="20"/>
      <c r="L394" s="20"/>
      <c r="M394" s="20"/>
      <c r="N394" s="20"/>
      <c r="O394" s="42"/>
      <c r="P394" s="42"/>
      <c r="Q394" s="42"/>
      <c r="R394" s="42"/>
      <c r="S394" s="42"/>
      <c r="T394" s="42"/>
      <c r="U394" s="55"/>
    </row>
    <row r="395" spans="1:21" ht="17.25" customHeight="1" x14ac:dyDescent="0.3">
      <c r="A395" s="15" t="s">
        <v>29</v>
      </c>
      <c r="C395" s="19"/>
      <c r="D395" s="33"/>
      <c r="E395" s="33" t="s">
        <v>30</v>
      </c>
      <c r="F395" s="20" t="s">
        <v>30</v>
      </c>
      <c r="G395" s="20" t="s">
        <v>30</v>
      </c>
      <c r="H395" s="20"/>
      <c r="I395" s="20"/>
      <c r="J395" s="20" t="s">
        <v>30</v>
      </c>
      <c r="K395" s="20" t="s">
        <v>30</v>
      </c>
      <c r="L395" s="20" t="s">
        <v>30</v>
      </c>
      <c r="M395" s="20" t="s">
        <v>30</v>
      </c>
      <c r="N395" s="20"/>
      <c r="U395" s="56"/>
    </row>
    <row r="396" spans="1:21" ht="20.25" customHeight="1" x14ac:dyDescent="0.35">
      <c r="A396" s="15" t="s">
        <v>29</v>
      </c>
      <c r="C396" s="19"/>
      <c r="D396" s="34" t="str">
        <f t="shared" ref="D396" si="367">E396</f>
        <v>E100032</v>
      </c>
      <c r="E396" s="35" t="str">
        <f>"E100032"</f>
        <v>E100032</v>
      </c>
      <c r="F396" s="36" t="str">
        <f>"Button Key-Light"</f>
        <v>Button Key-Light</v>
      </c>
      <c r="G396" s="36"/>
      <c r="H396" s="37" t="str">
        <f>"EA"</f>
        <v>EA</v>
      </c>
      <c r="I396" s="36"/>
      <c r="J396" s="36"/>
      <c r="K396" s="36"/>
      <c r="L396" s="36"/>
      <c r="M396" s="36"/>
      <c r="N396" s="36"/>
      <c r="O396" s="38">
        <f t="shared" ref="O396:T396" si="368">(SUBTOTAL(9,O397:O399))</f>
        <v>750</v>
      </c>
      <c r="P396" s="38">
        <f t="shared" si="368"/>
        <v>1</v>
      </c>
      <c r="Q396" s="38">
        <f t="shared" si="368"/>
        <v>0</v>
      </c>
      <c r="R396" s="38">
        <f t="shared" si="368"/>
        <v>0</v>
      </c>
      <c r="S396" s="38">
        <f t="shared" si="368"/>
        <v>0</v>
      </c>
      <c r="T396" s="38">
        <f t="shared" si="368"/>
        <v>0</v>
      </c>
      <c r="U396" s="53">
        <f t="shared" ref="U396" si="369">SUBTOTAL(9,O397:T399)</f>
        <v>751</v>
      </c>
    </row>
    <row r="397" spans="1:21" ht="17.25" customHeight="1" x14ac:dyDescent="0.3">
      <c r="A397" s="15" t="s">
        <v>29</v>
      </c>
      <c r="C397" s="19"/>
      <c r="D397" s="33" t="str">
        <f t="shared" ref="D397" si="370">D396</f>
        <v>E100032</v>
      </c>
      <c r="E397" s="33"/>
      <c r="F397" s="20"/>
      <c r="G397" s="20" t="str">
        <f>"""NAV"",""CRONUS JetCorp USA"",""32"",""1"",""168351"""</f>
        <v>"NAV","CRONUS JetCorp USA","32","1","168351"</v>
      </c>
      <c r="H397" s="39">
        <v>43466</v>
      </c>
      <c r="I397" s="40">
        <v>168351</v>
      </c>
      <c r="J397" s="40" t="str">
        <f>"Vendor"</f>
        <v>Vendor</v>
      </c>
      <c r="K397" s="40" t="str">
        <f>"V100003"</f>
        <v>V100003</v>
      </c>
      <c r="L397" s="40" t="str">
        <f>""</f>
        <v/>
      </c>
      <c r="M397" s="40" t="str">
        <f>"LogoMasters"</f>
        <v>LogoMasters</v>
      </c>
      <c r="N397" s="40" t="str">
        <f>""</f>
        <v/>
      </c>
      <c r="O397" s="41">
        <v>750</v>
      </c>
      <c r="P397" s="41">
        <v>0</v>
      </c>
      <c r="Q397" s="41">
        <v>0</v>
      </c>
      <c r="R397" s="41">
        <v>0</v>
      </c>
      <c r="S397" s="41">
        <v>0</v>
      </c>
      <c r="T397" s="41">
        <v>0</v>
      </c>
      <c r="U397" s="54"/>
    </row>
    <row r="398" spans="1:21" ht="17.25" customHeight="1" x14ac:dyDescent="0.3">
      <c r="A398" s="15" t="s">
        <v>29</v>
      </c>
      <c r="C398" s="19"/>
      <c r="D398" s="33" t="str">
        <f t="shared" ref="D398" si="371">D397</f>
        <v>E100032</v>
      </c>
      <c r="E398" s="33"/>
      <c r="F398" s="20"/>
      <c r="G398" s="20" t="str">
        <f>"""NAV"",""CRONUS JetCorp USA"",""32"",""1"",""158694"""</f>
        <v>"NAV","CRONUS JetCorp USA","32","1","158694"</v>
      </c>
      <c r="H398" s="39">
        <v>43471</v>
      </c>
      <c r="I398" s="40">
        <v>158694</v>
      </c>
      <c r="J398" s="40" t="str">
        <f>"Customer"</f>
        <v>Customer</v>
      </c>
      <c r="K398" s="40" t="str">
        <f>"C100126"</f>
        <v>C100126</v>
      </c>
      <c r="L398" s="40" t="str">
        <f>"Moveex"</f>
        <v>Moveex</v>
      </c>
      <c r="M398" s="40" t="str">
        <f>""</f>
        <v/>
      </c>
      <c r="N398" s="40" t="str">
        <f>""</f>
        <v/>
      </c>
      <c r="O398" s="41">
        <v>0</v>
      </c>
      <c r="P398" s="41">
        <v>1</v>
      </c>
      <c r="Q398" s="41">
        <v>0</v>
      </c>
      <c r="R398" s="41">
        <v>0</v>
      </c>
      <c r="S398" s="41">
        <v>0</v>
      </c>
      <c r="T398" s="41">
        <v>0</v>
      </c>
      <c r="U398" s="54"/>
    </row>
    <row r="399" spans="1:21" ht="17.25" customHeight="1" x14ac:dyDescent="0.3">
      <c r="A399" s="15" t="s">
        <v>29</v>
      </c>
      <c r="C399" s="19"/>
      <c r="D399" s="33"/>
      <c r="E399" s="33"/>
      <c r="F399" s="20"/>
      <c r="G399" s="20"/>
      <c r="H399" s="20"/>
      <c r="I399" s="20"/>
      <c r="J399" s="20"/>
      <c r="K399" s="20"/>
      <c r="L399" s="20"/>
      <c r="M399" s="20"/>
      <c r="N399" s="20"/>
      <c r="O399" s="42"/>
      <c r="P399" s="42"/>
      <c r="Q399" s="42"/>
      <c r="R399" s="42"/>
      <c r="S399" s="42"/>
      <c r="T399" s="42"/>
      <c r="U399" s="55"/>
    </row>
    <row r="400" spans="1:21" ht="17.25" customHeight="1" x14ac:dyDescent="0.3">
      <c r="A400" s="15" t="s">
        <v>29</v>
      </c>
      <c r="C400" s="19"/>
      <c r="D400" s="33"/>
      <c r="E400" s="33" t="s">
        <v>30</v>
      </c>
      <c r="F400" s="20" t="s">
        <v>30</v>
      </c>
      <c r="G400" s="20" t="s">
        <v>30</v>
      </c>
      <c r="H400" s="20"/>
      <c r="I400" s="20"/>
      <c r="J400" s="20" t="s">
        <v>30</v>
      </c>
      <c r="K400" s="20" t="s">
        <v>30</v>
      </c>
      <c r="L400" s="20" t="s">
        <v>30</v>
      </c>
      <c r="M400" s="20" t="s">
        <v>30</v>
      </c>
      <c r="N400" s="20"/>
      <c r="U400" s="56"/>
    </row>
    <row r="401" spans="1:21" ht="20.25" customHeight="1" x14ac:dyDescent="0.35">
      <c r="A401" s="15" t="s">
        <v>29</v>
      </c>
      <c r="C401" s="19"/>
      <c r="D401" s="34" t="str">
        <f t="shared" ref="D401" si="372">E401</f>
        <v>E100033</v>
      </c>
      <c r="E401" s="35" t="str">
        <f>"E100033"</f>
        <v>E100033</v>
      </c>
      <c r="F401" s="36" t="str">
        <f>"Dual Source Flashlight"</f>
        <v>Dual Source Flashlight</v>
      </c>
      <c r="G401" s="36"/>
      <c r="H401" s="37" t="str">
        <f>"EA"</f>
        <v>EA</v>
      </c>
      <c r="I401" s="36"/>
      <c r="J401" s="36"/>
      <c r="K401" s="36"/>
      <c r="L401" s="36"/>
      <c r="M401" s="36"/>
      <c r="N401" s="36"/>
      <c r="O401" s="38">
        <f t="shared" ref="O401:T401" si="373">(SUBTOTAL(9,O402:O403))</f>
        <v>999.99999999999989</v>
      </c>
      <c r="P401" s="38">
        <f t="shared" si="373"/>
        <v>0</v>
      </c>
      <c r="Q401" s="38">
        <f t="shared" si="373"/>
        <v>0</v>
      </c>
      <c r="R401" s="38">
        <f t="shared" si="373"/>
        <v>0</v>
      </c>
      <c r="S401" s="38">
        <f t="shared" si="373"/>
        <v>0</v>
      </c>
      <c r="T401" s="38">
        <f t="shared" si="373"/>
        <v>0</v>
      </c>
      <c r="U401" s="53">
        <f t="shared" ref="U401" si="374">SUBTOTAL(9,O402:T403)</f>
        <v>999.99999999999989</v>
      </c>
    </row>
    <row r="402" spans="1:21" ht="17.25" customHeight="1" x14ac:dyDescent="0.3">
      <c r="A402" s="15" t="s">
        <v>29</v>
      </c>
      <c r="C402" s="19"/>
      <c r="D402" s="33" t="str">
        <f t="shared" ref="D402" si="375">D401</f>
        <v>E100033</v>
      </c>
      <c r="E402" s="33"/>
      <c r="F402" s="20"/>
      <c r="G402" s="20" t="str">
        <f>"""NAV"",""CRONUS JetCorp USA"",""32"",""1"",""168350"""</f>
        <v>"NAV","CRONUS JetCorp USA","32","1","168350"</v>
      </c>
      <c r="H402" s="39">
        <v>43466</v>
      </c>
      <c r="I402" s="40">
        <v>168350</v>
      </c>
      <c r="J402" s="40" t="str">
        <f>"Vendor"</f>
        <v>Vendor</v>
      </c>
      <c r="K402" s="40" t="str">
        <f>"V100003"</f>
        <v>V100003</v>
      </c>
      <c r="L402" s="40" t="str">
        <f>""</f>
        <v/>
      </c>
      <c r="M402" s="40" t="str">
        <f>"LogoMasters"</f>
        <v>LogoMasters</v>
      </c>
      <c r="N402" s="40" t="str">
        <f>""</f>
        <v/>
      </c>
      <c r="O402" s="41">
        <v>999.99999999999989</v>
      </c>
      <c r="P402" s="41">
        <v>0</v>
      </c>
      <c r="Q402" s="41">
        <v>0</v>
      </c>
      <c r="R402" s="41">
        <v>0</v>
      </c>
      <c r="S402" s="41">
        <v>0</v>
      </c>
      <c r="T402" s="41">
        <v>0</v>
      </c>
      <c r="U402" s="54"/>
    </row>
    <row r="403" spans="1:21" ht="17.25" customHeight="1" x14ac:dyDescent="0.3">
      <c r="A403" s="15" t="s">
        <v>29</v>
      </c>
      <c r="C403" s="19"/>
      <c r="D403" s="33"/>
      <c r="E403" s="33"/>
      <c r="F403" s="20"/>
      <c r="G403" s="20"/>
      <c r="H403" s="20"/>
      <c r="I403" s="20"/>
      <c r="J403" s="20"/>
      <c r="K403" s="20"/>
      <c r="L403" s="20"/>
      <c r="M403" s="20"/>
      <c r="N403" s="20"/>
      <c r="O403" s="42"/>
      <c r="P403" s="42"/>
      <c r="Q403" s="42"/>
      <c r="R403" s="42"/>
      <c r="S403" s="42"/>
      <c r="T403" s="42"/>
      <c r="U403" s="55"/>
    </row>
    <row r="404" spans="1:21" ht="17.25" customHeight="1" x14ac:dyDescent="0.3">
      <c r="A404" s="15" t="s">
        <v>29</v>
      </c>
      <c r="C404" s="19"/>
      <c r="D404" s="33"/>
      <c r="E404" s="33" t="s">
        <v>30</v>
      </c>
      <c r="F404" s="20" t="s">
        <v>30</v>
      </c>
      <c r="G404" s="20" t="s">
        <v>30</v>
      </c>
      <c r="H404" s="20"/>
      <c r="I404" s="20"/>
      <c r="J404" s="20" t="s">
        <v>30</v>
      </c>
      <c r="K404" s="20" t="s">
        <v>30</v>
      </c>
      <c r="L404" s="20" t="s">
        <v>30</v>
      </c>
      <c r="M404" s="20" t="s">
        <v>30</v>
      </c>
      <c r="N404" s="20"/>
      <c r="U404" s="56"/>
    </row>
    <row r="405" spans="1:21" ht="20.25" customHeight="1" x14ac:dyDescent="0.35">
      <c r="A405" s="15" t="s">
        <v>29</v>
      </c>
      <c r="C405" s="19"/>
      <c r="D405" s="34" t="str">
        <f t="shared" ref="D405" si="376">E405</f>
        <v>E100034</v>
      </c>
      <c r="E405" s="35" t="str">
        <f>"E100034"</f>
        <v>E100034</v>
      </c>
      <c r="F405" s="36" t="str">
        <f>"Bamboo 1GB USB Flash Drive"</f>
        <v>Bamboo 1GB USB Flash Drive</v>
      </c>
      <c r="G405" s="36"/>
      <c r="H405" s="37" t="str">
        <f>"EA"</f>
        <v>EA</v>
      </c>
      <c r="I405" s="36"/>
      <c r="J405" s="36"/>
      <c r="K405" s="36"/>
      <c r="L405" s="36"/>
      <c r="M405" s="36"/>
      <c r="N405" s="36"/>
      <c r="O405" s="38">
        <f t="shared" ref="O405:T405" si="377">(SUBTOTAL(9,O406:O408))</f>
        <v>999.99999999999989</v>
      </c>
      <c r="P405" s="38">
        <f t="shared" si="377"/>
        <v>1</v>
      </c>
      <c r="Q405" s="38">
        <f t="shared" si="377"/>
        <v>0</v>
      </c>
      <c r="R405" s="38">
        <f t="shared" si="377"/>
        <v>0</v>
      </c>
      <c r="S405" s="38">
        <f t="shared" si="377"/>
        <v>0</v>
      </c>
      <c r="T405" s="38">
        <f t="shared" si="377"/>
        <v>0</v>
      </c>
      <c r="U405" s="53">
        <f t="shared" ref="U405" si="378">SUBTOTAL(9,O406:T408)</f>
        <v>1000.9999999999999</v>
      </c>
    </row>
    <row r="406" spans="1:21" ht="17.25" customHeight="1" x14ac:dyDescent="0.3">
      <c r="A406" s="15" t="s">
        <v>29</v>
      </c>
      <c r="C406" s="19"/>
      <c r="D406" s="33" t="str">
        <f t="shared" ref="D406" si="379">D405</f>
        <v>E100034</v>
      </c>
      <c r="E406" s="33"/>
      <c r="F406" s="20"/>
      <c r="G406" s="20" t="str">
        <f>"""NAV"",""CRONUS JetCorp USA"",""32"",""1"",""168349"""</f>
        <v>"NAV","CRONUS JetCorp USA","32","1","168349"</v>
      </c>
      <c r="H406" s="39">
        <v>43466</v>
      </c>
      <c r="I406" s="40">
        <v>168349</v>
      </c>
      <c r="J406" s="40" t="str">
        <f>"Vendor"</f>
        <v>Vendor</v>
      </c>
      <c r="K406" s="40" t="str">
        <f>"V100003"</f>
        <v>V100003</v>
      </c>
      <c r="L406" s="40" t="str">
        <f>""</f>
        <v/>
      </c>
      <c r="M406" s="40" t="str">
        <f>"LogoMasters"</f>
        <v>LogoMasters</v>
      </c>
      <c r="N406" s="40" t="str">
        <f>""</f>
        <v/>
      </c>
      <c r="O406" s="41">
        <v>999.99999999999989</v>
      </c>
      <c r="P406" s="41">
        <v>0</v>
      </c>
      <c r="Q406" s="41">
        <v>0</v>
      </c>
      <c r="R406" s="41">
        <v>0</v>
      </c>
      <c r="S406" s="41">
        <v>0</v>
      </c>
      <c r="T406" s="41">
        <v>0</v>
      </c>
      <c r="U406" s="54"/>
    </row>
    <row r="407" spans="1:21" ht="17.25" customHeight="1" x14ac:dyDescent="0.3">
      <c r="A407" s="15" t="s">
        <v>29</v>
      </c>
      <c r="C407" s="19"/>
      <c r="D407" s="33" t="str">
        <f t="shared" ref="D407" si="380">D406</f>
        <v>E100034</v>
      </c>
      <c r="E407" s="33"/>
      <c r="F407" s="20"/>
      <c r="G407" s="20" t="str">
        <f>"""NAV"",""CRONUS JetCorp USA"",""32"",""1"",""158692"""</f>
        <v>"NAV","CRONUS JetCorp USA","32","1","158692"</v>
      </c>
      <c r="H407" s="39">
        <v>43471</v>
      </c>
      <c r="I407" s="40">
        <v>158692</v>
      </c>
      <c r="J407" s="40" t="str">
        <f>"Customer"</f>
        <v>Customer</v>
      </c>
      <c r="K407" s="40" t="str">
        <f>"C100126"</f>
        <v>C100126</v>
      </c>
      <c r="L407" s="40" t="str">
        <f>"Moveex"</f>
        <v>Moveex</v>
      </c>
      <c r="M407" s="40" t="str">
        <f>""</f>
        <v/>
      </c>
      <c r="N407" s="40" t="str">
        <f>""</f>
        <v/>
      </c>
      <c r="O407" s="41">
        <v>0</v>
      </c>
      <c r="P407" s="41">
        <v>1</v>
      </c>
      <c r="Q407" s="41">
        <v>0</v>
      </c>
      <c r="R407" s="41">
        <v>0</v>
      </c>
      <c r="S407" s="41">
        <v>0</v>
      </c>
      <c r="T407" s="41">
        <v>0</v>
      </c>
      <c r="U407" s="54"/>
    </row>
    <row r="408" spans="1:21" ht="17.25" customHeight="1" x14ac:dyDescent="0.3">
      <c r="A408" s="15" t="s">
        <v>29</v>
      </c>
      <c r="C408" s="19"/>
      <c r="D408" s="33"/>
      <c r="E408" s="33"/>
      <c r="F408" s="20"/>
      <c r="G408" s="20"/>
      <c r="H408" s="20"/>
      <c r="I408" s="20"/>
      <c r="J408" s="20"/>
      <c r="K408" s="20"/>
      <c r="L408" s="20"/>
      <c r="M408" s="20"/>
      <c r="N408" s="20"/>
      <c r="O408" s="42"/>
      <c r="P408" s="42"/>
      <c r="Q408" s="42"/>
      <c r="R408" s="42"/>
      <c r="S408" s="42"/>
      <c r="T408" s="42"/>
      <c r="U408" s="55"/>
    </row>
    <row r="409" spans="1:21" ht="17.25" customHeight="1" x14ac:dyDescent="0.3">
      <c r="A409" s="15" t="s">
        <v>29</v>
      </c>
      <c r="C409" s="19"/>
      <c r="D409" s="33"/>
      <c r="E409" s="33" t="s">
        <v>30</v>
      </c>
      <c r="F409" s="20" t="s">
        <v>30</v>
      </c>
      <c r="G409" s="20" t="s">
        <v>30</v>
      </c>
      <c r="H409" s="20"/>
      <c r="I409" s="20"/>
      <c r="J409" s="20" t="s">
        <v>30</v>
      </c>
      <c r="K409" s="20" t="s">
        <v>30</v>
      </c>
      <c r="L409" s="20" t="s">
        <v>30</v>
      </c>
      <c r="M409" s="20" t="s">
        <v>30</v>
      </c>
      <c r="N409" s="20"/>
      <c r="U409" s="56"/>
    </row>
    <row r="410" spans="1:21" ht="20.25" customHeight="1" x14ac:dyDescent="0.35">
      <c r="A410" s="15" t="s">
        <v>29</v>
      </c>
      <c r="C410" s="19"/>
      <c r="D410" s="34" t="str">
        <f t="shared" ref="D410" si="381">E410</f>
        <v>E100035</v>
      </c>
      <c r="E410" s="35" t="str">
        <f>"E100035"</f>
        <v>E100035</v>
      </c>
      <c r="F410" s="36" t="str">
        <f>"2GB Foldout USB Flash Drive"</f>
        <v>2GB Foldout USB Flash Drive</v>
      </c>
      <c r="G410" s="36"/>
      <c r="H410" s="37" t="str">
        <f>"EA"</f>
        <v>EA</v>
      </c>
      <c r="I410" s="36"/>
      <c r="J410" s="36"/>
      <c r="K410" s="36"/>
      <c r="L410" s="36"/>
      <c r="M410" s="36"/>
      <c r="N410" s="36"/>
      <c r="O410" s="38">
        <f t="shared" ref="O410:T410" si="382">(SUBTOTAL(9,O411:O412))</f>
        <v>750</v>
      </c>
      <c r="P410" s="38">
        <f t="shared" si="382"/>
        <v>0</v>
      </c>
      <c r="Q410" s="38">
        <f t="shared" si="382"/>
        <v>0</v>
      </c>
      <c r="R410" s="38">
        <f t="shared" si="382"/>
        <v>0</v>
      </c>
      <c r="S410" s="38">
        <f t="shared" si="382"/>
        <v>0</v>
      </c>
      <c r="T410" s="38">
        <f t="shared" si="382"/>
        <v>0</v>
      </c>
      <c r="U410" s="53">
        <f t="shared" ref="U410" si="383">SUBTOTAL(9,O411:T412)</f>
        <v>750</v>
      </c>
    </row>
    <row r="411" spans="1:21" ht="17.25" customHeight="1" x14ac:dyDescent="0.3">
      <c r="A411" s="15" t="s">
        <v>29</v>
      </c>
      <c r="C411" s="19"/>
      <c r="D411" s="33" t="str">
        <f t="shared" ref="D411" si="384">D410</f>
        <v>E100035</v>
      </c>
      <c r="E411" s="33"/>
      <c r="F411" s="20"/>
      <c r="G411" s="20" t="str">
        <f>"""NAV"",""CRONUS JetCorp USA"",""32"",""1"",""168348"""</f>
        <v>"NAV","CRONUS JetCorp USA","32","1","168348"</v>
      </c>
      <c r="H411" s="39">
        <v>43466</v>
      </c>
      <c r="I411" s="40">
        <v>168348</v>
      </c>
      <c r="J411" s="40" t="str">
        <f>"Vendor"</f>
        <v>Vendor</v>
      </c>
      <c r="K411" s="40" t="str">
        <f>"V100003"</f>
        <v>V100003</v>
      </c>
      <c r="L411" s="40" t="str">
        <f>""</f>
        <v/>
      </c>
      <c r="M411" s="40" t="str">
        <f>"LogoMasters"</f>
        <v>LogoMasters</v>
      </c>
      <c r="N411" s="40" t="str">
        <f>""</f>
        <v/>
      </c>
      <c r="O411" s="41">
        <v>750</v>
      </c>
      <c r="P411" s="41">
        <v>0</v>
      </c>
      <c r="Q411" s="41">
        <v>0</v>
      </c>
      <c r="R411" s="41">
        <v>0</v>
      </c>
      <c r="S411" s="41">
        <v>0</v>
      </c>
      <c r="T411" s="41">
        <v>0</v>
      </c>
      <c r="U411" s="54"/>
    </row>
    <row r="412" spans="1:21" ht="17.25" customHeight="1" x14ac:dyDescent="0.3">
      <c r="A412" s="15" t="s">
        <v>29</v>
      </c>
      <c r="C412" s="19"/>
      <c r="D412" s="33"/>
      <c r="E412" s="33"/>
      <c r="F412" s="20"/>
      <c r="G412" s="20"/>
      <c r="H412" s="20"/>
      <c r="I412" s="20"/>
      <c r="J412" s="20"/>
      <c r="K412" s="20"/>
      <c r="L412" s="20"/>
      <c r="M412" s="20"/>
      <c r="N412" s="20"/>
      <c r="O412" s="42"/>
      <c r="P412" s="42"/>
      <c r="Q412" s="42"/>
      <c r="R412" s="42"/>
      <c r="S412" s="42"/>
      <c r="T412" s="42"/>
      <c r="U412" s="55"/>
    </row>
    <row r="413" spans="1:21" ht="17.25" customHeight="1" x14ac:dyDescent="0.3">
      <c r="A413" s="15" t="s">
        <v>29</v>
      </c>
      <c r="C413" s="19"/>
      <c r="D413" s="33"/>
      <c r="E413" s="33" t="s">
        <v>30</v>
      </c>
      <c r="F413" s="20" t="s">
        <v>30</v>
      </c>
      <c r="G413" s="20" t="s">
        <v>30</v>
      </c>
      <c r="H413" s="20"/>
      <c r="I413" s="20"/>
      <c r="J413" s="20" t="s">
        <v>30</v>
      </c>
      <c r="K413" s="20" t="s">
        <v>30</v>
      </c>
      <c r="L413" s="20" t="s">
        <v>30</v>
      </c>
      <c r="M413" s="20" t="s">
        <v>30</v>
      </c>
      <c r="N413" s="20"/>
      <c r="U413" s="56"/>
    </row>
    <row r="414" spans="1:21" ht="20.25" customHeight="1" x14ac:dyDescent="0.35">
      <c r="A414" s="15" t="s">
        <v>29</v>
      </c>
      <c r="C414" s="19"/>
      <c r="D414" s="34" t="str">
        <f t="shared" ref="D414" si="385">E414</f>
        <v>E100038</v>
      </c>
      <c r="E414" s="35" t="str">
        <f>"E100038"</f>
        <v>E100038</v>
      </c>
      <c r="F414" s="36" t="str">
        <f>"1GB USB Flash Drive Pen"</f>
        <v>1GB USB Flash Drive Pen</v>
      </c>
      <c r="G414" s="36"/>
      <c r="H414" s="37" t="str">
        <f>"EA"</f>
        <v>EA</v>
      </c>
      <c r="I414" s="36"/>
      <c r="J414" s="36"/>
      <c r="K414" s="36"/>
      <c r="L414" s="36"/>
      <c r="M414" s="36"/>
      <c r="N414" s="36"/>
      <c r="O414" s="38">
        <f t="shared" ref="O414:T414" si="386">(SUBTOTAL(9,O415:O416))</f>
        <v>249.99999999999997</v>
      </c>
      <c r="P414" s="38">
        <f t="shared" si="386"/>
        <v>0</v>
      </c>
      <c r="Q414" s="38">
        <f t="shared" si="386"/>
        <v>0</v>
      </c>
      <c r="R414" s="38">
        <f t="shared" si="386"/>
        <v>0</v>
      </c>
      <c r="S414" s="38">
        <f t="shared" si="386"/>
        <v>0</v>
      </c>
      <c r="T414" s="38">
        <f t="shared" si="386"/>
        <v>0</v>
      </c>
      <c r="U414" s="53">
        <f t="shared" ref="U414" si="387">SUBTOTAL(9,O415:T416)</f>
        <v>249.99999999999997</v>
      </c>
    </row>
    <row r="415" spans="1:21" ht="17.25" customHeight="1" x14ac:dyDescent="0.3">
      <c r="A415" s="15" t="s">
        <v>29</v>
      </c>
      <c r="C415" s="19"/>
      <c r="D415" s="33" t="str">
        <f t="shared" ref="D415" si="388">D414</f>
        <v>E100038</v>
      </c>
      <c r="E415" s="33"/>
      <c r="F415" s="20"/>
      <c r="G415" s="20" t="str">
        <f>"""NAV"",""CRONUS JetCorp USA"",""32"",""1"",""168347"""</f>
        <v>"NAV","CRONUS JetCorp USA","32","1","168347"</v>
      </c>
      <c r="H415" s="39">
        <v>43466</v>
      </c>
      <c r="I415" s="40">
        <v>168347</v>
      </c>
      <c r="J415" s="40" t="str">
        <f>"Vendor"</f>
        <v>Vendor</v>
      </c>
      <c r="K415" s="40" t="str">
        <f>"V100003"</f>
        <v>V100003</v>
      </c>
      <c r="L415" s="40" t="str">
        <f>""</f>
        <v/>
      </c>
      <c r="M415" s="40" t="str">
        <f>"LogoMasters"</f>
        <v>LogoMasters</v>
      </c>
      <c r="N415" s="40" t="str">
        <f>""</f>
        <v/>
      </c>
      <c r="O415" s="41">
        <v>249.99999999999997</v>
      </c>
      <c r="P415" s="41">
        <v>0</v>
      </c>
      <c r="Q415" s="41">
        <v>0</v>
      </c>
      <c r="R415" s="41">
        <v>0</v>
      </c>
      <c r="S415" s="41">
        <v>0</v>
      </c>
      <c r="T415" s="41">
        <v>0</v>
      </c>
      <c r="U415" s="54"/>
    </row>
    <row r="416" spans="1:21" ht="17.25" customHeight="1" x14ac:dyDescent="0.3">
      <c r="A416" s="15" t="s">
        <v>29</v>
      </c>
      <c r="C416" s="19"/>
      <c r="D416" s="33"/>
      <c r="E416" s="33"/>
      <c r="F416" s="20"/>
      <c r="G416" s="20"/>
      <c r="H416" s="20"/>
      <c r="I416" s="20"/>
      <c r="J416" s="20"/>
      <c r="K416" s="20"/>
      <c r="L416" s="20"/>
      <c r="M416" s="20"/>
      <c r="N416" s="20"/>
      <c r="O416" s="42"/>
      <c r="P416" s="42"/>
      <c r="Q416" s="42"/>
      <c r="R416" s="42"/>
      <c r="S416" s="42"/>
      <c r="T416" s="42"/>
      <c r="U416" s="55"/>
    </row>
    <row r="417" spans="1:21" ht="17.25" customHeight="1" x14ac:dyDescent="0.3">
      <c r="A417" s="15" t="s">
        <v>29</v>
      </c>
      <c r="C417" s="19"/>
      <c r="D417" s="33"/>
      <c r="E417" s="33" t="s">
        <v>30</v>
      </c>
      <c r="F417" s="20" t="s">
        <v>30</v>
      </c>
      <c r="G417" s="20" t="s">
        <v>30</v>
      </c>
      <c r="H417" s="20"/>
      <c r="I417" s="20"/>
      <c r="J417" s="20" t="s">
        <v>30</v>
      </c>
      <c r="K417" s="20" t="s">
        <v>30</v>
      </c>
      <c r="L417" s="20" t="s">
        <v>30</v>
      </c>
      <c r="M417" s="20" t="s">
        <v>30</v>
      </c>
      <c r="N417" s="20"/>
      <c r="U417" s="56"/>
    </row>
    <row r="418" spans="1:21" ht="20.25" customHeight="1" x14ac:dyDescent="0.35">
      <c r="A418" s="15" t="s">
        <v>29</v>
      </c>
      <c r="C418" s="19"/>
      <c r="D418" s="34" t="str">
        <f t="shared" ref="D418" si="389">E418</f>
        <v>E100039</v>
      </c>
      <c r="E418" s="35" t="str">
        <f>"E100039"</f>
        <v>E100039</v>
      </c>
      <c r="F418" s="36" t="str">
        <f>"Campfire Mug"</f>
        <v>Campfire Mug</v>
      </c>
      <c r="G418" s="36"/>
      <c r="H418" s="37" t="str">
        <f>"EA"</f>
        <v>EA</v>
      </c>
      <c r="I418" s="36"/>
      <c r="J418" s="36"/>
      <c r="K418" s="36"/>
      <c r="L418" s="36"/>
      <c r="M418" s="36"/>
      <c r="N418" s="36"/>
      <c r="O418" s="38">
        <f t="shared" ref="O418:T418" si="390">(SUBTOTAL(9,O419:O420))</f>
        <v>499.99999999999994</v>
      </c>
      <c r="P418" s="38">
        <f t="shared" si="390"/>
        <v>0</v>
      </c>
      <c r="Q418" s="38">
        <f t="shared" si="390"/>
        <v>0</v>
      </c>
      <c r="R418" s="38">
        <f t="shared" si="390"/>
        <v>0</v>
      </c>
      <c r="S418" s="38">
        <f t="shared" si="390"/>
        <v>0</v>
      </c>
      <c r="T418" s="38">
        <f t="shared" si="390"/>
        <v>0</v>
      </c>
      <c r="U418" s="53">
        <f t="shared" ref="U418" si="391">SUBTOTAL(9,O419:T420)</f>
        <v>499.99999999999994</v>
      </c>
    </row>
    <row r="419" spans="1:21" ht="17.25" customHeight="1" x14ac:dyDescent="0.3">
      <c r="A419" s="15" t="s">
        <v>29</v>
      </c>
      <c r="C419" s="19"/>
      <c r="D419" s="33" t="str">
        <f t="shared" ref="D419" si="392">D418</f>
        <v>E100039</v>
      </c>
      <c r="E419" s="33"/>
      <c r="F419" s="20"/>
      <c r="G419" s="20" t="str">
        <f>"""NAV"",""CRONUS JetCorp USA"",""32"",""1"",""168665"""</f>
        <v>"NAV","CRONUS JetCorp USA","32","1","168665"</v>
      </c>
      <c r="H419" s="39">
        <v>43466</v>
      </c>
      <c r="I419" s="40">
        <v>168665</v>
      </c>
      <c r="J419" s="40" t="str">
        <f>"Vendor"</f>
        <v>Vendor</v>
      </c>
      <c r="K419" s="40" t="str">
        <f>"V100003"</f>
        <v>V100003</v>
      </c>
      <c r="L419" s="40" t="str">
        <f>""</f>
        <v/>
      </c>
      <c r="M419" s="40" t="str">
        <f>"LogoMasters"</f>
        <v>LogoMasters</v>
      </c>
      <c r="N419" s="40" t="str">
        <f>""</f>
        <v/>
      </c>
      <c r="O419" s="41">
        <v>499.99999999999994</v>
      </c>
      <c r="P419" s="41">
        <v>0</v>
      </c>
      <c r="Q419" s="41">
        <v>0</v>
      </c>
      <c r="R419" s="41">
        <v>0</v>
      </c>
      <c r="S419" s="41">
        <v>0</v>
      </c>
      <c r="T419" s="41">
        <v>0</v>
      </c>
      <c r="U419" s="54"/>
    </row>
    <row r="420" spans="1:21" ht="17.25" customHeight="1" x14ac:dyDescent="0.3">
      <c r="A420" s="15" t="s">
        <v>29</v>
      </c>
      <c r="C420" s="19"/>
      <c r="D420" s="33"/>
      <c r="E420" s="33"/>
      <c r="F420" s="20"/>
      <c r="G420" s="20"/>
      <c r="H420" s="20"/>
      <c r="I420" s="20"/>
      <c r="J420" s="20"/>
      <c r="K420" s="20"/>
      <c r="L420" s="20"/>
      <c r="M420" s="20"/>
      <c r="N420" s="20"/>
      <c r="O420" s="42"/>
      <c r="P420" s="42"/>
      <c r="Q420" s="42"/>
      <c r="R420" s="42"/>
      <c r="S420" s="42"/>
      <c r="T420" s="42"/>
      <c r="U420" s="55"/>
    </row>
    <row r="421" spans="1:21" ht="17.25" customHeight="1" x14ac:dyDescent="0.3">
      <c r="A421" s="15" t="s">
        <v>29</v>
      </c>
      <c r="C421" s="19"/>
      <c r="D421" s="33"/>
      <c r="E421" s="33" t="s">
        <v>30</v>
      </c>
      <c r="F421" s="20" t="s">
        <v>30</v>
      </c>
      <c r="G421" s="20" t="s">
        <v>30</v>
      </c>
      <c r="H421" s="20"/>
      <c r="I421" s="20"/>
      <c r="J421" s="20" t="s">
        <v>30</v>
      </c>
      <c r="K421" s="20" t="s">
        <v>30</v>
      </c>
      <c r="L421" s="20" t="s">
        <v>30</v>
      </c>
      <c r="M421" s="20" t="s">
        <v>30</v>
      </c>
      <c r="N421" s="20"/>
      <c r="U421" s="56"/>
    </row>
    <row r="422" spans="1:21" ht="20.25" customHeight="1" x14ac:dyDescent="0.35">
      <c r="A422" s="15" t="s">
        <v>29</v>
      </c>
      <c r="C422" s="19"/>
      <c r="D422" s="34" t="str">
        <f t="shared" ref="D422" si="393">E422</f>
        <v>E100040</v>
      </c>
      <c r="E422" s="35" t="str">
        <f>"E100040"</f>
        <v>E100040</v>
      </c>
      <c r="F422" s="36" t="str">
        <f>"Wave Mug"</f>
        <v>Wave Mug</v>
      </c>
      <c r="G422" s="36"/>
      <c r="H422" s="37" t="str">
        <f>"EA"</f>
        <v>EA</v>
      </c>
      <c r="I422" s="36"/>
      <c r="J422" s="36"/>
      <c r="K422" s="36"/>
      <c r="L422" s="36"/>
      <c r="M422" s="36"/>
      <c r="N422" s="36"/>
      <c r="O422" s="38">
        <f t="shared" ref="O422:T422" si="394">(SUBTOTAL(9,O423:O424))</f>
        <v>750</v>
      </c>
      <c r="P422" s="38">
        <f t="shared" si="394"/>
        <v>0</v>
      </c>
      <c r="Q422" s="38">
        <f t="shared" si="394"/>
        <v>0</v>
      </c>
      <c r="R422" s="38">
        <f t="shared" si="394"/>
        <v>0</v>
      </c>
      <c r="S422" s="38">
        <f t="shared" si="394"/>
        <v>0</v>
      </c>
      <c r="T422" s="38">
        <f t="shared" si="394"/>
        <v>0</v>
      </c>
      <c r="U422" s="53">
        <f t="shared" ref="U422" si="395">SUBTOTAL(9,O423:T424)</f>
        <v>750</v>
      </c>
    </row>
    <row r="423" spans="1:21" ht="17.25" customHeight="1" x14ac:dyDescent="0.3">
      <c r="A423" s="15" t="s">
        <v>29</v>
      </c>
      <c r="C423" s="19"/>
      <c r="D423" s="33" t="str">
        <f t="shared" ref="D423" si="396">D422</f>
        <v>E100040</v>
      </c>
      <c r="E423" s="33"/>
      <c r="F423" s="20"/>
      <c r="G423" s="20" t="str">
        <f>"""NAV"",""CRONUS JetCorp USA"",""32"",""1"",""168664"""</f>
        <v>"NAV","CRONUS JetCorp USA","32","1","168664"</v>
      </c>
      <c r="H423" s="39">
        <v>43466</v>
      </c>
      <c r="I423" s="40">
        <v>168664</v>
      </c>
      <c r="J423" s="40" t="str">
        <f>"Vendor"</f>
        <v>Vendor</v>
      </c>
      <c r="K423" s="40" t="str">
        <f>"V100003"</f>
        <v>V100003</v>
      </c>
      <c r="L423" s="40" t="str">
        <f>""</f>
        <v/>
      </c>
      <c r="M423" s="40" t="str">
        <f>"LogoMasters"</f>
        <v>LogoMasters</v>
      </c>
      <c r="N423" s="40" t="str">
        <f>""</f>
        <v/>
      </c>
      <c r="O423" s="41">
        <v>750</v>
      </c>
      <c r="P423" s="41">
        <v>0</v>
      </c>
      <c r="Q423" s="41">
        <v>0</v>
      </c>
      <c r="R423" s="41">
        <v>0</v>
      </c>
      <c r="S423" s="41">
        <v>0</v>
      </c>
      <c r="T423" s="41">
        <v>0</v>
      </c>
      <c r="U423" s="54"/>
    </row>
    <row r="424" spans="1:21" ht="17.25" customHeight="1" x14ac:dyDescent="0.3">
      <c r="A424" s="15" t="s">
        <v>29</v>
      </c>
      <c r="C424" s="19"/>
      <c r="D424" s="33"/>
      <c r="E424" s="33"/>
      <c r="F424" s="20"/>
      <c r="G424" s="20"/>
      <c r="H424" s="20"/>
      <c r="I424" s="20"/>
      <c r="J424" s="20"/>
      <c r="K424" s="20"/>
      <c r="L424" s="20"/>
      <c r="M424" s="20"/>
      <c r="N424" s="20"/>
      <c r="O424" s="42"/>
      <c r="P424" s="42"/>
      <c r="Q424" s="42"/>
      <c r="R424" s="42"/>
      <c r="S424" s="42"/>
      <c r="T424" s="42"/>
      <c r="U424" s="55"/>
    </row>
    <row r="425" spans="1:21" ht="17.25" customHeight="1" x14ac:dyDescent="0.3">
      <c r="A425" s="15" t="s">
        <v>29</v>
      </c>
      <c r="C425" s="19"/>
      <c r="D425" s="33"/>
      <c r="E425" s="33" t="s">
        <v>30</v>
      </c>
      <c r="F425" s="20" t="s">
        <v>30</v>
      </c>
      <c r="G425" s="20" t="s">
        <v>30</v>
      </c>
      <c r="H425" s="20"/>
      <c r="I425" s="20"/>
      <c r="J425" s="20" t="s">
        <v>30</v>
      </c>
      <c r="K425" s="20" t="s">
        <v>30</v>
      </c>
      <c r="L425" s="20" t="s">
        <v>30</v>
      </c>
      <c r="M425" s="20" t="s">
        <v>30</v>
      </c>
      <c r="N425" s="20"/>
      <c r="U425" s="56"/>
    </row>
    <row r="426" spans="1:21" ht="20.25" customHeight="1" x14ac:dyDescent="0.35">
      <c r="A426" s="15" t="s">
        <v>29</v>
      </c>
      <c r="C426" s="19"/>
      <c r="D426" s="34" t="str">
        <f t="shared" ref="D426" si="397">E426</f>
        <v>E100041</v>
      </c>
      <c r="E426" s="35" t="str">
        <f>"E100041"</f>
        <v>E100041</v>
      </c>
      <c r="F426" s="36" t="str">
        <f>"Biodegradable Colored SPORT BOT"</f>
        <v>Biodegradable Colored SPORT BOT</v>
      </c>
      <c r="G426" s="36"/>
      <c r="H426" s="37" t="str">
        <f>"EA"</f>
        <v>EA</v>
      </c>
      <c r="I426" s="36"/>
      <c r="J426" s="36"/>
      <c r="K426" s="36"/>
      <c r="L426" s="36"/>
      <c r="M426" s="36"/>
      <c r="N426" s="36"/>
      <c r="O426" s="38">
        <f t="shared" ref="O426:T426" si="398">(SUBTOTAL(9,O427:O428))</f>
        <v>1250</v>
      </c>
      <c r="P426" s="38">
        <f t="shared" si="398"/>
        <v>0</v>
      </c>
      <c r="Q426" s="38">
        <f t="shared" si="398"/>
        <v>0</v>
      </c>
      <c r="R426" s="38">
        <f t="shared" si="398"/>
        <v>0</v>
      </c>
      <c r="S426" s="38">
        <f t="shared" si="398"/>
        <v>0</v>
      </c>
      <c r="T426" s="38">
        <f t="shared" si="398"/>
        <v>0</v>
      </c>
      <c r="U426" s="53">
        <f t="shared" ref="U426" si="399">SUBTOTAL(9,O427:T428)</f>
        <v>1250</v>
      </c>
    </row>
    <row r="427" spans="1:21" ht="17.25" customHeight="1" x14ac:dyDescent="0.3">
      <c r="A427" s="15" t="s">
        <v>29</v>
      </c>
      <c r="C427" s="19"/>
      <c r="D427" s="33" t="str">
        <f t="shared" ref="D427" si="400">D426</f>
        <v>E100041</v>
      </c>
      <c r="E427" s="33"/>
      <c r="F427" s="20"/>
      <c r="G427" s="20" t="str">
        <f>"""NAV"",""CRONUS JetCorp USA"",""32"",""1"",""168663"""</f>
        <v>"NAV","CRONUS JetCorp USA","32","1","168663"</v>
      </c>
      <c r="H427" s="39">
        <v>43466</v>
      </c>
      <c r="I427" s="40">
        <v>168663</v>
      </c>
      <c r="J427" s="40" t="str">
        <f>"Vendor"</f>
        <v>Vendor</v>
      </c>
      <c r="K427" s="40" t="str">
        <f>"V100003"</f>
        <v>V100003</v>
      </c>
      <c r="L427" s="40" t="str">
        <f>""</f>
        <v/>
      </c>
      <c r="M427" s="40" t="str">
        <f>"LogoMasters"</f>
        <v>LogoMasters</v>
      </c>
      <c r="N427" s="40" t="str">
        <f>""</f>
        <v/>
      </c>
      <c r="O427" s="41">
        <v>1250</v>
      </c>
      <c r="P427" s="41">
        <v>0</v>
      </c>
      <c r="Q427" s="41">
        <v>0</v>
      </c>
      <c r="R427" s="41">
        <v>0</v>
      </c>
      <c r="S427" s="41">
        <v>0</v>
      </c>
      <c r="T427" s="41">
        <v>0</v>
      </c>
      <c r="U427" s="54"/>
    </row>
    <row r="428" spans="1:21" ht="17.25" customHeight="1" x14ac:dyDescent="0.3">
      <c r="A428" s="15" t="s">
        <v>29</v>
      </c>
      <c r="C428" s="19"/>
      <c r="D428" s="33"/>
      <c r="E428" s="33"/>
      <c r="F428" s="20"/>
      <c r="G428" s="20"/>
      <c r="H428" s="20"/>
      <c r="I428" s="20"/>
      <c r="J428" s="20"/>
      <c r="K428" s="20"/>
      <c r="L428" s="20"/>
      <c r="M428" s="20"/>
      <c r="N428" s="20"/>
      <c r="O428" s="42"/>
      <c r="P428" s="42"/>
      <c r="Q428" s="42"/>
      <c r="R428" s="42"/>
      <c r="S428" s="42"/>
      <c r="T428" s="42"/>
      <c r="U428" s="55"/>
    </row>
    <row r="429" spans="1:21" ht="17.25" customHeight="1" x14ac:dyDescent="0.3">
      <c r="A429" s="15" t="s">
        <v>29</v>
      </c>
      <c r="C429" s="19"/>
      <c r="D429" s="33"/>
      <c r="E429" s="33" t="s">
        <v>30</v>
      </c>
      <c r="F429" s="20" t="s">
        <v>30</v>
      </c>
      <c r="G429" s="20" t="s">
        <v>30</v>
      </c>
      <c r="H429" s="20"/>
      <c r="I429" s="20"/>
      <c r="J429" s="20" t="s">
        <v>30</v>
      </c>
      <c r="K429" s="20" t="s">
        <v>30</v>
      </c>
      <c r="L429" s="20" t="s">
        <v>30</v>
      </c>
      <c r="M429" s="20" t="s">
        <v>30</v>
      </c>
      <c r="N429" s="20"/>
      <c r="U429" s="56"/>
    </row>
    <row r="430" spans="1:21" ht="20.25" customHeight="1" x14ac:dyDescent="0.35">
      <c r="A430" s="15" t="s">
        <v>29</v>
      </c>
      <c r="C430" s="19"/>
      <c r="D430" s="34" t="str">
        <f t="shared" ref="D430" si="401">E430</f>
        <v>E100042</v>
      </c>
      <c r="E430" s="35" t="str">
        <f>"E100042"</f>
        <v>E100042</v>
      </c>
      <c r="F430" s="36" t="str">
        <f>"Soft Touch Travel Mug"</f>
        <v>Soft Touch Travel Mug</v>
      </c>
      <c r="G430" s="36"/>
      <c r="H430" s="37" t="str">
        <f>"EA"</f>
        <v>EA</v>
      </c>
      <c r="I430" s="36"/>
      <c r="J430" s="36"/>
      <c r="K430" s="36"/>
      <c r="L430" s="36"/>
      <c r="M430" s="36"/>
      <c r="N430" s="36"/>
      <c r="O430" s="38">
        <f t="shared" ref="O430:T430" si="402">(SUBTOTAL(9,O431:O432))</f>
        <v>1250</v>
      </c>
      <c r="P430" s="38">
        <f t="shared" si="402"/>
        <v>0</v>
      </c>
      <c r="Q430" s="38">
        <f t="shared" si="402"/>
        <v>0</v>
      </c>
      <c r="R430" s="38">
        <f t="shared" si="402"/>
        <v>0</v>
      </c>
      <c r="S430" s="38">
        <f t="shared" si="402"/>
        <v>0</v>
      </c>
      <c r="T430" s="38">
        <f t="shared" si="402"/>
        <v>0</v>
      </c>
      <c r="U430" s="53">
        <f t="shared" ref="U430" si="403">SUBTOTAL(9,O431:T432)</f>
        <v>1250</v>
      </c>
    </row>
    <row r="431" spans="1:21" ht="17.25" customHeight="1" x14ac:dyDescent="0.3">
      <c r="A431" s="15" t="s">
        <v>29</v>
      </c>
      <c r="C431" s="19"/>
      <c r="D431" s="33" t="str">
        <f t="shared" ref="D431" si="404">D430</f>
        <v>E100042</v>
      </c>
      <c r="E431" s="33"/>
      <c r="F431" s="20"/>
      <c r="G431" s="20" t="str">
        <f>"""NAV"",""CRONUS JetCorp USA"",""32"",""1"",""168662"""</f>
        <v>"NAV","CRONUS JetCorp USA","32","1","168662"</v>
      </c>
      <c r="H431" s="39">
        <v>43466</v>
      </c>
      <c r="I431" s="40">
        <v>168662</v>
      </c>
      <c r="J431" s="40" t="str">
        <f>"Vendor"</f>
        <v>Vendor</v>
      </c>
      <c r="K431" s="40" t="str">
        <f>"V100003"</f>
        <v>V100003</v>
      </c>
      <c r="L431" s="40" t="str">
        <f>""</f>
        <v/>
      </c>
      <c r="M431" s="40" t="str">
        <f>"LogoMasters"</f>
        <v>LogoMasters</v>
      </c>
      <c r="N431" s="40" t="str">
        <f>""</f>
        <v/>
      </c>
      <c r="O431" s="41">
        <v>1250</v>
      </c>
      <c r="P431" s="41">
        <v>0</v>
      </c>
      <c r="Q431" s="41">
        <v>0</v>
      </c>
      <c r="R431" s="41">
        <v>0</v>
      </c>
      <c r="S431" s="41">
        <v>0</v>
      </c>
      <c r="T431" s="41">
        <v>0</v>
      </c>
      <c r="U431" s="54"/>
    </row>
    <row r="432" spans="1:21" ht="17.25" customHeight="1" x14ac:dyDescent="0.3">
      <c r="A432" s="15" t="s">
        <v>29</v>
      </c>
      <c r="C432" s="19"/>
      <c r="D432" s="33"/>
      <c r="E432" s="33"/>
      <c r="F432" s="20"/>
      <c r="G432" s="20"/>
      <c r="H432" s="20"/>
      <c r="I432" s="20"/>
      <c r="J432" s="20"/>
      <c r="K432" s="20"/>
      <c r="L432" s="20"/>
      <c r="M432" s="20"/>
      <c r="N432" s="20"/>
      <c r="O432" s="42"/>
      <c r="P432" s="42"/>
      <c r="Q432" s="42"/>
      <c r="R432" s="42"/>
      <c r="S432" s="42"/>
      <c r="T432" s="42"/>
      <c r="U432" s="55"/>
    </row>
    <row r="433" spans="1:21" ht="17.25" customHeight="1" x14ac:dyDescent="0.3">
      <c r="A433" s="15" t="s">
        <v>29</v>
      </c>
      <c r="C433" s="19"/>
      <c r="D433" s="33"/>
      <c r="E433" s="33" t="s">
        <v>30</v>
      </c>
      <c r="F433" s="20" t="s">
        <v>30</v>
      </c>
      <c r="G433" s="20" t="s">
        <v>30</v>
      </c>
      <c r="H433" s="20"/>
      <c r="I433" s="20"/>
      <c r="J433" s="20" t="s">
        <v>30</v>
      </c>
      <c r="K433" s="20" t="s">
        <v>30</v>
      </c>
      <c r="L433" s="20" t="s">
        <v>30</v>
      </c>
      <c r="M433" s="20" t="s">
        <v>30</v>
      </c>
      <c r="N433" s="20"/>
      <c r="U433" s="56"/>
    </row>
    <row r="434" spans="1:21" ht="20.25" customHeight="1" x14ac:dyDescent="0.35">
      <c r="A434" s="15" t="s">
        <v>29</v>
      </c>
      <c r="C434" s="19"/>
      <c r="D434" s="34" t="str">
        <f t="shared" ref="D434" si="405">E434</f>
        <v>E100043</v>
      </c>
      <c r="E434" s="35" t="str">
        <f>"E100043"</f>
        <v>E100043</v>
      </c>
      <c r="F434" s="36" t="str">
        <f>"Pub Glass"</f>
        <v>Pub Glass</v>
      </c>
      <c r="G434" s="36"/>
      <c r="H434" s="37" t="str">
        <f>"EA"</f>
        <v>EA</v>
      </c>
      <c r="I434" s="36"/>
      <c r="J434" s="36"/>
      <c r="K434" s="36"/>
      <c r="L434" s="36"/>
      <c r="M434" s="36"/>
      <c r="N434" s="36"/>
      <c r="O434" s="38">
        <f t="shared" ref="O434:T434" si="406">(SUBTOTAL(9,O435:O436))</f>
        <v>999.99999999999989</v>
      </c>
      <c r="P434" s="38">
        <f t="shared" si="406"/>
        <v>0</v>
      </c>
      <c r="Q434" s="38">
        <f t="shared" si="406"/>
        <v>0</v>
      </c>
      <c r="R434" s="38">
        <f t="shared" si="406"/>
        <v>0</v>
      </c>
      <c r="S434" s="38">
        <f t="shared" si="406"/>
        <v>0</v>
      </c>
      <c r="T434" s="38">
        <f t="shared" si="406"/>
        <v>0</v>
      </c>
      <c r="U434" s="53">
        <f t="shared" ref="U434" si="407">SUBTOTAL(9,O435:T436)</f>
        <v>999.99999999999989</v>
      </c>
    </row>
    <row r="435" spans="1:21" ht="17.25" customHeight="1" x14ac:dyDescent="0.3">
      <c r="A435" s="15" t="s">
        <v>29</v>
      </c>
      <c r="C435" s="19"/>
      <c r="D435" s="33" t="str">
        <f t="shared" ref="D435" si="408">D434</f>
        <v>E100043</v>
      </c>
      <c r="E435" s="33"/>
      <c r="F435" s="20"/>
      <c r="G435" s="20" t="str">
        <f>"""NAV"",""CRONUS JetCorp USA"",""32"",""1"",""168661"""</f>
        <v>"NAV","CRONUS JetCorp USA","32","1","168661"</v>
      </c>
      <c r="H435" s="39">
        <v>43466</v>
      </c>
      <c r="I435" s="40">
        <v>168661</v>
      </c>
      <c r="J435" s="40" t="str">
        <f>"Vendor"</f>
        <v>Vendor</v>
      </c>
      <c r="K435" s="40" t="str">
        <f>"V100003"</f>
        <v>V100003</v>
      </c>
      <c r="L435" s="40" t="str">
        <f>""</f>
        <v/>
      </c>
      <c r="M435" s="40" t="str">
        <f>"LogoMasters"</f>
        <v>LogoMasters</v>
      </c>
      <c r="N435" s="40" t="str">
        <f>""</f>
        <v/>
      </c>
      <c r="O435" s="41">
        <v>999.99999999999989</v>
      </c>
      <c r="P435" s="41">
        <v>0</v>
      </c>
      <c r="Q435" s="41">
        <v>0</v>
      </c>
      <c r="R435" s="41">
        <v>0</v>
      </c>
      <c r="S435" s="41">
        <v>0</v>
      </c>
      <c r="T435" s="41">
        <v>0</v>
      </c>
      <c r="U435" s="54"/>
    </row>
    <row r="436" spans="1:21" ht="17.25" customHeight="1" x14ac:dyDescent="0.3">
      <c r="A436" s="15" t="s">
        <v>29</v>
      </c>
      <c r="C436" s="19"/>
      <c r="D436" s="33"/>
      <c r="E436" s="33"/>
      <c r="F436" s="20"/>
      <c r="G436" s="20"/>
      <c r="H436" s="20"/>
      <c r="I436" s="20"/>
      <c r="J436" s="20"/>
      <c r="K436" s="20"/>
      <c r="L436" s="20"/>
      <c r="M436" s="20"/>
      <c r="N436" s="20"/>
      <c r="O436" s="42"/>
      <c r="P436" s="42"/>
      <c r="Q436" s="42"/>
      <c r="R436" s="42"/>
      <c r="S436" s="42"/>
      <c r="T436" s="42"/>
      <c r="U436" s="55"/>
    </row>
    <row r="437" spans="1:21" ht="17.25" customHeight="1" x14ac:dyDescent="0.3">
      <c r="A437" s="15" t="s">
        <v>29</v>
      </c>
      <c r="C437" s="19"/>
      <c r="D437" s="33"/>
      <c r="E437" s="33" t="s">
        <v>30</v>
      </c>
      <c r="F437" s="20" t="s">
        <v>30</v>
      </c>
      <c r="G437" s="20" t="s">
        <v>30</v>
      </c>
      <c r="H437" s="20"/>
      <c r="I437" s="20"/>
      <c r="J437" s="20" t="s">
        <v>30</v>
      </c>
      <c r="K437" s="20" t="s">
        <v>30</v>
      </c>
      <c r="L437" s="20" t="s">
        <v>30</v>
      </c>
      <c r="M437" s="20" t="s">
        <v>30</v>
      </c>
      <c r="N437" s="20"/>
      <c r="U437" s="56"/>
    </row>
    <row r="438" spans="1:21" ht="20.25" customHeight="1" x14ac:dyDescent="0.35">
      <c r="A438" s="15" t="s">
        <v>29</v>
      </c>
      <c r="C438" s="19"/>
      <c r="D438" s="34" t="str">
        <f t="shared" ref="D438" si="409">E438</f>
        <v>E100044</v>
      </c>
      <c r="E438" s="35" t="str">
        <f>"E100044"</f>
        <v>E100044</v>
      </c>
      <c r="F438" s="36" t="str">
        <f>"Juice Glass"</f>
        <v>Juice Glass</v>
      </c>
      <c r="G438" s="36"/>
      <c r="H438" s="37" t="str">
        <f>"EA"</f>
        <v>EA</v>
      </c>
      <c r="I438" s="36"/>
      <c r="J438" s="36"/>
      <c r="K438" s="36"/>
      <c r="L438" s="36"/>
      <c r="M438" s="36"/>
      <c r="N438" s="36"/>
      <c r="O438" s="38">
        <f t="shared" ref="O438:T438" si="410">(SUBTOTAL(9,O439:O440))</f>
        <v>1500</v>
      </c>
      <c r="P438" s="38">
        <f t="shared" si="410"/>
        <v>0</v>
      </c>
      <c r="Q438" s="38">
        <f t="shared" si="410"/>
        <v>0</v>
      </c>
      <c r="R438" s="38">
        <f t="shared" si="410"/>
        <v>0</v>
      </c>
      <c r="S438" s="38">
        <f t="shared" si="410"/>
        <v>0</v>
      </c>
      <c r="T438" s="38">
        <f t="shared" si="410"/>
        <v>0</v>
      </c>
      <c r="U438" s="53">
        <f t="shared" ref="U438" si="411">SUBTOTAL(9,O439:T440)</f>
        <v>1500</v>
      </c>
    </row>
    <row r="439" spans="1:21" ht="17.25" customHeight="1" x14ac:dyDescent="0.3">
      <c r="A439" s="15" t="s">
        <v>29</v>
      </c>
      <c r="C439" s="19"/>
      <c r="D439" s="33" t="str">
        <f t="shared" ref="D439" si="412">D438</f>
        <v>E100044</v>
      </c>
      <c r="E439" s="33"/>
      <c r="F439" s="20"/>
      <c r="G439" s="20" t="str">
        <f>"""NAV"",""CRONUS JetCorp USA"",""32"",""1"",""168660"""</f>
        <v>"NAV","CRONUS JetCorp USA","32","1","168660"</v>
      </c>
      <c r="H439" s="39">
        <v>43466</v>
      </c>
      <c r="I439" s="40">
        <v>168660</v>
      </c>
      <c r="J439" s="40" t="str">
        <f>"Vendor"</f>
        <v>Vendor</v>
      </c>
      <c r="K439" s="40" t="str">
        <f>"V100003"</f>
        <v>V100003</v>
      </c>
      <c r="L439" s="40" t="str">
        <f>""</f>
        <v/>
      </c>
      <c r="M439" s="40" t="str">
        <f>"LogoMasters"</f>
        <v>LogoMasters</v>
      </c>
      <c r="N439" s="40" t="str">
        <f>""</f>
        <v/>
      </c>
      <c r="O439" s="41">
        <v>1500</v>
      </c>
      <c r="P439" s="41">
        <v>0</v>
      </c>
      <c r="Q439" s="41">
        <v>0</v>
      </c>
      <c r="R439" s="41">
        <v>0</v>
      </c>
      <c r="S439" s="41">
        <v>0</v>
      </c>
      <c r="T439" s="41">
        <v>0</v>
      </c>
      <c r="U439" s="54"/>
    </row>
    <row r="440" spans="1:21" ht="17.25" customHeight="1" x14ac:dyDescent="0.3">
      <c r="A440" s="15" t="s">
        <v>29</v>
      </c>
      <c r="C440" s="19"/>
      <c r="D440" s="33"/>
      <c r="E440" s="33"/>
      <c r="F440" s="20"/>
      <c r="G440" s="20"/>
      <c r="H440" s="20"/>
      <c r="I440" s="20"/>
      <c r="J440" s="20"/>
      <c r="K440" s="20"/>
      <c r="L440" s="20"/>
      <c r="M440" s="20"/>
      <c r="N440" s="20"/>
      <c r="O440" s="42"/>
      <c r="P440" s="42"/>
      <c r="Q440" s="42"/>
      <c r="R440" s="42"/>
      <c r="S440" s="42"/>
      <c r="T440" s="42"/>
      <c r="U440" s="55"/>
    </row>
    <row r="441" spans="1:21" ht="17.25" customHeight="1" x14ac:dyDescent="0.3">
      <c r="A441" s="15" t="s">
        <v>29</v>
      </c>
      <c r="C441" s="19"/>
      <c r="D441" s="33"/>
      <c r="E441" s="33" t="s">
        <v>30</v>
      </c>
      <c r="F441" s="20" t="s">
        <v>30</v>
      </c>
      <c r="G441" s="20" t="s">
        <v>30</v>
      </c>
      <c r="H441" s="20"/>
      <c r="I441" s="20"/>
      <c r="J441" s="20" t="s">
        <v>30</v>
      </c>
      <c r="K441" s="20" t="s">
        <v>30</v>
      </c>
      <c r="L441" s="20" t="s">
        <v>30</v>
      </c>
      <c r="M441" s="20" t="s">
        <v>30</v>
      </c>
      <c r="N441" s="20"/>
      <c r="U441" s="56"/>
    </row>
    <row r="442" spans="1:21" ht="20.25" customHeight="1" x14ac:dyDescent="0.35">
      <c r="A442" s="15" t="s">
        <v>29</v>
      </c>
      <c r="C442" s="19"/>
      <c r="D442" s="34" t="str">
        <f t="shared" ref="D442" si="413">E442</f>
        <v>E100045</v>
      </c>
      <c r="E442" s="35" t="str">
        <f>"E100045"</f>
        <v>E100045</v>
      </c>
      <c r="F442" s="36" t="str">
        <f>"Flute"</f>
        <v>Flute</v>
      </c>
      <c r="G442" s="36"/>
      <c r="H442" s="37" t="str">
        <f>"EA"</f>
        <v>EA</v>
      </c>
      <c r="I442" s="36"/>
      <c r="J442" s="36"/>
      <c r="K442" s="36"/>
      <c r="L442" s="36"/>
      <c r="M442" s="36"/>
      <c r="N442" s="36"/>
      <c r="O442" s="38">
        <f t="shared" ref="O442:T442" si="414">(SUBTOTAL(9,O443:O444))</f>
        <v>1500</v>
      </c>
      <c r="P442" s="38">
        <f t="shared" si="414"/>
        <v>0</v>
      </c>
      <c r="Q442" s="38">
        <f t="shared" si="414"/>
        <v>0</v>
      </c>
      <c r="R442" s="38">
        <f t="shared" si="414"/>
        <v>0</v>
      </c>
      <c r="S442" s="38">
        <f t="shared" si="414"/>
        <v>0</v>
      </c>
      <c r="T442" s="38">
        <f t="shared" si="414"/>
        <v>0</v>
      </c>
      <c r="U442" s="53">
        <f t="shared" ref="U442" si="415">SUBTOTAL(9,O443:T444)</f>
        <v>1500</v>
      </c>
    </row>
    <row r="443" spans="1:21" ht="17.25" customHeight="1" x14ac:dyDescent="0.3">
      <c r="A443" s="15" t="s">
        <v>29</v>
      </c>
      <c r="C443" s="19"/>
      <c r="D443" s="33" t="str">
        <f t="shared" ref="D443" si="416">D442</f>
        <v>E100045</v>
      </c>
      <c r="E443" s="33"/>
      <c r="F443" s="20"/>
      <c r="G443" s="20" t="str">
        <f>"""NAV"",""CRONUS JetCorp USA"",""32"",""1"",""168659"""</f>
        <v>"NAV","CRONUS JetCorp USA","32","1","168659"</v>
      </c>
      <c r="H443" s="39">
        <v>43466</v>
      </c>
      <c r="I443" s="40">
        <v>168659</v>
      </c>
      <c r="J443" s="40" t="str">
        <f>"Vendor"</f>
        <v>Vendor</v>
      </c>
      <c r="K443" s="40" t="str">
        <f>"V100003"</f>
        <v>V100003</v>
      </c>
      <c r="L443" s="40" t="str">
        <f>""</f>
        <v/>
      </c>
      <c r="M443" s="40" t="str">
        <f>"LogoMasters"</f>
        <v>LogoMasters</v>
      </c>
      <c r="N443" s="40" t="str">
        <f>""</f>
        <v/>
      </c>
      <c r="O443" s="41">
        <v>1500</v>
      </c>
      <c r="P443" s="41">
        <v>0</v>
      </c>
      <c r="Q443" s="41">
        <v>0</v>
      </c>
      <c r="R443" s="41">
        <v>0</v>
      </c>
      <c r="S443" s="41">
        <v>0</v>
      </c>
      <c r="T443" s="41">
        <v>0</v>
      </c>
      <c r="U443" s="54"/>
    </row>
    <row r="444" spans="1:21" ht="17.25" customHeight="1" x14ac:dyDescent="0.3">
      <c r="A444" s="15" t="s">
        <v>29</v>
      </c>
      <c r="C444" s="19"/>
      <c r="D444" s="33"/>
      <c r="E444" s="33"/>
      <c r="F444" s="20"/>
      <c r="G444" s="20"/>
      <c r="H444" s="20"/>
      <c r="I444" s="20"/>
      <c r="J444" s="20"/>
      <c r="K444" s="20"/>
      <c r="L444" s="20"/>
      <c r="M444" s="20"/>
      <c r="N444" s="20"/>
      <c r="O444" s="42"/>
      <c r="P444" s="42"/>
      <c r="Q444" s="42"/>
      <c r="R444" s="42"/>
      <c r="S444" s="42"/>
      <c r="T444" s="42"/>
      <c r="U444" s="55"/>
    </row>
    <row r="445" spans="1:21" ht="17.25" customHeight="1" x14ac:dyDescent="0.3">
      <c r="A445" s="15" t="s">
        <v>29</v>
      </c>
      <c r="C445" s="19"/>
      <c r="D445" s="33"/>
      <c r="E445" s="33" t="s">
        <v>30</v>
      </c>
      <c r="F445" s="20" t="s">
        <v>30</v>
      </c>
      <c r="G445" s="20" t="s">
        <v>30</v>
      </c>
      <c r="H445" s="20"/>
      <c r="I445" s="20"/>
      <c r="J445" s="20" t="s">
        <v>30</v>
      </c>
      <c r="K445" s="20" t="s">
        <v>30</v>
      </c>
      <c r="L445" s="20" t="s">
        <v>30</v>
      </c>
      <c r="M445" s="20" t="s">
        <v>30</v>
      </c>
      <c r="N445" s="20"/>
      <c r="U445" s="56"/>
    </row>
    <row r="446" spans="1:21" ht="20.25" customHeight="1" x14ac:dyDescent="0.35">
      <c r="A446" s="15" t="s">
        <v>29</v>
      </c>
      <c r="C446" s="19"/>
      <c r="D446" s="34" t="str">
        <f t="shared" ref="D446" si="417">E446</f>
        <v>E100046</v>
      </c>
      <c r="E446" s="35" t="str">
        <f>"E100046"</f>
        <v>E100046</v>
      </c>
      <c r="F446" s="36" t="str">
        <f>"Milk Bottle"</f>
        <v>Milk Bottle</v>
      </c>
      <c r="G446" s="36"/>
      <c r="H446" s="37" t="str">
        <f>"EA"</f>
        <v>EA</v>
      </c>
      <c r="I446" s="36"/>
      <c r="J446" s="36"/>
      <c r="K446" s="36"/>
      <c r="L446" s="36"/>
      <c r="M446" s="36"/>
      <c r="N446" s="36"/>
      <c r="O446" s="38">
        <f t="shared" ref="O446:T446" si="418">(SUBTOTAL(9,O447:O448))</f>
        <v>499.99999999999994</v>
      </c>
      <c r="P446" s="38">
        <f t="shared" si="418"/>
        <v>0</v>
      </c>
      <c r="Q446" s="38">
        <f t="shared" si="418"/>
        <v>0</v>
      </c>
      <c r="R446" s="38">
        <f t="shared" si="418"/>
        <v>0</v>
      </c>
      <c r="S446" s="38">
        <f t="shared" si="418"/>
        <v>0</v>
      </c>
      <c r="T446" s="38">
        <f t="shared" si="418"/>
        <v>0</v>
      </c>
      <c r="U446" s="53">
        <f t="shared" ref="U446" si="419">SUBTOTAL(9,O447:T448)</f>
        <v>499.99999999999994</v>
      </c>
    </row>
    <row r="447" spans="1:21" ht="17.25" customHeight="1" x14ac:dyDescent="0.3">
      <c r="A447" s="15" t="s">
        <v>29</v>
      </c>
      <c r="C447" s="19"/>
      <c r="D447" s="33" t="str">
        <f t="shared" ref="D447" si="420">D446</f>
        <v>E100046</v>
      </c>
      <c r="E447" s="33"/>
      <c r="F447" s="20"/>
      <c r="G447" s="20" t="str">
        <f>"""NAV"",""CRONUS JetCorp USA"",""32"",""1"",""168658"""</f>
        <v>"NAV","CRONUS JetCorp USA","32","1","168658"</v>
      </c>
      <c r="H447" s="39">
        <v>43466</v>
      </c>
      <c r="I447" s="40">
        <v>168658</v>
      </c>
      <c r="J447" s="40" t="str">
        <f>"Vendor"</f>
        <v>Vendor</v>
      </c>
      <c r="K447" s="40" t="str">
        <f>"V100003"</f>
        <v>V100003</v>
      </c>
      <c r="L447" s="40" t="str">
        <f>""</f>
        <v/>
      </c>
      <c r="M447" s="40" t="str">
        <f>"LogoMasters"</f>
        <v>LogoMasters</v>
      </c>
      <c r="N447" s="40" t="str">
        <f>""</f>
        <v/>
      </c>
      <c r="O447" s="41">
        <v>499.99999999999994</v>
      </c>
      <c r="P447" s="41">
        <v>0</v>
      </c>
      <c r="Q447" s="41">
        <v>0</v>
      </c>
      <c r="R447" s="41">
        <v>0</v>
      </c>
      <c r="S447" s="41">
        <v>0</v>
      </c>
      <c r="T447" s="41">
        <v>0</v>
      </c>
      <c r="U447" s="54"/>
    </row>
    <row r="448" spans="1:21" ht="17.25" customHeight="1" x14ac:dyDescent="0.3">
      <c r="A448" s="15" t="s">
        <v>29</v>
      </c>
      <c r="C448" s="19"/>
      <c r="D448" s="33"/>
      <c r="E448" s="33"/>
      <c r="F448" s="20"/>
      <c r="G448" s="20"/>
      <c r="H448" s="20"/>
      <c r="I448" s="20"/>
      <c r="J448" s="20"/>
      <c r="K448" s="20"/>
      <c r="L448" s="20"/>
      <c r="M448" s="20"/>
      <c r="N448" s="20"/>
      <c r="O448" s="42"/>
      <c r="P448" s="42"/>
      <c r="Q448" s="42"/>
      <c r="R448" s="42"/>
      <c r="S448" s="42"/>
      <c r="T448" s="42"/>
      <c r="U448" s="55"/>
    </row>
    <row r="449" spans="1:21" ht="17.25" customHeight="1" x14ac:dyDescent="0.3">
      <c r="A449" s="15" t="s">
        <v>29</v>
      </c>
      <c r="C449" s="19"/>
      <c r="D449" s="33"/>
      <c r="E449" s="33" t="s">
        <v>30</v>
      </c>
      <c r="F449" s="20" t="s">
        <v>30</v>
      </c>
      <c r="G449" s="20" t="s">
        <v>30</v>
      </c>
      <c r="H449" s="20"/>
      <c r="I449" s="20"/>
      <c r="J449" s="20" t="s">
        <v>30</v>
      </c>
      <c r="K449" s="20" t="s">
        <v>30</v>
      </c>
      <c r="L449" s="20" t="s">
        <v>30</v>
      </c>
      <c r="M449" s="20" t="s">
        <v>30</v>
      </c>
      <c r="N449" s="20"/>
      <c r="U449" s="56"/>
    </row>
    <row r="450" spans="1:21" ht="20.25" customHeight="1" x14ac:dyDescent="0.35">
      <c r="A450" s="15" t="s">
        <v>29</v>
      </c>
      <c r="C450" s="19"/>
      <c r="D450" s="34" t="str">
        <f t="shared" ref="D450" si="421">E450</f>
        <v>E100047</v>
      </c>
      <c r="E450" s="35" t="str">
        <f>"E100047"</f>
        <v>E100047</v>
      </c>
      <c r="F450" s="36" t="str">
        <f>"Chardonnay Glass"</f>
        <v>Chardonnay Glass</v>
      </c>
      <c r="G450" s="36"/>
      <c r="H450" s="37" t="str">
        <f>"EA"</f>
        <v>EA</v>
      </c>
      <c r="I450" s="36"/>
      <c r="J450" s="36"/>
      <c r="K450" s="36"/>
      <c r="L450" s="36"/>
      <c r="M450" s="36"/>
      <c r="N450" s="36"/>
      <c r="O450" s="38">
        <f t="shared" ref="O450:T450" si="422">(SUBTOTAL(9,O451:O452))</f>
        <v>1250</v>
      </c>
      <c r="P450" s="38">
        <f t="shared" si="422"/>
        <v>0</v>
      </c>
      <c r="Q450" s="38">
        <f t="shared" si="422"/>
        <v>0</v>
      </c>
      <c r="R450" s="38">
        <f t="shared" si="422"/>
        <v>0</v>
      </c>
      <c r="S450" s="38">
        <f t="shared" si="422"/>
        <v>0</v>
      </c>
      <c r="T450" s="38">
        <f t="shared" si="422"/>
        <v>0</v>
      </c>
      <c r="U450" s="53">
        <f t="shared" ref="U450" si="423">SUBTOTAL(9,O451:T452)</f>
        <v>1250</v>
      </c>
    </row>
    <row r="451" spans="1:21" ht="17.25" customHeight="1" x14ac:dyDescent="0.3">
      <c r="A451" s="15" t="s">
        <v>29</v>
      </c>
      <c r="C451" s="19"/>
      <c r="D451" s="33" t="str">
        <f t="shared" ref="D451" si="424">D450</f>
        <v>E100047</v>
      </c>
      <c r="E451" s="33"/>
      <c r="F451" s="20"/>
      <c r="G451" s="20" t="str">
        <f>"""NAV"",""CRONUS JetCorp USA"",""32"",""1"",""168657"""</f>
        <v>"NAV","CRONUS JetCorp USA","32","1","168657"</v>
      </c>
      <c r="H451" s="39">
        <v>43466</v>
      </c>
      <c r="I451" s="40">
        <v>168657</v>
      </c>
      <c r="J451" s="40" t="str">
        <f>"Vendor"</f>
        <v>Vendor</v>
      </c>
      <c r="K451" s="40" t="str">
        <f>"V100003"</f>
        <v>V100003</v>
      </c>
      <c r="L451" s="40" t="str">
        <f>""</f>
        <v/>
      </c>
      <c r="M451" s="40" t="str">
        <f>"LogoMasters"</f>
        <v>LogoMasters</v>
      </c>
      <c r="N451" s="40" t="str">
        <f>""</f>
        <v/>
      </c>
      <c r="O451" s="41">
        <v>1250</v>
      </c>
      <c r="P451" s="41">
        <v>0</v>
      </c>
      <c r="Q451" s="41">
        <v>0</v>
      </c>
      <c r="R451" s="41">
        <v>0</v>
      </c>
      <c r="S451" s="41">
        <v>0</v>
      </c>
      <c r="T451" s="41">
        <v>0</v>
      </c>
      <c r="U451" s="54"/>
    </row>
    <row r="452" spans="1:21" ht="17.25" customHeight="1" x14ac:dyDescent="0.3">
      <c r="A452" s="15" t="s">
        <v>29</v>
      </c>
      <c r="C452" s="19"/>
      <c r="D452" s="33"/>
      <c r="E452" s="33"/>
      <c r="F452" s="20"/>
      <c r="G452" s="20"/>
      <c r="H452" s="20"/>
      <c r="I452" s="20"/>
      <c r="J452" s="20"/>
      <c r="K452" s="20"/>
      <c r="L452" s="20"/>
      <c r="M452" s="20"/>
      <c r="N452" s="20"/>
      <c r="O452" s="42"/>
      <c r="P452" s="42"/>
      <c r="Q452" s="42"/>
      <c r="R452" s="42"/>
      <c r="S452" s="42"/>
      <c r="T452" s="42"/>
      <c r="U452" s="55"/>
    </row>
    <row r="453" spans="1:21" ht="17.25" customHeight="1" x14ac:dyDescent="0.3">
      <c r="A453" s="15" t="s">
        <v>29</v>
      </c>
      <c r="C453" s="19"/>
      <c r="D453" s="33"/>
      <c r="E453" s="33" t="s">
        <v>30</v>
      </c>
      <c r="F453" s="20" t="s">
        <v>30</v>
      </c>
      <c r="G453" s="20" t="s">
        <v>30</v>
      </c>
      <c r="H453" s="20"/>
      <c r="I453" s="20"/>
      <c r="J453" s="20" t="s">
        <v>30</v>
      </c>
      <c r="K453" s="20" t="s">
        <v>30</v>
      </c>
      <c r="L453" s="20" t="s">
        <v>30</v>
      </c>
      <c r="M453" s="20" t="s">
        <v>30</v>
      </c>
      <c r="N453" s="20"/>
      <c r="U453" s="56"/>
    </row>
    <row r="454" spans="1:21" ht="20.25" customHeight="1" x14ac:dyDescent="0.35">
      <c r="A454" s="15" t="s">
        <v>29</v>
      </c>
      <c r="C454" s="19"/>
      <c r="D454" s="34" t="str">
        <f t="shared" ref="D454" si="425">E454</f>
        <v>S100001</v>
      </c>
      <c r="E454" s="35" t="str">
        <f>"S100001"</f>
        <v>S100001</v>
      </c>
      <c r="F454" s="36" t="str">
        <f>"Basketball Graphic Plaque"</f>
        <v>Basketball Graphic Plaque</v>
      </c>
      <c r="G454" s="36"/>
      <c r="H454" s="37" t="str">
        <f>"EA"</f>
        <v>EA</v>
      </c>
      <c r="I454" s="36"/>
      <c r="J454" s="36"/>
      <c r="K454" s="36"/>
      <c r="L454" s="36"/>
      <c r="M454" s="36"/>
      <c r="N454" s="36"/>
      <c r="O454" s="38">
        <f t="shared" ref="O454:T454" si="426">(SUBTOTAL(9,O455:O457))</f>
        <v>100</v>
      </c>
      <c r="P454" s="38">
        <f t="shared" si="426"/>
        <v>-144</v>
      </c>
      <c r="Q454" s="38">
        <f t="shared" si="426"/>
        <v>0</v>
      </c>
      <c r="R454" s="38">
        <f t="shared" si="426"/>
        <v>0</v>
      </c>
      <c r="S454" s="38">
        <f t="shared" si="426"/>
        <v>0</v>
      </c>
      <c r="T454" s="38">
        <f t="shared" si="426"/>
        <v>0</v>
      </c>
      <c r="U454" s="53">
        <f t="shared" ref="U454" si="427">SUBTOTAL(9,O455:T457)</f>
        <v>-44</v>
      </c>
    </row>
    <row r="455" spans="1:21" ht="17.25" customHeight="1" x14ac:dyDescent="0.3">
      <c r="A455" s="15" t="s">
        <v>29</v>
      </c>
      <c r="C455" s="19"/>
      <c r="D455" s="33" t="str">
        <f t="shared" ref="D455" si="428">D454</f>
        <v>S100001</v>
      </c>
      <c r="E455" s="33"/>
      <c r="F455" s="20"/>
      <c r="G455" s="20" t="str">
        <f>"""NAV"",""CRONUS JetCorp USA"",""32"",""1"",""166410"""</f>
        <v>"NAV","CRONUS JetCorp USA","32","1","166410"</v>
      </c>
      <c r="H455" s="39">
        <v>43466</v>
      </c>
      <c r="I455" s="40">
        <v>166410</v>
      </c>
      <c r="J455" s="40" t="str">
        <f>"Vendor"</f>
        <v>Vendor</v>
      </c>
      <c r="K455" s="40" t="str">
        <f>"V100003"</f>
        <v>V100003</v>
      </c>
      <c r="L455" s="40" t="str">
        <f>""</f>
        <v/>
      </c>
      <c r="M455" s="40" t="str">
        <f>"LogoMasters"</f>
        <v>LogoMasters</v>
      </c>
      <c r="N455" s="40" t="str">
        <f>""</f>
        <v/>
      </c>
      <c r="O455" s="41">
        <v>100</v>
      </c>
      <c r="P455" s="41">
        <v>0</v>
      </c>
      <c r="Q455" s="41">
        <v>0</v>
      </c>
      <c r="R455" s="41">
        <v>0</v>
      </c>
      <c r="S455" s="41">
        <v>0</v>
      </c>
      <c r="T455" s="41">
        <v>0</v>
      </c>
      <c r="U455" s="54"/>
    </row>
    <row r="456" spans="1:21" ht="17.25" customHeight="1" x14ac:dyDescent="0.3">
      <c r="A456" s="15" t="s">
        <v>29</v>
      </c>
      <c r="C456" s="19"/>
      <c r="D456" s="33" t="str">
        <f t="shared" ref="D456" si="429">D455</f>
        <v>S100001</v>
      </c>
      <c r="E456" s="33"/>
      <c r="F456" s="20"/>
      <c r="G456" s="20" t="str">
        <f>"""NAV"",""CRONUS JetCorp USA"",""32"",""1"",""30030"""</f>
        <v>"NAV","CRONUS JetCorp USA","32","1","30030"</v>
      </c>
      <c r="H456" s="39">
        <v>43471</v>
      </c>
      <c r="I456" s="40">
        <v>30030</v>
      </c>
      <c r="J456" s="40" t="str">
        <f>"Customer"</f>
        <v>Customer</v>
      </c>
      <c r="K456" s="40" t="str">
        <f>"C100012"</f>
        <v>C100012</v>
      </c>
      <c r="L456" s="40" t="str">
        <f>"Bainbridges"</f>
        <v>Bainbridges</v>
      </c>
      <c r="M456" s="40" t="str">
        <f>""</f>
        <v/>
      </c>
      <c r="N456" s="40" t="str">
        <f>""</f>
        <v/>
      </c>
      <c r="O456" s="41">
        <v>0</v>
      </c>
      <c r="P456" s="41">
        <v>-144</v>
      </c>
      <c r="Q456" s="41">
        <v>0</v>
      </c>
      <c r="R456" s="41">
        <v>0</v>
      </c>
      <c r="S456" s="41">
        <v>0</v>
      </c>
      <c r="T456" s="41">
        <v>0</v>
      </c>
      <c r="U456" s="54"/>
    </row>
    <row r="457" spans="1:21" ht="17.25" customHeight="1" x14ac:dyDescent="0.3">
      <c r="A457" s="15" t="s">
        <v>29</v>
      </c>
      <c r="C457" s="19"/>
      <c r="D457" s="33"/>
      <c r="E457" s="33"/>
      <c r="F457" s="20"/>
      <c r="G457" s="20"/>
      <c r="H457" s="20"/>
      <c r="I457" s="20"/>
      <c r="J457" s="20"/>
      <c r="K457" s="20"/>
      <c r="L457" s="20"/>
      <c r="M457" s="20"/>
      <c r="N457" s="20"/>
      <c r="O457" s="42"/>
      <c r="P457" s="42"/>
      <c r="Q457" s="42"/>
      <c r="R457" s="42"/>
      <c r="S457" s="42"/>
      <c r="T457" s="42"/>
      <c r="U457" s="55"/>
    </row>
    <row r="458" spans="1:21" ht="17.25" customHeight="1" x14ac:dyDescent="0.3">
      <c r="A458" s="15" t="s">
        <v>29</v>
      </c>
      <c r="C458" s="19"/>
      <c r="D458" s="33"/>
      <c r="E458" s="33" t="s">
        <v>30</v>
      </c>
      <c r="F458" s="20" t="s">
        <v>30</v>
      </c>
      <c r="G458" s="20" t="s">
        <v>30</v>
      </c>
      <c r="H458" s="20"/>
      <c r="I458" s="20"/>
      <c r="J458" s="20" t="s">
        <v>30</v>
      </c>
      <c r="K458" s="20" t="s">
        <v>30</v>
      </c>
      <c r="L458" s="20" t="s">
        <v>30</v>
      </c>
      <c r="M458" s="20" t="s">
        <v>30</v>
      </c>
      <c r="N458" s="20"/>
      <c r="U458" s="56"/>
    </row>
    <row r="459" spans="1:21" ht="20.25" customHeight="1" x14ac:dyDescent="0.35">
      <c r="A459" s="15" t="s">
        <v>29</v>
      </c>
      <c r="C459" s="19"/>
      <c r="D459" s="34" t="str">
        <f t="shared" ref="D459" si="430">E459</f>
        <v>S100002</v>
      </c>
      <c r="E459" s="35" t="str">
        <f>"S100002"</f>
        <v>S100002</v>
      </c>
      <c r="F459" s="36" t="str">
        <f>"Football Graphic Plaque"</f>
        <v>Football Graphic Plaque</v>
      </c>
      <c r="G459" s="36"/>
      <c r="H459" s="37" t="str">
        <f>"EA"</f>
        <v>EA</v>
      </c>
      <c r="I459" s="36"/>
      <c r="J459" s="36"/>
      <c r="K459" s="36"/>
      <c r="L459" s="36"/>
      <c r="M459" s="36"/>
      <c r="N459" s="36"/>
      <c r="O459" s="38">
        <f t="shared" ref="O459:T459" si="431">(SUBTOTAL(9,O460:O462))</f>
        <v>200</v>
      </c>
      <c r="P459" s="38">
        <f t="shared" si="431"/>
        <v>-144</v>
      </c>
      <c r="Q459" s="38">
        <f t="shared" si="431"/>
        <v>0</v>
      </c>
      <c r="R459" s="38">
        <f t="shared" si="431"/>
        <v>0</v>
      </c>
      <c r="S459" s="38">
        <f t="shared" si="431"/>
        <v>0</v>
      </c>
      <c r="T459" s="38">
        <f t="shared" si="431"/>
        <v>0</v>
      </c>
      <c r="U459" s="53">
        <f t="shared" ref="U459" si="432">SUBTOTAL(9,O460:T462)</f>
        <v>56</v>
      </c>
    </row>
    <row r="460" spans="1:21" ht="17.25" customHeight="1" x14ac:dyDescent="0.3">
      <c r="A460" s="15" t="s">
        <v>29</v>
      </c>
      <c r="C460" s="19"/>
      <c r="D460" s="33" t="str">
        <f t="shared" ref="D460" si="433">D459</f>
        <v>S100002</v>
      </c>
      <c r="E460" s="33"/>
      <c r="F460" s="20"/>
      <c r="G460" s="20" t="str">
        <f>"""NAV"",""CRONUS JetCorp USA"",""32"",""1"",""166409"""</f>
        <v>"NAV","CRONUS JetCorp USA","32","1","166409"</v>
      </c>
      <c r="H460" s="39">
        <v>43466</v>
      </c>
      <c r="I460" s="40">
        <v>166409</v>
      </c>
      <c r="J460" s="40" t="str">
        <f>"Vendor"</f>
        <v>Vendor</v>
      </c>
      <c r="K460" s="40" t="str">
        <f>"V100003"</f>
        <v>V100003</v>
      </c>
      <c r="L460" s="40" t="str">
        <f>""</f>
        <v/>
      </c>
      <c r="M460" s="40" t="str">
        <f>"LogoMasters"</f>
        <v>LogoMasters</v>
      </c>
      <c r="N460" s="40" t="str">
        <f>""</f>
        <v/>
      </c>
      <c r="O460" s="41">
        <v>200</v>
      </c>
      <c r="P460" s="41">
        <v>0</v>
      </c>
      <c r="Q460" s="41">
        <v>0</v>
      </c>
      <c r="R460" s="41">
        <v>0</v>
      </c>
      <c r="S460" s="41">
        <v>0</v>
      </c>
      <c r="T460" s="41">
        <v>0</v>
      </c>
      <c r="U460" s="54"/>
    </row>
    <row r="461" spans="1:21" ht="17.25" customHeight="1" x14ac:dyDescent="0.3">
      <c r="A461" s="15" t="s">
        <v>29</v>
      </c>
      <c r="C461" s="19"/>
      <c r="D461" s="33" t="str">
        <f t="shared" ref="D461" si="434">D460</f>
        <v>S100002</v>
      </c>
      <c r="E461" s="33"/>
      <c r="F461" s="20"/>
      <c r="G461" s="20" t="str">
        <f>"""NAV"",""CRONUS JetCorp USA"",""32"",""1"",""30028"""</f>
        <v>"NAV","CRONUS JetCorp USA","32","1","30028"</v>
      </c>
      <c r="H461" s="39">
        <v>43471</v>
      </c>
      <c r="I461" s="40">
        <v>30028</v>
      </c>
      <c r="J461" s="40" t="str">
        <f>"Customer"</f>
        <v>Customer</v>
      </c>
      <c r="K461" s="40" t="str">
        <f>"C100012"</f>
        <v>C100012</v>
      </c>
      <c r="L461" s="40" t="str">
        <f>"Bainbridges"</f>
        <v>Bainbridges</v>
      </c>
      <c r="M461" s="40" t="str">
        <f>""</f>
        <v/>
      </c>
      <c r="N461" s="40" t="str">
        <f>""</f>
        <v/>
      </c>
      <c r="O461" s="41">
        <v>0</v>
      </c>
      <c r="P461" s="41">
        <v>-144</v>
      </c>
      <c r="Q461" s="41">
        <v>0</v>
      </c>
      <c r="R461" s="41">
        <v>0</v>
      </c>
      <c r="S461" s="41">
        <v>0</v>
      </c>
      <c r="T461" s="41">
        <v>0</v>
      </c>
      <c r="U461" s="54"/>
    </row>
    <row r="462" spans="1:21" ht="17.25" customHeight="1" x14ac:dyDescent="0.3">
      <c r="A462" s="15" t="s">
        <v>29</v>
      </c>
      <c r="C462" s="19"/>
      <c r="D462" s="33"/>
      <c r="E462" s="33"/>
      <c r="F462" s="20"/>
      <c r="G462" s="20"/>
      <c r="H462" s="20"/>
      <c r="I462" s="20"/>
      <c r="J462" s="20"/>
      <c r="K462" s="20"/>
      <c r="L462" s="20"/>
      <c r="M462" s="20"/>
      <c r="N462" s="20"/>
      <c r="O462" s="42"/>
      <c r="P462" s="42"/>
      <c r="Q462" s="42"/>
      <c r="R462" s="42"/>
      <c r="S462" s="42"/>
      <c r="T462" s="42"/>
      <c r="U462" s="55"/>
    </row>
    <row r="463" spans="1:21" ht="17.25" customHeight="1" x14ac:dyDescent="0.3">
      <c r="A463" s="15" t="s">
        <v>29</v>
      </c>
      <c r="C463" s="19"/>
      <c r="D463" s="33"/>
      <c r="E463" s="33" t="s">
        <v>30</v>
      </c>
      <c r="F463" s="20" t="s">
        <v>30</v>
      </c>
      <c r="G463" s="20" t="s">
        <v>30</v>
      </c>
      <c r="H463" s="20"/>
      <c r="I463" s="20"/>
      <c r="J463" s="20" t="s">
        <v>30</v>
      </c>
      <c r="K463" s="20" t="s">
        <v>30</v>
      </c>
      <c r="L463" s="20" t="s">
        <v>30</v>
      </c>
      <c r="M463" s="20" t="s">
        <v>30</v>
      </c>
      <c r="N463" s="20"/>
      <c r="U463" s="56"/>
    </row>
    <row r="464" spans="1:21" ht="20.25" customHeight="1" x14ac:dyDescent="0.35">
      <c r="A464" s="15" t="s">
        <v>29</v>
      </c>
      <c r="C464" s="19"/>
      <c r="D464" s="34" t="str">
        <f t="shared" ref="D464" si="435">E464</f>
        <v>S100003</v>
      </c>
      <c r="E464" s="35" t="str">
        <f>"S100003"</f>
        <v>S100003</v>
      </c>
      <c r="F464" s="36" t="str">
        <f>"Soccer #1 Pin"</f>
        <v>Soccer #1 Pin</v>
      </c>
      <c r="G464" s="36"/>
      <c r="H464" s="37" t="str">
        <f>"EA"</f>
        <v>EA</v>
      </c>
      <c r="I464" s="36"/>
      <c r="J464" s="36"/>
      <c r="K464" s="36"/>
      <c r="L464" s="36"/>
      <c r="M464" s="36"/>
      <c r="N464" s="36"/>
      <c r="O464" s="38">
        <f t="shared" ref="O464:T464" si="436">(SUBTOTAL(9,O465:O466))</f>
        <v>1500</v>
      </c>
      <c r="P464" s="38">
        <f t="shared" si="436"/>
        <v>0</v>
      </c>
      <c r="Q464" s="38">
        <f t="shared" si="436"/>
        <v>0</v>
      </c>
      <c r="R464" s="38">
        <f t="shared" si="436"/>
        <v>0</v>
      </c>
      <c r="S464" s="38">
        <f t="shared" si="436"/>
        <v>0</v>
      </c>
      <c r="T464" s="38">
        <f t="shared" si="436"/>
        <v>0</v>
      </c>
      <c r="U464" s="53">
        <f t="shared" ref="U464" si="437">SUBTOTAL(9,O465:T466)</f>
        <v>1500</v>
      </c>
    </row>
    <row r="465" spans="1:21" ht="17.25" customHeight="1" x14ac:dyDescent="0.3">
      <c r="A465" s="15" t="s">
        <v>29</v>
      </c>
      <c r="C465" s="19"/>
      <c r="D465" s="33" t="str">
        <f t="shared" ref="D465" si="438">D464</f>
        <v>S100003</v>
      </c>
      <c r="E465" s="33"/>
      <c r="F465" s="20"/>
      <c r="G465" s="20" t="str">
        <f>"""NAV"",""CRONUS JetCorp USA"",""32"",""1"",""166408"""</f>
        <v>"NAV","CRONUS JetCorp USA","32","1","166408"</v>
      </c>
      <c r="H465" s="39">
        <v>43466</v>
      </c>
      <c r="I465" s="40">
        <v>166408</v>
      </c>
      <c r="J465" s="40" t="str">
        <f>"Vendor"</f>
        <v>Vendor</v>
      </c>
      <c r="K465" s="40" t="str">
        <f>"V100003"</f>
        <v>V100003</v>
      </c>
      <c r="L465" s="40" t="str">
        <f>""</f>
        <v/>
      </c>
      <c r="M465" s="40" t="str">
        <f>"LogoMasters"</f>
        <v>LogoMasters</v>
      </c>
      <c r="N465" s="40" t="str">
        <f>""</f>
        <v/>
      </c>
      <c r="O465" s="41">
        <v>1500</v>
      </c>
      <c r="P465" s="41">
        <v>0</v>
      </c>
      <c r="Q465" s="41">
        <v>0</v>
      </c>
      <c r="R465" s="41">
        <v>0</v>
      </c>
      <c r="S465" s="41">
        <v>0</v>
      </c>
      <c r="T465" s="41">
        <v>0</v>
      </c>
      <c r="U465" s="54"/>
    </row>
    <row r="466" spans="1:21" ht="17.25" customHeight="1" x14ac:dyDescent="0.3">
      <c r="A466" s="15" t="s">
        <v>29</v>
      </c>
      <c r="C466" s="19"/>
      <c r="D466" s="33"/>
      <c r="E466" s="33"/>
      <c r="F466" s="20"/>
      <c r="G466" s="20"/>
      <c r="H466" s="20"/>
      <c r="I466" s="20"/>
      <c r="J466" s="20"/>
      <c r="K466" s="20"/>
      <c r="L466" s="20"/>
      <c r="M466" s="20"/>
      <c r="N466" s="20"/>
      <c r="O466" s="42"/>
      <c r="P466" s="42"/>
      <c r="Q466" s="42"/>
      <c r="R466" s="42"/>
      <c r="S466" s="42"/>
      <c r="T466" s="42"/>
      <c r="U466" s="55"/>
    </row>
    <row r="467" spans="1:21" ht="17.25" customHeight="1" x14ac:dyDescent="0.3">
      <c r="A467" s="15" t="s">
        <v>29</v>
      </c>
      <c r="C467" s="19"/>
      <c r="D467" s="33"/>
      <c r="E467" s="33" t="s">
        <v>30</v>
      </c>
      <c r="F467" s="20" t="s">
        <v>30</v>
      </c>
      <c r="G467" s="20" t="s">
        <v>30</v>
      </c>
      <c r="H467" s="20"/>
      <c r="I467" s="20"/>
      <c r="J467" s="20" t="s">
        <v>30</v>
      </c>
      <c r="K467" s="20" t="s">
        <v>30</v>
      </c>
      <c r="L467" s="20" t="s">
        <v>30</v>
      </c>
      <c r="M467" s="20" t="s">
        <v>30</v>
      </c>
      <c r="N467" s="20"/>
      <c r="U467" s="56"/>
    </row>
    <row r="468" spans="1:21" ht="20.25" customHeight="1" x14ac:dyDescent="0.35">
      <c r="A468" s="15" t="s">
        <v>29</v>
      </c>
      <c r="C468" s="19"/>
      <c r="D468" s="34" t="str">
        <f t="shared" ref="D468" si="439">E468</f>
        <v>S100004</v>
      </c>
      <c r="E468" s="35" t="str">
        <f>"S100004"</f>
        <v>S100004</v>
      </c>
      <c r="F468" s="36" t="str">
        <f>"Award Medallian - 2''"</f>
        <v>Award Medallian - 2''</v>
      </c>
      <c r="G468" s="36"/>
      <c r="H468" s="37" t="str">
        <f>"EA"</f>
        <v>EA</v>
      </c>
      <c r="I468" s="36"/>
      <c r="J468" s="36"/>
      <c r="K468" s="36"/>
      <c r="L468" s="36"/>
      <c r="M468" s="36"/>
      <c r="N468" s="36"/>
      <c r="O468" s="38">
        <f t="shared" ref="O468:T468" si="440">(SUBTOTAL(9,O469:O471))</f>
        <v>600</v>
      </c>
      <c r="P468" s="38">
        <f t="shared" si="440"/>
        <v>-145</v>
      </c>
      <c r="Q468" s="38">
        <f t="shared" si="440"/>
        <v>0</v>
      </c>
      <c r="R468" s="38">
        <f t="shared" si="440"/>
        <v>0</v>
      </c>
      <c r="S468" s="38">
        <f t="shared" si="440"/>
        <v>0</v>
      </c>
      <c r="T468" s="38">
        <f t="shared" si="440"/>
        <v>0</v>
      </c>
      <c r="U468" s="53">
        <f t="shared" ref="U468" si="441">SUBTOTAL(9,O469:T471)</f>
        <v>455</v>
      </c>
    </row>
    <row r="469" spans="1:21" ht="17.25" customHeight="1" x14ac:dyDescent="0.3">
      <c r="A469" s="15" t="s">
        <v>29</v>
      </c>
      <c r="C469" s="19"/>
      <c r="D469" s="33" t="str">
        <f t="shared" ref="D469" si="442">D468</f>
        <v>S100004</v>
      </c>
      <c r="E469" s="33"/>
      <c r="F469" s="20"/>
      <c r="G469" s="20" t="str">
        <f>"""NAV"",""CRONUS JetCorp USA"",""32"",""1"",""166407"""</f>
        <v>"NAV","CRONUS JetCorp USA","32","1","166407"</v>
      </c>
      <c r="H469" s="39">
        <v>43466</v>
      </c>
      <c r="I469" s="40">
        <v>166407</v>
      </c>
      <c r="J469" s="40" t="str">
        <f>"Vendor"</f>
        <v>Vendor</v>
      </c>
      <c r="K469" s="40" t="str">
        <f>"V100003"</f>
        <v>V100003</v>
      </c>
      <c r="L469" s="40" t="str">
        <f>""</f>
        <v/>
      </c>
      <c r="M469" s="40" t="str">
        <f>"LogoMasters"</f>
        <v>LogoMasters</v>
      </c>
      <c r="N469" s="40" t="str">
        <f>""</f>
        <v/>
      </c>
      <c r="O469" s="41">
        <v>600</v>
      </c>
      <c r="P469" s="41">
        <v>0</v>
      </c>
      <c r="Q469" s="41">
        <v>0</v>
      </c>
      <c r="R469" s="41">
        <v>0</v>
      </c>
      <c r="S469" s="41">
        <v>0</v>
      </c>
      <c r="T469" s="41">
        <v>0</v>
      </c>
      <c r="U469" s="54"/>
    </row>
    <row r="470" spans="1:21" ht="17.25" customHeight="1" x14ac:dyDescent="0.3">
      <c r="A470" s="15" t="s">
        <v>29</v>
      </c>
      <c r="C470" s="19"/>
      <c r="D470" s="33" t="str">
        <f t="shared" ref="D470" si="443">D469</f>
        <v>S100004</v>
      </c>
      <c r="E470" s="33"/>
      <c r="F470" s="20"/>
      <c r="G470" s="20" t="str">
        <f>"""NAV"",""CRONUS JetCorp USA"",""32"",""1"",""30031"""</f>
        <v>"NAV","CRONUS JetCorp USA","32","1","30031"</v>
      </c>
      <c r="H470" s="39">
        <v>43471</v>
      </c>
      <c r="I470" s="40">
        <v>30031</v>
      </c>
      <c r="J470" s="40" t="str">
        <f>"Customer"</f>
        <v>Customer</v>
      </c>
      <c r="K470" s="40" t="str">
        <f>"C100012"</f>
        <v>C100012</v>
      </c>
      <c r="L470" s="40" t="str">
        <f>"Bainbridges"</f>
        <v>Bainbridges</v>
      </c>
      <c r="M470" s="40" t="str">
        <f>""</f>
        <v/>
      </c>
      <c r="N470" s="40" t="str">
        <f>""</f>
        <v/>
      </c>
      <c r="O470" s="41">
        <v>0</v>
      </c>
      <c r="P470" s="41">
        <v>-145</v>
      </c>
      <c r="Q470" s="41">
        <v>0</v>
      </c>
      <c r="R470" s="41">
        <v>0</v>
      </c>
      <c r="S470" s="41">
        <v>0</v>
      </c>
      <c r="T470" s="41">
        <v>0</v>
      </c>
      <c r="U470" s="54"/>
    </row>
    <row r="471" spans="1:21" ht="17.25" customHeight="1" x14ac:dyDescent="0.3">
      <c r="A471" s="15" t="s">
        <v>29</v>
      </c>
      <c r="C471" s="19"/>
      <c r="D471" s="33"/>
      <c r="E471" s="33"/>
      <c r="F471" s="20"/>
      <c r="G471" s="20"/>
      <c r="H471" s="20"/>
      <c r="I471" s="20"/>
      <c r="J471" s="20"/>
      <c r="K471" s="20"/>
      <c r="L471" s="20"/>
      <c r="M471" s="20"/>
      <c r="N471" s="20"/>
      <c r="O471" s="42"/>
      <c r="P471" s="42"/>
      <c r="Q471" s="42"/>
      <c r="R471" s="42"/>
      <c r="S471" s="42"/>
      <c r="T471" s="42"/>
      <c r="U471" s="55"/>
    </row>
    <row r="472" spans="1:21" ht="17.25" customHeight="1" x14ac:dyDescent="0.3">
      <c r="A472" s="15" t="s">
        <v>29</v>
      </c>
      <c r="C472" s="19"/>
      <c r="D472" s="33"/>
      <c r="E472" s="33" t="s">
        <v>30</v>
      </c>
      <c r="F472" s="20" t="s">
        <v>30</v>
      </c>
      <c r="G472" s="20" t="s">
        <v>30</v>
      </c>
      <c r="H472" s="20"/>
      <c r="I472" s="20"/>
      <c r="J472" s="20" t="s">
        <v>30</v>
      </c>
      <c r="K472" s="20" t="s">
        <v>30</v>
      </c>
      <c r="L472" s="20" t="s">
        <v>30</v>
      </c>
      <c r="M472" s="20" t="s">
        <v>30</v>
      </c>
      <c r="N472" s="20"/>
      <c r="U472" s="56"/>
    </row>
    <row r="473" spans="1:21" ht="20.25" customHeight="1" x14ac:dyDescent="0.35">
      <c r="A473" s="15" t="s">
        <v>29</v>
      </c>
      <c r="C473" s="19"/>
      <c r="D473" s="34" t="str">
        <f t="shared" ref="D473" si="444">E473</f>
        <v>S100005</v>
      </c>
      <c r="E473" s="35" t="str">
        <f>"S100005"</f>
        <v>S100005</v>
      </c>
      <c r="F473" s="36" t="str">
        <f>"Award Medallian - 2.5''"</f>
        <v>Award Medallian - 2.5''</v>
      </c>
      <c r="G473" s="36"/>
      <c r="H473" s="37" t="str">
        <f>"EA"</f>
        <v>EA</v>
      </c>
      <c r="I473" s="36"/>
      <c r="J473" s="36"/>
      <c r="K473" s="36"/>
      <c r="L473" s="36"/>
      <c r="M473" s="36"/>
      <c r="N473" s="36"/>
      <c r="O473" s="38">
        <f t="shared" ref="O473:T473" si="445">(SUBTOTAL(9,O474:O476))</f>
        <v>300</v>
      </c>
      <c r="P473" s="38">
        <f t="shared" si="445"/>
        <v>-144</v>
      </c>
      <c r="Q473" s="38">
        <f t="shared" si="445"/>
        <v>0</v>
      </c>
      <c r="R473" s="38">
        <f t="shared" si="445"/>
        <v>0</v>
      </c>
      <c r="S473" s="38">
        <f t="shared" si="445"/>
        <v>0</v>
      </c>
      <c r="T473" s="38">
        <f t="shared" si="445"/>
        <v>0</v>
      </c>
      <c r="U473" s="53">
        <f t="shared" ref="U473" si="446">SUBTOTAL(9,O474:T476)</f>
        <v>156</v>
      </c>
    </row>
    <row r="474" spans="1:21" ht="17.25" customHeight="1" x14ac:dyDescent="0.3">
      <c r="A474" s="15" t="s">
        <v>29</v>
      </c>
      <c r="C474" s="19"/>
      <c r="D474" s="33" t="str">
        <f t="shared" ref="D474" si="447">D473</f>
        <v>S100005</v>
      </c>
      <c r="E474" s="33"/>
      <c r="F474" s="20"/>
      <c r="G474" s="20" t="str">
        <f>"""NAV"",""CRONUS JetCorp USA"",""32"",""1"",""166406"""</f>
        <v>"NAV","CRONUS JetCorp USA","32","1","166406"</v>
      </c>
      <c r="H474" s="39">
        <v>43466</v>
      </c>
      <c r="I474" s="40">
        <v>166406</v>
      </c>
      <c r="J474" s="40" t="str">
        <f>"Vendor"</f>
        <v>Vendor</v>
      </c>
      <c r="K474" s="40" t="str">
        <f>"V100003"</f>
        <v>V100003</v>
      </c>
      <c r="L474" s="40" t="str">
        <f>""</f>
        <v/>
      </c>
      <c r="M474" s="40" t="str">
        <f>"LogoMasters"</f>
        <v>LogoMasters</v>
      </c>
      <c r="N474" s="40" t="str">
        <f>""</f>
        <v/>
      </c>
      <c r="O474" s="41">
        <v>300</v>
      </c>
      <c r="P474" s="41">
        <v>0</v>
      </c>
      <c r="Q474" s="41">
        <v>0</v>
      </c>
      <c r="R474" s="41">
        <v>0</v>
      </c>
      <c r="S474" s="41">
        <v>0</v>
      </c>
      <c r="T474" s="41">
        <v>0</v>
      </c>
      <c r="U474" s="54"/>
    </row>
    <row r="475" spans="1:21" ht="17.25" customHeight="1" x14ac:dyDescent="0.3">
      <c r="A475" s="15" t="s">
        <v>29</v>
      </c>
      <c r="C475" s="19"/>
      <c r="D475" s="33" t="str">
        <f t="shared" ref="D475" si="448">D474</f>
        <v>S100005</v>
      </c>
      <c r="E475" s="33"/>
      <c r="F475" s="20"/>
      <c r="G475" s="20" t="str">
        <f>"""NAV"",""CRONUS JetCorp USA"",""32"",""1"",""30107"""</f>
        <v>"NAV","CRONUS JetCorp USA","32","1","30107"</v>
      </c>
      <c r="H475" s="39">
        <v>43475</v>
      </c>
      <c r="I475" s="40">
        <v>30107</v>
      </c>
      <c r="J475" s="40" t="str">
        <f>"Customer"</f>
        <v>Customer</v>
      </c>
      <c r="K475" s="40" t="str">
        <f>"C100012"</f>
        <v>C100012</v>
      </c>
      <c r="L475" s="40" t="str">
        <f>"Bainbridges"</f>
        <v>Bainbridges</v>
      </c>
      <c r="M475" s="40" t="str">
        <f>""</f>
        <v/>
      </c>
      <c r="N475" s="40" t="str">
        <f>""</f>
        <v/>
      </c>
      <c r="O475" s="41">
        <v>0</v>
      </c>
      <c r="P475" s="41">
        <v>-144</v>
      </c>
      <c r="Q475" s="41">
        <v>0</v>
      </c>
      <c r="R475" s="41">
        <v>0</v>
      </c>
      <c r="S475" s="41">
        <v>0</v>
      </c>
      <c r="T475" s="41">
        <v>0</v>
      </c>
      <c r="U475" s="54"/>
    </row>
    <row r="476" spans="1:21" ht="17.25" customHeight="1" x14ac:dyDescent="0.3">
      <c r="A476" s="15" t="s">
        <v>29</v>
      </c>
      <c r="C476" s="19"/>
      <c r="D476" s="33"/>
      <c r="E476" s="33"/>
      <c r="F476" s="20"/>
      <c r="G476" s="20"/>
      <c r="H476" s="20"/>
      <c r="I476" s="20"/>
      <c r="J476" s="20"/>
      <c r="K476" s="20"/>
      <c r="L476" s="20"/>
      <c r="M476" s="20"/>
      <c r="N476" s="20"/>
      <c r="O476" s="42"/>
      <c r="P476" s="42"/>
      <c r="Q476" s="42"/>
      <c r="R476" s="42"/>
      <c r="S476" s="42"/>
      <c r="T476" s="42"/>
      <c r="U476" s="55"/>
    </row>
    <row r="477" spans="1:21" ht="17.25" customHeight="1" x14ac:dyDescent="0.3">
      <c r="A477" s="15" t="s">
        <v>29</v>
      </c>
      <c r="C477" s="19"/>
      <c r="D477" s="33"/>
      <c r="E477" s="33" t="s">
        <v>30</v>
      </c>
      <c r="F477" s="20" t="s">
        <v>30</v>
      </c>
      <c r="G477" s="20" t="s">
        <v>30</v>
      </c>
      <c r="H477" s="20"/>
      <c r="I477" s="20"/>
      <c r="J477" s="20" t="s">
        <v>30</v>
      </c>
      <c r="K477" s="20" t="s">
        <v>30</v>
      </c>
      <c r="L477" s="20" t="s">
        <v>30</v>
      </c>
      <c r="M477" s="20" t="s">
        <v>30</v>
      </c>
      <c r="N477" s="20"/>
      <c r="U477" s="56"/>
    </row>
    <row r="478" spans="1:21" ht="20.25" customHeight="1" x14ac:dyDescent="0.35">
      <c r="A478" s="15" t="s">
        <v>29</v>
      </c>
      <c r="C478" s="19"/>
      <c r="D478" s="34" t="str">
        <f t="shared" ref="D478" si="449">E478</f>
        <v>S100006</v>
      </c>
      <c r="E478" s="35" t="str">
        <f>"S100006"</f>
        <v>S100006</v>
      </c>
      <c r="F478" s="36" t="str">
        <f>"Award Medallian - 3''"</f>
        <v>Award Medallian - 3''</v>
      </c>
      <c r="G478" s="36"/>
      <c r="H478" s="37" t="str">
        <f>"EA"</f>
        <v>EA</v>
      </c>
      <c r="I478" s="36"/>
      <c r="J478" s="36"/>
      <c r="K478" s="36"/>
      <c r="L478" s="36"/>
      <c r="M478" s="36"/>
      <c r="N478" s="36"/>
      <c r="O478" s="38">
        <f t="shared" ref="O478:T478" si="450">(SUBTOTAL(9,O479:O480))</f>
        <v>400</v>
      </c>
      <c r="P478" s="38">
        <f t="shared" si="450"/>
        <v>0</v>
      </c>
      <c r="Q478" s="38">
        <f t="shared" si="450"/>
        <v>0</v>
      </c>
      <c r="R478" s="38">
        <f t="shared" si="450"/>
        <v>0</v>
      </c>
      <c r="S478" s="38">
        <f t="shared" si="450"/>
        <v>0</v>
      </c>
      <c r="T478" s="38">
        <f t="shared" si="450"/>
        <v>0</v>
      </c>
      <c r="U478" s="53">
        <f t="shared" ref="U478" si="451">SUBTOTAL(9,O479:T480)</f>
        <v>400</v>
      </c>
    </row>
    <row r="479" spans="1:21" ht="17.25" customHeight="1" x14ac:dyDescent="0.3">
      <c r="A479" s="15" t="s">
        <v>29</v>
      </c>
      <c r="C479" s="19"/>
      <c r="D479" s="33" t="str">
        <f t="shared" ref="D479" si="452">D478</f>
        <v>S100006</v>
      </c>
      <c r="E479" s="33"/>
      <c r="F479" s="20"/>
      <c r="G479" s="20" t="str">
        <f>"""NAV"",""CRONUS JetCorp USA"",""32"",""1"",""166405"""</f>
        <v>"NAV","CRONUS JetCorp USA","32","1","166405"</v>
      </c>
      <c r="H479" s="39">
        <v>43466</v>
      </c>
      <c r="I479" s="40">
        <v>166405</v>
      </c>
      <c r="J479" s="40" t="str">
        <f>"Vendor"</f>
        <v>Vendor</v>
      </c>
      <c r="K479" s="40" t="str">
        <f>"V100003"</f>
        <v>V100003</v>
      </c>
      <c r="L479" s="40" t="str">
        <f>""</f>
        <v/>
      </c>
      <c r="M479" s="40" t="str">
        <f>"LogoMasters"</f>
        <v>LogoMasters</v>
      </c>
      <c r="N479" s="40" t="str">
        <f>""</f>
        <v/>
      </c>
      <c r="O479" s="41">
        <v>400</v>
      </c>
      <c r="P479" s="41">
        <v>0</v>
      </c>
      <c r="Q479" s="41">
        <v>0</v>
      </c>
      <c r="R479" s="41">
        <v>0</v>
      </c>
      <c r="S479" s="41">
        <v>0</v>
      </c>
      <c r="T479" s="41">
        <v>0</v>
      </c>
      <c r="U479" s="54"/>
    </row>
    <row r="480" spans="1:21" ht="17.25" customHeight="1" x14ac:dyDescent="0.3">
      <c r="A480" s="15" t="s">
        <v>29</v>
      </c>
      <c r="C480" s="19"/>
      <c r="D480" s="33"/>
      <c r="E480" s="33"/>
      <c r="F480" s="20"/>
      <c r="G480" s="20"/>
      <c r="H480" s="20"/>
      <c r="I480" s="20"/>
      <c r="J480" s="20"/>
      <c r="K480" s="20"/>
      <c r="L480" s="20"/>
      <c r="M480" s="20"/>
      <c r="N480" s="20"/>
      <c r="O480" s="42"/>
      <c r="P480" s="42"/>
      <c r="Q480" s="42"/>
      <c r="R480" s="42"/>
      <c r="S480" s="42"/>
      <c r="T480" s="42"/>
      <c r="U480" s="55"/>
    </row>
    <row r="481" spans="1:21" ht="17.25" customHeight="1" x14ac:dyDescent="0.3">
      <c r="A481" s="15" t="s">
        <v>29</v>
      </c>
      <c r="C481" s="19"/>
      <c r="D481" s="33"/>
      <c r="E481" s="33" t="s">
        <v>30</v>
      </c>
      <c r="F481" s="20" t="s">
        <v>30</v>
      </c>
      <c r="G481" s="20" t="s">
        <v>30</v>
      </c>
      <c r="H481" s="20"/>
      <c r="I481" s="20"/>
      <c r="J481" s="20" t="s">
        <v>30</v>
      </c>
      <c r="K481" s="20" t="s">
        <v>30</v>
      </c>
      <c r="L481" s="20" t="s">
        <v>30</v>
      </c>
      <c r="M481" s="20" t="s">
        <v>30</v>
      </c>
      <c r="N481" s="20"/>
      <c r="U481" s="56"/>
    </row>
    <row r="482" spans="1:21" ht="20.25" customHeight="1" x14ac:dyDescent="0.35">
      <c r="A482" s="15" t="s">
        <v>29</v>
      </c>
      <c r="C482" s="19"/>
      <c r="D482" s="34" t="str">
        <f t="shared" ref="D482" si="453">E482</f>
        <v>S100007</v>
      </c>
      <c r="E482" s="35" t="str">
        <f>"S100007"</f>
        <v>S100007</v>
      </c>
      <c r="F482" s="36" t="str">
        <f>"Baseball Figure Trophy"</f>
        <v>Baseball Figure Trophy</v>
      </c>
      <c r="G482" s="36"/>
      <c r="H482" s="37" t="str">
        <f>"EA"</f>
        <v>EA</v>
      </c>
      <c r="I482" s="36"/>
      <c r="J482" s="36"/>
      <c r="K482" s="36"/>
      <c r="L482" s="36"/>
      <c r="M482" s="36"/>
      <c r="N482" s="36"/>
      <c r="O482" s="38">
        <f t="shared" ref="O482:T482" si="454">(SUBTOTAL(9,O483:O484))</f>
        <v>100</v>
      </c>
      <c r="P482" s="38">
        <f t="shared" si="454"/>
        <v>0</v>
      </c>
      <c r="Q482" s="38">
        <f t="shared" si="454"/>
        <v>0</v>
      </c>
      <c r="R482" s="38">
        <f t="shared" si="454"/>
        <v>0</v>
      </c>
      <c r="S482" s="38">
        <f t="shared" si="454"/>
        <v>0</v>
      </c>
      <c r="T482" s="38">
        <f t="shared" si="454"/>
        <v>0</v>
      </c>
      <c r="U482" s="53">
        <f t="shared" ref="U482" si="455">SUBTOTAL(9,O483:T484)</f>
        <v>100</v>
      </c>
    </row>
    <row r="483" spans="1:21" ht="17.25" customHeight="1" x14ac:dyDescent="0.3">
      <c r="A483" s="15" t="s">
        <v>29</v>
      </c>
      <c r="C483" s="19"/>
      <c r="D483" s="33" t="str">
        <f t="shared" ref="D483" si="456">D482</f>
        <v>S100007</v>
      </c>
      <c r="E483" s="33"/>
      <c r="F483" s="20"/>
      <c r="G483" s="20" t="str">
        <f>"""NAV"",""CRONUS JetCorp USA"",""32"",""1"",""166404"""</f>
        <v>"NAV","CRONUS JetCorp USA","32","1","166404"</v>
      </c>
      <c r="H483" s="39">
        <v>43466</v>
      </c>
      <c r="I483" s="40">
        <v>166404</v>
      </c>
      <c r="J483" s="40" t="str">
        <f>"Vendor"</f>
        <v>Vendor</v>
      </c>
      <c r="K483" s="40" t="str">
        <f>"V100003"</f>
        <v>V100003</v>
      </c>
      <c r="L483" s="40" t="str">
        <f>""</f>
        <v/>
      </c>
      <c r="M483" s="40" t="str">
        <f>"LogoMasters"</f>
        <v>LogoMasters</v>
      </c>
      <c r="N483" s="40" t="str">
        <f>""</f>
        <v/>
      </c>
      <c r="O483" s="41">
        <v>100</v>
      </c>
      <c r="P483" s="41">
        <v>0</v>
      </c>
      <c r="Q483" s="41">
        <v>0</v>
      </c>
      <c r="R483" s="41">
        <v>0</v>
      </c>
      <c r="S483" s="41">
        <v>0</v>
      </c>
      <c r="T483" s="41">
        <v>0</v>
      </c>
      <c r="U483" s="54"/>
    </row>
    <row r="484" spans="1:21" ht="17.25" customHeight="1" x14ac:dyDescent="0.3">
      <c r="A484" s="15" t="s">
        <v>29</v>
      </c>
      <c r="C484" s="19"/>
      <c r="D484" s="33"/>
      <c r="E484" s="33"/>
      <c r="F484" s="20"/>
      <c r="G484" s="20"/>
      <c r="H484" s="20"/>
      <c r="I484" s="20"/>
      <c r="J484" s="20"/>
      <c r="K484" s="20"/>
      <c r="L484" s="20"/>
      <c r="M484" s="20"/>
      <c r="N484" s="20"/>
      <c r="O484" s="42"/>
      <c r="P484" s="42"/>
      <c r="Q484" s="42"/>
      <c r="R484" s="42"/>
      <c r="S484" s="42"/>
      <c r="T484" s="42"/>
      <c r="U484" s="55"/>
    </row>
    <row r="485" spans="1:21" ht="17.25" customHeight="1" x14ac:dyDescent="0.3">
      <c r="A485" s="15" t="s">
        <v>29</v>
      </c>
      <c r="C485" s="19"/>
      <c r="D485" s="33"/>
      <c r="E485" s="33" t="s">
        <v>30</v>
      </c>
      <c r="F485" s="20" t="s">
        <v>30</v>
      </c>
      <c r="G485" s="20" t="s">
        <v>30</v>
      </c>
      <c r="H485" s="20"/>
      <c r="I485" s="20"/>
      <c r="J485" s="20" t="s">
        <v>30</v>
      </c>
      <c r="K485" s="20" t="s">
        <v>30</v>
      </c>
      <c r="L485" s="20" t="s">
        <v>30</v>
      </c>
      <c r="M485" s="20" t="s">
        <v>30</v>
      </c>
      <c r="N485" s="20"/>
      <c r="U485" s="56"/>
    </row>
    <row r="486" spans="1:21" ht="20.25" customHeight="1" x14ac:dyDescent="0.35">
      <c r="A486" s="15" t="s">
        <v>29</v>
      </c>
      <c r="C486" s="19"/>
      <c r="D486" s="34" t="str">
        <f t="shared" ref="D486" si="457">E486</f>
        <v>S100008</v>
      </c>
      <c r="E486" s="35" t="str">
        <f>"S100008"</f>
        <v>S100008</v>
      </c>
      <c r="F486" s="36" t="str">
        <f>"Soccer Figure Trophy"</f>
        <v>Soccer Figure Trophy</v>
      </c>
      <c r="G486" s="36"/>
      <c r="H486" s="37" t="str">
        <f>"EA"</f>
        <v>EA</v>
      </c>
      <c r="I486" s="36"/>
      <c r="J486" s="36"/>
      <c r="K486" s="36"/>
      <c r="L486" s="36"/>
      <c r="M486" s="36"/>
      <c r="N486" s="36"/>
      <c r="O486" s="38">
        <f t="shared" ref="O486:T486" si="458">(SUBTOTAL(9,O487:O489))</f>
        <v>300</v>
      </c>
      <c r="P486" s="38">
        <f t="shared" si="458"/>
        <v>-144</v>
      </c>
      <c r="Q486" s="38">
        <f t="shared" si="458"/>
        <v>0</v>
      </c>
      <c r="R486" s="38">
        <f t="shared" si="458"/>
        <v>0</v>
      </c>
      <c r="S486" s="38">
        <f t="shared" si="458"/>
        <v>0</v>
      </c>
      <c r="T486" s="38">
        <f t="shared" si="458"/>
        <v>0</v>
      </c>
      <c r="U486" s="53">
        <f t="shared" ref="U486" si="459">SUBTOTAL(9,O487:T489)</f>
        <v>156</v>
      </c>
    </row>
    <row r="487" spans="1:21" ht="17.25" customHeight="1" x14ac:dyDescent="0.3">
      <c r="A487" s="15" t="s">
        <v>29</v>
      </c>
      <c r="C487" s="19"/>
      <c r="D487" s="33" t="str">
        <f t="shared" ref="D487" si="460">D486</f>
        <v>S100008</v>
      </c>
      <c r="E487" s="33"/>
      <c r="F487" s="20"/>
      <c r="G487" s="20" t="str">
        <f>"""NAV"",""CRONUS JetCorp USA"",""32"",""1"",""166403"""</f>
        <v>"NAV","CRONUS JetCorp USA","32","1","166403"</v>
      </c>
      <c r="H487" s="39">
        <v>43466</v>
      </c>
      <c r="I487" s="40">
        <v>166403</v>
      </c>
      <c r="J487" s="40" t="str">
        <f>"Vendor"</f>
        <v>Vendor</v>
      </c>
      <c r="K487" s="40" t="str">
        <f>"V100003"</f>
        <v>V100003</v>
      </c>
      <c r="L487" s="40" t="str">
        <f>""</f>
        <v/>
      </c>
      <c r="M487" s="40" t="str">
        <f>"LogoMasters"</f>
        <v>LogoMasters</v>
      </c>
      <c r="N487" s="40" t="str">
        <f>""</f>
        <v/>
      </c>
      <c r="O487" s="41">
        <v>300</v>
      </c>
      <c r="P487" s="41">
        <v>0</v>
      </c>
      <c r="Q487" s="41">
        <v>0</v>
      </c>
      <c r="R487" s="41">
        <v>0</v>
      </c>
      <c r="S487" s="41">
        <v>0</v>
      </c>
      <c r="T487" s="41">
        <v>0</v>
      </c>
      <c r="U487" s="54"/>
    </row>
    <row r="488" spans="1:21" ht="17.25" customHeight="1" x14ac:dyDescent="0.3">
      <c r="A488" s="15" t="s">
        <v>29</v>
      </c>
      <c r="C488" s="19"/>
      <c r="D488" s="33" t="str">
        <f t="shared" ref="D488" si="461">D487</f>
        <v>S100008</v>
      </c>
      <c r="E488" s="33"/>
      <c r="F488" s="20"/>
      <c r="G488" s="20" t="str">
        <f>"""NAV"",""CRONUS JetCorp USA"",""32"",""1"",""30033"""</f>
        <v>"NAV","CRONUS JetCorp USA","32","1","30033"</v>
      </c>
      <c r="H488" s="39">
        <v>43471</v>
      </c>
      <c r="I488" s="40">
        <v>30033</v>
      </c>
      <c r="J488" s="40" t="str">
        <f>"Customer"</f>
        <v>Customer</v>
      </c>
      <c r="K488" s="40" t="str">
        <f>"C100012"</f>
        <v>C100012</v>
      </c>
      <c r="L488" s="40" t="str">
        <f>"Bainbridges"</f>
        <v>Bainbridges</v>
      </c>
      <c r="M488" s="40" t="str">
        <f>""</f>
        <v/>
      </c>
      <c r="N488" s="40" t="str">
        <f>""</f>
        <v/>
      </c>
      <c r="O488" s="41">
        <v>0</v>
      </c>
      <c r="P488" s="41">
        <v>-144</v>
      </c>
      <c r="Q488" s="41">
        <v>0</v>
      </c>
      <c r="R488" s="41">
        <v>0</v>
      </c>
      <c r="S488" s="41">
        <v>0</v>
      </c>
      <c r="T488" s="41">
        <v>0</v>
      </c>
      <c r="U488" s="54"/>
    </row>
    <row r="489" spans="1:21" ht="17.25" customHeight="1" x14ac:dyDescent="0.3">
      <c r="A489" s="15" t="s">
        <v>29</v>
      </c>
      <c r="C489" s="19"/>
      <c r="D489" s="33"/>
      <c r="E489" s="33"/>
      <c r="F489" s="20"/>
      <c r="G489" s="20"/>
      <c r="H489" s="20"/>
      <c r="I489" s="20"/>
      <c r="J489" s="20"/>
      <c r="K489" s="20"/>
      <c r="L489" s="20"/>
      <c r="M489" s="20"/>
      <c r="N489" s="20"/>
      <c r="O489" s="42"/>
      <c r="P489" s="42"/>
      <c r="Q489" s="42"/>
      <c r="R489" s="42"/>
      <c r="S489" s="42"/>
      <c r="T489" s="42"/>
      <c r="U489" s="55"/>
    </row>
    <row r="490" spans="1:21" ht="17.25" customHeight="1" x14ac:dyDescent="0.3">
      <c r="A490" s="15" t="s">
        <v>29</v>
      </c>
      <c r="C490" s="19"/>
      <c r="D490" s="33"/>
      <c r="E490" s="33" t="s">
        <v>30</v>
      </c>
      <c r="F490" s="20" t="s">
        <v>30</v>
      </c>
      <c r="G490" s="20" t="s">
        <v>30</v>
      </c>
      <c r="H490" s="20"/>
      <c r="I490" s="20"/>
      <c r="J490" s="20" t="s">
        <v>30</v>
      </c>
      <c r="K490" s="20" t="s">
        <v>30</v>
      </c>
      <c r="L490" s="20" t="s">
        <v>30</v>
      </c>
      <c r="M490" s="20" t="s">
        <v>30</v>
      </c>
      <c r="N490" s="20"/>
      <c r="U490" s="56"/>
    </row>
    <row r="491" spans="1:21" ht="20.25" customHeight="1" x14ac:dyDescent="0.35">
      <c r="A491" s="15" t="s">
        <v>29</v>
      </c>
      <c r="C491" s="19"/>
      <c r="D491" s="34" t="str">
        <f t="shared" ref="D491" si="462">E491</f>
        <v>S100009</v>
      </c>
      <c r="E491" s="35" t="str">
        <f>"S100009"</f>
        <v>S100009</v>
      </c>
      <c r="F491" s="36" t="str">
        <f>"Engraved Basketball Award"</f>
        <v>Engraved Basketball Award</v>
      </c>
      <c r="G491" s="36"/>
      <c r="H491" s="37" t="str">
        <f>"EA"</f>
        <v>EA</v>
      </c>
      <c r="I491" s="36"/>
      <c r="J491" s="36"/>
      <c r="K491" s="36"/>
      <c r="L491" s="36"/>
      <c r="M491" s="36"/>
      <c r="N491" s="36"/>
      <c r="O491" s="38">
        <f t="shared" ref="O491:T491" si="463">(SUBTOTAL(9,O492:O493))</f>
        <v>100</v>
      </c>
      <c r="P491" s="38">
        <f t="shared" si="463"/>
        <v>0</v>
      </c>
      <c r="Q491" s="38">
        <f t="shared" si="463"/>
        <v>0</v>
      </c>
      <c r="R491" s="38">
        <f t="shared" si="463"/>
        <v>0</v>
      </c>
      <c r="S491" s="38">
        <f t="shared" si="463"/>
        <v>0</v>
      </c>
      <c r="T491" s="38">
        <f t="shared" si="463"/>
        <v>0</v>
      </c>
      <c r="U491" s="53">
        <f t="shared" ref="U491" si="464">SUBTOTAL(9,O492:T493)</f>
        <v>100</v>
      </c>
    </row>
    <row r="492" spans="1:21" ht="17.25" customHeight="1" x14ac:dyDescent="0.3">
      <c r="A492" s="15" t="s">
        <v>29</v>
      </c>
      <c r="C492" s="19"/>
      <c r="D492" s="33" t="str">
        <f t="shared" ref="D492" si="465">D491</f>
        <v>S100009</v>
      </c>
      <c r="E492" s="33"/>
      <c r="F492" s="20"/>
      <c r="G492" s="20" t="str">
        <f>"""NAV"",""CRONUS JetCorp USA"",""32"",""1"",""166402"""</f>
        <v>"NAV","CRONUS JetCorp USA","32","1","166402"</v>
      </c>
      <c r="H492" s="39">
        <v>43466</v>
      </c>
      <c r="I492" s="40">
        <v>166402</v>
      </c>
      <c r="J492" s="40" t="str">
        <f>"Vendor"</f>
        <v>Vendor</v>
      </c>
      <c r="K492" s="40" t="str">
        <f>"V100003"</f>
        <v>V100003</v>
      </c>
      <c r="L492" s="40" t="str">
        <f>""</f>
        <v/>
      </c>
      <c r="M492" s="40" t="str">
        <f>"LogoMasters"</f>
        <v>LogoMasters</v>
      </c>
      <c r="N492" s="40" t="str">
        <f>""</f>
        <v/>
      </c>
      <c r="O492" s="41">
        <v>100</v>
      </c>
      <c r="P492" s="41">
        <v>0</v>
      </c>
      <c r="Q492" s="41">
        <v>0</v>
      </c>
      <c r="R492" s="41">
        <v>0</v>
      </c>
      <c r="S492" s="41">
        <v>0</v>
      </c>
      <c r="T492" s="41">
        <v>0</v>
      </c>
      <c r="U492" s="54"/>
    </row>
    <row r="493" spans="1:21" ht="17.25" customHeight="1" x14ac:dyDescent="0.3">
      <c r="A493" s="15" t="s">
        <v>29</v>
      </c>
      <c r="C493" s="19"/>
      <c r="D493" s="33"/>
      <c r="E493" s="33"/>
      <c r="F493" s="20"/>
      <c r="G493" s="20"/>
      <c r="H493" s="20"/>
      <c r="I493" s="20"/>
      <c r="J493" s="20"/>
      <c r="K493" s="20"/>
      <c r="L493" s="20"/>
      <c r="M493" s="20"/>
      <c r="N493" s="20"/>
      <c r="O493" s="42"/>
      <c r="P493" s="42"/>
      <c r="Q493" s="42"/>
      <c r="R493" s="42"/>
      <c r="S493" s="42"/>
      <c r="T493" s="42"/>
      <c r="U493" s="55"/>
    </row>
    <row r="494" spans="1:21" ht="17.25" customHeight="1" x14ac:dyDescent="0.3">
      <c r="A494" s="15" t="s">
        <v>29</v>
      </c>
      <c r="C494" s="19"/>
      <c r="D494" s="33"/>
      <c r="E494" s="33" t="s">
        <v>30</v>
      </c>
      <c r="F494" s="20" t="s">
        <v>30</v>
      </c>
      <c r="G494" s="20" t="s">
        <v>30</v>
      </c>
      <c r="H494" s="20"/>
      <c r="I494" s="20"/>
      <c r="J494" s="20" t="s">
        <v>30</v>
      </c>
      <c r="K494" s="20" t="s">
        <v>30</v>
      </c>
      <c r="L494" s="20" t="s">
        <v>30</v>
      </c>
      <c r="M494" s="20" t="s">
        <v>30</v>
      </c>
      <c r="N494" s="20"/>
      <c r="U494" s="56"/>
    </row>
    <row r="495" spans="1:21" ht="20.25" customHeight="1" x14ac:dyDescent="0.35">
      <c r="A495" s="15" t="s">
        <v>29</v>
      </c>
      <c r="C495" s="19"/>
      <c r="D495" s="34" t="str">
        <f t="shared" ref="D495" si="466">E495</f>
        <v>S100010</v>
      </c>
      <c r="E495" s="35" t="str">
        <f>"S100010"</f>
        <v>S100010</v>
      </c>
      <c r="F495" s="36" t="str">
        <f>"Golf Relaxed Cap"</f>
        <v>Golf Relaxed Cap</v>
      </c>
      <c r="G495" s="36"/>
      <c r="H495" s="37" t="str">
        <f>"EA"</f>
        <v>EA</v>
      </c>
      <c r="I495" s="36"/>
      <c r="J495" s="36"/>
      <c r="K495" s="36"/>
      <c r="L495" s="36"/>
      <c r="M495" s="36"/>
      <c r="N495" s="36"/>
      <c r="O495" s="38">
        <f t="shared" ref="O495:T495" si="467">(SUBTOTAL(9,O496:O498))</f>
        <v>400</v>
      </c>
      <c r="P495" s="38">
        <f t="shared" si="467"/>
        <v>-1</v>
      </c>
      <c r="Q495" s="38">
        <f t="shared" si="467"/>
        <v>0</v>
      </c>
      <c r="R495" s="38">
        <f t="shared" si="467"/>
        <v>0</v>
      </c>
      <c r="S495" s="38">
        <f t="shared" si="467"/>
        <v>0</v>
      </c>
      <c r="T495" s="38">
        <f t="shared" si="467"/>
        <v>0</v>
      </c>
      <c r="U495" s="53">
        <f t="shared" ref="U495" si="468">SUBTOTAL(9,O496:T498)</f>
        <v>399</v>
      </c>
    </row>
    <row r="496" spans="1:21" ht="17.25" customHeight="1" x14ac:dyDescent="0.3">
      <c r="A496" s="15" t="s">
        <v>29</v>
      </c>
      <c r="C496" s="19"/>
      <c r="D496" s="33" t="str">
        <f t="shared" ref="D496" si="469">D495</f>
        <v>S100010</v>
      </c>
      <c r="E496" s="33"/>
      <c r="F496" s="20"/>
      <c r="G496" s="20" t="str">
        <f>"""NAV"",""CRONUS JetCorp USA"",""32"",""1"",""167159"""</f>
        <v>"NAV","CRONUS JetCorp USA","32","1","167159"</v>
      </c>
      <c r="H496" s="39">
        <v>43466</v>
      </c>
      <c r="I496" s="40">
        <v>167159</v>
      </c>
      <c r="J496" s="40" t="str">
        <f>"Vendor"</f>
        <v>Vendor</v>
      </c>
      <c r="K496" s="40" t="str">
        <f>"V100003"</f>
        <v>V100003</v>
      </c>
      <c r="L496" s="40" t="str">
        <f>""</f>
        <v/>
      </c>
      <c r="M496" s="40" t="str">
        <f>"LogoMasters"</f>
        <v>LogoMasters</v>
      </c>
      <c r="N496" s="40" t="str">
        <f>""</f>
        <v/>
      </c>
      <c r="O496" s="41">
        <v>400</v>
      </c>
      <c r="P496" s="41">
        <v>0</v>
      </c>
      <c r="Q496" s="41">
        <v>0</v>
      </c>
      <c r="R496" s="41">
        <v>0</v>
      </c>
      <c r="S496" s="41">
        <v>0</v>
      </c>
      <c r="T496" s="41">
        <v>0</v>
      </c>
      <c r="U496" s="54"/>
    </row>
    <row r="497" spans="1:21" ht="17.25" customHeight="1" x14ac:dyDescent="0.3">
      <c r="A497" s="15" t="s">
        <v>29</v>
      </c>
      <c r="C497" s="19"/>
      <c r="D497" s="33" t="str">
        <f t="shared" ref="D497" si="470">D496</f>
        <v>S100010</v>
      </c>
      <c r="E497" s="33"/>
      <c r="F497" s="20"/>
      <c r="G497" s="20" t="str">
        <f>"""NAV"",""CRONUS JetCorp USA"",""32"",""1"",""30118"""</f>
        <v>"NAV","CRONUS JetCorp USA","32","1","30118"</v>
      </c>
      <c r="H497" s="39">
        <v>43475</v>
      </c>
      <c r="I497" s="40">
        <v>30118</v>
      </c>
      <c r="J497" s="40" t="str">
        <f>"Customer"</f>
        <v>Customer</v>
      </c>
      <c r="K497" s="40" t="str">
        <f>"C100012"</f>
        <v>C100012</v>
      </c>
      <c r="L497" s="40" t="str">
        <f>"Bainbridges"</f>
        <v>Bainbridges</v>
      </c>
      <c r="M497" s="40" t="str">
        <f>""</f>
        <v/>
      </c>
      <c r="N497" s="40" t="str">
        <f>""</f>
        <v/>
      </c>
      <c r="O497" s="41">
        <v>0</v>
      </c>
      <c r="P497" s="41">
        <v>-1</v>
      </c>
      <c r="Q497" s="41">
        <v>0</v>
      </c>
      <c r="R497" s="41">
        <v>0</v>
      </c>
      <c r="S497" s="41">
        <v>0</v>
      </c>
      <c r="T497" s="41">
        <v>0</v>
      </c>
      <c r="U497" s="54"/>
    </row>
    <row r="498" spans="1:21" ht="17.25" customHeight="1" x14ac:dyDescent="0.3">
      <c r="A498" s="15" t="s">
        <v>29</v>
      </c>
      <c r="C498" s="19"/>
      <c r="D498" s="33"/>
      <c r="E498" s="33"/>
      <c r="F498" s="20"/>
      <c r="G498" s="20"/>
      <c r="H498" s="20"/>
      <c r="I498" s="20"/>
      <c r="J498" s="20"/>
      <c r="K498" s="20"/>
      <c r="L498" s="20"/>
      <c r="M498" s="20"/>
      <c r="N498" s="20"/>
      <c r="O498" s="42"/>
      <c r="P498" s="42"/>
      <c r="Q498" s="42"/>
      <c r="R498" s="42"/>
      <c r="S498" s="42"/>
      <c r="T498" s="42"/>
      <c r="U498" s="55"/>
    </row>
    <row r="499" spans="1:21" ht="17.25" customHeight="1" x14ac:dyDescent="0.3">
      <c r="A499" s="15" t="s">
        <v>29</v>
      </c>
      <c r="C499" s="19"/>
      <c r="D499" s="33"/>
      <c r="E499" s="33" t="s">
        <v>30</v>
      </c>
      <c r="F499" s="20" t="s">
        <v>30</v>
      </c>
      <c r="G499" s="20" t="s">
        <v>30</v>
      </c>
      <c r="H499" s="20"/>
      <c r="I499" s="20"/>
      <c r="J499" s="20" t="s">
        <v>30</v>
      </c>
      <c r="K499" s="20" t="s">
        <v>30</v>
      </c>
      <c r="L499" s="20" t="s">
        <v>30</v>
      </c>
      <c r="M499" s="20" t="s">
        <v>30</v>
      </c>
      <c r="N499" s="20"/>
      <c r="U499" s="56"/>
    </row>
    <row r="500" spans="1:21" ht="20.25" customHeight="1" x14ac:dyDescent="0.35">
      <c r="A500" s="15" t="s">
        <v>29</v>
      </c>
      <c r="C500" s="19"/>
      <c r="D500" s="34" t="str">
        <f t="shared" ref="D500" si="471">E500</f>
        <v>S100011</v>
      </c>
      <c r="E500" s="35" t="str">
        <f>"S100011"</f>
        <v>S100011</v>
      </c>
      <c r="F500" s="36" t="str">
        <f>"All Star Cap"</f>
        <v>All Star Cap</v>
      </c>
      <c r="G500" s="36"/>
      <c r="H500" s="37" t="str">
        <f>"EA"</f>
        <v>EA</v>
      </c>
      <c r="I500" s="36"/>
      <c r="J500" s="36"/>
      <c r="K500" s="36"/>
      <c r="L500" s="36"/>
      <c r="M500" s="36"/>
      <c r="N500" s="36"/>
      <c r="O500" s="38">
        <f t="shared" ref="O500:T500" si="472">(SUBTOTAL(9,O501:O502))</f>
        <v>1600</v>
      </c>
      <c r="P500" s="38">
        <f t="shared" si="472"/>
        <v>0</v>
      </c>
      <c r="Q500" s="38">
        <f t="shared" si="472"/>
        <v>0</v>
      </c>
      <c r="R500" s="38">
        <f t="shared" si="472"/>
        <v>0</v>
      </c>
      <c r="S500" s="38">
        <f t="shared" si="472"/>
        <v>0</v>
      </c>
      <c r="T500" s="38">
        <f t="shared" si="472"/>
        <v>0</v>
      </c>
      <c r="U500" s="53">
        <f t="shared" ref="U500" si="473">SUBTOTAL(9,O501:T502)</f>
        <v>1600</v>
      </c>
    </row>
    <row r="501" spans="1:21" ht="17.25" customHeight="1" x14ac:dyDescent="0.3">
      <c r="A501" s="15" t="s">
        <v>29</v>
      </c>
      <c r="C501" s="19"/>
      <c r="D501" s="33" t="str">
        <f t="shared" ref="D501" si="474">D500</f>
        <v>S100011</v>
      </c>
      <c r="E501" s="33"/>
      <c r="F501" s="20"/>
      <c r="G501" s="20" t="str">
        <f>"""NAV"",""CRONUS JetCorp USA"",""32"",""1"",""167158"""</f>
        <v>"NAV","CRONUS JetCorp USA","32","1","167158"</v>
      </c>
      <c r="H501" s="39">
        <v>43466</v>
      </c>
      <c r="I501" s="40">
        <v>167158</v>
      </c>
      <c r="J501" s="40" t="str">
        <f>"Vendor"</f>
        <v>Vendor</v>
      </c>
      <c r="K501" s="40" t="str">
        <f>"V100003"</f>
        <v>V100003</v>
      </c>
      <c r="L501" s="40" t="str">
        <f>""</f>
        <v/>
      </c>
      <c r="M501" s="40" t="str">
        <f>"LogoMasters"</f>
        <v>LogoMasters</v>
      </c>
      <c r="N501" s="40" t="str">
        <f>""</f>
        <v/>
      </c>
      <c r="O501" s="41">
        <v>1600</v>
      </c>
      <c r="P501" s="41">
        <v>0</v>
      </c>
      <c r="Q501" s="41">
        <v>0</v>
      </c>
      <c r="R501" s="41">
        <v>0</v>
      </c>
      <c r="S501" s="41">
        <v>0</v>
      </c>
      <c r="T501" s="41">
        <v>0</v>
      </c>
      <c r="U501" s="54"/>
    </row>
    <row r="502" spans="1:21" ht="17.25" customHeight="1" x14ac:dyDescent="0.3">
      <c r="A502" s="15" t="s">
        <v>29</v>
      </c>
      <c r="C502" s="19"/>
      <c r="D502" s="33"/>
      <c r="E502" s="33"/>
      <c r="F502" s="20"/>
      <c r="G502" s="20"/>
      <c r="H502" s="20"/>
      <c r="I502" s="20"/>
      <c r="J502" s="20"/>
      <c r="K502" s="20"/>
      <c r="L502" s="20"/>
      <c r="M502" s="20"/>
      <c r="N502" s="20"/>
      <c r="O502" s="42"/>
      <c r="P502" s="42"/>
      <c r="Q502" s="42"/>
      <c r="R502" s="42"/>
      <c r="S502" s="42"/>
      <c r="T502" s="42"/>
      <c r="U502" s="55"/>
    </row>
    <row r="503" spans="1:21" ht="17.25" customHeight="1" x14ac:dyDescent="0.3">
      <c r="A503" s="15" t="s">
        <v>29</v>
      </c>
      <c r="C503" s="19"/>
      <c r="D503" s="33"/>
      <c r="E503" s="33" t="s">
        <v>30</v>
      </c>
      <c r="F503" s="20" t="s">
        <v>30</v>
      </c>
      <c r="G503" s="20" t="s">
        <v>30</v>
      </c>
      <c r="H503" s="20"/>
      <c r="I503" s="20"/>
      <c r="J503" s="20" t="s">
        <v>30</v>
      </c>
      <c r="K503" s="20" t="s">
        <v>30</v>
      </c>
      <c r="L503" s="20" t="s">
        <v>30</v>
      </c>
      <c r="M503" s="20" t="s">
        <v>30</v>
      </c>
      <c r="N503" s="20"/>
      <c r="U503" s="56"/>
    </row>
    <row r="504" spans="1:21" ht="20.25" customHeight="1" x14ac:dyDescent="0.35">
      <c r="A504" s="15" t="s">
        <v>29</v>
      </c>
      <c r="C504" s="19"/>
      <c r="D504" s="34" t="str">
        <f t="shared" ref="D504" si="475">E504</f>
        <v>S100012</v>
      </c>
      <c r="E504" s="35" t="str">
        <f>"S100012"</f>
        <v>S100012</v>
      </c>
      <c r="F504" s="36" t="str">
        <f>"Raw-Edge Patch BALL CAP"</f>
        <v>Raw-Edge Patch BALL CAP</v>
      </c>
      <c r="G504" s="36"/>
      <c r="H504" s="37" t="str">
        <f>"EA"</f>
        <v>EA</v>
      </c>
      <c r="I504" s="36"/>
      <c r="J504" s="36"/>
      <c r="K504" s="36"/>
      <c r="L504" s="36"/>
      <c r="M504" s="36"/>
      <c r="N504" s="36"/>
      <c r="O504" s="38">
        <f t="shared" ref="O504:T504" si="476">(SUBTOTAL(9,O505:O507))</f>
        <v>400</v>
      </c>
      <c r="P504" s="38">
        <f t="shared" si="476"/>
        <v>-288</v>
      </c>
      <c r="Q504" s="38">
        <f t="shared" si="476"/>
        <v>0</v>
      </c>
      <c r="R504" s="38">
        <f t="shared" si="476"/>
        <v>0</v>
      </c>
      <c r="S504" s="38">
        <f t="shared" si="476"/>
        <v>0</v>
      </c>
      <c r="T504" s="38">
        <f t="shared" si="476"/>
        <v>0</v>
      </c>
      <c r="U504" s="53">
        <f t="shared" ref="U504" si="477">SUBTOTAL(9,O505:T507)</f>
        <v>112</v>
      </c>
    </row>
    <row r="505" spans="1:21" ht="17.25" customHeight="1" x14ac:dyDescent="0.3">
      <c r="A505" s="15" t="s">
        <v>29</v>
      </c>
      <c r="C505" s="19"/>
      <c r="D505" s="33" t="str">
        <f t="shared" ref="D505" si="478">D504</f>
        <v>S100012</v>
      </c>
      <c r="E505" s="33"/>
      <c r="F505" s="20"/>
      <c r="G505" s="20" t="str">
        <f>"""NAV"",""CRONUS JetCorp USA"",""32"",""1"",""167157"""</f>
        <v>"NAV","CRONUS JetCorp USA","32","1","167157"</v>
      </c>
      <c r="H505" s="39">
        <v>43466</v>
      </c>
      <c r="I505" s="40">
        <v>167157</v>
      </c>
      <c r="J505" s="40" t="str">
        <f>"Vendor"</f>
        <v>Vendor</v>
      </c>
      <c r="K505" s="40" t="str">
        <f>"V100003"</f>
        <v>V100003</v>
      </c>
      <c r="L505" s="40" t="str">
        <f>""</f>
        <v/>
      </c>
      <c r="M505" s="40" t="str">
        <f>"LogoMasters"</f>
        <v>LogoMasters</v>
      </c>
      <c r="N505" s="40" t="str">
        <f>""</f>
        <v/>
      </c>
      <c r="O505" s="41">
        <v>400</v>
      </c>
      <c r="P505" s="41">
        <v>0</v>
      </c>
      <c r="Q505" s="41">
        <v>0</v>
      </c>
      <c r="R505" s="41">
        <v>0</v>
      </c>
      <c r="S505" s="41">
        <v>0</v>
      </c>
      <c r="T505" s="41">
        <v>0</v>
      </c>
      <c r="U505" s="54"/>
    </row>
    <row r="506" spans="1:21" ht="17.25" customHeight="1" x14ac:dyDescent="0.3">
      <c r="A506" s="15" t="s">
        <v>29</v>
      </c>
      <c r="C506" s="19"/>
      <c r="D506" s="33" t="str">
        <f t="shared" ref="D506" si="479">D505</f>
        <v>S100012</v>
      </c>
      <c r="E506" s="33"/>
      <c r="F506" s="20"/>
      <c r="G506" s="20" t="str">
        <f>"""NAV"",""CRONUS JetCorp USA"",""32"",""1"",""30102"""</f>
        <v>"NAV","CRONUS JetCorp USA","32","1","30102"</v>
      </c>
      <c r="H506" s="39">
        <v>43475</v>
      </c>
      <c r="I506" s="40">
        <v>30102</v>
      </c>
      <c r="J506" s="40" t="str">
        <f>"Customer"</f>
        <v>Customer</v>
      </c>
      <c r="K506" s="40" t="str">
        <f>"C100012"</f>
        <v>C100012</v>
      </c>
      <c r="L506" s="40" t="str">
        <f>"Bainbridges"</f>
        <v>Bainbridges</v>
      </c>
      <c r="M506" s="40" t="str">
        <f>""</f>
        <v/>
      </c>
      <c r="N506" s="40" t="str">
        <f>""</f>
        <v/>
      </c>
      <c r="O506" s="41">
        <v>0</v>
      </c>
      <c r="P506" s="41">
        <v>-288</v>
      </c>
      <c r="Q506" s="41">
        <v>0</v>
      </c>
      <c r="R506" s="41">
        <v>0</v>
      </c>
      <c r="S506" s="41">
        <v>0</v>
      </c>
      <c r="T506" s="41">
        <v>0</v>
      </c>
      <c r="U506" s="54"/>
    </row>
    <row r="507" spans="1:21" ht="17.25" customHeight="1" x14ac:dyDescent="0.3">
      <c r="A507" s="15" t="s">
        <v>29</v>
      </c>
      <c r="C507" s="19"/>
      <c r="D507" s="33"/>
      <c r="E507" s="33"/>
      <c r="F507" s="20"/>
      <c r="G507" s="20"/>
      <c r="H507" s="20"/>
      <c r="I507" s="20"/>
      <c r="J507" s="20"/>
      <c r="K507" s="20"/>
      <c r="L507" s="20"/>
      <c r="M507" s="20"/>
      <c r="N507" s="20"/>
      <c r="O507" s="42"/>
      <c r="P507" s="42"/>
      <c r="Q507" s="42"/>
      <c r="R507" s="42"/>
      <c r="S507" s="42"/>
      <c r="T507" s="42"/>
      <c r="U507" s="55"/>
    </row>
    <row r="508" spans="1:21" ht="17.25" customHeight="1" x14ac:dyDescent="0.3">
      <c r="A508" s="15" t="s">
        <v>29</v>
      </c>
      <c r="C508" s="19"/>
      <c r="D508" s="33"/>
      <c r="E508" s="33" t="s">
        <v>30</v>
      </c>
      <c r="F508" s="20" t="s">
        <v>30</v>
      </c>
      <c r="G508" s="20" t="s">
        <v>30</v>
      </c>
      <c r="H508" s="20"/>
      <c r="I508" s="20"/>
      <c r="J508" s="20" t="s">
        <v>30</v>
      </c>
      <c r="K508" s="20" t="s">
        <v>30</v>
      </c>
      <c r="L508" s="20" t="s">
        <v>30</v>
      </c>
      <c r="M508" s="20" t="s">
        <v>30</v>
      </c>
      <c r="N508" s="20"/>
      <c r="U508" s="56"/>
    </row>
    <row r="509" spans="1:21" ht="20.25" customHeight="1" x14ac:dyDescent="0.35">
      <c r="A509" s="15" t="s">
        <v>29</v>
      </c>
      <c r="C509" s="19"/>
      <c r="D509" s="34" t="str">
        <f t="shared" ref="D509" si="480">E509</f>
        <v>S100015</v>
      </c>
      <c r="E509" s="35" t="str">
        <f>"S100015"</f>
        <v>S100015</v>
      </c>
      <c r="F509" s="36" t="str">
        <f>"Raw-Edge Bucket Hat"</f>
        <v>Raw-Edge Bucket Hat</v>
      </c>
      <c r="G509" s="36"/>
      <c r="H509" s="37" t="str">
        <f>"EA"</f>
        <v>EA</v>
      </c>
      <c r="I509" s="36"/>
      <c r="J509" s="36"/>
      <c r="K509" s="36"/>
      <c r="L509" s="36"/>
      <c r="M509" s="36"/>
      <c r="N509" s="36"/>
      <c r="O509" s="38">
        <f t="shared" ref="O509:T509" si="481">(SUBTOTAL(9,O510:O512))</f>
        <v>400</v>
      </c>
      <c r="P509" s="38">
        <f t="shared" si="481"/>
        <v>-144</v>
      </c>
      <c r="Q509" s="38">
        <f t="shared" si="481"/>
        <v>0</v>
      </c>
      <c r="R509" s="38">
        <f t="shared" si="481"/>
        <v>0</v>
      </c>
      <c r="S509" s="38">
        <f t="shared" si="481"/>
        <v>0</v>
      </c>
      <c r="T509" s="38">
        <f t="shared" si="481"/>
        <v>0</v>
      </c>
      <c r="U509" s="53">
        <f t="shared" ref="U509" si="482">SUBTOTAL(9,O510:T512)</f>
        <v>256</v>
      </c>
    </row>
    <row r="510" spans="1:21" ht="17.25" customHeight="1" x14ac:dyDescent="0.3">
      <c r="A510" s="15" t="s">
        <v>29</v>
      </c>
      <c r="C510" s="19"/>
      <c r="D510" s="33" t="str">
        <f t="shared" ref="D510" si="483">D509</f>
        <v>S100015</v>
      </c>
      <c r="E510" s="33"/>
      <c r="F510" s="20"/>
      <c r="G510" s="20" t="str">
        <f>"""NAV"",""CRONUS JetCorp USA"",""32"",""1"",""167156"""</f>
        <v>"NAV","CRONUS JetCorp USA","32","1","167156"</v>
      </c>
      <c r="H510" s="39">
        <v>43466</v>
      </c>
      <c r="I510" s="40">
        <v>167156</v>
      </c>
      <c r="J510" s="40" t="str">
        <f>"Vendor"</f>
        <v>Vendor</v>
      </c>
      <c r="K510" s="40" t="str">
        <f>"V100003"</f>
        <v>V100003</v>
      </c>
      <c r="L510" s="40" t="str">
        <f>""</f>
        <v/>
      </c>
      <c r="M510" s="40" t="str">
        <f>"LogoMasters"</f>
        <v>LogoMasters</v>
      </c>
      <c r="N510" s="40" t="str">
        <f>""</f>
        <v/>
      </c>
      <c r="O510" s="41">
        <v>400</v>
      </c>
      <c r="P510" s="41">
        <v>0</v>
      </c>
      <c r="Q510" s="41">
        <v>0</v>
      </c>
      <c r="R510" s="41">
        <v>0</v>
      </c>
      <c r="S510" s="41">
        <v>0</v>
      </c>
      <c r="T510" s="41">
        <v>0</v>
      </c>
      <c r="U510" s="54"/>
    </row>
    <row r="511" spans="1:21" ht="17.25" customHeight="1" x14ac:dyDescent="0.3">
      <c r="A511" s="15" t="s">
        <v>29</v>
      </c>
      <c r="C511" s="19"/>
      <c r="D511" s="33" t="str">
        <f t="shared" ref="D511" si="484">D510</f>
        <v>S100015</v>
      </c>
      <c r="E511" s="33"/>
      <c r="F511" s="20"/>
      <c r="G511" s="20" t="str">
        <f>"""NAV"",""CRONUS JetCorp USA"",""32"",""1"",""30109"""</f>
        <v>"NAV","CRONUS JetCorp USA","32","1","30109"</v>
      </c>
      <c r="H511" s="39">
        <v>43475</v>
      </c>
      <c r="I511" s="40">
        <v>30109</v>
      </c>
      <c r="J511" s="40" t="str">
        <f>"Customer"</f>
        <v>Customer</v>
      </c>
      <c r="K511" s="40" t="str">
        <f>"C100012"</f>
        <v>C100012</v>
      </c>
      <c r="L511" s="40" t="str">
        <f>"Bainbridges"</f>
        <v>Bainbridges</v>
      </c>
      <c r="M511" s="40" t="str">
        <f>""</f>
        <v/>
      </c>
      <c r="N511" s="40" t="str">
        <f>""</f>
        <v/>
      </c>
      <c r="O511" s="41">
        <v>0</v>
      </c>
      <c r="P511" s="41">
        <v>-144</v>
      </c>
      <c r="Q511" s="41">
        <v>0</v>
      </c>
      <c r="R511" s="41">
        <v>0</v>
      </c>
      <c r="S511" s="41">
        <v>0</v>
      </c>
      <c r="T511" s="41">
        <v>0</v>
      </c>
      <c r="U511" s="54"/>
    </row>
    <row r="512" spans="1:21" ht="17.25" customHeight="1" x14ac:dyDescent="0.3">
      <c r="A512" s="15" t="s">
        <v>29</v>
      </c>
      <c r="C512" s="19"/>
      <c r="D512" s="33"/>
      <c r="E512" s="33"/>
      <c r="F512" s="20"/>
      <c r="G512" s="20"/>
      <c r="H512" s="20"/>
      <c r="I512" s="20"/>
      <c r="J512" s="20"/>
      <c r="K512" s="20"/>
      <c r="L512" s="20"/>
      <c r="M512" s="20"/>
      <c r="N512" s="20"/>
      <c r="O512" s="42"/>
      <c r="P512" s="42"/>
      <c r="Q512" s="42"/>
      <c r="R512" s="42"/>
      <c r="S512" s="42"/>
      <c r="T512" s="42"/>
      <c r="U512" s="55"/>
    </row>
    <row r="513" spans="1:21" ht="17.25" customHeight="1" x14ac:dyDescent="0.3">
      <c r="A513" s="15" t="s">
        <v>29</v>
      </c>
      <c r="C513" s="19"/>
      <c r="D513" s="33"/>
      <c r="E513" s="33" t="s">
        <v>30</v>
      </c>
      <c r="F513" s="20" t="s">
        <v>30</v>
      </c>
      <c r="G513" s="20" t="s">
        <v>30</v>
      </c>
      <c r="H513" s="20"/>
      <c r="I513" s="20"/>
      <c r="J513" s="20" t="s">
        <v>30</v>
      </c>
      <c r="K513" s="20" t="s">
        <v>30</v>
      </c>
      <c r="L513" s="20" t="s">
        <v>30</v>
      </c>
      <c r="M513" s="20" t="s">
        <v>30</v>
      </c>
      <c r="N513" s="20"/>
      <c r="U513" s="56"/>
    </row>
    <row r="514" spans="1:21" ht="20.25" customHeight="1" x14ac:dyDescent="0.35">
      <c r="A514" s="15" t="s">
        <v>29</v>
      </c>
      <c r="C514" s="19"/>
      <c r="D514" s="34" t="str">
        <f t="shared" ref="D514" si="485">E514</f>
        <v>S100016</v>
      </c>
      <c r="E514" s="35" t="str">
        <f>"S100016"</f>
        <v>S100016</v>
      </c>
      <c r="F514" s="36" t="str">
        <f>"Mesh Bucket Hat"</f>
        <v>Mesh Bucket Hat</v>
      </c>
      <c r="G514" s="36"/>
      <c r="H514" s="37" t="str">
        <f>"EA"</f>
        <v>EA</v>
      </c>
      <c r="I514" s="36"/>
      <c r="J514" s="36"/>
      <c r="K514" s="36"/>
      <c r="L514" s="36"/>
      <c r="M514" s="36"/>
      <c r="N514" s="36"/>
      <c r="O514" s="38">
        <f t="shared" ref="O514:T514" si="486">(SUBTOTAL(9,O515:O518))</f>
        <v>800</v>
      </c>
      <c r="P514" s="38">
        <f t="shared" si="486"/>
        <v>-143</v>
      </c>
      <c r="Q514" s="38">
        <f t="shared" si="486"/>
        <v>0</v>
      </c>
      <c r="R514" s="38">
        <f t="shared" si="486"/>
        <v>0</v>
      </c>
      <c r="S514" s="38">
        <f t="shared" si="486"/>
        <v>0</v>
      </c>
      <c r="T514" s="38">
        <f t="shared" si="486"/>
        <v>0</v>
      </c>
      <c r="U514" s="53">
        <f t="shared" ref="U514" si="487">SUBTOTAL(9,O515:T518)</f>
        <v>657</v>
      </c>
    </row>
    <row r="515" spans="1:21" ht="17.25" customHeight="1" x14ac:dyDescent="0.3">
      <c r="A515" s="15" t="s">
        <v>29</v>
      </c>
      <c r="C515" s="19"/>
      <c r="D515" s="33" t="str">
        <f t="shared" ref="D515" si="488">D514</f>
        <v>S100016</v>
      </c>
      <c r="E515" s="33"/>
      <c r="F515" s="20"/>
      <c r="G515" s="20" t="str">
        <f>"""NAV"",""CRONUS JetCorp USA"",""32"",""1"",""167155"""</f>
        <v>"NAV","CRONUS JetCorp USA","32","1","167155"</v>
      </c>
      <c r="H515" s="39">
        <v>43466</v>
      </c>
      <c r="I515" s="40">
        <v>167155</v>
      </c>
      <c r="J515" s="40" t="str">
        <f>"Vendor"</f>
        <v>Vendor</v>
      </c>
      <c r="K515" s="40" t="str">
        <f>"V100003"</f>
        <v>V100003</v>
      </c>
      <c r="L515" s="40" t="str">
        <f>""</f>
        <v/>
      </c>
      <c r="M515" s="40" t="str">
        <f>"LogoMasters"</f>
        <v>LogoMasters</v>
      </c>
      <c r="N515" s="40" t="str">
        <f>""</f>
        <v/>
      </c>
      <c r="O515" s="41">
        <v>800</v>
      </c>
      <c r="P515" s="41">
        <v>0</v>
      </c>
      <c r="Q515" s="41">
        <v>0</v>
      </c>
      <c r="R515" s="41">
        <v>0</v>
      </c>
      <c r="S515" s="41">
        <v>0</v>
      </c>
      <c r="T515" s="41">
        <v>0</v>
      </c>
      <c r="U515" s="54"/>
    </row>
    <row r="516" spans="1:21" ht="17.25" customHeight="1" x14ac:dyDescent="0.3">
      <c r="A516" s="15" t="s">
        <v>29</v>
      </c>
      <c r="C516" s="19"/>
      <c r="D516" s="33" t="str">
        <f t="shared" ref="D516:D517" si="489">D515</f>
        <v>S100016</v>
      </c>
      <c r="E516" s="33"/>
      <c r="F516" s="20"/>
      <c r="G516" s="20" t="str">
        <f>"""NAV"",""CRONUS JetCorp USA"",""32"",""1"",""30034"""</f>
        <v>"NAV","CRONUS JetCorp USA","32","1","30034"</v>
      </c>
      <c r="H516" s="39">
        <v>43471</v>
      </c>
      <c r="I516" s="40">
        <v>30034</v>
      </c>
      <c r="J516" s="40" t="str">
        <f>"Customer"</f>
        <v>Customer</v>
      </c>
      <c r="K516" s="40" t="str">
        <f>"C100012"</f>
        <v>C100012</v>
      </c>
      <c r="L516" s="40" t="str">
        <f>"Bainbridges"</f>
        <v>Bainbridges</v>
      </c>
      <c r="M516" s="40" t="str">
        <f>""</f>
        <v/>
      </c>
      <c r="N516" s="40" t="str">
        <f>""</f>
        <v/>
      </c>
      <c r="O516" s="41">
        <v>0</v>
      </c>
      <c r="P516" s="41">
        <v>-144</v>
      </c>
      <c r="Q516" s="41">
        <v>0</v>
      </c>
      <c r="R516" s="41">
        <v>0</v>
      </c>
      <c r="S516" s="41">
        <v>0</v>
      </c>
      <c r="T516" s="41">
        <v>0</v>
      </c>
      <c r="U516" s="54"/>
    </row>
    <row r="517" spans="1:21" ht="17.25" customHeight="1" x14ac:dyDescent="0.3">
      <c r="A517" s="15" t="s">
        <v>29</v>
      </c>
      <c r="C517" s="19"/>
      <c r="D517" s="33" t="str">
        <f t="shared" si="489"/>
        <v>S100016</v>
      </c>
      <c r="E517" s="33"/>
      <c r="F517" s="20"/>
      <c r="G517" s="20" t="str">
        <f>"""NAV"",""CRONUS JetCorp USA"",""32"",""1"",""158693"""</f>
        <v>"NAV","CRONUS JetCorp USA","32","1","158693"</v>
      </c>
      <c r="H517" s="39">
        <v>43471</v>
      </c>
      <c r="I517" s="40">
        <v>158693</v>
      </c>
      <c r="J517" s="40" t="str">
        <f>"Customer"</f>
        <v>Customer</v>
      </c>
      <c r="K517" s="40" t="str">
        <f>"C100126"</f>
        <v>C100126</v>
      </c>
      <c r="L517" s="40" t="str">
        <f>"Moveex"</f>
        <v>Moveex</v>
      </c>
      <c r="M517" s="40" t="str">
        <f>""</f>
        <v/>
      </c>
      <c r="N517" s="40" t="str">
        <f>""</f>
        <v/>
      </c>
      <c r="O517" s="41">
        <v>0</v>
      </c>
      <c r="P517" s="41">
        <v>1</v>
      </c>
      <c r="Q517" s="41">
        <v>0</v>
      </c>
      <c r="R517" s="41">
        <v>0</v>
      </c>
      <c r="S517" s="41">
        <v>0</v>
      </c>
      <c r="T517" s="41">
        <v>0</v>
      </c>
      <c r="U517" s="54"/>
    </row>
    <row r="518" spans="1:21" ht="17.25" customHeight="1" x14ac:dyDescent="0.3">
      <c r="A518" s="15" t="s">
        <v>29</v>
      </c>
      <c r="C518" s="19"/>
      <c r="D518" s="33"/>
      <c r="E518" s="33"/>
      <c r="F518" s="20"/>
      <c r="G518" s="20"/>
      <c r="H518" s="20"/>
      <c r="I518" s="20"/>
      <c r="J518" s="20"/>
      <c r="K518" s="20"/>
      <c r="L518" s="20"/>
      <c r="M518" s="20"/>
      <c r="N518" s="20"/>
      <c r="O518" s="42"/>
      <c r="P518" s="42"/>
      <c r="Q518" s="42"/>
      <c r="R518" s="42"/>
      <c r="S518" s="42"/>
      <c r="T518" s="42"/>
      <c r="U518" s="55"/>
    </row>
    <row r="519" spans="1:21" ht="17.25" customHeight="1" x14ac:dyDescent="0.3">
      <c r="A519" s="15" t="s">
        <v>29</v>
      </c>
      <c r="C519" s="19"/>
      <c r="D519" s="33"/>
      <c r="E519" s="33" t="s">
        <v>30</v>
      </c>
      <c r="F519" s="20" t="s">
        <v>30</v>
      </c>
      <c r="G519" s="20" t="s">
        <v>30</v>
      </c>
      <c r="H519" s="20"/>
      <c r="I519" s="20"/>
      <c r="J519" s="20" t="s">
        <v>30</v>
      </c>
      <c r="K519" s="20" t="s">
        <v>30</v>
      </c>
      <c r="L519" s="20" t="s">
        <v>30</v>
      </c>
      <c r="M519" s="20" t="s">
        <v>30</v>
      </c>
      <c r="N519" s="20"/>
      <c r="U519" s="56"/>
    </row>
    <row r="520" spans="1:21" ht="20.25" customHeight="1" x14ac:dyDescent="0.35">
      <c r="A520" s="15" t="s">
        <v>29</v>
      </c>
      <c r="C520" s="19"/>
      <c r="D520" s="34" t="str">
        <f t="shared" ref="D520" si="490">E520</f>
        <v>S100017</v>
      </c>
      <c r="E520" s="35" t="str">
        <f>"S100017"</f>
        <v>S100017</v>
      </c>
      <c r="F520" s="36" t="str">
        <f>"Microfiber Bucket Hat"</f>
        <v>Microfiber Bucket Hat</v>
      </c>
      <c r="G520" s="36"/>
      <c r="H520" s="37" t="str">
        <f>"EA"</f>
        <v>EA</v>
      </c>
      <c r="I520" s="36"/>
      <c r="J520" s="36"/>
      <c r="K520" s="36"/>
      <c r="L520" s="36"/>
      <c r="M520" s="36"/>
      <c r="N520" s="36"/>
      <c r="O520" s="38">
        <f t="shared" ref="O520:T520" si="491">(SUBTOTAL(9,O521:O522))</f>
        <v>400</v>
      </c>
      <c r="P520" s="38">
        <f t="shared" si="491"/>
        <v>0</v>
      </c>
      <c r="Q520" s="38">
        <f t="shared" si="491"/>
        <v>0</v>
      </c>
      <c r="R520" s="38">
        <f t="shared" si="491"/>
        <v>0</v>
      </c>
      <c r="S520" s="38">
        <f t="shared" si="491"/>
        <v>0</v>
      </c>
      <c r="T520" s="38">
        <f t="shared" si="491"/>
        <v>0</v>
      </c>
      <c r="U520" s="53">
        <f t="shared" ref="U520" si="492">SUBTOTAL(9,O521:T522)</f>
        <v>400</v>
      </c>
    </row>
    <row r="521" spans="1:21" ht="17.25" customHeight="1" x14ac:dyDescent="0.3">
      <c r="A521" s="15" t="s">
        <v>29</v>
      </c>
      <c r="C521" s="19"/>
      <c r="D521" s="33" t="str">
        <f t="shared" ref="D521" si="493">D520</f>
        <v>S100017</v>
      </c>
      <c r="E521" s="33"/>
      <c r="F521" s="20"/>
      <c r="G521" s="20" t="str">
        <f>"""NAV"",""CRONUS JetCorp USA"",""32"",""1"",""167154"""</f>
        <v>"NAV","CRONUS JetCorp USA","32","1","167154"</v>
      </c>
      <c r="H521" s="39">
        <v>43466</v>
      </c>
      <c r="I521" s="40">
        <v>167154</v>
      </c>
      <c r="J521" s="40" t="str">
        <f>"Vendor"</f>
        <v>Vendor</v>
      </c>
      <c r="K521" s="40" t="str">
        <f>"V100003"</f>
        <v>V100003</v>
      </c>
      <c r="L521" s="40" t="str">
        <f>""</f>
        <v/>
      </c>
      <c r="M521" s="40" t="str">
        <f>"LogoMasters"</f>
        <v>LogoMasters</v>
      </c>
      <c r="N521" s="40" t="str">
        <f>""</f>
        <v/>
      </c>
      <c r="O521" s="41">
        <v>400</v>
      </c>
      <c r="P521" s="41">
        <v>0</v>
      </c>
      <c r="Q521" s="41">
        <v>0</v>
      </c>
      <c r="R521" s="41">
        <v>0</v>
      </c>
      <c r="S521" s="41">
        <v>0</v>
      </c>
      <c r="T521" s="41">
        <v>0</v>
      </c>
      <c r="U521" s="54"/>
    </row>
    <row r="522" spans="1:21" ht="17.25" customHeight="1" x14ac:dyDescent="0.3">
      <c r="A522" s="15" t="s">
        <v>29</v>
      </c>
      <c r="C522" s="19"/>
      <c r="D522" s="33"/>
      <c r="E522" s="33"/>
      <c r="F522" s="20"/>
      <c r="G522" s="20"/>
      <c r="H522" s="20"/>
      <c r="I522" s="20"/>
      <c r="J522" s="20"/>
      <c r="K522" s="20"/>
      <c r="L522" s="20"/>
      <c r="M522" s="20"/>
      <c r="N522" s="20"/>
      <c r="O522" s="42"/>
      <c r="P522" s="42"/>
      <c r="Q522" s="42"/>
      <c r="R522" s="42"/>
      <c r="S522" s="42"/>
      <c r="T522" s="42"/>
      <c r="U522" s="55"/>
    </row>
    <row r="523" spans="1:21" ht="17.25" customHeight="1" x14ac:dyDescent="0.3">
      <c r="A523" s="15" t="s">
        <v>29</v>
      </c>
      <c r="C523" s="19"/>
      <c r="D523" s="33"/>
      <c r="E523" s="33" t="s">
        <v>30</v>
      </c>
      <c r="F523" s="20" t="s">
        <v>30</v>
      </c>
      <c r="G523" s="20" t="s">
        <v>30</v>
      </c>
      <c r="H523" s="20"/>
      <c r="I523" s="20"/>
      <c r="J523" s="20" t="s">
        <v>30</v>
      </c>
      <c r="K523" s="20" t="s">
        <v>30</v>
      </c>
      <c r="L523" s="20" t="s">
        <v>30</v>
      </c>
      <c r="M523" s="20" t="s">
        <v>30</v>
      </c>
      <c r="N523" s="20"/>
      <c r="U523" s="56"/>
    </row>
    <row r="524" spans="1:21" ht="20.25" customHeight="1" x14ac:dyDescent="0.35">
      <c r="A524" s="15" t="s">
        <v>29</v>
      </c>
      <c r="C524" s="19"/>
      <c r="D524" s="34" t="str">
        <f t="shared" ref="D524" si="494">E524</f>
        <v>S100019</v>
      </c>
      <c r="E524" s="35" t="str">
        <f>"S100019"</f>
        <v>S100019</v>
      </c>
      <c r="F524" s="36" t="str">
        <f>"Sportsman Bucket Hat"</f>
        <v>Sportsman Bucket Hat</v>
      </c>
      <c r="G524" s="36"/>
      <c r="H524" s="37" t="str">
        <f>"EA"</f>
        <v>EA</v>
      </c>
      <c r="I524" s="36"/>
      <c r="J524" s="36"/>
      <c r="K524" s="36"/>
      <c r="L524" s="36"/>
      <c r="M524" s="36"/>
      <c r="N524" s="36"/>
      <c r="O524" s="38">
        <f t="shared" ref="O524:T524" si="495">(SUBTOTAL(9,O525:O528))</f>
        <v>1200</v>
      </c>
      <c r="P524" s="38">
        <f t="shared" si="495"/>
        <v>-145</v>
      </c>
      <c r="Q524" s="38">
        <f t="shared" si="495"/>
        <v>0</v>
      </c>
      <c r="R524" s="38">
        <f t="shared" si="495"/>
        <v>0</v>
      </c>
      <c r="S524" s="38">
        <f t="shared" si="495"/>
        <v>0</v>
      </c>
      <c r="T524" s="38">
        <f t="shared" si="495"/>
        <v>0</v>
      </c>
      <c r="U524" s="53">
        <f t="shared" ref="U524" si="496">SUBTOTAL(9,O525:T528)</f>
        <v>1055</v>
      </c>
    </row>
    <row r="525" spans="1:21" ht="17.25" customHeight="1" x14ac:dyDescent="0.3">
      <c r="A525" s="15" t="s">
        <v>29</v>
      </c>
      <c r="C525" s="19"/>
      <c r="D525" s="33" t="str">
        <f t="shared" ref="D525" si="497">D524</f>
        <v>S100019</v>
      </c>
      <c r="E525" s="33"/>
      <c r="F525" s="20"/>
      <c r="G525" s="20" t="str">
        <f>"""NAV"",""CRONUS JetCorp USA"",""32"",""1"",""167153"""</f>
        <v>"NAV","CRONUS JetCorp USA","32","1","167153"</v>
      </c>
      <c r="H525" s="39">
        <v>43466</v>
      </c>
      <c r="I525" s="40">
        <v>167153</v>
      </c>
      <c r="J525" s="40" t="str">
        <f>"Vendor"</f>
        <v>Vendor</v>
      </c>
      <c r="K525" s="40" t="str">
        <f>"V100003"</f>
        <v>V100003</v>
      </c>
      <c r="L525" s="40" t="str">
        <f>""</f>
        <v/>
      </c>
      <c r="M525" s="40" t="str">
        <f>"LogoMasters"</f>
        <v>LogoMasters</v>
      </c>
      <c r="N525" s="40" t="str">
        <f>""</f>
        <v/>
      </c>
      <c r="O525" s="41">
        <v>1200</v>
      </c>
      <c r="P525" s="41">
        <v>0</v>
      </c>
      <c r="Q525" s="41">
        <v>0</v>
      </c>
      <c r="R525" s="41">
        <v>0</v>
      </c>
      <c r="S525" s="41">
        <v>0</v>
      </c>
      <c r="T525" s="41">
        <v>0</v>
      </c>
      <c r="U525" s="54"/>
    </row>
    <row r="526" spans="1:21" ht="17.25" customHeight="1" x14ac:dyDescent="0.3">
      <c r="A526" s="15" t="s">
        <v>29</v>
      </c>
      <c r="C526" s="19"/>
      <c r="D526" s="33" t="str">
        <f t="shared" ref="D526:D527" si="498">D525</f>
        <v>S100019</v>
      </c>
      <c r="E526" s="33"/>
      <c r="F526" s="20"/>
      <c r="G526" s="20" t="str">
        <f>"""NAV"",""CRONUS JetCorp USA"",""32"",""1"",""30042"""</f>
        <v>"NAV","CRONUS JetCorp USA","32","1","30042"</v>
      </c>
      <c r="H526" s="39">
        <v>43471</v>
      </c>
      <c r="I526" s="40">
        <v>30042</v>
      </c>
      <c r="J526" s="40" t="str">
        <f>"Customer"</f>
        <v>Customer</v>
      </c>
      <c r="K526" s="40" t="str">
        <f>"C100012"</f>
        <v>C100012</v>
      </c>
      <c r="L526" s="40" t="str">
        <f>"Bainbridges"</f>
        <v>Bainbridges</v>
      </c>
      <c r="M526" s="40" t="str">
        <f>""</f>
        <v/>
      </c>
      <c r="N526" s="40" t="str">
        <f>""</f>
        <v/>
      </c>
      <c r="O526" s="41">
        <v>0</v>
      </c>
      <c r="P526" s="41">
        <v>-1</v>
      </c>
      <c r="Q526" s="41">
        <v>0</v>
      </c>
      <c r="R526" s="41">
        <v>0</v>
      </c>
      <c r="S526" s="41">
        <v>0</v>
      </c>
      <c r="T526" s="41">
        <v>0</v>
      </c>
      <c r="U526" s="54"/>
    </row>
    <row r="527" spans="1:21" ht="17.25" customHeight="1" x14ac:dyDescent="0.3">
      <c r="A527" s="15" t="s">
        <v>29</v>
      </c>
      <c r="C527" s="19"/>
      <c r="D527" s="33" t="str">
        <f t="shared" si="498"/>
        <v>S100019</v>
      </c>
      <c r="E527" s="33"/>
      <c r="F527" s="20"/>
      <c r="G527" s="20" t="str">
        <f>"""NAV"",""CRONUS JetCorp USA"",""32"",""1"",""30112"""</f>
        <v>"NAV","CRONUS JetCorp USA","32","1","30112"</v>
      </c>
      <c r="H527" s="39">
        <v>43475</v>
      </c>
      <c r="I527" s="40">
        <v>30112</v>
      </c>
      <c r="J527" s="40" t="str">
        <f>"Customer"</f>
        <v>Customer</v>
      </c>
      <c r="K527" s="40" t="str">
        <f>"C100012"</f>
        <v>C100012</v>
      </c>
      <c r="L527" s="40" t="str">
        <f>"Bainbridges"</f>
        <v>Bainbridges</v>
      </c>
      <c r="M527" s="40" t="str">
        <f>""</f>
        <v/>
      </c>
      <c r="N527" s="40" t="str">
        <f>""</f>
        <v/>
      </c>
      <c r="O527" s="41">
        <v>0</v>
      </c>
      <c r="P527" s="41">
        <v>-144</v>
      </c>
      <c r="Q527" s="41">
        <v>0</v>
      </c>
      <c r="R527" s="41">
        <v>0</v>
      </c>
      <c r="S527" s="41">
        <v>0</v>
      </c>
      <c r="T527" s="41">
        <v>0</v>
      </c>
      <c r="U527" s="54"/>
    </row>
    <row r="528" spans="1:21" ht="17.25" customHeight="1" x14ac:dyDescent="0.3">
      <c r="A528" s="15" t="s">
        <v>29</v>
      </c>
      <c r="C528" s="19"/>
      <c r="D528" s="33"/>
      <c r="E528" s="33"/>
      <c r="F528" s="20"/>
      <c r="G528" s="20"/>
      <c r="H528" s="20"/>
      <c r="I528" s="20"/>
      <c r="J528" s="20"/>
      <c r="K528" s="20"/>
      <c r="L528" s="20"/>
      <c r="M528" s="20"/>
      <c r="N528" s="20"/>
      <c r="O528" s="42"/>
      <c r="P528" s="42"/>
      <c r="Q528" s="42"/>
      <c r="R528" s="42"/>
      <c r="S528" s="42"/>
      <c r="T528" s="42"/>
      <c r="U528" s="55"/>
    </row>
    <row r="529" spans="1:21" ht="17.25" customHeight="1" x14ac:dyDescent="0.3">
      <c r="A529" s="15" t="s">
        <v>29</v>
      </c>
      <c r="C529" s="19"/>
      <c r="D529" s="33"/>
      <c r="E529" s="33" t="s">
        <v>30</v>
      </c>
      <c r="F529" s="20" t="s">
        <v>30</v>
      </c>
      <c r="G529" s="20" t="s">
        <v>30</v>
      </c>
      <c r="H529" s="20"/>
      <c r="I529" s="20"/>
      <c r="J529" s="20" t="s">
        <v>30</v>
      </c>
      <c r="K529" s="20" t="s">
        <v>30</v>
      </c>
      <c r="L529" s="20" t="s">
        <v>30</v>
      </c>
      <c r="M529" s="20" t="s">
        <v>30</v>
      </c>
      <c r="N529" s="20"/>
      <c r="U529" s="56"/>
    </row>
    <row r="530" spans="1:21" ht="20.25" customHeight="1" x14ac:dyDescent="0.35">
      <c r="A530" s="15" t="s">
        <v>29</v>
      </c>
      <c r="C530" s="19"/>
      <c r="D530" s="34" t="str">
        <f t="shared" ref="D530" si="499">E530</f>
        <v>S100020</v>
      </c>
      <c r="E530" s="35" t="str">
        <f>"S100020"</f>
        <v>S100020</v>
      </c>
      <c r="F530" s="36" t="str">
        <f>"Super Sport Stopwatch"</f>
        <v>Super Sport Stopwatch</v>
      </c>
      <c r="G530" s="36"/>
      <c r="H530" s="37" t="str">
        <f>"EA"</f>
        <v>EA</v>
      </c>
      <c r="I530" s="36"/>
      <c r="J530" s="36"/>
      <c r="K530" s="36"/>
      <c r="L530" s="36"/>
      <c r="M530" s="36"/>
      <c r="N530" s="36"/>
      <c r="O530" s="38">
        <f t="shared" ref="O530:T530" si="500">(SUBTOTAL(9,O531:O534))</f>
        <v>1800</v>
      </c>
      <c r="P530" s="38">
        <f t="shared" si="500"/>
        <v>-438</v>
      </c>
      <c r="Q530" s="38">
        <f t="shared" si="500"/>
        <v>0</v>
      </c>
      <c r="R530" s="38">
        <f t="shared" si="500"/>
        <v>0</v>
      </c>
      <c r="S530" s="38">
        <f t="shared" si="500"/>
        <v>0</v>
      </c>
      <c r="T530" s="38">
        <f t="shared" si="500"/>
        <v>0</v>
      </c>
      <c r="U530" s="53">
        <f t="shared" ref="U530" si="501">SUBTOTAL(9,O531:T534)</f>
        <v>1362</v>
      </c>
    </row>
    <row r="531" spans="1:21" ht="17.25" customHeight="1" x14ac:dyDescent="0.3">
      <c r="A531" s="15" t="s">
        <v>29</v>
      </c>
      <c r="C531" s="19"/>
      <c r="D531" s="33" t="str">
        <f t="shared" ref="D531" si="502">D530</f>
        <v>S100020</v>
      </c>
      <c r="E531" s="33"/>
      <c r="F531" s="20"/>
      <c r="G531" s="20" t="str">
        <f>"""NAV"",""CRONUS JetCorp USA"",""32"",""1"",""167598"""</f>
        <v>"NAV","CRONUS JetCorp USA","32","1","167598"</v>
      </c>
      <c r="H531" s="39">
        <v>43466</v>
      </c>
      <c r="I531" s="40">
        <v>167598</v>
      </c>
      <c r="J531" s="40" t="str">
        <f>"Vendor"</f>
        <v>Vendor</v>
      </c>
      <c r="K531" s="40" t="str">
        <f>"V100003"</f>
        <v>V100003</v>
      </c>
      <c r="L531" s="40" t="str">
        <f>""</f>
        <v/>
      </c>
      <c r="M531" s="40" t="str">
        <f>"LogoMasters"</f>
        <v>LogoMasters</v>
      </c>
      <c r="N531" s="40" t="str">
        <f>""</f>
        <v/>
      </c>
      <c r="O531" s="41">
        <v>1800</v>
      </c>
      <c r="P531" s="41">
        <v>0</v>
      </c>
      <c r="Q531" s="41">
        <v>0</v>
      </c>
      <c r="R531" s="41">
        <v>0</v>
      </c>
      <c r="S531" s="41">
        <v>0</v>
      </c>
      <c r="T531" s="41">
        <v>0</v>
      </c>
      <c r="U531" s="54"/>
    </row>
    <row r="532" spans="1:21" ht="17.25" customHeight="1" x14ac:dyDescent="0.3">
      <c r="A532" s="15" t="s">
        <v>29</v>
      </c>
      <c r="C532" s="19"/>
      <c r="D532" s="33" t="str">
        <f t="shared" ref="D532:D533" si="503">D531</f>
        <v>S100020</v>
      </c>
      <c r="E532" s="33"/>
      <c r="F532" s="20"/>
      <c r="G532" s="20" t="str">
        <f>"""NAV"",""CRONUS JetCorp USA"",""32"",""1"",""30038"""</f>
        <v>"NAV","CRONUS JetCorp USA","32","1","30038"</v>
      </c>
      <c r="H532" s="39">
        <v>43471</v>
      </c>
      <c r="I532" s="40">
        <v>30038</v>
      </c>
      <c r="J532" s="40" t="str">
        <f>"Customer"</f>
        <v>Customer</v>
      </c>
      <c r="K532" s="40" t="str">
        <f>"C100012"</f>
        <v>C100012</v>
      </c>
      <c r="L532" s="40" t="str">
        <f>"Bainbridges"</f>
        <v>Bainbridges</v>
      </c>
      <c r="M532" s="40" t="str">
        <f>""</f>
        <v/>
      </c>
      <c r="N532" s="40" t="str">
        <f>""</f>
        <v/>
      </c>
      <c r="O532" s="41">
        <v>0</v>
      </c>
      <c r="P532" s="41">
        <v>-150</v>
      </c>
      <c r="Q532" s="41">
        <v>0</v>
      </c>
      <c r="R532" s="41">
        <v>0</v>
      </c>
      <c r="S532" s="41">
        <v>0</v>
      </c>
      <c r="T532" s="41">
        <v>0</v>
      </c>
      <c r="U532" s="54"/>
    </row>
    <row r="533" spans="1:21" ht="17.25" customHeight="1" x14ac:dyDescent="0.3">
      <c r="A533" s="15" t="s">
        <v>29</v>
      </c>
      <c r="C533" s="19"/>
      <c r="D533" s="33" t="str">
        <f t="shared" si="503"/>
        <v>S100020</v>
      </c>
      <c r="E533" s="33"/>
      <c r="F533" s="20"/>
      <c r="G533" s="20" t="str">
        <f>"""NAV"",""CRONUS JetCorp USA"",""32"",""1"",""30113"""</f>
        <v>"NAV","CRONUS JetCorp USA","32","1","30113"</v>
      </c>
      <c r="H533" s="39">
        <v>43475</v>
      </c>
      <c r="I533" s="40">
        <v>30113</v>
      </c>
      <c r="J533" s="40" t="str">
        <f>"Customer"</f>
        <v>Customer</v>
      </c>
      <c r="K533" s="40" t="str">
        <f>"C100012"</f>
        <v>C100012</v>
      </c>
      <c r="L533" s="40" t="str">
        <f>"Bainbridges"</f>
        <v>Bainbridges</v>
      </c>
      <c r="M533" s="40" t="str">
        <f>""</f>
        <v/>
      </c>
      <c r="N533" s="40" t="str">
        <f>""</f>
        <v/>
      </c>
      <c r="O533" s="41">
        <v>0</v>
      </c>
      <c r="P533" s="41">
        <v>-288</v>
      </c>
      <c r="Q533" s="41">
        <v>0</v>
      </c>
      <c r="R533" s="41">
        <v>0</v>
      </c>
      <c r="S533" s="41">
        <v>0</v>
      </c>
      <c r="T533" s="41">
        <v>0</v>
      </c>
      <c r="U533" s="54"/>
    </row>
    <row r="534" spans="1:21" ht="17.25" customHeight="1" x14ac:dyDescent="0.3">
      <c r="A534" s="15" t="s">
        <v>29</v>
      </c>
      <c r="C534" s="19"/>
      <c r="D534" s="33"/>
      <c r="E534" s="33"/>
      <c r="F534" s="20"/>
      <c r="G534" s="20"/>
      <c r="H534" s="20"/>
      <c r="I534" s="20"/>
      <c r="J534" s="20"/>
      <c r="K534" s="20"/>
      <c r="L534" s="20"/>
      <c r="M534" s="20"/>
      <c r="N534" s="20"/>
      <c r="O534" s="42"/>
      <c r="P534" s="42"/>
      <c r="Q534" s="42"/>
      <c r="R534" s="42"/>
      <c r="S534" s="42"/>
      <c r="T534" s="42"/>
      <c r="U534" s="55"/>
    </row>
    <row r="535" spans="1:21" ht="17.25" customHeight="1" x14ac:dyDescent="0.3">
      <c r="A535" s="15" t="s">
        <v>29</v>
      </c>
      <c r="C535" s="19"/>
      <c r="D535" s="33"/>
      <c r="E535" s="33" t="s">
        <v>30</v>
      </c>
      <c r="F535" s="20" t="s">
        <v>30</v>
      </c>
      <c r="G535" s="20" t="s">
        <v>30</v>
      </c>
      <c r="H535" s="20"/>
      <c r="I535" s="20"/>
      <c r="J535" s="20" t="s">
        <v>30</v>
      </c>
      <c r="K535" s="20" t="s">
        <v>30</v>
      </c>
      <c r="L535" s="20" t="s">
        <v>30</v>
      </c>
      <c r="M535" s="20" t="s">
        <v>30</v>
      </c>
      <c r="N535" s="20"/>
      <c r="U535" s="56"/>
    </row>
    <row r="536" spans="1:21" ht="20.25" customHeight="1" x14ac:dyDescent="0.35">
      <c r="A536" s="15" t="s">
        <v>29</v>
      </c>
      <c r="C536" s="19"/>
      <c r="D536" s="34" t="str">
        <f t="shared" ref="D536" si="504">E536</f>
        <v>S100021</v>
      </c>
      <c r="E536" s="35" t="str">
        <f>"S100021"</f>
        <v>S100021</v>
      </c>
      <c r="F536" s="36" t="str">
        <f>"Translucent Stopwatch"</f>
        <v>Translucent Stopwatch</v>
      </c>
      <c r="G536" s="36"/>
      <c r="H536" s="37" t="str">
        <f>"EA"</f>
        <v>EA</v>
      </c>
      <c r="I536" s="36"/>
      <c r="J536" s="36"/>
      <c r="K536" s="36"/>
      <c r="L536" s="36"/>
      <c r="M536" s="36"/>
      <c r="N536" s="36"/>
      <c r="O536" s="38">
        <f t="shared" ref="O536:T536" si="505">(SUBTOTAL(9,O537:O539))</f>
        <v>999.99999999999989</v>
      </c>
      <c r="P536" s="38">
        <f t="shared" si="505"/>
        <v>-144</v>
      </c>
      <c r="Q536" s="38">
        <f t="shared" si="505"/>
        <v>0</v>
      </c>
      <c r="R536" s="38">
        <f t="shared" si="505"/>
        <v>0</v>
      </c>
      <c r="S536" s="38">
        <f t="shared" si="505"/>
        <v>0</v>
      </c>
      <c r="T536" s="38">
        <f t="shared" si="505"/>
        <v>0</v>
      </c>
      <c r="U536" s="53">
        <f t="shared" ref="U536" si="506">SUBTOTAL(9,O537:T539)</f>
        <v>855.99999999999989</v>
      </c>
    </row>
    <row r="537" spans="1:21" ht="17.25" customHeight="1" x14ac:dyDescent="0.3">
      <c r="A537" s="15" t="s">
        <v>29</v>
      </c>
      <c r="C537" s="19"/>
      <c r="D537" s="33" t="str">
        <f t="shared" ref="D537" si="507">D536</f>
        <v>S100021</v>
      </c>
      <c r="E537" s="33"/>
      <c r="F537" s="20"/>
      <c r="G537" s="20" t="str">
        <f>"""NAV"",""CRONUS JetCorp USA"",""32"",""1"",""167597"""</f>
        <v>"NAV","CRONUS JetCorp USA","32","1","167597"</v>
      </c>
      <c r="H537" s="39">
        <v>43466</v>
      </c>
      <c r="I537" s="40">
        <v>167597</v>
      </c>
      <c r="J537" s="40" t="str">
        <f>"Vendor"</f>
        <v>Vendor</v>
      </c>
      <c r="K537" s="40" t="str">
        <f>"V100003"</f>
        <v>V100003</v>
      </c>
      <c r="L537" s="40" t="str">
        <f>""</f>
        <v/>
      </c>
      <c r="M537" s="40" t="str">
        <f>"LogoMasters"</f>
        <v>LogoMasters</v>
      </c>
      <c r="N537" s="40" t="str">
        <f>""</f>
        <v/>
      </c>
      <c r="O537" s="41">
        <v>999.99999999999989</v>
      </c>
      <c r="P537" s="41">
        <v>0</v>
      </c>
      <c r="Q537" s="41">
        <v>0</v>
      </c>
      <c r="R537" s="41">
        <v>0</v>
      </c>
      <c r="S537" s="41">
        <v>0</v>
      </c>
      <c r="T537" s="41">
        <v>0</v>
      </c>
      <c r="U537" s="54"/>
    </row>
    <row r="538" spans="1:21" ht="17.25" customHeight="1" x14ac:dyDescent="0.3">
      <c r="A538" s="15" t="s">
        <v>29</v>
      </c>
      <c r="C538" s="19"/>
      <c r="D538" s="33" t="str">
        <f t="shared" ref="D538" si="508">D537</f>
        <v>S100021</v>
      </c>
      <c r="E538" s="33"/>
      <c r="F538" s="20"/>
      <c r="G538" s="20" t="str">
        <f>"""NAV"",""CRONUS JetCorp USA"",""32"",""1"",""30114"""</f>
        <v>"NAV","CRONUS JetCorp USA","32","1","30114"</v>
      </c>
      <c r="H538" s="39">
        <v>43475</v>
      </c>
      <c r="I538" s="40">
        <v>30114</v>
      </c>
      <c r="J538" s="40" t="str">
        <f>"Customer"</f>
        <v>Customer</v>
      </c>
      <c r="K538" s="40" t="str">
        <f>"C100012"</f>
        <v>C100012</v>
      </c>
      <c r="L538" s="40" t="str">
        <f>"Bainbridges"</f>
        <v>Bainbridges</v>
      </c>
      <c r="M538" s="40" t="str">
        <f>""</f>
        <v/>
      </c>
      <c r="N538" s="40" t="str">
        <f>""</f>
        <v/>
      </c>
      <c r="O538" s="41">
        <v>0</v>
      </c>
      <c r="P538" s="41">
        <v>-144</v>
      </c>
      <c r="Q538" s="41">
        <v>0</v>
      </c>
      <c r="R538" s="41">
        <v>0</v>
      </c>
      <c r="S538" s="41">
        <v>0</v>
      </c>
      <c r="T538" s="41">
        <v>0</v>
      </c>
      <c r="U538" s="54"/>
    </row>
    <row r="539" spans="1:21" ht="17.25" customHeight="1" x14ac:dyDescent="0.3">
      <c r="A539" s="15" t="s">
        <v>29</v>
      </c>
      <c r="C539" s="19"/>
      <c r="D539" s="33"/>
      <c r="E539" s="33"/>
      <c r="F539" s="20"/>
      <c r="G539" s="20"/>
      <c r="H539" s="20"/>
      <c r="I539" s="20"/>
      <c r="J539" s="20"/>
      <c r="K539" s="20"/>
      <c r="L539" s="20"/>
      <c r="M539" s="20"/>
      <c r="N539" s="20"/>
      <c r="O539" s="42"/>
      <c r="P539" s="42"/>
      <c r="Q539" s="42"/>
      <c r="R539" s="42"/>
      <c r="S539" s="42"/>
      <c r="T539" s="42"/>
      <c r="U539" s="55"/>
    </row>
    <row r="540" spans="1:21" ht="17.25" customHeight="1" x14ac:dyDescent="0.3">
      <c r="A540" s="15" t="s">
        <v>29</v>
      </c>
      <c r="C540" s="19"/>
      <c r="D540" s="33"/>
      <c r="E540" s="33" t="s">
        <v>30</v>
      </c>
      <c r="F540" s="20" t="s">
        <v>30</v>
      </c>
      <c r="G540" s="20" t="s">
        <v>30</v>
      </c>
      <c r="H540" s="20"/>
      <c r="I540" s="20"/>
      <c r="J540" s="20" t="s">
        <v>30</v>
      </c>
      <c r="K540" s="20" t="s">
        <v>30</v>
      </c>
      <c r="L540" s="20" t="s">
        <v>30</v>
      </c>
      <c r="M540" s="20" t="s">
        <v>30</v>
      </c>
      <c r="N540" s="20"/>
      <c r="U540" s="56"/>
    </row>
    <row r="541" spans="1:21" ht="20.25" customHeight="1" x14ac:dyDescent="0.35">
      <c r="A541" s="15" t="s">
        <v>29</v>
      </c>
      <c r="C541" s="19"/>
      <c r="D541" s="34" t="str">
        <f t="shared" ref="D541" si="509">E541</f>
        <v>S100023</v>
      </c>
      <c r="E541" s="35" t="str">
        <f>"S100023"</f>
        <v>S100023</v>
      </c>
      <c r="F541" s="36" t="str">
        <f>"Gripper SPORT BOT"</f>
        <v>Gripper SPORT BOT</v>
      </c>
      <c r="G541" s="36"/>
      <c r="H541" s="37" t="str">
        <f>"EA"</f>
        <v>EA</v>
      </c>
      <c r="I541" s="36"/>
      <c r="J541" s="36"/>
      <c r="K541" s="36"/>
      <c r="L541" s="36"/>
      <c r="M541" s="36"/>
      <c r="N541" s="36"/>
      <c r="O541" s="38">
        <f t="shared" ref="O541:T541" si="510">(SUBTOTAL(9,O542:O543))</f>
        <v>999.99999999999989</v>
      </c>
      <c r="P541" s="38">
        <f t="shared" si="510"/>
        <v>0</v>
      </c>
      <c r="Q541" s="38">
        <f t="shared" si="510"/>
        <v>0</v>
      </c>
      <c r="R541" s="38">
        <f t="shared" si="510"/>
        <v>0</v>
      </c>
      <c r="S541" s="38">
        <f t="shared" si="510"/>
        <v>0</v>
      </c>
      <c r="T541" s="38">
        <f t="shared" si="510"/>
        <v>0</v>
      </c>
      <c r="U541" s="53">
        <f t="shared" ref="U541" si="511">SUBTOTAL(9,O542:T543)</f>
        <v>999.99999999999989</v>
      </c>
    </row>
    <row r="542" spans="1:21" ht="17.25" customHeight="1" x14ac:dyDescent="0.3">
      <c r="A542" s="15" t="s">
        <v>29</v>
      </c>
      <c r="C542" s="19"/>
      <c r="D542" s="33" t="str">
        <f t="shared" ref="D542" si="512">D541</f>
        <v>S100023</v>
      </c>
      <c r="E542" s="33"/>
      <c r="F542" s="20"/>
      <c r="G542" s="20" t="str">
        <f>"""NAV"",""CRONUS JetCorp USA"",""32"",""1"",""168656"""</f>
        <v>"NAV","CRONUS JetCorp USA","32","1","168656"</v>
      </c>
      <c r="H542" s="39">
        <v>43466</v>
      </c>
      <c r="I542" s="40">
        <v>168656</v>
      </c>
      <c r="J542" s="40" t="str">
        <f>"Vendor"</f>
        <v>Vendor</v>
      </c>
      <c r="K542" s="40" t="str">
        <f>"V100003"</f>
        <v>V100003</v>
      </c>
      <c r="L542" s="40" t="str">
        <f>""</f>
        <v/>
      </c>
      <c r="M542" s="40" t="str">
        <f>"LogoMasters"</f>
        <v>LogoMasters</v>
      </c>
      <c r="N542" s="40" t="str">
        <f>""</f>
        <v/>
      </c>
      <c r="O542" s="41">
        <v>999.99999999999989</v>
      </c>
      <c r="P542" s="41">
        <v>0</v>
      </c>
      <c r="Q542" s="41">
        <v>0</v>
      </c>
      <c r="R542" s="41">
        <v>0</v>
      </c>
      <c r="S542" s="41">
        <v>0</v>
      </c>
      <c r="T542" s="41">
        <v>0</v>
      </c>
      <c r="U542" s="54"/>
    </row>
    <row r="543" spans="1:21" ht="17.25" customHeight="1" x14ac:dyDescent="0.3">
      <c r="A543" s="15" t="s">
        <v>29</v>
      </c>
      <c r="C543" s="19"/>
      <c r="D543" s="33"/>
      <c r="E543" s="33"/>
      <c r="F543" s="20"/>
      <c r="G543" s="20"/>
      <c r="H543" s="20"/>
      <c r="I543" s="20"/>
      <c r="J543" s="20"/>
      <c r="K543" s="20"/>
      <c r="L543" s="20"/>
      <c r="M543" s="20"/>
      <c r="N543" s="20"/>
      <c r="O543" s="42"/>
      <c r="P543" s="42"/>
      <c r="Q543" s="42"/>
      <c r="R543" s="42"/>
      <c r="S543" s="42"/>
      <c r="T543" s="42"/>
      <c r="U543" s="55"/>
    </row>
    <row r="544" spans="1:21" ht="17.25" customHeight="1" x14ac:dyDescent="0.3">
      <c r="A544" s="15" t="s">
        <v>29</v>
      </c>
      <c r="C544" s="19"/>
      <c r="D544" s="33"/>
      <c r="E544" s="33" t="s">
        <v>30</v>
      </c>
      <c r="F544" s="20" t="s">
        <v>30</v>
      </c>
      <c r="G544" s="20" t="s">
        <v>30</v>
      </c>
      <c r="H544" s="20"/>
      <c r="I544" s="20"/>
      <c r="J544" s="20" t="s">
        <v>30</v>
      </c>
      <c r="K544" s="20" t="s">
        <v>30</v>
      </c>
      <c r="L544" s="20" t="s">
        <v>30</v>
      </c>
      <c r="M544" s="20" t="s">
        <v>30</v>
      </c>
      <c r="N544" s="20"/>
      <c r="U544" s="56"/>
    </row>
    <row r="545" spans="1:21" ht="20.25" customHeight="1" x14ac:dyDescent="0.35">
      <c r="A545" s="15" t="s">
        <v>29</v>
      </c>
      <c r="C545" s="19"/>
      <c r="D545" s="34" t="str">
        <f t="shared" ref="D545" si="513">E545</f>
        <v>S100024</v>
      </c>
      <c r="E545" s="35" t="str">
        <f>"S100024"</f>
        <v>S100024</v>
      </c>
      <c r="F545" s="36" t="str">
        <f>"Aluminum SPORT BOT"</f>
        <v>Aluminum SPORT BOT</v>
      </c>
      <c r="G545" s="36"/>
      <c r="H545" s="37" t="str">
        <f>"EA"</f>
        <v>EA</v>
      </c>
      <c r="I545" s="36"/>
      <c r="J545" s="36"/>
      <c r="K545" s="36"/>
      <c r="L545" s="36"/>
      <c r="M545" s="36"/>
      <c r="N545" s="36"/>
      <c r="O545" s="38">
        <f t="shared" ref="O545:T545" si="514">(SUBTOTAL(9,O546:O547))</f>
        <v>999.99999999999989</v>
      </c>
      <c r="P545" s="38">
        <f t="shared" si="514"/>
        <v>0</v>
      </c>
      <c r="Q545" s="38">
        <f t="shared" si="514"/>
        <v>0</v>
      </c>
      <c r="R545" s="38">
        <f t="shared" si="514"/>
        <v>0</v>
      </c>
      <c r="S545" s="38">
        <f t="shared" si="514"/>
        <v>0</v>
      </c>
      <c r="T545" s="38">
        <f t="shared" si="514"/>
        <v>0</v>
      </c>
      <c r="U545" s="53">
        <f t="shared" ref="U545" si="515">SUBTOTAL(9,O546:T547)</f>
        <v>999.99999999999989</v>
      </c>
    </row>
    <row r="546" spans="1:21" ht="17.25" customHeight="1" x14ac:dyDescent="0.3">
      <c r="A546" s="15" t="s">
        <v>29</v>
      </c>
      <c r="C546" s="19"/>
      <c r="D546" s="33" t="str">
        <f t="shared" ref="D546" si="516">D545</f>
        <v>S100024</v>
      </c>
      <c r="E546" s="33"/>
      <c r="F546" s="20"/>
      <c r="G546" s="20" t="str">
        <f>"""NAV"",""CRONUS JetCorp USA"",""32"",""1"",""168655"""</f>
        <v>"NAV","CRONUS JetCorp USA","32","1","168655"</v>
      </c>
      <c r="H546" s="39">
        <v>43466</v>
      </c>
      <c r="I546" s="40">
        <v>168655</v>
      </c>
      <c r="J546" s="40" t="str">
        <f>"Vendor"</f>
        <v>Vendor</v>
      </c>
      <c r="K546" s="40" t="str">
        <f>"V100003"</f>
        <v>V100003</v>
      </c>
      <c r="L546" s="40" t="str">
        <f>""</f>
        <v/>
      </c>
      <c r="M546" s="40" t="str">
        <f>"LogoMasters"</f>
        <v>LogoMasters</v>
      </c>
      <c r="N546" s="40" t="str">
        <f>""</f>
        <v/>
      </c>
      <c r="O546" s="41">
        <v>999.99999999999989</v>
      </c>
      <c r="P546" s="41">
        <v>0</v>
      </c>
      <c r="Q546" s="41">
        <v>0</v>
      </c>
      <c r="R546" s="41">
        <v>0</v>
      </c>
      <c r="S546" s="41">
        <v>0</v>
      </c>
      <c r="T546" s="41">
        <v>0</v>
      </c>
      <c r="U546" s="54"/>
    </row>
    <row r="547" spans="1:21" ht="17.25" customHeight="1" x14ac:dyDescent="0.3">
      <c r="A547" s="15" t="s">
        <v>29</v>
      </c>
      <c r="C547" s="19"/>
      <c r="D547" s="33"/>
      <c r="E547" s="33"/>
      <c r="F547" s="20"/>
      <c r="G547" s="20"/>
      <c r="H547" s="20"/>
      <c r="I547" s="20"/>
      <c r="J547" s="20"/>
      <c r="K547" s="20"/>
      <c r="L547" s="20"/>
      <c r="M547" s="20"/>
      <c r="N547" s="20"/>
      <c r="O547" s="42"/>
      <c r="P547" s="42"/>
      <c r="Q547" s="42"/>
      <c r="R547" s="42"/>
      <c r="S547" s="42"/>
      <c r="T547" s="42"/>
      <c r="U547" s="55"/>
    </row>
    <row r="548" spans="1:21" ht="17.25" customHeight="1" x14ac:dyDescent="0.3">
      <c r="A548" s="15" t="s">
        <v>29</v>
      </c>
      <c r="C548" s="19"/>
      <c r="D548" s="33"/>
      <c r="E548" s="33" t="s">
        <v>30</v>
      </c>
      <c r="F548" s="20" t="s">
        <v>30</v>
      </c>
      <c r="G548" s="20" t="s">
        <v>30</v>
      </c>
      <c r="H548" s="20"/>
      <c r="I548" s="20"/>
      <c r="J548" s="20" t="s">
        <v>30</v>
      </c>
      <c r="K548" s="20" t="s">
        <v>30</v>
      </c>
      <c r="L548" s="20" t="s">
        <v>30</v>
      </c>
      <c r="M548" s="20" t="s">
        <v>30</v>
      </c>
      <c r="N548" s="20"/>
      <c r="U548" s="56"/>
    </row>
    <row r="549" spans="1:21" ht="20.25" customHeight="1" x14ac:dyDescent="0.35">
      <c r="A549" s="15" t="s">
        <v>29</v>
      </c>
      <c r="C549" s="19"/>
      <c r="D549" s="34" t="str">
        <f t="shared" ref="D549" si="517">E549</f>
        <v>S100025</v>
      </c>
      <c r="E549" s="35" t="str">
        <f>"S100025"</f>
        <v>S100025</v>
      </c>
      <c r="F549" s="36" t="str">
        <f>"SPORT BOT with Pop Lid"</f>
        <v>SPORT BOT with Pop Lid</v>
      </c>
      <c r="G549" s="36"/>
      <c r="H549" s="37" t="str">
        <f>"EA"</f>
        <v>EA</v>
      </c>
      <c r="I549" s="36"/>
      <c r="J549" s="36"/>
      <c r="K549" s="36"/>
      <c r="L549" s="36"/>
      <c r="M549" s="36"/>
      <c r="N549" s="36"/>
      <c r="O549" s="38">
        <f t="shared" ref="O549:T549" si="518">(SUBTOTAL(9,O550:O551))</f>
        <v>999.99999999999989</v>
      </c>
      <c r="P549" s="38">
        <f t="shared" si="518"/>
        <v>0</v>
      </c>
      <c r="Q549" s="38">
        <f t="shared" si="518"/>
        <v>0</v>
      </c>
      <c r="R549" s="38">
        <f t="shared" si="518"/>
        <v>0</v>
      </c>
      <c r="S549" s="38">
        <f t="shared" si="518"/>
        <v>0</v>
      </c>
      <c r="T549" s="38">
        <f t="shared" si="518"/>
        <v>0</v>
      </c>
      <c r="U549" s="53">
        <f t="shared" ref="U549" si="519">SUBTOTAL(9,O550:T551)</f>
        <v>999.99999999999989</v>
      </c>
    </row>
    <row r="550" spans="1:21" ht="17.25" customHeight="1" x14ac:dyDescent="0.3">
      <c r="A550" s="15" t="s">
        <v>29</v>
      </c>
      <c r="C550" s="19"/>
      <c r="D550" s="33" t="str">
        <f t="shared" ref="D550" si="520">D549</f>
        <v>S100025</v>
      </c>
      <c r="E550" s="33"/>
      <c r="F550" s="20"/>
      <c r="G550" s="20" t="str">
        <f>"""NAV"",""CRONUS JetCorp USA"",""32"",""1"",""168654"""</f>
        <v>"NAV","CRONUS JetCorp USA","32","1","168654"</v>
      </c>
      <c r="H550" s="39">
        <v>43466</v>
      </c>
      <c r="I550" s="40">
        <v>168654</v>
      </c>
      <c r="J550" s="40" t="str">
        <f>"Vendor"</f>
        <v>Vendor</v>
      </c>
      <c r="K550" s="40" t="str">
        <f>"V100003"</f>
        <v>V100003</v>
      </c>
      <c r="L550" s="40" t="str">
        <f>""</f>
        <v/>
      </c>
      <c r="M550" s="40" t="str">
        <f>"LogoMasters"</f>
        <v>LogoMasters</v>
      </c>
      <c r="N550" s="40" t="str">
        <f>""</f>
        <v/>
      </c>
      <c r="O550" s="41">
        <v>999.99999999999989</v>
      </c>
      <c r="P550" s="41">
        <v>0</v>
      </c>
      <c r="Q550" s="41">
        <v>0</v>
      </c>
      <c r="R550" s="41">
        <v>0</v>
      </c>
      <c r="S550" s="41">
        <v>0</v>
      </c>
      <c r="T550" s="41">
        <v>0</v>
      </c>
      <c r="U550" s="54"/>
    </row>
    <row r="551" spans="1:21" ht="17.25" customHeight="1" x14ac:dyDescent="0.3">
      <c r="A551" s="15" t="s">
        <v>29</v>
      </c>
      <c r="C551" s="19"/>
      <c r="D551" s="33"/>
      <c r="E551" s="33"/>
      <c r="F551" s="20"/>
      <c r="G551" s="20"/>
      <c r="H551" s="20"/>
      <c r="I551" s="20"/>
      <c r="J551" s="20"/>
      <c r="K551" s="20"/>
      <c r="L551" s="20"/>
      <c r="M551" s="20"/>
      <c r="N551" s="20"/>
      <c r="O551" s="42"/>
      <c r="P551" s="42"/>
      <c r="Q551" s="42"/>
      <c r="R551" s="42"/>
      <c r="S551" s="42"/>
      <c r="T551" s="42"/>
      <c r="U551" s="55"/>
    </row>
    <row r="552" spans="1:21" ht="17.25" customHeight="1" x14ac:dyDescent="0.3">
      <c r="A552" s="15" t="s">
        <v>29</v>
      </c>
      <c r="C552" s="19"/>
      <c r="D552" s="33"/>
      <c r="E552" s="33" t="s">
        <v>30</v>
      </c>
      <c r="F552" s="20" t="s">
        <v>30</v>
      </c>
      <c r="G552" s="20" t="s">
        <v>30</v>
      </c>
      <c r="H552" s="20"/>
      <c r="I552" s="20"/>
      <c r="J552" s="20" t="s">
        <v>30</v>
      </c>
      <c r="K552" s="20" t="s">
        <v>30</v>
      </c>
      <c r="L552" s="20" t="s">
        <v>30</v>
      </c>
      <c r="M552" s="20" t="s">
        <v>30</v>
      </c>
      <c r="N552" s="20"/>
      <c r="U552" s="56"/>
    </row>
    <row r="553" spans="1:21" ht="20.25" customHeight="1" x14ac:dyDescent="0.35">
      <c r="A553" s="15" t="s">
        <v>29</v>
      </c>
      <c r="C553" s="19"/>
      <c r="D553" s="34" t="str">
        <f t="shared" ref="D553" si="521">E553</f>
        <v>S100026</v>
      </c>
      <c r="E553" s="35" t="str">
        <f>"S100026"</f>
        <v>S100026</v>
      </c>
      <c r="F553" s="36" t="str">
        <f>"Wide SPORT BOT"</f>
        <v>Wide SPORT BOT</v>
      </c>
      <c r="G553" s="36"/>
      <c r="H553" s="37" t="str">
        <f>"EA"</f>
        <v>EA</v>
      </c>
      <c r="I553" s="36"/>
      <c r="J553" s="36"/>
      <c r="K553" s="36"/>
      <c r="L553" s="36"/>
      <c r="M553" s="36"/>
      <c r="N553" s="36"/>
      <c r="O553" s="38">
        <f t="shared" ref="O553:T553" si="522">(SUBTOTAL(9,O554:O555))</f>
        <v>1999.9999999999998</v>
      </c>
      <c r="P553" s="38">
        <f t="shared" si="522"/>
        <v>0</v>
      </c>
      <c r="Q553" s="38">
        <f t="shared" si="522"/>
        <v>0</v>
      </c>
      <c r="R553" s="38">
        <f t="shared" si="522"/>
        <v>0</v>
      </c>
      <c r="S553" s="38">
        <f t="shared" si="522"/>
        <v>0</v>
      </c>
      <c r="T553" s="38">
        <f t="shared" si="522"/>
        <v>0</v>
      </c>
      <c r="U553" s="53">
        <f t="shared" ref="U553" si="523">SUBTOTAL(9,O554:T555)</f>
        <v>1999.9999999999998</v>
      </c>
    </row>
    <row r="554" spans="1:21" ht="17.25" customHeight="1" x14ac:dyDescent="0.3">
      <c r="A554" s="15" t="s">
        <v>29</v>
      </c>
      <c r="C554" s="19"/>
      <c r="D554" s="33" t="str">
        <f t="shared" ref="D554" si="524">D553</f>
        <v>S100026</v>
      </c>
      <c r="E554" s="33"/>
      <c r="F554" s="20"/>
      <c r="G554" s="20" t="str">
        <f>"""NAV"",""CRONUS JetCorp USA"",""32"",""1"",""168653"""</f>
        <v>"NAV","CRONUS JetCorp USA","32","1","168653"</v>
      </c>
      <c r="H554" s="39">
        <v>43466</v>
      </c>
      <c r="I554" s="40">
        <v>168653</v>
      </c>
      <c r="J554" s="40" t="str">
        <f>"Vendor"</f>
        <v>Vendor</v>
      </c>
      <c r="K554" s="40" t="str">
        <f>"V100003"</f>
        <v>V100003</v>
      </c>
      <c r="L554" s="40" t="str">
        <f>""</f>
        <v/>
      </c>
      <c r="M554" s="40" t="str">
        <f>"LogoMasters"</f>
        <v>LogoMasters</v>
      </c>
      <c r="N554" s="40" t="str">
        <f>""</f>
        <v/>
      </c>
      <c r="O554" s="41">
        <v>1999.9999999999998</v>
      </c>
      <c r="P554" s="41">
        <v>0</v>
      </c>
      <c r="Q554" s="41">
        <v>0</v>
      </c>
      <c r="R554" s="41">
        <v>0</v>
      </c>
      <c r="S554" s="41">
        <v>0</v>
      </c>
      <c r="T554" s="41">
        <v>0</v>
      </c>
      <c r="U554" s="54"/>
    </row>
    <row r="555" spans="1:21" ht="17.25" customHeight="1" x14ac:dyDescent="0.3">
      <c r="A555" s="15" t="s">
        <v>29</v>
      </c>
      <c r="C555" s="19"/>
      <c r="D555" s="33"/>
      <c r="E555" s="33"/>
      <c r="F555" s="20"/>
      <c r="G555" s="20"/>
      <c r="H555" s="20"/>
      <c r="I555" s="20"/>
      <c r="J555" s="20"/>
      <c r="K555" s="20"/>
      <c r="L555" s="20"/>
      <c r="M555" s="20"/>
      <c r="N555" s="20"/>
      <c r="O555" s="42"/>
      <c r="P555" s="42"/>
      <c r="Q555" s="42"/>
      <c r="R555" s="42"/>
      <c r="S555" s="42"/>
      <c r="T555" s="42"/>
      <c r="U555" s="55"/>
    </row>
    <row r="556" spans="1:21" ht="17.25" customHeight="1" x14ac:dyDescent="0.3">
      <c r="A556" s="15" t="s">
        <v>29</v>
      </c>
      <c r="C556" s="19"/>
      <c r="D556" s="33"/>
      <c r="E556" s="33" t="s">
        <v>30</v>
      </c>
      <c r="F556" s="20" t="s">
        <v>30</v>
      </c>
      <c r="G556" s="20" t="s">
        <v>30</v>
      </c>
      <c r="H556" s="20"/>
      <c r="I556" s="20"/>
      <c r="J556" s="20" t="s">
        <v>30</v>
      </c>
      <c r="K556" s="20" t="s">
        <v>30</v>
      </c>
      <c r="L556" s="20" t="s">
        <v>30</v>
      </c>
      <c r="M556" s="20" t="s">
        <v>30</v>
      </c>
      <c r="N556" s="20"/>
      <c r="U556" s="56"/>
    </row>
    <row r="557" spans="1:21" ht="20.25" customHeight="1" x14ac:dyDescent="0.35">
      <c r="A557" s="15" t="s">
        <v>29</v>
      </c>
      <c r="C557" s="19"/>
      <c r="D557" s="34" t="str">
        <f t="shared" ref="D557" si="525">E557</f>
        <v>S200005</v>
      </c>
      <c r="E557" s="35" t="str">
        <f>"S200005"</f>
        <v>S200005</v>
      </c>
      <c r="F557" s="36" t="str">
        <f>"4.75"" Spelling B Trophy"</f>
        <v>4.75" Spelling B Trophy</v>
      </c>
      <c r="G557" s="36"/>
      <c r="H557" s="37" t="str">
        <f>"EA"</f>
        <v>EA</v>
      </c>
      <c r="I557" s="36"/>
      <c r="J557" s="36"/>
      <c r="K557" s="36"/>
      <c r="L557" s="36"/>
      <c r="M557" s="36"/>
      <c r="N557" s="36"/>
      <c r="O557" s="38">
        <f t="shared" ref="O557:T557" si="526">(SUBTOTAL(9,O558:O559))</f>
        <v>249.99999999999997</v>
      </c>
      <c r="P557" s="38">
        <f t="shared" si="526"/>
        <v>0</v>
      </c>
      <c r="Q557" s="38">
        <f t="shared" si="526"/>
        <v>0</v>
      </c>
      <c r="R557" s="38">
        <f t="shared" si="526"/>
        <v>0</v>
      </c>
      <c r="S557" s="38">
        <f t="shared" si="526"/>
        <v>0</v>
      </c>
      <c r="T557" s="38">
        <f t="shared" si="526"/>
        <v>0</v>
      </c>
      <c r="U557" s="53">
        <f t="shared" ref="U557" si="527">SUBTOTAL(9,O558:T559)</f>
        <v>249.99999999999997</v>
      </c>
    </row>
    <row r="558" spans="1:21" ht="17.25" customHeight="1" x14ac:dyDescent="0.3">
      <c r="A558" s="15" t="s">
        <v>29</v>
      </c>
      <c r="C558" s="19"/>
      <c r="D558" s="33" t="str">
        <f t="shared" ref="D558" si="528">D557</f>
        <v>S200005</v>
      </c>
      <c r="E558" s="33"/>
      <c r="F558" s="20"/>
      <c r="G558" s="20" t="str">
        <f>"""NAV"",""CRONUS JetCorp USA"",""32"",""1"",""169246"""</f>
        <v>"NAV","CRONUS JetCorp USA","32","1","169246"</v>
      </c>
      <c r="H558" s="39">
        <v>43466</v>
      </c>
      <c r="I558" s="40">
        <v>169246</v>
      </c>
      <c r="J558" s="40" t="str">
        <f>"Vendor"</f>
        <v>Vendor</v>
      </c>
      <c r="K558" s="40" t="str">
        <f>"V100003"</f>
        <v>V100003</v>
      </c>
      <c r="L558" s="40" t="str">
        <f>""</f>
        <v/>
      </c>
      <c r="M558" s="40" t="str">
        <f>"LogoMasters"</f>
        <v>LogoMasters</v>
      </c>
      <c r="N558" s="40" t="str">
        <f>""</f>
        <v/>
      </c>
      <c r="O558" s="41">
        <v>249.99999999999997</v>
      </c>
      <c r="P558" s="41">
        <v>0</v>
      </c>
      <c r="Q558" s="41">
        <v>0</v>
      </c>
      <c r="R558" s="41">
        <v>0</v>
      </c>
      <c r="S558" s="41">
        <v>0</v>
      </c>
      <c r="T558" s="41">
        <v>0</v>
      </c>
      <c r="U558" s="54"/>
    </row>
    <row r="559" spans="1:21" ht="17.25" customHeight="1" x14ac:dyDescent="0.3">
      <c r="A559" s="15" t="s">
        <v>29</v>
      </c>
      <c r="C559" s="19"/>
      <c r="D559" s="33"/>
      <c r="E559" s="33"/>
      <c r="F559" s="20"/>
      <c r="G559" s="20"/>
      <c r="H559" s="20"/>
      <c r="I559" s="20"/>
      <c r="J559" s="20"/>
      <c r="K559" s="20"/>
      <c r="L559" s="20"/>
      <c r="M559" s="20"/>
      <c r="N559" s="20"/>
      <c r="O559" s="42"/>
      <c r="P559" s="42"/>
      <c r="Q559" s="42"/>
      <c r="R559" s="42"/>
      <c r="S559" s="42"/>
      <c r="T559" s="42"/>
      <c r="U559" s="55"/>
    </row>
    <row r="560" spans="1:21" ht="17.25" customHeight="1" x14ac:dyDescent="0.3">
      <c r="A560" s="15" t="s">
        <v>29</v>
      </c>
      <c r="C560" s="19"/>
      <c r="D560" s="33"/>
      <c r="E560" s="33" t="s">
        <v>30</v>
      </c>
      <c r="F560" s="20" t="s">
        <v>30</v>
      </c>
      <c r="G560" s="20" t="s">
        <v>30</v>
      </c>
      <c r="H560" s="20"/>
      <c r="I560" s="20"/>
      <c r="J560" s="20" t="s">
        <v>30</v>
      </c>
      <c r="K560" s="20" t="s">
        <v>30</v>
      </c>
      <c r="L560" s="20" t="s">
        <v>30</v>
      </c>
      <c r="M560" s="20" t="s">
        <v>30</v>
      </c>
      <c r="N560" s="20"/>
      <c r="U560" s="56"/>
    </row>
    <row r="561" spans="1:21" ht="20.25" customHeight="1" x14ac:dyDescent="0.35">
      <c r="A561" s="15" t="s">
        <v>29</v>
      </c>
      <c r="C561" s="19"/>
      <c r="D561" s="34" t="str">
        <f t="shared" ref="D561" si="529">E561</f>
        <v>S200013</v>
      </c>
      <c r="E561" s="35" t="str">
        <f>"S200013"</f>
        <v>S200013</v>
      </c>
      <c r="F561" s="36" t="str">
        <f>"10.75"" Star Riser Soccer Trophy"</f>
        <v>10.75" Star Riser Soccer Trophy</v>
      </c>
      <c r="G561" s="36"/>
      <c r="H561" s="37" t="str">
        <f>"EA"</f>
        <v>EA</v>
      </c>
      <c r="I561" s="36"/>
      <c r="J561" s="36"/>
      <c r="K561" s="36"/>
      <c r="L561" s="36"/>
      <c r="M561" s="36"/>
      <c r="N561" s="36"/>
      <c r="O561" s="38">
        <f t="shared" ref="O561:T561" si="530">(SUBTOTAL(9,O562:O563))</f>
        <v>249.99999999999997</v>
      </c>
      <c r="P561" s="38">
        <f t="shared" si="530"/>
        <v>0</v>
      </c>
      <c r="Q561" s="38">
        <f t="shared" si="530"/>
        <v>0</v>
      </c>
      <c r="R561" s="38">
        <f t="shared" si="530"/>
        <v>0</v>
      </c>
      <c r="S561" s="38">
        <f t="shared" si="530"/>
        <v>0</v>
      </c>
      <c r="T561" s="38">
        <f t="shared" si="530"/>
        <v>0</v>
      </c>
      <c r="U561" s="53">
        <f t="shared" ref="U561" si="531">SUBTOTAL(9,O562:T563)</f>
        <v>249.99999999999997</v>
      </c>
    </row>
    <row r="562" spans="1:21" ht="17.25" customHeight="1" x14ac:dyDescent="0.3">
      <c r="A562" s="15" t="s">
        <v>29</v>
      </c>
      <c r="C562" s="19"/>
      <c r="D562" s="33" t="str">
        <f t="shared" ref="D562" si="532">D561</f>
        <v>S200013</v>
      </c>
      <c r="E562" s="33"/>
      <c r="F562" s="20"/>
      <c r="G562" s="20" t="str">
        <f>"""NAV"",""CRONUS JetCorp USA"",""32"",""1"",""169245"""</f>
        <v>"NAV","CRONUS JetCorp USA","32","1","169245"</v>
      </c>
      <c r="H562" s="39">
        <v>43466</v>
      </c>
      <c r="I562" s="40">
        <v>169245</v>
      </c>
      <c r="J562" s="40" t="str">
        <f>"Vendor"</f>
        <v>Vendor</v>
      </c>
      <c r="K562" s="40" t="str">
        <f>"V100003"</f>
        <v>V100003</v>
      </c>
      <c r="L562" s="40" t="str">
        <f>""</f>
        <v/>
      </c>
      <c r="M562" s="40" t="str">
        <f>"LogoMasters"</f>
        <v>LogoMasters</v>
      </c>
      <c r="N562" s="40" t="str">
        <f>""</f>
        <v/>
      </c>
      <c r="O562" s="41">
        <v>249.99999999999997</v>
      </c>
      <c r="P562" s="41">
        <v>0</v>
      </c>
      <c r="Q562" s="41">
        <v>0</v>
      </c>
      <c r="R562" s="41">
        <v>0</v>
      </c>
      <c r="S562" s="41">
        <v>0</v>
      </c>
      <c r="T562" s="41">
        <v>0</v>
      </c>
      <c r="U562" s="54"/>
    </row>
    <row r="563" spans="1:21" ht="17.25" customHeight="1" x14ac:dyDescent="0.3">
      <c r="A563" s="15" t="s">
        <v>29</v>
      </c>
      <c r="C563" s="19"/>
      <c r="D563" s="33"/>
      <c r="E563" s="33"/>
      <c r="F563" s="20"/>
      <c r="G563" s="20"/>
      <c r="H563" s="20"/>
      <c r="I563" s="20"/>
      <c r="J563" s="20"/>
      <c r="K563" s="20"/>
      <c r="L563" s="20"/>
      <c r="M563" s="20"/>
      <c r="N563" s="20"/>
      <c r="O563" s="42"/>
      <c r="P563" s="42"/>
      <c r="Q563" s="42"/>
      <c r="R563" s="42"/>
      <c r="S563" s="42"/>
      <c r="T563" s="42"/>
      <c r="U563" s="55"/>
    </row>
    <row r="564" spans="1:21" ht="17.25" customHeight="1" x14ac:dyDescent="0.3">
      <c r="A564" s="15" t="s">
        <v>29</v>
      </c>
      <c r="C564" s="19"/>
      <c r="D564" s="33"/>
      <c r="E564" s="33" t="s">
        <v>30</v>
      </c>
      <c r="F564" s="20" t="s">
        <v>30</v>
      </c>
      <c r="G564" s="20" t="s">
        <v>30</v>
      </c>
      <c r="H564" s="20"/>
      <c r="I564" s="20"/>
      <c r="J564" s="20" t="s">
        <v>30</v>
      </c>
      <c r="K564" s="20" t="s">
        <v>30</v>
      </c>
      <c r="L564" s="20" t="s">
        <v>30</v>
      </c>
      <c r="M564" s="20" t="s">
        <v>30</v>
      </c>
      <c r="N564" s="20"/>
      <c r="U564" s="56"/>
    </row>
    <row r="565" spans="1:21" ht="20.25" customHeight="1" x14ac:dyDescent="0.35">
      <c r="A565" s="15" t="s">
        <v>29</v>
      </c>
      <c r="C565" s="19"/>
      <c r="D565" s="34" t="str">
        <f t="shared" ref="D565" si="533">E565</f>
        <v>S200016</v>
      </c>
      <c r="E565" s="35" t="str">
        <f>"S200016"</f>
        <v>S200016</v>
      </c>
      <c r="F565" s="36" t="str">
        <f>"10.75"" Star Riser Volleyball Trophy"</f>
        <v>10.75" Star Riser Volleyball Trophy</v>
      </c>
      <c r="G565" s="36"/>
      <c r="H565" s="37" t="str">
        <f>"EA"</f>
        <v>EA</v>
      </c>
      <c r="I565" s="36"/>
      <c r="J565" s="36"/>
      <c r="K565" s="36"/>
      <c r="L565" s="36"/>
      <c r="M565" s="36"/>
      <c r="N565" s="36"/>
      <c r="O565" s="38">
        <f t="shared" ref="O565:T565" si="534">(SUBTOTAL(9,O566:O567))</f>
        <v>499.99999999999994</v>
      </c>
      <c r="P565" s="38">
        <f t="shared" si="534"/>
        <v>0</v>
      </c>
      <c r="Q565" s="38">
        <f t="shared" si="534"/>
        <v>0</v>
      </c>
      <c r="R565" s="38">
        <f t="shared" si="534"/>
        <v>0</v>
      </c>
      <c r="S565" s="38">
        <f t="shared" si="534"/>
        <v>0</v>
      </c>
      <c r="T565" s="38">
        <f t="shared" si="534"/>
        <v>0</v>
      </c>
      <c r="U565" s="53">
        <f t="shared" ref="U565" si="535">SUBTOTAL(9,O566:T567)</f>
        <v>499.99999999999994</v>
      </c>
    </row>
    <row r="566" spans="1:21" ht="17.25" customHeight="1" x14ac:dyDescent="0.3">
      <c r="A566" s="15" t="s">
        <v>29</v>
      </c>
      <c r="C566" s="19"/>
      <c r="D566" s="33" t="str">
        <f t="shared" ref="D566" si="536">D565</f>
        <v>S200016</v>
      </c>
      <c r="E566" s="33"/>
      <c r="F566" s="20"/>
      <c r="G566" s="20" t="str">
        <f>"""NAV"",""CRONUS JetCorp USA"",""32"",""1"",""169244"""</f>
        <v>"NAV","CRONUS JetCorp USA","32","1","169244"</v>
      </c>
      <c r="H566" s="39">
        <v>43466</v>
      </c>
      <c r="I566" s="40">
        <v>169244</v>
      </c>
      <c r="J566" s="40" t="str">
        <f>"Vendor"</f>
        <v>Vendor</v>
      </c>
      <c r="K566" s="40" t="str">
        <f>"V100003"</f>
        <v>V100003</v>
      </c>
      <c r="L566" s="40" t="str">
        <f>""</f>
        <v/>
      </c>
      <c r="M566" s="40" t="str">
        <f>"LogoMasters"</f>
        <v>LogoMasters</v>
      </c>
      <c r="N566" s="40" t="str">
        <f>""</f>
        <v/>
      </c>
      <c r="O566" s="41">
        <v>499.99999999999994</v>
      </c>
      <c r="P566" s="41">
        <v>0</v>
      </c>
      <c r="Q566" s="41">
        <v>0</v>
      </c>
      <c r="R566" s="41">
        <v>0</v>
      </c>
      <c r="S566" s="41">
        <v>0</v>
      </c>
      <c r="T566" s="41">
        <v>0</v>
      </c>
      <c r="U566" s="54"/>
    </row>
    <row r="567" spans="1:21" ht="17.25" customHeight="1" x14ac:dyDescent="0.3">
      <c r="A567" s="15" t="s">
        <v>29</v>
      </c>
      <c r="C567" s="19"/>
      <c r="D567" s="33"/>
      <c r="E567" s="33"/>
      <c r="F567" s="20"/>
      <c r="G567" s="20"/>
      <c r="H567" s="20"/>
      <c r="I567" s="20"/>
      <c r="J567" s="20"/>
      <c r="K567" s="20"/>
      <c r="L567" s="20"/>
      <c r="M567" s="20"/>
      <c r="N567" s="20"/>
      <c r="O567" s="42"/>
      <c r="P567" s="42"/>
      <c r="Q567" s="42"/>
      <c r="R567" s="42"/>
      <c r="S567" s="42"/>
      <c r="T567" s="42"/>
      <c r="U567" s="55"/>
    </row>
    <row r="568" spans="1:21" ht="17.25" customHeight="1" x14ac:dyDescent="0.3">
      <c r="A568" s="15" t="s">
        <v>29</v>
      </c>
      <c r="C568" s="19"/>
      <c r="D568" s="33"/>
      <c r="E568" s="33" t="s">
        <v>30</v>
      </c>
      <c r="F568" s="20" t="s">
        <v>30</v>
      </c>
      <c r="G568" s="20" t="s">
        <v>30</v>
      </c>
      <c r="H568" s="20"/>
      <c r="I568" s="20"/>
      <c r="J568" s="20" t="s">
        <v>30</v>
      </c>
      <c r="K568" s="20" t="s">
        <v>30</v>
      </c>
      <c r="L568" s="20" t="s">
        <v>30</v>
      </c>
      <c r="M568" s="20" t="s">
        <v>30</v>
      </c>
      <c r="N568" s="20"/>
      <c r="U568" s="56"/>
    </row>
    <row r="569" spans="1:21" ht="20.25" customHeight="1" x14ac:dyDescent="0.35">
      <c r="A569" s="15" t="s">
        <v>29</v>
      </c>
      <c r="C569" s="19"/>
      <c r="D569" s="34" t="str">
        <f t="shared" ref="D569" si="537">E569</f>
        <v>S200019</v>
      </c>
      <c r="E569" s="35" t="str">
        <f>"S200019"</f>
        <v>S200019</v>
      </c>
      <c r="F569" s="36" t="str">
        <f>"10.75"" Tourch Riser Apple Trophy"</f>
        <v>10.75" Tourch Riser Apple Trophy</v>
      </c>
      <c r="G569" s="36"/>
      <c r="H569" s="37" t="str">
        <f>"EA"</f>
        <v>EA</v>
      </c>
      <c r="I569" s="36"/>
      <c r="J569" s="36"/>
      <c r="K569" s="36"/>
      <c r="L569" s="36"/>
      <c r="M569" s="36"/>
      <c r="N569" s="36"/>
      <c r="O569" s="38">
        <f t="shared" ref="O569:T569" si="538">(SUBTOTAL(9,O570:O571))</f>
        <v>499.99999999999994</v>
      </c>
      <c r="P569" s="38">
        <f t="shared" si="538"/>
        <v>0</v>
      </c>
      <c r="Q569" s="38">
        <f t="shared" si="538"/>
        <v>0</v>
      </c>
      <c r="R569" s="38">
        <f t="shared" si="538"/>
        <v>0</v>
      </c>
      <c r="S569" s="38">
        <f t="shared" si="538"/>
        <v>0</v>
      </c>
      <c r="T569" s="38">
        <f t="shared" si="538"/>
        <v>0</v>
      </c>
      <c r="U569" s="53">
        <f t="shared" ref="U569" si="539">SUBTOTAL(9,O570:T571)</f>
        <v>499.99999999999994</v>
      </c>
    </row>
    <row r="570" spans="1:21" ht="17.25" customHeight="1" x14ac:dyDescent="0.3">
      <c r="A570" s="15" t="s">
        <v>29</v>
      </c>
      <c r="C570" s="19"/>
      <c r="D570" s="33" t="str">
        <f t="shared" ref="D570" si="540">D569</f>
        <v>S200019</v>
      </c>
      <c r="E570" s="33"/>
      <c r="F570" s="20"/>
      <c r="G570" s="20" t="str">
        <f>"""NAV"",""CRONUS JetCorp USA"",""32"",""1"",""169243"""</f>
        <v>"NAV","CRONUS JetCorp USA","32","1","169243"</v>
      </c>
      <c r="H570" s="39">
        <v>43466</v>
      </c>
      <c r="I570" s="40">
        <v>169243</v>
      </c>
      <c r="J570" s="40" t="str">
        <f>"Vendor"</f>
        <v>Vendor</v>
      </c>
      <c r="K570" s="40" t="str">
        <f>"V100003"</f>
        <v>V100003</v>
      </c>
      <c r="L570" s="40" t="str">
        <f>""</f>
        <v/>
      </c>
      <c r="M570" s="40" t="str">
        <f>"LogoMasters"</f>
        <v>LogoMasters</v>
      </c>
      <c r="N570" s="40" t="str">
        <f>""</f>
        <v/>
      </c>
      <c r="O570" s="41">
        <v>499.99999999999994</v>
      </c>
      <c r="P570" s="41">
        <v>0</v>
      </c>
      <c r="Q570" s="41">
        <v>0</v>
      </c>
      <c r="R570" s="41">
        <v>0</v>
      </c>
      <c r="S570" s="41">
        <v>0</v>
      </c>
      <c r="T570" s="41">
        <v>0</v>
      </c>
      <c r="U570" s="54"/>
    </row>
    <row r="571" spans="1:21" ht="17.25" customHeight="1" x14ac:dyDescent="0.3">
      <c r="A571" s="15" t="s">
        <v>29</v>
      </c>
      <c r="C571" s="19"/>
      <c r="D571" s="33"/>
      <c r="E571" s="33"/>
      <c r="F571" s="20"/>
      <c r="G571" s="20"/>
      <c r="H571" s="20"/>
      <c r="I571" s="20"/>
      <c r="J571" s="20"/>
      <c r="K571" s="20"/>
      <c r="L571" s="20"/>
      <c r="M571" s="20"/>
      <c r="N571" s="20"/>
      <c r="O571" s="42"/>
      <c r="P571" s="42"/>
      <c r="Q571" s="42"/>
      <c r="R571" s="42"/>
      <c r="S571" s="42"/>
      <c r="T571" s="42"/>
      <c r="U571" s="55"/>
    </row>
    <row r="572" spans="1:21" ht="17.25" customHeight="1" x14ac:dyDescent="0.3">
      <c r="A572" s="15" t="s">
        <v>29</v>
      </c>
      <c r="C572" s="19"/>
      <c r="D572" s="33"/>
      <c r="E572" s="33" t="s">
        <v>30</v>
      </c>
      <c r="F572" s="20" t="s">
        <v>30</v>
      </c>
      <c r="G572" s="20" t="s">
        <v>30</v>
      </c>
      <c r="H572" s="20"/>
      <c r="I572" s="20"/>
      <c r="J572" s="20" t="s">
        <v>30</v>
      </c>
      <c r="K572" s="20" t="s">
        <v>30</v>
      </c>
      <c r="L572" s="20" t="s">
        <v>30</v>
      </c>
      <c r="M572" s="20" t="s">
        <v>30</v>
      </c>
      <c r="N572" s="20"/>
      <c r="U572" s="56"/>
    </row>
    <row r="573" spans="1:21" ht="20.25" customHeight="1" x14ac:dyDescent="0.35">
      <c r="A573" s="15" t="s">
        <v>29</v>
      </c>
      <c r="C573" s="19"/>
      <c r="D573" s="34" t="str">
        <f t="shared" ref="D573" si="541">E573</f>
        <v>S200023</v>
      </c>
      <c r="E573" s="35" t="str">
        <f>"S200023"</f>
        <v>S200023</v>
      </c>
      <c r="F573" s="36" t="str">
        <f>"10.75"" Tourch Riser Volleyball Trophy"</f>
        <v>10.75" Tourch Riser Volleyball Trophy</v>
      </c>
      <c r="G573" s="36"/>
      <c r="H573" s="37" t="str">
        <f>"EA"</f>
        <v>EA</v>
      </c>
      <c r="I573" s="36"/>
      <c r="J573" s="36"/>
      <c r="K573" s="36"/>
      <c r="L573" s="36"/>
      <c r="M573" s="36"/>
      <c r="N573" s="36"/>
      <c r="O573" s="38">
        <f t="shared" ref="O573:T573" si="542">(SUBTOTAL(9,O574:O575))</f>
        <v>249.99999999999997</v>
      </c>
      <c r="P573" s="38">
        <f t="shared" si="542"/>
        <v>0</v>
      </c>
      <c r="Q573" s="38">
        <f t="shared" si="542"/>
        <v>0</v>
      </c>
      <c r="R573" s="38">
        <f t="shared" si="542"/>
        <v>0</v>
      </c>
      <c r="S573" s="38">
        <f t="shared" si="542"/>
        <v>0</v>
      </c>
      <c r="T573" s="38">
        <f t="shared" si="542"/>
        <v>0</v>
      </c>
      <c r="U573" s="53">
        <f t="shared" ref="U573" si="543">SUBTOTAL(9,O574:T575)</f>
        <v>249.99999999999997</v>
      </c>
    </row>
    <row r="574" spans="1:21" ht="17.25" customHeight="1" x14ac:dyDescent="0.3">
      <c r="A574" s="15" t="s">
        <v>29</v>
      </c>
      <c r="C574" s="19"/>
      <c r="D574" s="33" t="str">
        <f t="shared" ref="D574" si="544">D573</f>
        <v>S200023</v>
      </c>
      <c r="E574" s="33"/>
      <c r="F574" s="20"/>
      <c r="G574" s="20" t="str">
        <f>"""NAV"",""CRONUS JetCorp USA"",""32"",""1"",""169242"""</f>
        <v>"NAV","CRONUS JetCorp USA","32","1","169242"</v>
      </c>
      <c r="H574" s="39">
        <v>43466</v>
      </c>
      <c r="I574" s="40">
        <v>169242</v>
      </c>
      <c r="J574" s="40" t="str">
        <f>"Vendor"</f>
        <v>Vendor</v>
      </c>
      <c r="K574" s="40" t="str">
        <f>"V100003"</f>
        <v>V100003</v>
      </c>
      <c r="L574" s="40" t="str">
        <f>""</f>
        <v/>
      </c>
      <c r="M574" s="40" t="str">
        <f>"LogoMasters"</f>
        <v>LogoMasters</v>
      </c>
      <c r="N574" s="40" t="str">
        <f>""</f>
        <v/>
      </c>
      <c r="O574" s="41">
        <v>249.99999999999997</v>
      </c>
      <c r="P574" s="41">
        <v>0</v>
      </c>
      <c r="Q574" s="41">
        <v>0</v>
      </c>
      <c r="R574" s="41">
        <v>0</v>
      </c>
      <c r="S574" s="41">
        <v>0</v>
      </c>
      <c r="T574" s="41">
        <v>0</v>
      </c>
      <c r="U574" s="54"/>
    </row>
    <row r="575" spans="1:21" ht="17.25" customHeight="1" x14ac:dyDescent="0.3">
      <c r="A575" s="15" t="s">
        <v>29</v>
      </c>
      <c r="C575" s="19"/>
      <c r="D575" s="33"/>
      <c r="E575" s="33"/>
      <c r="F575" s="20"/>
      <c r="G575" s="20"/>
      <c r="H575" s="20"/>
      <c r="I575" s="20"/>
      <c r="J575" s="20"/>
      <c r="K575" s="20"/>
      <c r="L575" s="20"/>
      <c r="M575" s="20"/>
      <c r="N575" s="20"/>
      <c r="O575" s="42"/>
      <c r="P575" s="42"/>
      <c r="Q575" s="42"/>
      <c r="R575" s="42"/>
      <c r="S575" s="42"/>
      <c r="T575" s="42"/>
      <c r="U575" s="55"/>
    </row>
    <row r="576" spans="1:21" ht="17.25" customHeight="1" x14ac:dyDescent="0.3">
      <c r="A576" s="15" t="s">
        <v>29</v>
      </c>
      <c r="C576" s="19"/>
      <c r="D576" s="33"/>
      <c r="E576" s="33" t="s">
        <v>30</v>
      </c>
      <c r="F576" s="20" t="s">
        <v>30</v>
      </c>
      <c r="G576" s="20" t="s">
        <v>30</v>
      </c>
      <c r="H576" s="20"/>
      <c r="I576" s="20"/>
      <c r="J576" s="20" t="s">
        <v>30</v>
      </c>
      <c r="K576" s="20" t="s">
        <v>30</v>
      </c>
      <c r="L576" s="20" t="s">
        <v>30</v>
      </c>
      <c r="M576" s="20" t="s">
        <v>30</v>
      </c>
      <c r="N576" s="20"/>
      <c r="U576" s="56"/>
    </row>
    <row r="577" spans="1:21" ht="20.25" customHeight="1" x14ac:dyDescent="0.35">
      <c r="A577" s="15" t="s">
        <v>29</v>
      </c>
      <c r="C577" s="19"/>
      <c r="D577" s="34" t="str">
        <f t="shared" ref="D577" si="545">E577</f>
        <v>S200024</v>
      </c>
      <c r="E577" s="35" t="str">
        <f>"S200024"</f>
        <v>S200024</v>
      </c>
      <c r="F577" s="36" t="str">
        <f>"10.75"" Tourch Riser Wrestling Trophy"</f>
        <v>10.75" Tourch Riser Wrestling Trophy</v>
      </c>
      <c r="G577" s="36"/>
      <c r="H577" s="37" t="str">
        <f>"EA"</f>
        <v>EA</v>
      </c>
      <c r="I577" s="36"/>
      <c r="J577" s="36"/>
      <c r="K577" s="36"/>
      <c r="L577" s="36"/>
      <c r="M577" s="36"/>
      <c r="N577" s="36"/>
      <c r="O577" s="38">
        <f t="shared" ref="O577:T577" si="546">(SUBTOTAL(9,O578:O579))</f>
        <v>750</v>
      </c>
      <c r="P577" s="38">
        <f t="shared" si="546"/>
        <v>0</v>
      </c>
      <c r="Q577" s="38">
        <f t="shared" si="546"/>
        <v>0</v>
      </c>
      <c r="R577" s="38">
        <f t="shared" si="546"/>
        <v>0</v>
      </c>
      <c r="S577" s="38">
        <f t="shared" si="546"/>
        <v>0</v>
      </c>
      <c r="T577" s="38">
        <f t="shared" si="546"/>
        <v>0</v>
      </c>
      <c r="U577" s="53">
        <f t="shared" ref="U577" si="547">SUBTOTAL(9,O578:T579)</f>
        <v>750</v>
      </c>
    </row>
    <row r="578" spans="1:21" ht="17.25" customHeight="1" x14ac:dyDescent="0.3">
      <c r="A578" s="15" t="s">
        <v>29</v>
      </c>
      <c r="C578" s="19"/>
      <c r="D578" s="33" t="str">
        <f t="shared" ref="D578" si="548">D577</f>
        <v>S200024</v>
      </c>
      <c r="E578" s="33"/>
      <c r="F578" s="20"/>
      <c r="G578" s="20" t="str">
        <f>"""NAV"",""CRONUS JetCorp USA"",""32"",""1"",""169241"""</f>
        <v>"NAV","CRONUS JetCorp USA","32","1","169241"</v>
      </c>
      <c r="H578" s="39">
        <v>43466</v>
      </c>
      <c r="I578" s="40">
        <v>169241</v>
      </c>
      <c r="J578" s="40" t="str">
        <f>"Vendor"</f>
        <v>Vendor</v>
      </c>
      <c r="K578" s="40" t="str">
        <f>"V100003"</f>
        <v>V100003</v>
      </c>
      <c r="L578" s="40" t="str">
        <f>""</f>
        <v/>
      </c>
      <c r="M578" s="40" t="str">
        <f>"LogoMasters"</f>
        <v>LogoMasters</v>
      </c>
      <c r="N578" s="40" t="str">
        <f>""</f>
        <v/>
      </c>
      <c r="O578" s="41">
        <v>750</v>
      </c>
      <c r="P578" s="41">
        <v>0</v>
      </c>
      <c r="Q578" s="41">
        <v>0</v>
      </c>
      <c r="R578" s="41">
        <v>0</v>
      </c>
      <c r="S578" s="41">
        <v>0</v>
      </c>
      <c r="T578" s="41">
        <v>0</v>
      </c>
      <c r="U578" s="54"/>
    </row>
    <row r="579" spans="1:21" ht="17.25" customHeight="1" x14ac:dyDescent="0.3">
      <c r="A579" s="15" t="s">
        <v>29</v>
      </c>
      <c r="C579" s="19"/>
      <c r="D579" s="33"/>
      <c r="E579" s="33"/>
      <c r="F579" s="20"/>
      <c r="G579" s="20"/>
      <c r="H579" s="20"/>
      <c r="I579" s="20"/>
      <c r="J579" s="20"/>
      <c r="K579" s="20"/>
      <c r="L579" s="20"/>
      <c r="M579" s="20"/>
      <c r="N579" s="20"/>
      <c r="O579" s="42"/>
      <c r="P579" s="42"/>
      <c r="Q579" s="42"/>
      <c r="R579" s="42"/>
      <c r="S579" s="42"/>
      <c r="T579" s="42"/>
      <c r="U579" s="55"/>
    </row>
    <row r="580" spans="1:21" ht="17.25" customHeight="1" x14ac:dyDescent="0.3">
      <c r="A580" s="15" t="s">
        <v>29</v>
      </c>
      <c r="C580" s="19"/>
      <c r="D580" s="33"/>
      <c r="E580" s="33" t="s">
        <v>30</v>
      </c>
      <c r="F580" s="20" t="s">
        <v>30</v>
      </c>
      <c r="G580" s="20" t="s">
        <v>30</v>
      </c>
      <c r="H580" s="20"/>
      <c r="I580" s="20"/>
      <c r="J580" s="20" t="s">
        <v>30</v>
      </c>
      <c r="K580" s="20" t="s">
        <v>30</v>
      </c>
      <c r="L580" s="20" t="s">
        <v>30</v>
      </c>
      <c r="M580" s="20" t="s">
        <v>30</v>
      </c>
      <c r="N580" s="20"/>
      <c r="U580" s="56"/>
    </row>
    <row r="581" spans="1:21" ht="17.25" customHeight="1" x14ac:dyDescent="0.3">
      <c r="A581" s="15"/>
      <c r="C581" s="19"/>
      <c r="D581" s="33"/>
      <c r="E581" s="33"/>
      <c r="F581" s="20"/>
      <c r="G581" s="20"/>
      <c r="H581" s="20"/>
      <c r="I581" s="20"/>
      <c r="J581" s="20"/>
      <c r="K581" s="20"/>
      <c r="L581" s="20"/>
      <c r="M581" s="20"/>
      <c r="N581" s="20"/>
      <c r="O581" s="42"/>
      <c r="P581" s="42"/>
      <c r="Q581" s="42"/>
      <c r="R581" s="42"/>
      <c r="S581" s="42"/>
      <c r="T581" s="42"/>
      <c r="U581" s="55"/>
    </row>
    <row r="582" spans="1:21" ht="20.25" customHeight="1" thickBot="1" x14ac:dyDescent="0.4">
      <c r="A582" s="15"/>
      <c r="C582" s="19"/>
      <c r="D582" s="33"/>
      <c r="E582" s="33"/>
      <c r="F582" s="20"/>
      <c r="G582" s="20"/>
      <c r="H582" s="20"/>
      <c r="I582" s="20"/>
      <c r="J582" s="20"/>
      <c r="K582" s="20"/>
      <c r="L582" s="20"/>
      <c r="M582" s="20"/>
      <c r="N582" s="58" t="s">
        <v>31</v>
      </c>
      <c r="O582" s="59">
        <f t="shared" ref="O582:T582" si="549">SUBTOTAL(9,O13:O581)</f>
        <v>83550</v>
      </c>
      <c r="P582" s="59">
        <f t="shared" si="549"/>
        <v>-7561</v>
      </c>
      <c r="Q582" s="59">
        <f t="shared" si="549"/>
        <v>0</v>
      </c>
      <c r="R582" s="59">
        <f t="shared" si="549"/>
        <v>0</v>
      </c>
      <c r="S582" s="59">
        <f t="shared" si="549"/>
        <v>0</v>
      </c>
      <c r="T582" s="59">
        <f t="shared" si="549"/>
        <v>0</v>
      </c>
      <c r="U582" s="60">
        <f>SUM(U12:U581)</f>
        <v>75989</v>
      </c>
    </row>
    <row r="583" spans="1:21" ht="17.25" customHeight="1" x14ac:dyDescent="0.3">
      <c r="A583" s="15"/>
      <c r="C583" s="19"/>
      <c r="D583" s="33"/>
      <c r="E583" s="33"/>
      <c r="F583" s="20"/>
      <c r="G583" s="20"/>
      <c r="H583" s="20"/>
      <c r="I583" s="20"/>
      <c r="J583" s="20"/>
      <c r="K583" s="20"/>
      <c r="L583" s="20"/>
      <c r="M583" s="20"/>
      <c r="N583" s="20"/>
      <c r="O583" s="42"/>
      <c r="P583" s="42"/>
      <c r="Q583" s="42"/>
      <c r="R583" s="42"/>
      <c r="S583" s="42"/>
      <c r="T583" s="42"/>
      <c r="U583" s="55"/>
    </row>
    <row r="584" spans="1:21" ht="17.25" customHeight="1" x14ac:dyDescent="0.3">
      <c r="A584" s="15"/>
      <c r="C584" s="19"/>
      <c r="D584" s="43"/>
      <c r="E584" s="43"/>
      <c r="F584" s="44"/>
      <c r="G584" s="44"/>
      <c r="H584" s="44"/>
      <c r="I584" s="44"/>
      <c r="J584" s="44"/>
      <c r="K584" s="44"/>
      <c r="L584" s="44"/>
      <c r="M584" s="44"/>
      <c r="N584" s="45"/>
      <c r="O584" s="46"/>
      <c r="P584" s="46"/>
      <c r="Q584" s="46"/>
      <c r="R584" s="46"/>
      <c r="S584" s="46"/>
      <c r="T584" s="46"/>
      <c r="U584" s="57"/>
    </row>
    <row r="585" spans="1:21" ht="17.25" customHeight="1" x14ac:dyDescent="0.3">
      <c r="A585" s="15"/>
      <c r="C585" s="19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</row>
    <row r="586" spans="1:21" ht="17.25" customHeight="1" x14ac:dyDescent="0.3">
      <c r="A586" s="15"/>
      <c r="C586" s="19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</row>
    <row r="587" spans="1:21" ht="17.25" customHeight="1" x14ac:dyDescent="0.3">
      <c r="A587" s="15"/>
      <c r="C587" s="19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</row>
    <row r="588" spans="1:21" ht="17.25" customHeight="1" x14ac:dyDescent="0.3">
      <c r="A588" s="15"/>
      <c r="C588" s="19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</row>
    <row r="589" spans="1:21" ht="17.25" customHeight="1" x14ac:dyDescent="0.3">
      <c r="A589" s="15"/>
      <c r="C589" s="19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</row>
    <row r="590" spans="1:21" ht="17.25" customHeight="1" x14ac:dyDescent="0.3">
      <c r="A590" s="15"/>
      <c r="C590" s="19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</row>
    <row r="591" spans="1:21" ht="17.25" customHeight="1" x14ac:dyDescent="0.3">
      <c r="A591" s="15"/>
      <c r="C591" s="19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</row>
    <row r="592" spans="1:21" ht="17.25" customHeight="1" x14ac:dyDescent="0.3">
      <c r="A592" s="15"/>
      <c r="C592" s="19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</row>
    <row r="593" spans="1:21" ht="17.25" customHeight="1" x14ac:dyDescent="0.3">
      <c r="A593" s="15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</row>
    <row r="594" spans="1:21" ht="17.25" customHeight="1" x14ac:dyDescent="0.3">
      <c r="A594" s="15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</row>
    <row r="595" spans="1:21" ht="14.25" customHeight="1" x14ac:dyDescent="0.25">
      <c r="A595" s="15"/>
    </row>
    <row r="596" spans="1:21" ht="14.25" customHeight="1" x14ac:dyDescent="0.25">
      <c r="A596" s="15"/>
    </row>
    <row r="597" spans="1:21" ht="14.25" customHeight="1" x14ac:dyDescent="0.25">
      <c r="A597" s="15"/>
    </row>
    <row r="598" spans="1:21" ht="14.25" customHeight="1" x14ac:dyDescent="0.25">
      <c r="A598" s="15"/>
    </row>
    <row r="599" spans="1:21" ht="14.25" customHeight="1" x14ac:dyDescent="0.25">
      <c r="A599" s="15"/>
    </row>
    <row r="600" spans="1:21" ht="14.25" customHeight="1" x14ac:dyDescent="0.25">
      <c r="A600" s="15"/>
    </row>
    <row r="601" spans="1:21" ht="14.25" customHeight="1" x14ac:dyDescent="0.25">
      <c r="A601" s="15"/>
    </row>
    <row r="602" spans="1:21" ht="14.25" customHeight="1" x14ac:dyDescent="0.25">
      <c r="A602" s="15"/>
    </row>
    <row r="603" spans="1:21" ht="14.25" customHeight="1" x14ac:dyDescent="0.25">
      <c r="A603" s="15"/>
    </row>
  </sheetData>
  <mergeCells count="1">
    <mergeCell ref="E3:F3"/>
  </mergeCells>
  <pageMargins left="0.25" right="0.25" top="0.75" bottom="0.75" header="0.3" footer="0.3"/>
  <pageSetup scale="35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BD44D-0DC6-4C7C-9B72-B2ADB3CFEC17}">
  <sheetPr>
    <tabColor indexed="55"/>
    <pageSetUpPr fitToPage="1"/>
  </sheetPr>
  <dimension ref="A1:U365"/>
  <sheetViews>
    <sheetView showGridLines="0" zoomScale="75" workbookViewId="0">
      <pane ySplit="10" topLeftCell="A11" activePane="bottomLeft" state="frozen"/>
      <selection pane="bottomLeft"/>
    </sheetView>
  </sheetViews>
  <sheetFormatPr defaultRowHeight="14.25" customHeight="1" x14ac:dyDescent="0.25"/>
  <cols>
    <col min="1" max="1" width="9.140625" style="1" hidden="1" customWidth="1"/>
    <col min="2" max="3" width="2.85546875" style="1" bestFit="1" customWidth="1"/>
    <col min="4" max="4" width="11.140625" style="1" hidden="1" customWidth="1"/>
    <col min="5" max="5" width="19.5703125" style="1" bestFit="1" customWidth="1"/>
    <col min="6" max="6" width="60.7109375" style="1" bestFit="1" customWidth="1"/>
    <col min="7" max="7" width="43" style="1" hidden="1" customWidth="1"/>
    <col min="8" max="8" width="14.7109375" style="1" bestFit="1" customWidth="1"/>
    <col min="9" max="9" width="17.42578125" style="1" customWidth="1"/>
    <col min="10" max="10" width="14.42578125" style="1" bestFit="1" customWidth="1"/>
    <col min="11" max="11" width="20.85546875" style="1" bestFit="1" customWidth="1"/>
    <col min="12" max="12" width="26.28515625" style="1" bestFit="1" customWidth="1"/>
    <col min="13" max="13" width="14.5703125" style="1" bestFit="1" customWidth="1"/>
    <col min="14" max="14" width="26.7109375" style="1" customWidth="1"/>
    <col min="15" max="15" width="15" style="1" bestFit="1" customWidth="1"/>
    <col min="16" max="16" width="10.85546875" style="1" bestFit="1" customWidth="1"/>
    <col min="17" max="17" width="24.7109375" style="1" bestFit="1" customWidth="1"/>
    <col min="18" max="18" width="14.28515625" style="1" bestFit="1" customWidth="1"/>
    <col min="19" max="19" width="19.85546875" style="1" bestFit="1" customWidth="1"/>
    <col min="20" max="20" width="8.7109375" style="1" bestFit="1" customWidth="1"/>
    <col min="21" max="21" width="26" style="1" bestFit="1" customWidth="1"/>
    <col min="22" max="16384" width="9.140625" style="1"/>
  </cols>
  <sheetData>
    <row r="1" spans="1:21" ht="14.25" hidden="1" customHeight="1" x14ac:dyDescent="0.25">
      <c r="A1" s="15" t="s">
        <v>10894</v>
      </c>
      <c r="B1" s="15" t="s">
        <v>8</v>
      </c>
      <c r="C1" s="15" t="s">
        <v>8</v>
      </c>
      <c r="D1" s="15" t="s">
        <v>9</v>
      </c>
      <c r="E1" s="15" t="s">
        <v>8</v>
      </c>
      <c r="F1" s="15" t="s">
        <v>8</v>
      </c>
      <c r="G1" s="15" t="s">
        <v>9</v>
      </c>
      <c r="H1" s="15" t="s">
        <v>8</v>
      </c>
      <c r="I1" s="15"/>
      <c r="J1" s="15" t="s">
        <v>8</v>
      </c>
      <c r="K1" s="15" t="s">
        <v>8</v>
      </c>
      <c r="L1" s="15" t="s">
        <v>8</v>
      </c>
      <c r="M1" s="15" t="s">
        <v>8</v>
      </c>
      <c r="N1" s="15"/>
      <c r="O1" s="15" t="s">
        <v>8</v>
      </c>
      <c r="P1" s="15" t="s">
        <v>8</v>
      </c>
      <c r="Q1" s="15" t="s">
        <v>8</v>
      </c>
      <c r="R1" s="15" t="s">
        <v>8</v>
      </c>
      <c r="S1" s="15" t="s">
        <v>8</v>
      </c>
      <c r="T1" s="15" t="s">
        <v>8</v>
      </c>
      <c r="U1" s="15" t="s">
        <v>8</v>
      </c>
    </row>
    <row r="2" spans="1:21" ht="14.25" customHeight="1" x14ac:dyDescent="0.25">
      <c r="A2" s="15"/>
    </row>
    <row r="3" spans="1:21" ht="30.75" customHeight="1" x14ac:dyDescent="0.55000000000000004">
      <c r="A3" s="15"/>
      <c r="D3" s="16"/>
      <c r="E3" s="63" t="s">
        <v>10</v>
      </c>
      <c r="F3" s="63"/>
      <c r="G3" s="17"/>
      <c r="H3" s="17"/>
      <c r="I3" s="17"/>
      <c r="J3" s="17"/>
      <c r="K3" s="17"/>
      <c r="L3" s="17"/>
      <c r="O3" s="16"/>
    </row>
    <row r="4" spans="1:21" ht="24.95" customHeight="1" x14ac:dyDescent="0.3">
      <c r="A4" s="15"/>
      <c r="K4" s="50" t="s">
        <v>2043</v>
      </c>
      <c r="L4" s="49">
        <v>45173.575648148151</v>
      </c>
    </row>
    <row r="5" spans="1:21" ht="24.95" customHeight="1" x14ac:dyDescent="0.45">
      <c r="A5" s="15"/>
      <c r="E5" s="21" t="s">
        <v>7</v>
      </c>
      <c r="F5" s="18"/>
      <c r="K5" s="51" t="s">
        <v>5</v>
      </c>
      <c r="L5" s="48" t="str">
        <f>Options!C4</f>
        <v>1/1/2019..10/1/2019</v>
      </c>
    </row>
    <row r="6" spans="1:21" ht="24.95" customHeight="1" x14ac:dyDescent="0.45">
      <c r="A6" s="15"/>
      <c r="E6" s="21" t="str">
        <f>"NY-WHSE2"</f>
        <v>NY-WHSE2</v>
      </c>
      <c r="K6" s="51" t="s">
        <v>6</v>
      </c>
      <c r="L6" s="48" t="str">
        <f>Options!C5</f>
        <v>*</v>
      </c>
    </row>
    <row r="7" spans="1:21" ht="21" customHeight="1" x14ac:dyDescent="0.3">
      <c r="A7" s="15"/>
      <c r="C7" s="19"/>
      <c r="D7" s="19"/>
      <c r="E7" s="19"/>
      <c r="F7" s="19"/>
      <c r="G7" s="19"/>
      <c r="H7" s="20"/>
      <c r="I7" s="20"/>
      <c r="J7" s="19"/>
      <c r="K7" s="51" t="s">
        <v>11</v>
      </c>
      <c r="L7" s="48" t="str">
        <f>Options!C6</f>
        <v>NY-WHSE1..NY-WHSE3</v>
      </c>
      <c r="M7" s="19"/>
      <c r="P7" s="20"/>
      <c r="Q7" s="19"/>
      <c r="R7" s="19"/>
      <c r="S7" s="19"/>
      <c r="T7" s="19"/>
      <c r="U7" s="19"/>
    </row>
    <row r="8" spans="1:21" ht="26.25" customHeight="1" x14ac:dyDescent="0.45">
      <c r="A8" s="15"/>
      <c r="C8" s="19"/>
      <c r="D8" s="20"/>
      <c r="E8" s="21"/>
      <c r="F8" s="20"/>
      <c r="G8" s="20"/>
      <c r="H8" s="20"/>
      <c r="I8" s="20"/>
      <c r="J8" s="20"/>
      <c r="K8" s="20"/>
      <c r="L8" s="20"/>
      <c r="M8" s="22"/>
      <c r="N8" s="20"/>
      <c r="O8" s="20"/>
      <c r="P8" s="20"/>
      <c r="Q8" s="20"/>
      <c r="R8" s="20"/>
      <c r="S8" s="20"/>
      <c r="T8" s="20"/>
      <c r="U8" s="20"/>
    </row>
    <row r="9" spans="1:21" ht="20.100000000000001" customHeight="1" x14ac:dyDescent="0.35">
      <c r="A9" s="15"/>
      <c r="C9" s="19"/>
      <c r="D9" s="23"/>
      <c r="E9" s="24" t="s">
        <v>6</v>
      </c>
      <c r="F9" s="25" t="s">
        <v>14</v>
      </c>
      <c r="G9" s="25"/>
      <c r="H9" s="26" t="s">
        <v>15</v>
      </c>
      <c r="I9" s="25"/>
      <c r="J9" s="25"/>
      <c r="K9" s="25"/>
      <c r="L9" s="25"/>
      <c r="M9" s="25"/>
      <c r="N9" s="25"/>
      <c r="O9" s="26"/>
      <c r="P9" s="27"/>
      <c r="Q9" s="28"/>
      <c r="R9" s="28"/>
      <c r="S9" s="28"/>
      <c r="T9" s="28"/>
      <c r="U9" s="61"/>
    </row>
    <row r="10" spans="1:21" ht="20.100000000000001" customHeight="1" x14ac:dyDescent="0.35">
      <c r="A10" s="15"/>
      <c r="C10" s="19"/>
      <c r="D10" s="23"/>
      <c r="E10" s="24"/>
      <c r="F10" s="25"/>
      <c r="G10" s="25"/>
      <c r="H10" s="30" t="s">
        <v>16</v>
      </c>
      <c r="I10" s="30" t="s">
        <v>17</v>
      </c>
      <c r="J10" s="30" t="s">
        <v>18</v>
      </c>
      <c r="K10" s="30" t="s">
        <v>19</v>
      </c>
      <c r="L10" s="30" t="s">
        <v>20</v>
      </c>
      <c r="M10" s="30" t="s">
        <v>21</v>
      </c>
      <c r="N10" s="30" t="s">
        <v>13</v>
      </c>
      <c r="O10" s="31" t="s">
        <v>22</v>
      </c>
      <c r="P10" s="31" t="s">
        <v>23</v>
      </c>
      <c r="Q10" s="31" t="s">
        <v>24</v>
      </c>
      <c r="R10" s="31" t="s">
        <v>25</v>
      </c>
      <c r="S10" s="31" t="s">
        <v>26</v>
      </c>
      <c r="T10" s="31" t="s">
        <v>27</v>
      </c>
      <c r="U10" s="62" t="s">
        <v>28</v>
      </c>
    </row>
    <row r="11" spans="1:21" ht="17.25" customHeight="1" x14ac:dyDescent="0.3">
      <c r="A11" s="15"/>
      <c r="C11" s="19"/>
      <c r="D11" s="33"/>
      <c r="E11" s="33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52"/>
    </row>
    <row r="12" spans="1:21" ht="20.25" customHeight="1" x14ac:dyDescent="0.35">
      <c r="A12" s="15"/>
      <c r="C12" s="19"/>
      <c r="D12" s="34" t="str">
        <f>E12</f>
        <v>C100003</v>
      </c>
      <c r="E12" s="35" t="str">
        <f>"C100003"</f>
        <v>C100003</v>
      </c>
      <c r="F12" s="36" t="str">
        <f>"Cherry Finish Frame"</f>
        <v>Cherry Finish Frame</v>
      </c>
      <c r="G12" s="36"/>
      <c r="H12" s="37" t="str">
        <f>"EA"</f>
        <v>EA</v>
      </c>
      <c r="I12" s="36"/>
      <c r="J12" s="36"/>
      <c r="K12" s="36"/>
      <c r="L12" s="36"/>
      <c r="M12" s="36"/>
      <c r="N12" s="36"/>
      <c r="O12" s="38">
        <f t="shared" ref="O12:T12" si="0">(SUBTOTAL(9,O13:O14))</f>
        <v>0</v>
      </c>
      <c r="P12" s="38">
        <f t="shared" si="0"/>
        <v>-12</v>
      </c>
      <c r="Q12" s="38">
        <f t="shared" si="0"/>
        <v>0</v>
      </c>
      <c r="R12" s="38">
        <f t="shared" si="0"/>
        <v>0</v>
      </c>
      <c r="S12" s="38">
        <f t="shared" si="0"/>
        <v>0</v>
      </c>
      <c r="T12" s="38">
        <f t="shared" si="0"/>
        <v>0</v>
      </c>
      <c r="U12" s="53">
        <f>SUBTOTAL(9,O13:T14)</f>
        <v>-12</v>
      </c>
    </row>
    <row r="13" spans="1:21" ht="17.25" customHeight="1" x14ac:dyDescent="0.3">
      <c r="A13" s="15"/>
      <c r="C13" s="19"/>
      <c r="D13" s="33" t="str">
        <f>D12</f>
        <v>C100003</v>
      </c>
      <c r="E13" s="33"/>
      <c r="F13" s="20"/>
      <c r="G13" s="20" t="str">
        <f>"""NAV"",""CRONUS JetCorp USA"",""32"",""1"",""20385"""</f>
        <v>"NAV","CRONUS JetCorp USA","32","1","20385"</v>
      </c>
      <c r="H13" s="39">
        <v>43473</v>
      </c>
      <c r="I13" s="40">
        <v>20385</v>
      </c>
      <c r="J13" s="40" t="str">
        <f>"Customer"</f>
        <v>Customer</v>
      </c>
      <c r="K13" s="40" t="str">
        <f>"C100130"</f>
        <v>C100130</v>
      </c>
      <c r="L13" s="40" t="str">
        <f>"Hotspot Systems"</f>
        <v>Hotspot Systems</v>
      </c>
      <c r="M13" s="40" t="str">
        <f>""</f>
        <v/>
      </c>
      <c r="N13" s="40" t="str">
        <f>""</f>
        <v/>
      </c>
      <c r="O13" s="41">
        <v>0</v>
      </c>
      <c r="P13" s="41">
        <v>-12</v>
      </c>
      <c r="Q13" s="41">
        <v>0</v>
      </c>
      <c r="R13" s="41">
        <v>0</v>
      </c>
      <c r="S13" s="41">
        <v>0</v>
      </c>
      <c r="T13" s="41">
        <v>0</v>
      </c>
      <c r="U13" s="54"/>
    </row>
    <row r="14" spans="1:21" ht="17.25" customHeight="1" x14ac:dyDescent="0.3">
      <c r="A14" s="15"/>
      <c r="C14" s="19"/>
      <c r="D14" s="33"/>
      <c r="E14" s="33"/>
      <c r="F14" s="20"/>
      <c r="G14" s="20"/>
      <c r="H14" s="20"/>
      <c r="I14" s="20"/>
      <c r="J14" s="20"/>
      <c r="K14" s="20"/>
      <c r="L14" s="20"/>
      <c r="M14" s="20"/>
      <c r="N14" s="20"/>
      <c r="O14" s="42"/>
      <c r="P14" s="42"/>
      <c r="Q14" s="42"/>
      <c r="R14" s="42"/>
      <c r="S14" s="42"/>
      <c r="T14" s="42"/>
      <c r="U14" s="55"/>
    </row>
    <row r="15" spans="1:21" ht="17.25" customHeight="1" x14ac:dyDescent="0.3">
      <c r="A15" s="15"/>
      <c r="C15" s="19"/>
      <c r="D15" s="33"/>
      <c r="E15" s="33" t="s">
        <v>30</v>
      </c>
      <c r="F15" s="20" t="s">
        <v>30</v>
      </c>
      <c r="G15" s="20" t="s">
        <v>30</v>
      </c>
      <c r="H15" s="20"/>
      <c r="I15" s="20"/>
      <c r="J15" s="20" t="s">
        <v>30</v>
      </c>
      <c r="K15" s="20" t="s">
        <v>30</v>
      </c>
      <c r="L15" s="20" t="s">
        <v>30</v>
      </c>
      <c r="M15" s="20" t="s">
        <v>30</v>
      </c>
      <c r="N15" s="20"/>
      <c r="U15" s="56"/>
    </row>
    <row r="16" spans="1:21" ht="20.25" customHeight="1" x14ac:dyDescent="0.35">
      <c r="A16" s="15" t="s">
        <v>29</v>
      </c>
      <c r="C16" s="19"/>
      <c r="D16" s="34" t="str">
        <f t="shared" ref="D16" si="1">E16</f>
        <v>C100005</v>
      </c>
      <c r="E16" s="35" t="str">
        <f>"C100005"</f>
        <v>C100005</v>
      </c>
      <c r="F16" s="36" t="str">
        <f>"Cherry Finished Crystal Award"</f>
        <v>Cherry Finished Crystal Award</v>
      </c>
      <c r="G16" s="36"/>
      <c r="H16" s="37" t="str">
        <f>"EA"</f>
        <v>EA</v>
      </c>
      <c r="I16" s="36"/>
      <c r="J16" s="36"/>
      <c r="K16" s="36"/>
      <c r="L16" s="36"/>
      <c r="M16" s="36"/>
      <c r="N16" s="36"/>
      <c r="O16" s="38">
        <f t="shared" ref="O16:T16" si="2">(SUBTOTAL(9,O17:O19))</f>
        <v>100</v>
      </c>
      <c r="P16" s="38">
        <f t="shared" si="2"/>
        <v>-48</v>
      </c>
      <c r="Q16" s="38">
        <f t="shared" si="2"/>
        <v>0</v>
      </c>
      <c r="R16" s="38">
        <f t="shared" si="2"/>
        <v>0</v>
      </c>
      <c r="S16" s="38">
        <f t="shared" si="2"/>
        <v>0</v>
      </c>
      <c r="T16" s="38">
        <f t="shared" si="2"/>
        <v>0</v>
      </c>
      <c r="U16" s="53">
        <f t="shared" ref="U16" si="3">SUBTOTAL(9,O17:T19)</f>
        <v>52</v>
      </c>
    </row>
    <row r="17" spans="1:21" ht="17.25" customHeight="1" x14ac:dyDescent="0.3">
      <c r="A17" s="15" t="s">
        <v>29</v>
      </c>
      <c r="C17" s="19"/>
      <c r="D17" s="33" t="str">
        <f t="shared" ref="D17" si="4">D16</f>
        <v>C100005</v>
      </c>
      <c r="E17" s="33"/>
      <c r="F17" s="20"/>
      <c r="G17" s="20" t="str">
        <f>"""NAV"",""CRONUS JetCorp USA"",""32"",""1"",""166428"""</f>
        <v>"NAV","CRONUS JetCorp USA","32","1","166428"</v>
      </c>
      <c r="H17" s="39">
        <v>43466</v>
      </c>
      <c r="I17" s="40">
        <v>166428</v>
      </c>
      <c r="J17" s="40" t="str">
        <f>"Vendor"</f>
        <v>Vendor</v>
      </c>
      <c r="K17" s="40" t="str">
        <f>"V100001"</f>
        <v>V100001</v>
      </c>
      <c r="L17" s="40" t="str">
        <f>""</f>
        <v/>
      </c>
      <c r="M17" s="40" t="str">
        <f>"Greigner, Inc."</f>
        <v>Greigner, Inc.</v>
      </c>
      <c r="N17" s="40" t="str">
        <f>""</f>
        <v/>
      </c>
      <c r="O17" s="41">
        <v>100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54"/>
    </row>
    <row r="18" spans="1:21" ht="17.25" customHeight="1" x14ac:dyDescent="0.3">
      <c r="A18" s="15" t="s">
        <v>29</v>
      </c>
      <c r="C18" s="19"/>
      <c r="D18" s="33" t="str">
        <f t="shared" ref="D18" si="5">D17</f>
        <v>C100005</v>
      </c>
      <c r="E18" s="33"/>
      <c r="F18" s="20"/>
      <c r="G18" s="20" t="str">
        <f>"""NAV"",""CRONUS JetCorp USA"",""32"",""1"",""20377"""</f>
        <v>"NAV","CRONUS JetCorp USA","32","1","20377"</v>
      </c>
      <c r="H18" s="39">
        <v>43473</v>
      </c>
      <c r="I18" s="40">
        <v>20377</v>
      </c>
      <c r="J18" s="40" t="str">
        <f>"Customer"</f>
        <v>Customer</v>
      </c>
      <c r="K18" s="40" t="str">
        <f>"C100130"</f>
        <v>C100130</v>
      </c>
      <c r="L18" s="40" t="str">
        <f>"Hotspot Systems"</f>
        <v>Hotspot Systems</v>
      </c>
      <c r="M18" s="40" t="str">
        <f>""</f>
        <v/>
      </c>
      <c r="N18" s="40" t="str">
        <f>""</f>
        <v/>
      </c>
      <c r="O18" s="41">
        <v>0</v>
      </c>
      <c r="P18" s="41">
        <v>-48</v>
      </c>
      <c r="Q18" s="41">
        <v>0</v>
      </c>
      <c r="R18" s="41">
        <v>0</v>
      </c>
      <c r="S18" s="41">
        <v>0</v>
      </c>
      <c r="T18" s="41">
        <v>0</v>
      </c>
      <c r="U18" s="54"/>
    </row>
    <row r="19" spans="1:21" ht="17.25" customHeight="1" x14ac:dyDescent="0.3">
      <c r="A19" s="15" t="s">
        <v>29</v>
      </c>
      <c r="C19" s="19"/>
      <c r="D19" s="33"/>
      <c r="E19" s="33"/>
      <c r="F19" s="20"/>
      <c r="G19" s="20"/>
      <c r="H19" s="20"/>
      <c r="I19" s="20"/>
      <c r="J19" s="20"/>
      <c r="K19" s="20"/>
      <c r="L19" s="20"/>
      <c r="M19" s="20"/>
      <c r="N19" s="20"/>
      <c r="O19" s="42"/>
      <c r="P19" s="42"/>
      <c r="Q19" s="42"/>
      <c r="R19" s="42"/>
      <c r="S19" s="42"/>
      <c r="T19" s="42"/>
      <c r="U19" s="55"/>
    </row>
    <row r="20" spans="1:21" ht="17.25" customHeight="1" x14ac:dyDescent="0.3">
      <c r="A20" s="15" t="s">
        <v>29</v>
      </c>
      <c r="C20" s="19"/>
      <c r="D20" s="33"/>
      <c r="E20" s="33" t="s">
        <v>30</v>
      </c>
      <c r="F20" s="20" t="s">
        <v>30</v>
      </c>
      <c r="G20" s="20" t="s">
        <v>30</v>
      </c>
      <c r="H20" s="20"/>
      <c r="I20" s="20"/>
      <c r="J20" s="20" t="s">
        <v>30</v>
      </c>
      <c r="K20" s="20" t="s">
        <v>30</v>
      </c>
      <c r="L20" s="20" t="s">
        <v>30</v>
      </c>
      <c r="M20" s="20" t="s">
        <v>30</v>
      </c>
      <c r="N20" s="20"/>
      <c r="U20" s="56"/>
    </row>
    <row r="21" spans="1:21" ht="20.25" customHeight="1" x14ac:dyDescent="0.35">
      <c r="A21" s="15" t="s">
        <v>29</v>
      </c>
      <c r="C21" s="19"/>
      <c r="D21" s="34" t="str">
        <f t="shared" ref="D21" si="6">E21</f>
        <v>C100006</v>
      </c>
      <c r="E21" s="35" t="str">
        <f>"C100006"</f>
        <v>C100006</v>
      </c>
      <c r="F21" s="36" t="str">
        <f>"Cherry Finished Crystal Award- Large"</f>
        <v>Cherry Finished Crystal Award- Large</v>
      </c>
      <c r="G21" s="36"/>
      <c r="H21" s="37" t="str">
        <f>"EA"</f>
        <v>EA</v>
      </c>
      <c r="I21" s="36"/>
      <c r="J21" s="36"/>
      <c r="K21" s="36"/>
      <c r="L21" s="36"/>
      <c r="M21" s="36"/>
      <c r="N21" s="36"/>
      <c r="O21" s="38">
        <f t="shared" ref="O21:T21" si="7">(SUBTOTAL(9,O22:O24))</f>
        <v>100</v>
      </c>
      <c r="P21" s="38">
        <f t="shared" si="7"/>
        <v>-96</v>
      </c>
      <c r="Q21" s="38">
        <f t="shared" si="7"/>
        <v>0</v>
      </c>
      <c r="R21" s="38">
        <f t="shared" si="7"/>
        <v>0</v>
      </c>
      <c r="S21" s="38">
        <f t="shared" si="7"/>
        <v>0</v>
      </c>
      <c r="T21" s="38">
        <f t="shared" si="7"/>
        <v>0</v>
      </c>
      <c r="U21" s="53">
        <f t="shared" ref="U21" si="8">SUBTOTAL(9,O22:T24)</f>
        <v>4</v>
      </c>
    </row>
    <row r="22" spans="1:21" ht="17.25" customHeight="1" x14ac:dyDescent="0.3">
      <c r="A22" s="15" t="s">
        <v>29</v>
      </c>
      <c r="C22" s="19"/>
      <c r="D22" s="33" t="str">
        <f t="shared" ref="D22" si="9">D21</f>
        <v>C100006</v>
      </c>
      <c r="E22" s="33"/>
      <c r="F22" s="20"/>
      <c r="G22" s="20" t="str">
        <f>"""NAV"",""CRONUS JetCorp USA"",""32"",""1"",""166427"""</f>
        <v>"NAV","CRONUS JetCorp USA","32","1","166427"</v>
      </c>
      <c r="H22" s="39">
        <v>43466</v>
      </c>
      <c r="I22" s="40">
        <v>166427</v>
      </c>
      <c r="J22" s="40" t="str">
        <f>"Vendor"</f>
        <v>Vendor</v>
      </c>
      <c r="K22" s="40" t="str">
        <f>"V100001"</f>
        <v>V100001</v>
      </c>
      <c r="L22" s="40" t="str">
        <f>""</f>
        <v/>
      </c>
      <c r="M22" s="40" t="str">
        <f>"Greigner, Inc."</f>
        <v>Greigner, Inc.</v>
      </c>
      <c r="N22" s="40" t="str">
        <f>""</f>
        <v/>
      </c>
      <c r="O22" s="41">
        <v>100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54"/>
    </row>
    <row r="23" spans="1:21" ht="17.25" customHeight="1" x14ac:dyDescent="0.3">
      <c r="A23" s="15" t="s">
        <v>29</v>
      </c>
      <c r="C23" s="19"/>
      <c r="D23" s="33" t="str">
        <f t="shared" ref="D23" si="10">D22</f>
        <v>C100006</v>
      </c>
      <c r="E23" s="33"/>
      <c r="F23" s="20"/>
      <c r="G23" s="20" t="str">
        <f>"""NAV"",""CRONUS JetCorp USA"",""32"",""1"",""20408"""</f>
        <v>"NAV","CRONUS JetCorp USA","32","1","20408"</v>
      </c>
      <c r="H23" s="39">
        <v>43475</v>
      </c>
      <c r="I23" s="40">
        <v>20408</v>
      </c>
      <c r="J23" s="40" t="str">
        <f>"Customer"</f>
        <v>Customer</v>
      </c>
      <c r="K23" s="40" t="str">
        <f>"C100130"</f>
        <v>C100130</v>
      </c>
      <c r="L23" s="40" t="str">
        <f>"Hotspot Systems"</f>
        <v>Hotspot Systems</v>
      </c>
      <c r="M23" s="40" t="str">
        <f>""</f>
        <v/>
      </c>
      <c r="N23" s="40" t="str">
        <f>""</f>
        <v/>
      </c>
      <c r="O23" s="41">
        <v>0</v>
      </c>
      <c r="P23" s="41">
        <v>-96</v>
      </c>
      <c r="Q23" s="41">
        <v>0</v>
      </c>
      <c r="R23" s="41">
        <v>0</v>
      </c>
      <c r="S23" s="41">
        <v>0</v>
      </c>
      <c r="T23" s="41">
        <v>0</v>
      </c>
      <c r="U23" s="54"/>
    </row>
    <row r="24" spans="1:21" ht="17.25" customHeight="1" x14ac:dyDescent="0.3">
      <c r="A24" s="15" t="s">
        <v>29</v>
      </c>
      <c r="C24" s="19"/>
      <c r="D24" s="33"/>
      <c r="E24" s="33"/>
      <c r="F24" s="20"/>
      <c r="G24" s="20"/>
      <c r="H24" s="20"/>
      <c r="I24" s="20"/>
      <c r="J24" s="20"/>
      <c r="K24" s="20"/>
      <c r="L24" s="20"/>
      <c r="M24" s="20"/>
      <c r="N24" s="20"/>
      <c r="O24" s="42"/>
      <c r="P24" s="42"/>
      <c r="Q24" s="42"/>
      <c r="R24" s="42"/>
      <c r="S24" s="42"/>
      <c r="T24" s="42"/>
      <c r="U24" s="55"/>
    </row>
    <row r="25" spans="1:21" ht="17.25" customHeight="1" x14ac:dyDescent="0.3">
      <c r="A25" s="15" t="s">
        <v>29</v>
      </c>
      <c r="C25" s="19"/>
      <c r="D25" s="33"/>
      <c r="E25" s="33" t="s">
        <v>30</v>
      </c>
      <c r="F25" s="20" t="s">
        <v>30</v>
      </c>
      <c r="G25" s="20" t="s">
        <v>30</v>
      </c>
      <c r="H25" s="20"/>
      <c r="I25" s="20"/>
      <c r="J25" s="20" t="s">
        <v>30</v>
      </c>
      <c r="K25" s="20" t="s">
        <v>30</v>
      </c>
      <c r="L25" s="20" t="s">
        <v>30</v>
      </c>
      <c r="M25" s="20" t="s">
        <v>30</v>
      </c>
      <c r="N25" s="20"/>
      <c r="U25" s="56"/>
    </row>
    <row r="26" spans="1:21" ht="20.25" customHeight="1" x14ac:dyDescent="0.35">
      <c r="A26" s="15" t="s">
        <v>29</v>
      </c>
      <c r="C26" s="19"/>
      <c r="D26" s="34" t="str">
        <f t="shared" ref="D26" si="11">E26</f>
        <v>C100017</v>
      </c>
      <c r="E26" s="35" t="str">
        <f>"C100017"</f>
        <v>C100017</v>
      </c>
      <c r="F26" s="36" t="str">
        <f>"Wheeled Duffel"</f>
        <v>Wheeled Duffel</v>
      </c>
      <c r="G26" s="36"/>
      <c r="H26" s="37" t="str">
        <f>"EA"</f>
        <v>EA</v>
      </c>
      <c r="I26" s="36"/>
      <c r="J26" s="36"/>
      <c r="K26" s="36"/>
      <c r="L26" s="36"/>
      <c r="M26" s="36"/>
      <c r="N26" s="36"/>
      <c r="O26" s="38">
        <f t="shared" ref="O26:T26" si="12">(SUBTOTAL(9,O27:O28))</f>
        <v>0</v>
      </c>
      <c r="P26" s="38">
        <f t="shared" si="12"/>
        <v>-1</v>
      </c>
      <c r="Q26" s="38">
        <f t="shared" si="12"/>
        <v>0</v>
      </c>
      <c r="R26" s="38">
        <f t="shared" si="12"/>
        <v>0</v>
      </c>
      <c r="S26" s="38">
        <f t="shared" si="12"/>
        <v>0</v>
      </c>
      <c r="T26" s="38">
        <f t="shared" si="12"/>
        <v>0</v>
      </c>
      <c r="U26" s="53">
        <f t="shared" ref="U26" si="13">SUBTOTAL(9,O27:T28)</f>
        <v>-1</v>
      </c>
    </row>
    <row r="27" spans="1:21" ht="17.25" customHeight="1" x14ac:dyDescent="0.3">
      <c r="A27" s="15" t="s">
        <v>29</v>
      </c>
      <c r="C27" s="19"/>
      <c r="D27" s="33" t="str">
        <f t="shared" ref="D27" si="14">D26</f>
        <v>C100017</v>
      </c>
      <c r="E27" s="33"/>
      <c r="F27" s="20"/>
      <c r="G27" s="20" t="str">
        <f>"""NAV"",""CRONUS JetCorp USA"",""32"",""1"",""20411"""</f>
        <v>"NAV","CRONUS JetCorp USA","32","1","20411"</v>
      </c>
      <c r="H27" s="39">
        <v>43475</v>
      </c>
      <c r="I27" s="40">
        <v>20411</v>
      </c>
      <c r="J27" s="40" t="str">
        <f>"Customer"</f>
        <v>Customer</v>
      </c>
      <c r="K27" s="40" t="str">
        <f>"C100130"</f>
        <v>C100130</v>
      </c>
      <c r="L27" s="40" t="str">
        <f>"Hotspot Systems"</f>
        <v>Hotspot Systems</v>
      </c>
      <c r="M27" s="40" t="str">
        <f>""</f>
        <v/>
      </c>
      <c r="N27" s="40" t="str">
        <f>""</f>
        <v/>
      </c>
      <c r="O27" s="41">
        <v>0</v>
      </c>
      <c r="P27" s="41">
        <v>-1</v>
      </c>
      <c r="Q27" s="41">
        <v>0</v>
      </c>
      <c r="R27" s="41">
        <v>0</v>
      </c>
      <c r="S27" s="41">
        <v>0</v>
      </c>
      <c r="T27" s="41">
        <v>0</v>
      </c>
      <c r="U27" s="54"/>
    </row>
    <row r="28" spans="1:21" ht="17.25" customHeight="1" x14ac:dyDescent="0.3">
      <c r="A28" s="15" t="s">
        <v>29</v>
      </c>
      <c r="C28" s="19"/>
      <c r="D28" s="33"/>
      <c r="E28" s="33"/>
      <c r="F28" s="20"/>
      <c r="G28" s="20"/>
      <c r="H28" s="20"/>
      <c r="I28" s="20"/>
      <c r="J28" s="20"/>
      <c r="K28" s="20"/>
      <c r="L28" s="20"/>
      <c r="M28" s="20"/>
      <c r="N28" s="20"/>
      <c r="O28" s="42"/>
      <c r="P28" s="42"/>
      <c r="Q28" s="42"/>
      <c r="R28" s="42"/>
      <c r="S28" s="42"/>
      <c r="T28" s="42"/>
      <c r="U28" s="55"/>
    </row>
    <row r="29" spans="1:21" ht="17.25" customHeight="1" x14ac:dyDescent="0.3">
      <c r="A29" s="15" t="s">
        <v>29</v>
      </c>
      <c r="C29" s="19"/>
      <c r="D29" s="33"/>
      <c r="E29" s="33" t="s">
        <v>30</v>
      </c>
      <c r="F29" s="20" t="s">
        <v>30</v>
      </c>
      <c r="G29" s="20" t="s">
        <v>30</v>
      </c>
      <c r="H29" s="20"/>
      <c r="I29" s="20"/>
      <c r="J29" s="20" t="s">
        <v>30</v>
      </c>
      <c r="K29" s="20" t="s">
        <v>30</v>
      </c>
      <c r="L29" s="20" t="s">
        <v>30</v>
      </c>
      <c r="M29" s="20" t="s">
        <v>30</v>
      </c>
      <c r="N29" s="20"/>
      <c r="U29" s="56"/>
    </row>
    <row r="30" spans="1:21" ht="20.25" customHeight="1" x14ac:dyDescent="0.35">
      <c r="A30" s="15" t="s">
        <v>29</v>
      </c>
      <c r="C30" s="19"/>
      <c r="D30" s="34" t="str">
        <f t="shared" ref="D30" si="15">E30</f>
        <v>C100022</v>
      </c>
      <c r="E30" s="35" t="str">
        <f>"C100022"</f>
        <v>C100022</v>
      </c>
      <c r="F30" s="36" t="str">
        <f>"Two-Toned Cap"</f>
        <v>Two-Toned Cap</v>
      </c>
      <c r="G30" s="36"/>
      <c r="H30" s="37" t="str">
        <f>"EA"</f>
        <v>EA</v>
      </c>
      <c r="I30" s="36"/>
      <c r="J30" s="36"/>
      <c r="K30" s="36"/>
      <c r="L30" s="36"/>
      <c r="M30" s="36"/>
      <c r="N30" s="36"/>
      <c r="O30" s="38">
        <f t="shared" ref="O30:T30" si="16">(SUBTOTAL(9,O31:O33))</f>
        <v>400</v>
      </c>
      <c r="P30" s="38">
        <f t="shared" si="16"/>
        <v>-336</v>
      </c>
      <c r="Q30" s="38">
        <f t="shared" si="16"/>
        <v>0</v>
      </c>
      <c r="R30" s="38">
        <f t="shared" si="16"/>
        <v>0</v>
      </c>
      <c r="S30" s="38">
        <f t="shared" si="16"/>
        <v>0</v>
      </c>
      <c r="T30" s="38">
        <f t="shared" si="16"/>
        <v>0</v>
      </c>
      <c r="U30" s="53">
        <f t="shared" ref="U30" si="17">SUBTOTAL(9,O31:T33)</f>
        <v>64</v>
      </c>
    </row>
    <row r="31" spans="1:21" ht="17.25" customHeight="1" x14ac:dyDescent="0.3">
      <c r="A31" s="15" t="s">
        <v>29</v>
      </c>
      <c r="C31" s="19"/>
      <c r="D31" s="33" t="str">
        <f t="shared" ref="D31" si="18">D30</f>
        <v>C100022</v>
      </c>
      <c r="E31" s="33"/>
      <c r="F31" s="20"/>
      <c r="G31" s="20" t="str">
        <f>"""NAV"",""CRONUS JetCorp USA"",""32"",""1"",""167175"""</f>
        <v>"NAV","CRONUS JetCorp USA","32","1","167175"</v>
      </c>
      <c r="H31" s="39">
        <v>43466</v>
      </c>
      <c r="I31" s="40">
        <v>167175</v>
      </c>
      <c r="J31" s="40" t="str">
        <f>"Vendor"</f>
        <v>Vendor</v>
      </c>
      <c r="K31" s="40" t="str">
        <f>"V100001"</f>
        <v>V100001</v>
      </c>
      <c r="L31" s="40" t="str">
        <f>""</f>
        <v/>
      </c>
      <c r="M31" s="40" t="str">
        <f>"Greigner, Inc."</f>
        <v>Greigner, Inc.</v>
      </c>
      <c r="N31" s="40" t="str">
        <f>""</f>
        <v/>
      </c>
      <c r="O31" s="41">
        <v>400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54"/>
    </row>
    <row r="32" spans="1:21" ht="17.25" customHeight="1" x14ac:dyDescent="0.3">
      <c r="A32" s="15" t="s">
        <v>29</v>
      </c>
      <c r="C32" s="19"/>
      <c r="D32" s="33" t="str">
        <f t="shared" ref="D32" si="19">D31</f>
        <v>C100022</v>
      </c>
      <c r="E32" s="33"/>
      <c r="F32" s="20"/>
      <c r="G32" s="20" t="str">
        <f>"""NAV"",""CRONUS JetCorp USA"",""32"",""1"",""20382"""</f>
        <v>"NAV","CRONUS JetCorp USA","32","1","20382"</v>
      </c>
      <c r="H32" s="39">
        <v>43473</v>
      </c>
      <c r="I32" s="40">
        <v>20382</v>
      </c>
      <c r="J32" s="40" t="str">
        <f>"Customer"</f>
        <v>Customer</v>
      </c>
      <c r="K32" s="40" t="str">
        <f>"C100130"</f>
        <v>C100130</v>
      </c>
      <c r="L32" s="40" t="str">
        <f>"Hotspot Systems"</f>
        <v>Hotspot Systems</v>
      </c>
      <c r="M32" s="40" t="str">
        <f>""</f>
        <v/>
      </c>
      <c r="N32" s="40" t="str">
        <f>""</f>
        <v/>
      </c>
      <c r="O32" s="41">
        <v>0</v>
      </c>
      <c r="P32" s="41">
        <v>-336</v>
      </c>
      <c r="Q32" s="41">
        <v>0</v>
      </c>
      <c r="R32" s="41">
        <v>0</v>
      </c>
      <c r="S32" s="41">
        <v>0</v>
      </c>
      <c r="T32" s="41">
        <v>0</v>
      </c>
      <c r="U32" s="54"/>
    </row>
    <row r="33" spans="1:21" ht="17.25" customHeight="1" x14ac:dyDescent="0.3">
      <c r="A33" s="15" t="s">
        <v>29</v>
      </c>
      <c r="C33" s="19"/>
      <c r="D33" s="33"/>
      <c r="E33" s="33"/>
      <c r="F33" s="20"/>
      <c r="G33" s="20"/>
      <c r="H33" s="20"/>
      <c r="I33" s="20"/>
      <c r="J33" s="20"/>
      <c r="K33" s="20"/>
      <c r="L33" s="20"/>
      <c r="M33" s="20"/>
      <c r="N33" s="20"/>
      <c r="O33" s="42"/>
      <c r="P33" s="42"/>
      <c r="Q33" s="42"/>
      <c r="R33" s="42"/>
      <c r="S33" s="42"/>
      <c r="T33" s="42"/>
      <c r="U33" s="55"/>
    </row>
    <row r="34" spans="1:21" ht="17.25" customHeight="1" x14ac:dyDescent="0.3">
      <c r="A34" s="15" t="s">
        <v>29</v>
      </c>
      <c r="C34" s="19"/>
      <c r="D34" s="33"/>
      <c r="E34" s="33" t="s">
        <v>30</v>
      </c>
      <c r="F34" s="20" t="s">
        <v>30</v>
      </c>
      <c r="G34" s="20" t="s">
        <v>30</v>
      </c>
      <c r="H34" s="20"/>
      <c r="I34" s="20"/>
      <c r="J34" s="20" t="s">
        <v>30</v>
      </c>
      <c r="K34" s="20" t="s">
        <v>30</v>
      </c>
      <c r="L34" s="20" t="s">
        <v>30</v>
      </c>
      <c r="M34" s="20" t="s">
        <v>30</v>
      </c>
      <c r="N34" s="20"/>
      <c r="U34" s="56"/>
    </row>
    <row r="35" spans="1:21" ht="20.25" customHeight="1" x14ac:dyDescent="0.35">
      <c r="A35" s="15" t="s">
        <v>29</v>
      </c>
      <c r="C35" s="19"/>
      <c r="D35" s="34" t="str">
        <f t="shared" ref="D35" si="20">E35</f>
        <v>C100023</v>
      </c>
      <c r="E35" s="35" t="str">
        <f>"C100023"</f>
        <v>C100023</v>
      </c>
      <c r="F35" s="36" t="str">
        <f>"Two-Toned Knit Hat"</f>
        <v>Two-Toned Knit Hat</v>
      </c>
      <c r="G35" s="36"/>
      <c r="H35" s="37" t="str">
        <f>"EA"</f>
        <v>EA</v>
      </c>
      <c r="I35" s="36"/>
      <c r="J35" s="36"/>
      <c r="K35" s="36"/>
      <c r="L35" s="36"/>
      <c r="M35" s="36"/>
      <c r="N35" s="36"/>
      <c r="O35" s="38">
        <f t="shared" ref="O35:T35" si="21">(SUBTOTAL(9,O36:O39))</f>
        <v>800</v>
      </c>
      <c r="P35" s="38">
        <f t="shared" si="21"/>
        <v>-336</v>
      </c>
      <c r="Q35" s="38">
        <f t="shared" si="21"/>
        <v>0</v>
      </c>
      <c r="R35" s="38">
        <f t="shared" si="21"/>
        <v>0</v>
      </c>
      <c r="S35" s="38">
        <f t="shared" si="21"/>
        <v>0</v>
      </c>
      <c r="T35" s="38">
        <f t="shared" si="21"/>
        <v>0</v>
      </c>
      <c r="U35" s="53">
        <f t="shared" ref="U35" si="22">SUBTOTAL(9,O36:T39)</f>
        <v>464</v>
      </c>
    </row>
    <row r="36" spans="1:21" ht="17.25" customHeight="1" x14ac:dyDescent="0.3">
      <c r="A36" s="15" t="s">
        <v>29</v>
      </c>
      <c r="C36" s="19"/>
      <c r="D36" s="33" t="str">
        <f t="shared" ref="D36" si="23">D35</f>
        <v>C100023</v>
      </c>
      <c r="E36" s="33"/>
      <c r="F36" s="20"/>
      <c r="G36" s="20" t="str">
        <f>"""NAV"",""CRONUS JetCorp USA"",""32"",""1"",""167174"""</f>
        <v>"NAV","CRONUS JetCorp USA","32","1","167174"</v>
      </c>
      <c r="H36" s="39">
        <v>43466</v>
      </c>
      <c r="I36" s="40">
        <v>167174</v>
      </c>
      <c r="J36" s="40" t="str">
        <f>"Vendor"</f>
        <v>Vendor</v>
      </c>
      <c r="K36" s="40" t="str">
        <f>"V100001"</f>
        <v>V100001</v>
      </c>
      <c r="L36" s="40" t="str">
        <f>""</f>
        <v/>
      </c>
      <c r="M36" s="40" t="str">
        <f>"Greigner, Inc."</f>
        <v>Greigner, Inc.</v>
      </c>
      <c r="N36" s="40" t="str">
        <f>""</f>
        <v/>
      </c>
      <c r="O36" s="41">
        <v>800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54"/>
    </row>
    <row r="37" spans="1:21" ht="17.25" customHeight="1" x14ac:dyDescent="0.3">
      <c r="A37" s="15" t="s">
        <v>29</v>
      </c>
      <c r="C37" s="19"/>
      <c r="D37" s="33" t="str">
        <f t="shared" ref="D37:D38" si="24">D36</f>
        <v>C100023</v>
      </c>
      <c r="E37" s="33"/>
      <c r="F37" s="20"/>
      <c r="G37" s="20" t="str">
        <f>"""NAV"",""CRONUS JetCorp USA"",""32"",""1"",""20393"""</f>
        <v>"NAV","CRONUS JetCorp USA","32","1","20393"</v>
      </c>
      <c r="H37" s="39">
        <v>43473</v>
      </c>
      <c r="I37" s="40">
        <v>20393</v>
      </c>
      <c r="J37" s="40" t="str">
        <f>"Customer"</f>
        <v>Customer</v>
      </c>
      <c r="K37" s="40" t="str">
        <f>"C100130"</f>
        <v>C100130</v>
      </c>
      <c r="L37" s="40" t="str">
        <f>"Hotspot Systems"</f>
        <v>Hotspot Systems</v>
      </c>
      <c r="M37" s="40" t="str">
        <f>""</f>
        <v/>
      </c>
      <c r="N37" s="40" t="str">
        <f>""</f>
        <v/>
      </c>
      <c r="O37" s="41">
        <v>0</v>
      </c>
      <c r="P37" s="41">
        <v>-48</v>
      </c>
      <c r="Q37" s="41">
        <v>0</v>
      </c>
      <c r="R37" s="41">
        <v>0</v>
      </c>
      <c r="S37" s="41">
        <v>0</v>
      </c>
      <c r="T37" s="41">
        <v>0</v>
      </c>
      <c r="U37" s="54"/>
    </row>
    <row r="38" spans="1:21" ht="17.25" customHeight="1" x14ac:dyDescent="0.3">
      <c r="A38" s="15" t="s">
        <v>29</v>
      </c>
      <c r="C38" s="19"/>
      <c r="D38" s="33" t="str">
        <f t="shared" si="24"/>
        <v>C100023</v>
      </c>
      <c r="E38" s="33"/>
      <c r="F38" s="20"/>
      <c r="G38" s="20" t="str">
        <f>"""NAV"",""CRONUS JetCorp USA"",""32"",""1"",""64612"""</f>
        <v>"NAV","CRONUS JetCorp USA","32","1","64612"</v>
      </c>
      <c r="H38" s="39">
        <v>43475</v>
      </c>
      <c r="I38" s="40">
        <v>64612</v>
      </c>
      <c r="J38" s="40" t="str">
        <f>"Customer"</f>
        <v>Customer</v>
      </c>
      <c r="K38" s="40" t="str">
        <f>"C100136"</f>
        <v>C100136</v>
      </c>
      <c r="L38" s="40" t="str">
        <f>"First Bank"</f>
        <v>First Bank</v>
      </c>
      <c r="M38" s="40" t="str">
        <f>""</f>
        <v/>
      </c>
      <c r="N38" s="40" t="str">
        <f>""</f>
        <v/>
      </c>
      <c r="O38" s="41">
        <v>0</v>
      </c>
      <c r="P38" s="41">
        <v>-288</v>
      </c>
      <c r="Q38" s="41">
        <v>0</v>
      </c>
      <c r="R38" s="41">
        <v>0</v>
      </c>
      <c r="S38" s="41">
        <v>0</v>
      </c>
      <c r="T38" s="41">
        <v>0</v>
      </c>
      <c r="U38" s="54"/>
    </row>
    <row r="39" spans="1:21" ht="17.25" customHeight="1" x14ac:dyDescent="0.3">
      <c r="A39" s="15" t="s">
        <v>29</v>
      </c>
      <c r="C39" s="19"/>
      <c r="D39" s="33"/>
      <c r="E39" s="33"/>
      <c r="F39" s="20"/>
      <c r="G39" s="20"/>
      <c r="H39" s="20"/>
      <c r="I39" s="20"/>
      <c r="J39" s="20"/>
      <c r="K39" s="20"/>
      <c r="L39" s="20"/>
      <c r="M39" s="20"/>
      <c r="N39" s="20"/>
      <c r="O39" s="42"/>
      <c r="P39" s="42"/>
      <c r="Q39" s="42"/>
      <c r="R39" s="42"/>
      <c r="S39" s="42"/>
      <c r="T39" s="42"/>
      <c r="U39" s="55"/>
    </row>
    <row r="40" spans="1:21" ht="17.25" customHeight="1" x14ac:dyDescent="0.3">
      <c r="A40" s="15" t="s">
        <v>29</v>
      </c>
      <c r="C40" s="19"/>
      <c r="D40" s="33"/>
      <c r="E40" s="33" t="s">
        <v>30</v>
      </c>
      <c r="F40" s="20" t="s">
        <v>30</v>
      </c>
      <c r="G40" s="20" t="s">
        <v>30</v>
      </c>
      <c r="H40" s="20"/>
      <c r="I40" s="20"/>
      <c r="J40" s="20" t="s">
        <v>30</v>
      </c>
      <c r="K40" s="20" t="s">
        <v>30</v>
      </c>
      <c r="L40" s="20" t="s">
        <v>30</v>
      </c>
      <c r="M40" s="20" t="s">
        <v>30</v>
      </c>
      <c r="N40" s="20"/>
      <c r="U40" s="56"/>
    </row>
    <row r="41" spans="1:21" ht="20.25" customHeight="1" x14ac:dyDescent="0.35">
      <c r="A41" s="15" t="s">
        <v>29</v>
      </c>
      <c r="C41" s="19"/>
      <c r="D41" s="34" t="str">
        <f t="shared" ref="D41" si="25">E41</f>
        <v>C100025</v>
      </c>
      <c r="E41" s="35" t="str">
        <f>"C100025"</f>
        <v>C100025</v>
      </c>
      <c r="F41" s="36" t="str">
        <f>"Striped Knit Hat"</f>
        <v>Striped Knit Hat</v>
      </c>
      <c r="G41" s="36"/>
      <c r="H41" s="37" t="str">
        <f>"EA"</f>
        <v>EA</v>
      </c>
      <c r="I41" s="36"/>
      <c r="J41" s="36"/>
      <c r="K41" s="36"/>
      <c r="L41" s="36"/>
      <c r="M41" s="36"/>
      <c r="N41" s="36"/>
      <c r="O41" s="38">
        <f t="shared" ref="O41:T41" si="26">(SUBTOTAL(9,O42:O44))</f>
        <v>800</v>
      </c>
      <c r="P41" s="38">
        <f t="shared" si="26"/>
        <v>-144</v>
      </c>
      <c r="Q41" s="38">
        <f t="shared" si="26"/>
        <v>0</v>
      </c>
      <c r="R41" s="38">
        <f t="shared" si="26"/>
        <v>0</v>
      </c>
      <c r="S41" s="38">
        <f t="shared" si="26"/>
        <v>0</v>
      </c>
      <c r="T41" s="38">
        <f t="shared" si="26"/>
        <v>0</v>
      </c>
      <c r="U41" s="53">
        <f t="shared" ref="U41" si="27">SUBTOTAL(9,O42:T44)</f>
        <v>656</v>
      </c>
    </row>
    <row r="42" spans="1:21" ht="17.25" customHeight="1" x14ac:dyDescent="0.3">
      <c r="A42" s="15" t="s">
        <v>29</v>
      </c>
      <c r="C42" s="19"/>
      <c r="D42" s="33" t="str">
        <f t="shared" ref="D42" si="28">D41</f>
        <v>C100025</v>
      </c>
      <c r="E42" s="33"/>
      <c r="F42" s="20"/>
      <c r="G42" s="20" t="str">
        <f>"""NAV"",""CRONUS JetCorp USA"",""32"",""1"",""167173"""</f>
        <v>"NAV","CRONUS JetCorp USA","32","1","167173"</v>
      </c>
      <c r="H42" s="39">
        <v>43466</v>
      </c>
      <c r="I42" s="40">
        <v>167173</v>
      </c>
      <c r="J42" s="40" t="str">
        <f>"Vendor"</f>
        <v>Vendor</v>
      </c>
      <c r="K42" s="40" t="str">
        <f>"V100001"</f>
        <v>V100001</v>
      </c>
      <c r="L42" s="40" t="str">
        <f>""</f>
        <v/>
      </c>
      <c r="M42" s="40" t="str">
        <f>"Greigner, Inc."</f>
        <v>Greigner, Inc.</v>
      </c>
      <c r="N42" s="40" t="str">
        <f>""</f>
        <v/>
      </c>
      <c r="O42" s="41">
        <v>800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54"/>
    </row>
    <row r="43" spans="1:21" ht="17.25" customHeight="1" x14ac:dyDescent="0.3">
      <c r="A43" s="15" t="s">
        <v>29</v>
      </c>
      <c r="C43" s="19"/>
      <c r="D43" s="33" t="str">
        <f t="shared" ref="D43" si="29">D42</f>
        <v>C100025</v>
      </c>
      <c r="E43" s="33"/>
      <c r="F43" s="20"/>
      <c r="G43" s="20" t="str">
        <f>"""NAV"",""CRONUS JetCorp USA"",""32"",""1"",""64618"""</f>
        <v>"NAV","CRONUS JetCorp USA","32","1","64618"</v>
      </c>
      <c r="H43" s="39">
        <v>43475</v>
      </c>
      <c r="I43" s="40">
        <v>64618</v>
      </c>
      <c r="J43" s="40" t="str">
        <f>"Customer"</f>
        <v>Customer</v>
      </c>
      <c r="K43" s="40" t="str">
        <f>"C100136"</f>
        <v>C100136</v>
      </c>
      <c r="L43" s="40" t="str">
        <f>"First Bank"</f>
        <v>First Bank</v>
      </c>
      <c r="M43" s="40" t="str">
        <f>""</f>
        <v/>
      </c>
      <c r="N43" s="40" t="str">
        <f>""</f>
        <v/>
      </c>
      <c r="O43" s="41">
        <v>0</v>
      </c>
      <c r="P43" s="41">
        <v>-144</v>
      </c>
      <c r="Q43" s="41">
        <v>0</v>
      </c>
      <c r="R43" s="41">
        <v>0</v>
      </c>
      <c r="S43" s="41">
        <v>0</v>
      </c>
      <c r="T43" s="41">
        <v>0</v>
      </c>
      <c r="U43" s="54"/>
    </row>
    <row r="44" spans="1:21" ht="17.25" customHeight="1" x14ac:dyDescent="0.3">
      <c r="A44" s="15" t="s">
        <v>29</v>
      </c>
      <c r="C44" s="19"/>
      <c r="D44" s="33"/>
      <c r="E44" s="33"/>
      <c r="F44" s="20"/>
      <c r="G44" s="20"/>
      <c r="H44" s="20"/>
      <c r="I44" s="20"/>
      <c r="J44" s="20"/>
      <c r="K44" s="20"/>
      <c r="L44" s="20"/>
      <c r="M44" s="20"/>
      <c r="N44" s="20"/>
      <c r="O44" s="42"/>
      <c r="P44" s="42"/>
      <c r="Q44" s="42"/>
      <c r="R44" s="42"/>
      <c r="S44" s="42"/>
      <c r="T44" s="42"/>
      <c r="U44" s="55"/>
    </row>
    <row r="45" spans="1:21" ht="17.25" customHeight="1" x14ac:dyDescent="0.3">
      <c r="A45" s="15" t="s">
        <v>29</v>
      </c>
      <c r="C45" s="19"/>
      <c r="D45" s="33"/>
      <c r="E45" s="33" t="s">
        <v>30</v>
      </c>
      <c r="F45" s="20" t="s">
        <v>30</v>
      </c>
      <c r="G45" s="20" t="s">
        <v>30</v>
      </c>
      <c r="H45" s="20"/>
      <c r="I45" s="20"/>
      <c r="J45" s="20" t="s">
        <v>30</v>
      </c>
      <c r="K45" s="20" t="s">
        <v>30</v>
      </c>
      <c r="L45" s="20" t="s">
        <v>30</v>
      </c>
      <c r="M45" s="20" t="s">
        <v>30</v>
      </c>
      <c r="N45" s="20"/>
      <c r="U45" s="56"/>
    </row>
    <row r="46" spans="1:21" ht="20.25" customHeight="1" x14ac:dyDescent="0.35">
      <c r="A46" s="15" t="s">
        <v>29</v>
      </c>
      <c r="C46" s="19"/>
      <c r="D46" s="34" t="str">
        <f t="shared" ref="D46" si="30">E46</f>
        <v>C100026</v>
      </c>
      <c r="E46" s="35" t="str">
        <f>"C100026"</f>
        <v>C100026</v>
      </c>
      <c r="F46" s="36" t="str">
        <f>"Fleece Beanie"</f>
        <v>Fleece Beanie</v>
      </c>
      <c r="G46" s="36"/>
      <c r="H46" s="37" t="str">
        <f>"EA"</f>
        <v>EA</v>
      </c>
      <c r="I46" s="36"/>
      <c r="J46" s="36"/>
      <c r="K46" s="36"/>
      <c r="L46" s="36"/>
      <c r="M46" s="36"/>
      <c r="N46" s="36"/>
      <c r="O46" s="38">
        <f t="shared" ref="O46:T46" si="31">(SUBTOTAL(9,O47:O49))</f>
        <v>400</v>
      </c>
      <c r="P46" s="38">
        <f t="shared" si="31"/>
        <v>-144</v>
      </c>
      <c r="Q46" s="38">
        <f t="shared" si="31"/>
        <v>0</v>
      </c>
      <c r="R46" s="38">
        <f t="shared" si="31"/>
        <v>0</v>
      </c>
      <c r="S46" s="38">
        <f t="shared" si="31"/>
        <v>0</v>
      </c>
      <c r="T46" s="38">
        <f t="shared" si="31"/>
        <v>0</v>
      </c>
      <c r="U46" s="53">
        <f t="shared" ref="U46" si="32">SUBTOTAL(9,O47:T49)</f>
        <v>256</v>
      </c>
    </row>
    <row r="47" spans="1:21" ht="17.25" customHeight="1" x14ac:dyDescent="0.3">
      <c r="A47" s="15" t="s">
        <v>29</v>
      </c>
      <c r="C47" s="19"/>
      <c r="D47" s="33" t="str">
        <f t="shared" ref="D47" si="33">D46</f>
        <v>C100026</v>
      </c>
      <c r="E47" s="33"/>
      <c r="F47" s="20"/>
      <c r="G47" s="20" t="str">
        <f>"""NAV"",""CRONUS JetCorp USA"",""32"",""1"",""167172"""</f>
        <v>"NAV","CRONUS JetCorp USA","32","1","167172"</v>
      </c>
      <c r="H47" s="39">
        <v>43466</v>
      </c>
      <c r="I47" s="40">
        <v>167172</v>
      </c>
      <c r="J47" s="40" t="str">
        <f>"Vendor"</f>
        <v>Vendor</v>
      </c>
      <c r="K47" s="40" t="str">
        <f>"V100001"</f>
        <v>V100001</v>
      </c>
      <c r="L47" s="40" t="str">
        <f>""</f>
        <v/>
      </c>
      <c r="M47" s="40" t="str">
        <f>"Greigner, Inc."</f>
        <v>Greigner, Inc.</v>
      </c>
      <c r="N47" s="40" t="str">
        <f>""</f>
        <v/>
      </c>
      <c r="O47" s="41">
        <v>400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54"/>
    </row>
    <row r="48" spans="1:21" ht="17.25" customHeight="1" x14ac:dyDescent="0.3">
      <c r="A48" s="15" t="s">
        <v>29</v>
      </c>
      <c r="C48" s="19"/>
      <c r="D48" s="33" t="str">
        <f t="shared" ref="D48" si="34">D47</f>
        <v>C100026</v>
      </c>
      <c r="E48" s="33"/>
      <c r="F48" s="20"/>
      <c r="G48" s="20" t="str">
        <f>"""NAV"",""CRONUS JetCorp USA"",""32"",""1"",""20387"""</f>
        <v>"NAV","CRONUS JetCorp USA","32","1","20387"</v>
      </c>
      <c r="H48" s="39">
        <v>43473</v>
      </c>
      <c r="I48" s="40">
        <v>20387</v>
      </c>
      <c r="J48" s="40" t="str">
        <f>"Customer"</f>
        <v>Customer</v>
      </c>
      <c r="K48" s="40" t="str">
        <f>"C100130"</f>
        <v>C100130</v>
      </c>
      <c r="L48" s="40" t="str">
        <f>"Hotspot Systems"</f>
        <v>Hotspot Systems</v>
      </c>
      <c r="M48" s="40" t="str">
        <f>""</f>
        <v/>
      </c>
      <c r="N48" s="40" t="str">
        <f>""</f>
        <v/>
      </c>
      <c r="O48" s="41">
        <v>0</v>
      </c>
      <c r="P48" s="41">
        <v>-144</v>
      </c>
      <c r="Q48" s="41">
        <v>0</v>
      </c>
      <c r="R48" s="41">
        <v>0</v>
      </c>
      <c r="S48" s="41">
        <v>0</v>
      </c>
      <c r="T48" s="41">
        <v>0</v>
      </c>
      <c r="U48" s="54"/>
    </row>
    <row r="49" spans="1:21" ht="17.25" customHeight="1" x14ac:dyDescent="0.3">
      <c r="A49" s="15" t="s">
        <v>29</v>
      </c>
      <c r="C49" s="19"/>
      <c r="D49" s="33"/>
      <c r="E49" s="33"/>
      <c r="F49" s="20"/>
      <c r="G49" s="20"/>
      <c r="H49" s="20"/>
      <c r="I49" s="20"/>
      <c r="J49" s="20"/>
      <c r="K49" s="20"/>
      <c r="L49" s="20"/>
      <c r="M49" s="20"/>
      <c r="N49" s="20"/>
      <c r="O49" s="42"/>
      <c r="P49" s="42"/>
      <c r="Q49" s="42"/>
      <c r="R49" s="42"/>
      <c r="S49" s="42"/>
      <c r="T49" s="42"/>
      <c r="U49" s="55"/>
    </row>
    <row r="50" spans="1:21" ht="17.25" customHeight="1" x14ac:dyDescent="0.3">
      <c r="A50" s="15" t="s">
        <v>29</v>
      </c>
      <c r="C50" s="19"/>
      <c r="D50" s="33"/>
      <c r="E50" s="33" t="s">
        <v>30</v>
      </c>
      <c r="F50" s="20" t="s">
        <v>30</v>
      </c>
      <c r="G50" s="20" t="s">
        <v>30</v>
      </c>
      <c r="H50" s="20"/>
      <c r="I50" s="20"/>
      <c r="J50" s="20" t="s">
        <v>30</v>
      </c>
      <c r="K50" s="20" t="s">
        <v>30</v>
      </c>
      <c r="L50" s="20" t="s">
        <v>30</v>
      </c>
      <c r="M50" s="20" t="s">
        <v>30</v>
      </c>
      <c r="N50" s="20"/>
      <c r="U50" s="56"/>
    </row>
    <row r="51" spans="1:21" ht="20.25" customHeight="1" x14ac:dyDescent="0.35">
      <c r="A51" s="15" t="s">
        <v>29</v>
      </c>
      <c r="C51" s="19"/>
      <c r="D51" s="34" t="str">
        <f t="shared" ref="D51" si="35">E51</f>
        <v>C100027</v>
      </c>
      <c r="E51" s="35" t="str">
        <f>"C100027"</f>
        <v>C100027</v>
      </c>
      <c r="F51" s="36" t="str">
        <f>"Pique Visor"</f>
        <v>Pique Visor</v>
      </c>
      <c r="G51" s="36"/>
      <c r="H51" s="37" t="str">
        <f>"EA"</f>
        <v>EA</v>
      </c>
      <c r="I51" s="36"/>
      <c r="J51" s="36"/>
      <c r="K51" s="36"/>
      <c r="L51" s="36"/>
      <c r="M51" s="36"/>
      <c r="N51" s="36"/>
      <c r="O51" s="38">
        <f t="shared" ref="O51:T51" si="36">(SUBTOTAL(9,O52:O53))</f>
        <v>0</v>
      </c>
      <c r="P51" s="38">
        <f t="shared" si="36"/>
        <v>-288</v>
      </c>
      <c r="Q51" s="38">
        <f t="shared" si="36"/>
        <v>0</v>
      </c>
      <c r="R51" s="38">
        <f t="shared" si="36"/>
        <v>0</v>
      </c>
      <c r="S51" s="38">
        <f t="shared" si="36"/>
        <v>0</v>
      </c>
      <c r="T51" s="38">
        <f t="shared" si="36"/>
        <v>0</v>
      </c>
      <c r="U51" s="53">
        <f t="shared" ref="U51" si="37">SUBTOTAL(9,O52:T53)</f>
        <v>-288</v>
      </c>
    </row>
    <row r="52" spans="1:21" ht="17.25" customHeight="1" x14ac:dyDescent="0.3">
      <c r="A52" s="15" t="s">
        <v>29</v>
      </c>
      <c r="C52" s="19"/>
      <c r="D52" s="33" t="str">
        <f t="shared" ref="D52" si="38">D51</f>
        <v>C100027</v>
      </c>
      <c r="E52" s="33"/>
      <c r="F52" s="20"/>
      <c r="G52" s="20" t="str">
        <f>"""NAV"",""CRONUS JetCorp USA"",""32"",""1"",""20380"""</f>
        <v>"NAV","CRONUS JetCorp USA","32","1","20380"</v>
      </c>
      <c r="H52" s="39">
        <v>43473</v>
      </c>
      <c r="I52" s="40">
        <v>20380</v>
      </c>
      <c r="J52" s="40" t="str">
        <f>"Customer"</f>
        <v>Customer</v>
      </c>
      <c r="K52" s="40" t="str">
        <f>"C100130"</f>
        <v>C100130</v>
      </c>
      <c r="L52" s="40" t="str">
        <f>"Hotspot Systems"</f>
        <v>Hotspot Systems</v>
      </c>
      <c r="M52" s="40" t="str">
        <f>""</f>
        <v/>
      </c>
      <c r="N52" s="40" t="str">
        <f>""</f>
        <v/>
      </c>
      <c r="O52" s="41">
        <v>0</v>
      </c>
      <c r="P52" s="41">
        <v>-288</v>
      </c>
      <c r="Q52" s="41">
        <v>0</v>
      </c>
      <c r="R52" s="41">
        <v>0</v>
      </c>
      <c r="S52" s="41">
        <v>0</v>
      </c>
      <c r="T52" s="41">
        <v>0</v>
      </c>
      <c r="U52" s="54"/>
    </row>
    <row r="53" spans="1:21" ht="17.25" customHeight="1" x14ac:dyDescent="0.3">
      <c r="A53" s="15" t="s">
        <v>29</v>
      </c>
      <c r="C53" s="19"/>
      <c r="D53" s="33"/>
      <c r="E53" s="33"/>
      <c r="F53" s="20"/>
      <c r="G53" s="20"/>
      <c r="H53" s="20"/>
      <c r="I53" s="20"/>
      <c r="J53" s="20"/>
      <c r="K53" s="20"/>
      <c r="L53" s="20"/>
      <c r="M53" s="20"/>
      <c r="N53" s="20"/>
      <c r="O53" s="42"/>
      <c r="P53" s="42"/>
      <c r="Q53" s="42"/>
      <c r="R53" s="42"/>
      <c r="S53" s="42"/>
      <c r="T53" s="42"/>
      <c r="U53" s="55"/>
    </row>
    <row r="54" spans="1:21" ht="17.25" customHeight="1" x14ac:dyDescent="0.3">
      <c r="A54" s="15" t="s">
        <v>29</v>
      </c>
      <c r="C54" s="19"/>
      <c r="D54" s="33"/>
      <c r="E54" s="33" t="s">
        <v>30</v>
      </c>
      <c r="F54" s="20" t="s">
        <v>30</v>
      </c>
      <c r="G54" s="20" t="s">
        <v>30</v>
      </c>
      <c r="H54" s="20"/>
      <c r="I54" s="20"/>
      <c r="J54" s="20" t="s">
        <v>30</v>
      </c>
      <c r="K54" s="20" t="s">
        <v>30</v>
      </c>
      <c r="L54" s="20" t="s">
        <v>30</v>
      </c>
      <c r="M54" s="20" t="s">
        <v>30</v>
      </c>
      <c r="N54" s="20"/>
      <c r="U54" s="56"/>
    </row>
    <row r="55" spans="1:21" ht="20.25" customHeight="1" x14ac:dyDescent="0.35">
      <c r="A55" s="15" t="s">
        <v>29</v>
      </c>
      <c r="C55" s="19"/>
      <c r="D55" s="34" t="str">
        <f t="shared" ref="D55" si="39">E55</f>
        <v>C100028</v>
      </c>
      <c r="E55" s="35" t="str">
        <f>"C100028"</f>
        <v>C100028</v>
      </c>
      <c r="F55" s="36" t="str">
        <f>"Twill Visor"</f>
        <v>Twill Visor</v>
      </c>
      <c r="G55" s="36"/>
      <c r="H55" s="37" t="str">
        <f>"EA"</f>
        <v>EA</v>
      </c>
      <c r="I55" s="36"/>
      <c r="J55" s="36"/>
      <c r="K55" s="36"/>
      <c r="L55" s="36"/>
      <c r="M55" s="36"/>
      <c r="N55" s="36"/>
      <c r="O55" s="38">
        <f t="shared" ref="O55:T55" si="40">(SUBTOTAL(9,O56:O59))</f>
        <v>400</v>
      </c>
      <c r="P55" s="38">
        <f t="shared" si="40"/>
        <v>-193</v>
      </c>
      <c r="Q55" s="38">
        <f t="shared" si="40"/>
        <v>0</v>
      </c>
      <c r="R55" s="38">
        <f t="shared" si="40"/>
        <v>0</v>
      </c>
      <c r="S55" s="38">
        <f t="shared" si="40"/>
        <v>0</v>
      </c>
      <c r="T55" s="38">
        <f t="shared" si="40"/>
        <v>0</v>
      </c>
      <c r="U55" s="53">
        <f t="shared" ref="U55" si="41">SUBTOTAL(9,O56:T59)</f>
        <v>207</v>
      </c>
    </row>
    <row r="56" spans="1:21" ht="17.25" customHeight="1" x14ac:dyDescent="0.3">
      <c r="A56" s="15" t="s">
        <v>29</v>
      </c>
      <c r="C56" s="19"/>
      <c r="D56" s="33" t="str">
        <f t="shared" ref="D56" si="42">D55</f>
        <v>C100028</v>
      </c>
      <c r="E56" s="33"/>
      <c r="F56" s="20"/>
      <c r="G56" s="20" t="str">
        <f>"""NAV"",""CRONUS JetCorp USA"",""32"",""1"",""167171"""</f>
        <v>"NAV","CRONUS JetCorp USA","32","1","167171"</v>
      </c>
      <c r="H56" s="39">
        <v>43466</v>
      </c>
      <c r="I56" s="40">
        <v>167171</v>
      </c>
      <c r="J56" s="40" t="str">
        <f>"Vendor"</f>
        <v>Vendor</v>
      </c>
      <c r="K56" s="40" t="str">
        <f>"V100001"</f>
        <v>V100001</v>
      </c>
      <c r="L56" s="40" t="str">
        <f>""</f>
        <v/>
      </c>
      <c r="M56" s="40" t="str">
        <f>"Greigner, Inc."</f>
        <v>Greigner, Inc.</v>
      </c>
      <c r="N56" s="40" t="str">
        <f>""</f>
        <v/>
      </c>
      <c r="O56" s="41">
        <v>400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54"/>
    </row>
    <row r="57" spans="1:21" ht="17.25" customHeight="1" x14ac:dyDescent="0.3">
      <c r="A57" s="15" t="s">
        <v>29</v>
      </c>
      <c r="C57" s="19"/>
      <c r="D57" s="33" t="str">
        <f t="shared" ref="D57:D58" si="43">D56</f>
        <v>C100028</v>
      </c>
      <c r="E57" s="33"/>
      <c r="F57" s="20"/>
      <c r="G57" s="20" t="str">
        <f>"""NAV"",""CRONUS JetCorp USA"",""32"",""1"",""20386"""</f>
        <v>"NAV","CRONUS JetCorp USA","32","1","20386"</v>
      </c>
      <c r="H57" s="39">
        <v>43473</v>
      </c>
      <c r="I57" s="40">
        <v>20386</v>
      </c>
      <c r="J57" s="40" t="str">
        <f>"Customer"</f>
        <v>Customer</v>
      </c>
      <c r="K57" s="40" t="str">
        <f>"C100130"</f>
        <v>C100130</v>
      </c>
      <c r="L57" s="40" t="str">
        <f>"Hotspot Systems"</f>
        <v>Hotspot Systems</v>
      </c>
      <c r="M57" s="40" t="str">
        <f>""</f>
        <v/>
      </c>
      <c r="N57" s="40" t="str">
        <f>""</f>
        <v/>
      </c>
      <c r="O57" s="41">
        <v>0</v>
      </c>
      <c r="P57" s="41">
        <v>-145</v>
      </c>
      <c r="Q57" s="41">
        <v>0</v>
      </c>
      <c r="R57" s="41">
        <v>0</v>
      </c>
      <c r="S57" s="41">
        <v>0</v>
      </c>
      <c r="T57" s="41">
        <v>0</v>
      </c>
      <c r="U57" s="54"/>
    </row>
    <row r="58" spans="1:21" ht="17.25" customHeight="1" x14ac:dyDescent="0.3">
      <c r="A58" s="15" t="s">
        <v>29</v>
      </c>
      <c r="C58" s="19"/>
      <c r="D58" s="33" t="str">
        <f t="shared" si="43"/>
        <v>C100028</v>
      </c>
      <c r="E58" s="33"/>
      <c r="F58" s="20"/>
      <c r="G58" s="20" t="str">
        <f>"""NAV"",""CRONUS JetCorp USA"",""32"",""1"",""64621"""</f>
        <v>"NAV","CRONUS JetCorp USA","32","1","64621"</v>
      </c>
      <c r="H58" s="39">
        <v>43475</v>
      </c>
      <c r="I58" s="40">
        <v>64621</v>
      </c>
      <c r="J58" s="40" t="str">
        <f>"Customer"</f>
        <v>Customer</v>
      </c>
      <c r="K58" s="40" t="str">
        <f>"C100136"</f>
        <v>C100136</v>
      </c>
      <c r="L58" s="40" t="str">
        <f>"First Bank"</f>
        <v>First Bank</v>
      </c>
      <c r="M58" s="40" t="str">
        <f>""</f>
        <v/>
      </c>
      <c r="N58" s="40" t="str">
        <f>""</f>
        <v/>
      </c>
      <c r="O58" s="41">
        <v>0</v>
      </c>
      <c r="P58" s="41">
        <v>-48</v>
      </c>
      <c r="Q58" s="41">
        <v>0</v>
      </c>
      <c r="R58" s="41">
        <v>0</v>
      </c>
      <c r="S58" s="41">
        <v>0</v>
      </c>
      <c r="T58" s="41">
        <v>0</v>
      </c>
      <c r="U58" s="54"/>
    </row>
    <row r="59" spans="1:21" ht="17.25" customHeight="1" x14ac:dyDescent="0.3">
      <c r="A59" s="15" t="s">
        <v>29</v>
      </c>
      <c r="C59" s="19"/>
      <c r="D59" s="33"/>
      <c r="E59" s="33"/>
      <c r="F59" s="20"/>
      <c r="G59" s="20"/>
      <c r="H59" s="20"/>
      <c r="I59" s="20"/>
      <c r="J59" s="20"/>
      <c r="K59" s="20"/>
      <c r="L59" s="20"/>
      <c r="M59" s="20"/>
      <c r="N59" s="20"/>
      <c r="O59" s="42"/>
      <c r="P59" s="42"/>
      <c r="Q59" s="42"/>
      <c r="R59" s="42"/>
      <c r="S59" s="42"/>
      <c r="T59" s="42"/>
      <c r="U59" s="55"/>
    </row>
    <row r="60" spans="1:21" ht="17.25" customHeight="1" x14ac:dyDescent="0.3">
      <c r="A60" s="15" t="s">
        <v>29</v>
      </c>
      <c r="C60" s="19"/>
      <c r="D60" s="33"/>
      <c r="E60" s="33" t="s">
        <v>30</v>
      </c>
      <c r="F60" s="20" t="s">
        <v>30</v>
      </c>
      <c r="G60" s="20" t="s">
        <v>30</v>
      </c>
      <c r="H60" s="20"/>
      <c r="I60" s="20"/>
      <c r="J60" s="20" t="s">
        <v>30</v>
      </c>
      <c r="K60" s="20" t="s">
        <v>30</v>
      </c>
      <c r="L60" s="20" t="s">
        <v>30</v>
      </c>
      <c r="M60" s="20" t="s">
        <v>30</v>
      </c>
      <c r="N60" s="20"/>
      <c r="U60" s="56"/>
    </row>
    <row r="61" spans="1:21" ht="20.25" customHeight="1" x14ac:dyDescent="0.35">
      <c r="A61" s="15" t="s">
        <v>29</v>
      </c>
      <c r="C61" s="19"/>
      <c r="D61" s="34" t="str">
        <f t="shared" ref="D61" si="44">E61</f>
        <v>C100033</v>
      </c>
      <c r="E61" s="35" t="str">
        <f>"C100033"</f>
        <v>C100033</v>
      </c>
      <c r="F61" s="36" t="str">
        <f>"Frames &amp; Clock"</f>
        <v>Frames &amp; Clock</v>
      </c>
      <c r="G61" s="36"/>
      <c r="H61" s="37" t="str">
        <f>"EA"</f>
        <v>EA</v>
      </c>
      <c r="I61" s="36"/>
      <c r="J61" s="36"/>
      <c r="K61" s="36"/>
      <c r="L61" s="36"/>
      <c r="M61" s="36"/>
      <c r="N61" s="36"/>
      <c r="O61" s="38">
        <f t="shared" ref="O61:T61" si="45">(SUBTOTAL(9,O62:O64))</f>
        <v>0</v>
      </c>
      <c r="P61" s="38">
        <f t="shared" si="45"/>
        <v>-168</v>
      </c>
      <c r="Q61" s="38">
        <f t="shared" si="45"/>
        <v>0</v>
      </c>
      <c r="R61" s="38">
        <f t="shared" si="45"/>
        <v>0</v>
      </c>
      <c r="S61" s="38">
        <f t="shared" si="45"/>
        <v>0</v>
      </c>
      <c r="T61" s="38">
        <f t="shared" si="45"/>
        <v>0</v>
      </c>
      <c r="U61" s="53">
        <f t="shared" ref="U61" si="46">SUBTOTAL(9,O62:T64)</f>
        <v>-168</v>
      </c>
    </row>
    <row r="62" spans="1:21" ht="17.25" customHeight="1" x14ac:dyDescent="0.3">
      <c r="A62" s="15" t="s">
        <v>29</v>
      </c>
      <c r="C62" s="19"/>
      <c r="D62" s="33" t="str">
        <f t="shared" ref="D62" si="47">D61</f>
        <v>C100033</v>
      </c>
      <c r="E62" s="33"/>
      <c r="F62" s="20"/>
      <c r="G62" s="20" t="str">
        <f>"""NAV"",""CRONUS JetCorp USA"",""32"",""1"",""153171"""</f>
        <v>"NAV","CRONUS JetCorp USA","32","1","153171"</v>
      </c>
      <c r="H62" s="39">
        <v>43470</v>
      </c>
      <c r="I62" s="40">
        <v>153171</v>
      </c>
      <c r="J62" s="40" t="str">
        <f>"Customer"</f>
        <v>Customer</v>
      </c>
      <c r="K62" s="40" t="str">
        <f>"C100136"</f>
        <v>C100136</v>
      </c>
      <c r="L62" s="40" t="str">
        <f>"First Bank"</f>
        <v>First Bank</v>
      </c>
      <c r="M62" s="40" t="str">
        <f>""</f>
        <v/>
      </c>
      <c r="N62" s="40" t="str">
        <f>""</f>
        <v/>
      </c>
      <c r="O62" s="41">
        <v>0</v>
      </c>
      <c r="P62" s="41">
        <v>-24</v>
      </c>
      <c r="Q62" s="41">
        <v>0</v>
      </c>
      <c r="R62" s="41">
        <v>0</v>
      </c>
      <c r="S62" s="41">
        <v>0</v>
      </c>
      <c r="T62" s="41">
        <v>0</v>
      </c>
      <c r="U62" s="54"/>
    </row>
    <row r="63" spans="1:21" ht="17.25" customHeight="1" x14ac:dyDescent="0.3">
      <c r="A63" s="15" t="s">
        <v>29</v>
      </c>
      <c r="C63" s="19"/>
      <c r="D63" s="33" t="str">
        <f t="shared" ref="D63" si="48">D62</f>
        <v>C100033</v>
      </c>
      <c r="E63" s="33"/>
      <c r="F63" s="20"/>
      <c r="G63" s="20" t="str">
        <f>"""NAV"",""CRONUS JetCorp USA"",""32"",""1"",""64614"""</f>
        <v>"NAV","CRONUS JetCorp USA","32","1","64614"</v>
      </c>
      <c r="H63" s="39">
        <v>43475</v>
      </c>
      <c r="I63" s="40">
        <v>64614</v>
      </c>
      <c r="J63" s="40" t="str">
        <f>"Customer"</f>
        <v>Customer</v>
      </c>
      <c r="K63" s="40" t="str">
        <f>"C100136"</f>
        <v>C100136</v>
      </c>
      <c r="L63" s="40" t="str">
        <f>"First Bank"</f>
        <v>First Bank</v>
      </c>
      <c r="M63" s="40" t="str">
        <f>""</f>
        <v/>
      </c>
      <c r="N63" s="40" t="str">
        <f>""</f>
        <v/>
      </c>
      <c r="O63" s="41">
        <v>0</v>
      </c>
      <c r="P63" s="41">
        <v>-144</v>
      </c>
      <c r="Q63" s="41">
        <v>0</v>
      </c>
      <c r="R63" s="41">
        <v>0</v>
      </c>
      <c r="S63" s="41">
        <v>0</v>
      </c>
      <c r="T63" s="41">
        <v>0</v>
      </c>
      <c r="U63" s="54"/>
    </row>
    <row r="64" spans="1:21" ht="17.25" customHeight="1" x14ac:dyDescent="0.3">
      <c r="A64" s="15" t="s">
        <v>29</v>
      </c>
      <c r="C64" s="19"/>
      <c r="D64" s="33"/>
      <c r="E64" s="33"/>
      <c r="F64" s="20"/>
      <c r="G64" s="20"/>
      <c r="H64" s="20"/>
      <c r="I64" s="20"/>
      <c r="J64" s="20"/>
      <c r="K64" s="20"/>
      <c r="L64" s="20"/>
      <c r="M64" s="20"/>
      <c r="N64" s="20"/>
      <c r="O64" s="42"/>
      <c r="P64" s="42"/>
      <c r="Q64" s="42"/>
      <c r="R64" s="42"/>
      <c r="S64" s="42"/>
      <c r="T64" s="42"/>
      <c r="U64" s="55"/>
    </row>
    <row r="65" spans="1:21" ht="17.25" customHeight="1" x14ac:dyDescent="0.3">
      <c r="A65" s="15" t="s">
        <v>29</v>
      </c>
      <c r="C65" s="19"/>
      <c r="D65" s="33"/>
      <c r="E65" s="33" t="s">
        <v>30</v>
      </c>
      <c r="F65" s="20" t="s">
        <v>30</v>
      </c>
      <c r="G65" s="20" t="s">
        <v>30</v>
      </c>
      <c r="H65" s="20"/>
      <c r="I65" s="20"/>
      <c r="J65" s="20" t="s">
        <v>30</v>
      </c>
      <c r="K65" s="20" t="s">
        <v>30</v>
      </c>
      <c r="L65" s="20" t="s">
        <v>30</v>
      </c>
      <c r="M65" s="20" t="s">
        <v>30</v>
      </c>
      <c r="N65" s="20"/>
      <c r="U65" s="56"/>
    </row>
    <row r="66" spans="1:21" ht="20.25" customHeight="1" x14ac:dyDescent="0.35">
      <c r="A66" s="15" t="s">
        <v>29</v>
      </c>
      <c r="C66" s="19"/>
      <c r="D66" s="34" t="str">
        <f t="shared" ref="D66" si="49">E66</f>
        <v>C100035</v>
      </c>
      <c r="E66" s="35" t="str">
        <f>"C100035"</f>
        <v>C100035</v>
      </c>
      <c r="F66" s="36" t="str">
        <f>"Calculator &amp; World Time Clock"</f>
        <v>Calculator &amp; World Time Clock</v>
      </c>
      <c r="G66" s="36"/>
      <c r="H66" s="37" t="str">
        <f>"EA"</f>
        <v>EA</v>
      </c>
      <c r="I66" s="36"/>
      <c r="J66" s="36"/>
      <c r="K66" s="36"/>
      <c r="L66" s="36"/>
      <c r="M66" s="36"/>
      <c r="N66" s="36"/>
      <c r="O66" s="38">
        <f t="shared" ref="O66:T66" si="50">(SUBTOTAL(9,O67:O70))</f>
        <v>400</v>
      </c>
      <c r="P66" s="38">
        <f t="shared" si="50"/>
        <v>-150</v>
      </c>
      <c r="Q66" s="38">
        <f t="shared" si="50"/>
        <v>0</v>
      </c>
      <c r="R66" s="38">
        <f t="shared" si="50"/>
        <v>0</v>
      </c>
      <c r="S66" s="38">
        <f t="shared" si="50"/>
        <v>0</v>
      </c>
      <c r="T66" s="38">
        <f t="shared" si="50"/>
        <v>0</v>
      </c>
      <c r="U66" s="53">
        <f t="shared" ref="U66" si="51">SUBTOTAL(9,O67:T70)</f>
        <v>250</v>
      </c>
    </row>
    <row r="67" spans="1:21" ht="17.25" customHeight="1" x14ac:dyDescent="0.3">
      <c r="A67" s="15" t="s">
        <v>29</v>
      </c>
      <c r="C67" s="19"/>
      <c r="D67" s="33" t="str">
        <f t="shared" ref="D67" si="52">D66</f>
        <v>C100035</v>
      </c>
      <c r="E67" s="33"/>
      <c r="F67" s="20"/>
      <c r="G67" s="20" t="str">
        <f>"""NAV"",""CRONUS JetCorp USA"",""32"",""1"",""167623"""</f>
        <v>"NAV","CRONUS JetCorp USA","32","1","167623"</v>
      </c>
      <c r="H67" s="39">
        <v>43466</v>
      </c>
      <c r="I67" s="40">
        <v>167623</v>
      </c>
      <c r="J67" s="40" t="str">
        <f>"Vendor"</f>
        <v>Vendor</v>
      </c>
      <c r="K67" s="40" t="str">
        <f>"V100001"</f>
        <v>V100001</v>
      </c>
      <c r="L67" s="40" t="str">
        <f>""</f>
        <v/>
      </c>
      <c r="M67" s="40" t="str">
        <f>"Greigner, Inc."</f>
        <v>Greigner, Inc.</v>
      </c>
      <c r="N67" s="40" t="str">
        <f>""</f>
        <v/>
      </c>
      <c r="O67" s="41">
        <v>400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54"/>
    </row>
    <row r="68" spans="1:21" ht="17.25" customHeight="1" x14ac:dyDescent="0.3">
      <c r="A68" s="15" t="s">
        <v>29</v>
      </c>
      <c r="C68" s="19"/>
      <c r="D68" s="33" t="str">
        <f t="shared" ref="D68:D69" si="53">D67</f>
        <v>C100035</v>
      </c>
      <c r="E68" s="33"/>
      <c r="F68" s="20"/>
      <c r="G68" s="20" t="str">
        <f>"""NAV"",""CRONUS JetCorp USA"",""32"",""1"",""153197"""</f>
        <v>"NAV","CRONUS JetCorp USA","32","1","153197"</v>
      </c>
      <c r="H68" s="39">
        <v>43469</v>
      </c>
      <c r="I68" s="40">
        <v>153197</v>
      </c>
      <c r="J68" s="40" t="str">
        <f>"Customer"</f>
        <v>Customer</v>
      </c>
      <c r="K68" s="40" t="str">
        <f>"C100136"</f>
        <v>C100136</v>
      </c>
      <c r="L68" s="40" t="str">
        <f>"First Bank"</f>
        <v>First Bank</v>
      </c>
      <c r="M68" s="40" t="str">
        <f>""</f>
        <v/>
      </c>
      <c r="N68" s="40" t="str">
        <f>""</f>
        <v/>
      </c>
      <c r="O68" s="41">
        <v>0</v>
      </c>
      <c r="P68" s="41">
        <v>-6</v>
      </c>
      <c r="Q68" s="41">
        <v>0</v>
      </c>
      <c r="R68" s="41">
        <v>0</v>
      </c>
      <c r="S68" s="41">
        <v>0</v>
      </c>
      <c r="T68" s="41">
        <v>0</v>
      </c>
      <c r="U68" s="54"/>
    </row>
    <row r="69" spans="1:21" ht="17.25" customHeight="1" x14ac:dyDescent="0.3">
      <c r="A69" s="15" t="s">
        <v>29</v>
      </c>
      <c r="C69" s="19"/>
      <c r="D69" s="33" t="str">
        <f t="shared" si="53"/>
        <v>C100035</v>
      </c>
      <c r="E69" s="33"/>
      <c r="F69" s="20"/>
      <c r="G69" s="20" t="str">
        <f>"""NAV"",""CRONUS JetCorp USA"",""32"",""1"",""153166"""</f>
        <v>"NAV","CRONUS JetCorp USA","32","1","153166"</v>
      </c>
      <c r="H69" s="39">
        <v>43470</v>
      </c>
      <c r="I69" s="40">
        <v>153166</v>
      </c>
      <c r="J69" s="40" t="str">
        <f>"Customer"</f>
        <v>Customer</v>
      </c>
      <c r="K69" s="40" t="str">
        <f>"C100136"</f>
        <v>C100136</v>
      </c>
      <c r="L69" s="40" t="str">
        <f>"First Bank"</f>
        <v>First Bank</v>
      </c>
      <c r="M69" s="40" t="str">
        <f>""</f>
        <v/>
      </c>
      <c r="N69" s="40" t="str">
        <f>""</f>
        <v/>
      </c>
      <c r="O69" s="41">
        <v>0</v>
      </c>
      <c r="P69" s="41">
        <v>-144</v>
      </c>
      <c r="Q69" s="41">
        <v>0</v>
      </c>
      <c r="R69" s="41">
        <v>0</v>
      </c>
      <c r="S69" s="41">
        <v>0</v>
      </c>
      <c r="T69" s="41">
        <v>0</v>
      </c>
      <c r="U69" s="54"/>
    </row>
    <row r="70" spans="1:21" ht="17.25" customHeight="1" x14ac:dyDescent="0.3">
      <c r="A70" s="15" t="s">
        <v>29</v>
      </c>
      <c r="C70" s="19"/>
      <c r="D70" s="33"/>
      <c r="E70" s="33"/>
      <c r="F70" s="20"/>
      <c r="G70" s="20"/>
      <c r="H70" s="20"/>
      <c r="I70" s="20"/>
      <c r="J70" s="20"/>
      <c r="K70" s="20"/>
      <c r="L70" s="20"/>
      <c r="M70" s="20"/>
      <c r="N70" s="20"/>
      <c r="O70" s="42"/>
      <c r="P70" s="42"/>
      <c r="Q70" s="42"/>
      <c r="R70" s="42"/>
      <c r="S70" s="42"/>
      <c r="T70" s="42"/>
      <c r="U70" s="55"/>
    </row>
    <row r="71" spans="1:21" ht="17.25" customHeight="1" x14ac:dyDescent="0.3">
      <c r="A71" s="15" t="s">
        <v>29</v>
      </c>
      <c r="C71" s="19"/>
      <c r="D71" s="33"/>
      <c r="E71" s="33" t="s">
        <v>30</v>
      </c>
      <c r="F71" s="20" t="s">
        <v>30</v>
      </c>
      <c r="G71" s="20" t="s">
        <v>30</v>
      </c>
      <c r="H71" s="20"/>
      <c r="I71" s="20"/>
      <c r="J71" s="20" t="s">
        <v>30</v>
      </c>
      <c r="K71" s="20" t="s">
        <v>30</v>
      </c>
      <c r="L71" s="20" t="s">
        <v>30</v>
      </c>
      <c r="M71" s="20" t="s">
        <v>30</v>
      </c>
      <c r="N71" s="20"/>
      <c r="U71" s="56"/>
    </row>
    <row r="72" spans="1:21" ht="20.25" customHeight="1" x14ac:dyDescent="0.35">
      <c r="A72" s="15" t="s">
        <v>29</v>
      </c>
      <c r="C72" s="19"/>
      <c r="D72" s="34" t="str">
        <f t="shared" ref="D72" si="54">E72</f>
        <v>C100044</v>
      </c>
      <c r="E72" s="35" t="str">
        <f>"C100044"</f>
        <v>C100044</v>
      </c>
      <c r="F72" s="36" t="str">
        <f>"VOIP Headset with Mic"</f>
        <v>VOIP Headset with Mic</v>
      </c>
      <c r="G72" s="36"/>
      <c r="H72" s="37" t="str">
        <f>"EA"</f>
        <v>EA</v>
      </c>
      <c r="I72" s="36"/>
      <c r="J72" s="36"/>
      <c r="K72" s="36"/>
      <c r="L72" s="36"/>
      <c r="M72" s="36"/>
      <c r="N72" s="36"/>
      <c r="O72" s="38">
        <f t="shared" ref="O72:T72" si="55">(SUBTOTAL(9,O73:O74))</f>
        <v>0</v>
      </c>
      <c r="P72" s="38">
        <f t="shared" si="55"/>
        <v>-12</v>
      </c>
      <c r="Q72" s="38">
        <f t="shared" si="55"/>
        <v>0</v>
      </c>
      <c r="R72" s="38">
        <f t="shared" si="55"/>
        <v>0</v>
      </c>
      <c r="S72" s="38">
        <f t="shared" si="55"/>
        <v>0</v>
      </c>
      <c r="T72" s="38">
        <f t="shared" si="55"/>
        <v>0</v>
      </c>
      <c r="U72" s="53">
        <f t="shared" ref="U72" si="56">SUBTOTAL(9,O73:T74)</f>
        <v>-12</v>
      </c>
    </row>
    <row r="73" spans="1:21" ht="17.25" customHeight="1" x14ac:dyDescent="0.3">
      <c r="A73" s="15" t="s">
        <v>29</v>
      </c>
      <c r="C73" s="19"/>
      <c r="D73" s="33" t="str">
        <f t="shared" ref="D73" si="57">D72</f>
        <v>C100044</v>
      </c>
      <c r="E73" s="33"/>
      <c r="F73" s="20"/>
      <c r="G73" s="20" t="str">
        <f>"""NAV"",""CRONUS JetCorp USA"",""32"",""1"",""153196"""</f>
        <v>"NAV","CRONUS JetCorp USA","32","1","153196"</v>
      </c>
      <c r="H73" s="39">
        <v>43469</v>
      </c>
      <c r="I73" s="40">
        <v>153196</v>
      </c>
      <c r="J73" s="40" t="str">
        <f>"Customer"</f>
        <v>Customer</v>
      </c>
      <c r="K73" s="40" t="str">
        <f>"C100136"</f>
        <v>C100136</v>
      </c>
      <c r="L73" s="40" t="str">
        <f>"First Bank"</f>
        <v>First Bank</v>
      </c>
      <c r="M73" s="40" t="str">
        <f>""</f>
        <v/>
      </c>
      <c r="N73" s="40" t="str">
        <f>""</f>
        <v/>
      </c>
      <c r="O73" s="41">
        <v>0</v>
      </c>
      <c r="P73" s="41">
        <v>-12</v>
      </c>
      <c r="Q73" s="41">
        <v>0</v>
      </c>
      <c r="R73" s="41">
        <v>0</v>
      </c>
      <c r="S73" s="41">
        <v>0</v>
      </c>
      <c r="T73" s="41">
        <v>0</v>
      </c>
      <c r="U73" s="54"/>
    </row>
    <row r="74" spans="1:21" ht="17.25" customHeight="1" x14ac:dyDescent="0.3">
      <c r="A74" s="15" t="s">
        <v>29</v>
      </c>
      <c r="C74" s="19"/>
      <c r="D74" s="33"/>
      <c r="E74" s="33"/>
      <c r="F74" s="20"/>
      <c r="G74" s="20"/>
      <c r="H74" s="20"/>
      <c r="I74" s="20"/>
      <c r="J74" s="20"/>
      <c r="K74" s="20"/>
      <c r="L74" s="20"/>
      <c r="M74" s="20"/>
      <c r="N74" s="20"/>
      <c r="O74" s="42"/>
      <c r="P74" s="42"/>
      <c r="Q74" s="42"/>
      <c r="R74" s="42"/>
      <c r="S74" s="42"/>
      <c r="T74" s="42"/>
      <c r="U74" s="55"/>
    </row>
    <row r="75" spans="1:21" ht="17.25" customHeight="1" x14ac:dyDescent="0.3">
      <c r="A75" s="15" t="s">
        <v>29</v>
      </c>
      <c r="C75" s="19"/>
      <c r="D75" s="33"/>
      <c r="E75" s="33" t="s">
        <v>30</v>
      </c>
      <c r="F75" s="20" t="s">
        <v>30</v>
      </c>
      <c r="G75" s="20" t="s">
        <v>30</v>
      </c>
      <c r="H75" s="20"/>
      <c r="I75" s="20"/>
      <c r="J75" s="20" t="s">
        <v>30</v>
      </c>
      <c r="K75" s="20" t="s">
        <v>30</v>
      </c>
      <c r="L75" s="20" t="s">
        <v>30</v>
      </c>
      <c r="M75" s="20" t="s">
        <v>30</v>
      </c>
      <c r="N75" s="20"/>
      <c r="U75" s="56"/>
    </row>
    <row r="76" spans="1:21" ht="20.25" customHeight="1" x14ac:dyDescent="0.35">
      <c r="A76" s="15" t="s">
        <v>29</v>
      </c>
      <c r="C76" s="19"/>
      <c r="D76" s="34" t="str">
        <f t="shared" ref="D76" si="58">E76</f>
        <v>C100056</v>
      </c>
      <c r="E76" s="35" t="str">
        <f>"C100056"</f>
        <v>C100056</v>
      </c>
      <c r="F76" s="36" t="str">
        <f>"Contemporary Desk Calculator"</f>
        <v>Contemporary Desk Calculator</v>
      </c>
      <c r="G76" s="36"/>
      <c r="H76" s="37" t="str">
        <f>"EA"</f>
        <v>EA</v>
      </c>
      <c r="I76" s="36"/>
      <c r="J76" s="36"/>
      <c r="K76" s="36"/>
      <c r="L76" s="36"/>
      <c r="M76" s="36"/>
      <c r="N76" s="36"/>
      <c r="O76" s="38">
        <f t="shared" ref="O76:T76" si="59">(SUBTOTAL(9,O77:O78))</f>
        <v>0</v>
      </c>
      <c r="P76" s="38">
        <f t="shared" si="59"/>
        <v>-192</v>
      </c>
      <c r="Q76" s="38">
        <f t="shared" si="59"/>
        <v>0</v>
      </c>
      <c r="R76" s="38">
        <f t="shared" si="59"/>
        <v>0</v>
      </c>
      <c r="S76" s="38">
        <f t="shared" si="59"/>
        <v>0</v>
      </c>
      <c r="T76" s="38">
        <f t="shared" si="59"/>
        <v>0</v>
      </c>
      <c r="U76" s="53">
        <f t="shared" ref="U76" si="60">SUBTOTAL(9,O77:T78)</f>
        <v>-192</v>
      </c>
    </row>
    <row r="77" spans="1:21" ht="17.25" customHeight="1" x14ac:dyDescent="0.3">
      <c r="A77" s="15" t="s">
        <v>29</v>
      </c>
      <c r="C77" s="19"/>
      <c r="D77" s="33" t="str">
        <f t="shared" ref="D77" si="61">D76</f>
        <v>C100056</v>
      </c>
      <c r="E77" s="33"/>
      <c r="F77" s="20"/>
      <c r="G77" s="20" t="str">
        <f>"""NAV"",""CRONUS JetCorp USA"",""32"",""1"",""153190"""</f>
        <v>"NAV","CRONUS JetCorp USA","32","1","153190"</v>
      </c>
      <c r="H77" s="39">
        <v>43469</v>
      </c>
      <c r="I77" s="40">
        <v>153190</v>
      </c>
      <c r="J77" s="40" t="str">
        <f>"Customer"</f>
        <v>Customer</v>
      </c>
      <c r="K77" s="40" t="str">
        <f>"C100136"</f>
        <v>C100136</v>
      </c>
      <c r="L77" s="40" t="str">
        <f>"First Bank"</f>
        <v>First Bank</v>
      </c>
      <c r="M77" s="40" t="str">
        <f>""</f>
        <v/>
      </c>
      <c r="N77" s="40" t="str">
        <f>""</f>
        <v/>
      </c>
      <c r="O77" s="41">
        <v>0</v>
      </c>
      <c r="P77" s="41">
        <v>-192</v>
      </c>
      <c r="Q77" s="41">
        <v>0</v>
      </c>
      <c r="R77" s="41">
        <v>0</v>
      </c>
      <c r="S77" s="41">
        <v>0</v>
      </c>
      <c r="T77" s="41">
        <v>0</v>
      </c>
      <c r="U77" s="54"/>
    </row>
    <row r="78" spans="1:21" ht="17.25" customHeight="1" x14ac:dyDescent="0.3">
      <c r="A78" s="15" t="s">
        <v>29</v>
      </c>
      <c r="C78" s="19"/>
      <c r="D78" s="33"/>
      <c r="E78" s="33"/>
      <c r="F78" s="20"/>
      <c r="G78" s="20"/>
      <c r="H78" s="20"/>
      <c r="I78" s="20"/>
      <c r="J78" s="20"/>
      <c r="K78" s="20"/>
      <c r="L78" s="20"/>
      <c r="M78" s="20"/>
      <c r="N78" s="20"/>
      <c r="O78" s="42"/>
      <c r="P78" s="42"/>
      <c r="Q78" s="42"/>
      <c r="R78" s="42"/>
      <c r="S78" s="42"/>
      <c r="T78" s="42"/>
      <c r="U78" s="55"/>
    </row>
    <row r="79" spans="1:21" ht="17.25" customHeight="1" x14ac:dyDescent="0.3">
      <c r="A79" s="15" t="s">
        <v>29</v>
      </c>
      <c r="C79" s="19"/>
      <c r="D79" s="33"/>
      <c r="E79" s="33" t="s">
        <v>30</v>
      </c>
      <c r="F79" s="20" t="s">
        <v>30</v>
      </c>
      <c r="G79" s="20" t="s">
        <v>30</v>
      </c>
      <c r="H79" s="20"/>
      <c r="I79" s="20"/>
      <c r="J79" s="20" t="s">
        <v>30</v>
      </c>
      <c r="K79" s="20" t="s">
        <v>30</v>
      </c>
      <c r="L79" s="20" t="s">
        <v>30</v>
      </c>
      <c r="M79" s="20" t="s">
        <v>30</v>
      </c>
      <c r="N79" s="20"/>
      <c r="U79" s="56"/>
    </row>
    <row r="80" spans="1:21" ht="20.25" customHeight="1" x14ac:dyDescent="0.35">
      <c r="A80" s="15" t="s">
        <v>29</v>
      </c>
      <c r="C80" s="19"/>
      <c r="D80" s="34" t="str">
        <f t="shared" ref="D80" si="62">E80</f>
        <v>C100061</v>
      </c>
      <c r="E80" s="35" t="str">
        <f>"C100061"</f>
        <v>C100061</v>
      </c>
      <c r="F80" s="36" t="str">
        <f>"Bistro Mug"</f>
        <v>Bistro Mug</v>
      </c>
      <c r="G80" s="36"/>
      <c r="H80" s="37" t="str">
        <f>"EA"</f>
        <v>EA</v>
      </c>
      <c r="I80" s="36"/>
      <c r="J80" s="36"/>
      <c r="K80" s="36"/>
      <c r="L80" s="36"/>
      <c r="M80" s="36"/>
      <c r="N80" s="36"/>
      <c r="O80" s="38">
        <f t="shared" ref="O80:T80" si="63">(SUBTOTAL(9,O81:O83))</f>
        <v>249.99999999999997</v>
      </c>
      <c r="P80" s="38">
        <f t="shared" si="63"/>
        <v>-48</v>
      </c>
      <c r="Q80" s="38">
        <f t="shared" si="63"/>
        <v>0</v>
      </c>
      <c r="R80" s="38">
        <f t="shared" si="63"/>
        <v>0</v>
      </c>
      <c r="S80" s="38">
        <f t="shared" si="63"/>
        <v>0</v>
      </c>
      <c r="T80" s="38">
        <f t="shared" si="63"/>
        <v>0</v>
      </c>
      <c r="U80" s="53">
        <f t="shared" ref="U80" si="64">SUBTOTAL(9,O81:T83)</f>
        <v>201.99999999999997</v>
      </c>
    </row>
    <row r="81" spans="1:21" ht="17.25" customHeight="1" x14ac:dyDescent="0.3">
      <c r="A81" s="15" t="s">
        <v>29</v>
      </c>
      <c r="C81" s="19"/>
      <c r="D81" s="33" t="str">
        <f t="shared" ref="D81" si="65">D80</f>
        <v>C100061</v>
      </c>
      <c r="E81" s="33"/>
      <c r="F81" s="20"/>
      <c r="G81" s="20" t="str">
        <f>"""NAV"",""CRONUS JetCorp USA"",""32"",""1"",""168682"""</f>
        <v>"NAV","CRONUS JetCorp USA","32","1","168682"</v>
      </c>
      <c r="H81" s="39">
        <v>43466</v>
      </c>
      <c r="I81" s="40">
        <v>168682</v>
      </c>
      <c r="J81" s="40" t="str">
        <f>"Vendor"</f>
        <v>Vendor</v>
      </c>
      <c r="K81" s="40" t="str">
        <f>"V100001"</f>
        <v>V100001</v>
      </c>
      <c r="L81" s="40" t="str">
        <f>""</f>
        <v/>
      </c>
      <c r="M81" s="40" t="str">
        <f>"Greigner, Inc."</f>
        <v>Greigner, Inc.</v>
      </c>
      <c r="N81" s="40" t="str">
        <f>""</f>
        <v/>
      </c>
      <c r="O81" s="41">
        <v>249.99999999999997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54"/>
    </row>
    <row r="82" spans="1:21" ht="17.25" customHeight="1" x14ac:dyDescent="0.3">
      <c r="A82" s="15" t="s">
        <v>29</v>
      </c>
      <c r="C82" s="19"/>
      <c r="D82" s="33" t="str">
        <f t="shared" ref="D82" si="66">D81</f>
        <v>C100061</v>
      </c>
      <c r="E82" s="33"/>
      <c r="F82" s="20"/>
      <c r="G82" s="20" t="str">
        <f>"""NAV"",""CRONUS JetCorp USA"",""32"",""1"",""64629"""</f>
        <v>"NAV","CRONUS JetCorp USA","32","1","64629"</v>
      </c>
      <c r="H82" s="39">
        <v>43475</v>
      </c>
      <c r="I82" s="40">
        <v>64629</v>
      </c>
      <c r="J82" s="40" t="str">
        <f>"Customer"</f>
        <v>Customer</v>
      </c>
      <c r="K82" s="40" t="str">
        <f>"C100136"</f>
        <v>C100136</v>
      </c>
      <c r="L82" s="40" t="str">
        <f>"First Bank"</f>
        <v>First Bank</v>
      </c>
      <c r="M82" s="40" t="str">
        <f>""</f>
        <v/>
      </c>
      <c r="N82" s="40" t="str">
        <f>""</f>
        <v/>
      </c>
      <c r="O82" s="41">
        <v>0</v>
      </c>
      <c r="P82" s="41">
        <v>-48</v>
      </c>
      <c r="Q82" s="41">
        <v>0</v>
      </c>
      <c r="R82" s="41">
        <v>0</v>
      </c>
      <c r="S82" s="41">
        <v>0</v>
      </c>
      <c r="T82" s="41">
        <v>0</v>
      </c>
      <c r="U82" s="54"/>
    </row>
    <row r="83" spans="1:21" ht="17.25" customHeight="1" x14ac:dyDescent="0.3">
      <c r="A83" s="15" t="s">
        <v>29</v>
      </c>
      <c r="C83" s="19"/>
      <c r="D83" s="33"/>
      <c r="E83" s="33"/>
      <c r="F83" s="20"/>
      <c r="G83" s="20"/>
      <c r="H83" s="20"/>
      <c r="I83" s="20"/>
      <c r="J83" s="20"/>
      <c r="K83" s="20"/>
      <c r="L83" s="20"/>
      <c r="M83" s="20"/>
      <c r="N83" s="20"/>
      <c r="O83" s="42"/>
      <c r="P83" s="42"/>
      <c r="Q83" s="42"/>
      <c r="R83" s="42"/>
      <c r="S83" s="42"/>
      <c r="T83" s="42"/>
      <c r="U83" s="55"/>
    </row>
    <row r="84" spans="1:21" ht="17.25" customHeight="1" x14ac:dyDescent="0.3">
      <c r="A84" s="15" t="s">
        <v>29</v>
      </c>
      <c r="C84" s="19"/>
      <c r="D84" s="33"/>
      <c r="E84" s="33" t="s">
        <v>30</v>
      </c>
      <c r="F84" s="20" t="s">
        <v>30</v>
      </c>
      <c r="G84" s="20" t="s">
        <v>30</v>
      </c>
      <c r="H84" s="20"/>
      <c r="I84" s="20"/>
      <c r="J84" s="20" t="s">
        <v>30</v>
      </c>
      <c r="K84" s="20" t="s">
        <v>30</v>
      </c>
      <c r="L84" s="20" t="s">
        <v>30</v>
      </c>
      <c r="M84" s="20" t="s">
        <v>30</v>
      </c>
      <c r="N84" s="20"/>
      <c r="U84" s="56"/>
    </row>
    <row r="85" spans="1:21" ht="20.25" customHeight="1" x14ac:dyDescent="0.35">
      <c r="A85" s="15" t="s">
        <v>29</v>
      </c>
      <c r="C85" s="19"/>
      <c r="D85" s="34" t="str">
        <f t="shared" ref="D85" si="67">E85</f>
        <v>C100062</v>
      </c>
      <c r="E85" s="35" t="str">
        <f>"C100062"</f>
        <v>C100062</v>
      </c>
      <c r="F85" s="36" t="str">
        <f>"Tall Matte Finish Mug"</f>
        <v>Tall Matte Finish Mug</v>
      </c>
      <c r="G85" s="36"/>
      <c r="H85" s="37" t="str">
        <f>"EA"</f>
        <v>EA</v>
      </c>
      <c r="I85" s="36"/>
      <c r="J85" s="36"/>
      <c r="K85" s="36"/>
      <c r="L85" s="36"/>
      <c r="M85" s="36"/>
      <c r="N85" s="36"/>
      <c r="O85" s="38">
        <f t="shared" ref="O85:T85" si="68">(SUBTOTAL(9,O86:O87))</f>
        <v>249.99999999999997</v>
      </c>
      <c r="P85" s="38">
        <f t="shared" si="68"/>
        <v>0</v>
      </c>
      <c r="Q85" s="38">
        <f t="shared" si="68"/>
        <v>0</v>
      </c>
      <c r="R85" s="38">
        <f t="shared" si="68"/>
        <v>0</v>
      </c>
      <c r="S85" s="38">
        <f t="shared" si="68"/>
        <v>0</v>
      </c>
      <c r="T85" s="38">
        <f t="shared" si="68"/>
        <v>0</v>
      </c>
      <c r="U85" s="53">
        <f t="shared" ref="U85" si="69">SUBTOTAL(9,O86:T87)</f>
        <v>249.99999999999997</v>
      </c>
    </row>
    <row r="86" spans="1:21" ht="17.25" customHeight="1" x14ac:dyDescent="0.3">
      <c r="A86" s="15" t="s">
        <v>29</v>
      </c>
      <c r="C86" s="19"/>
      <c r="D86" s="33" t="str">
        <f t="shared" ref="D86" si="70">D85</f>
        <v>C100062</v>
      </c>
      <c r="E86" s="33"/>
      <c r="F86" s="20"/>
      <c r="G86" s="20" t="str">
        <f>"""NAV"",""CRONUS JetCorp USA"",""32"",""1"",""168681"""</f>
        <v>"NAV","CRONUS JetCorp USA","32","1","168681"</v>
      </c>
      <c r="H86" s="39">
        <v>43466</v>
      </c>
      <c r="I86" s="40">
        <v>168681</v>
      </c>
      <c r="J86" s="40" t="str">
        <f>"Vendor"</f>
        <v>Vendor</v>
      </c>
      <c r="K86" s="40" t="str">
        <f>"V100001"</f>
        <v>V100001</v>
      </c>
      <c r="L86" s="40" t="str">
        <f>""</f>
        <v/>
      </c>
      <c r="M86" s="40" t="str">
        <f>"Greigner, Inc."</f>
        <v>Greigner, Inc.</v>
      </c>
      <c r="N86" s="40" t="str">
        <f>""</f>
        <v/>
      </c>
      <c r="O86" s="41">
        <v>249.99999999999997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54"/>
    </row>
    <row r="87" spans="1:21" ht="17.25" customHeight="1" x14ac:dyDescent="0.3">
      <c r="A87" s="15" t="s">
        <v>29</v>
      </c>
      <c r="C87" s="19"/>
      <c r="D87" s="33"/>
      <c r="E87" s="33"/>
      <c r="F87" s="20"/>
      <c r="G87" s="20"/>
      <c r="H87" s="20"/>
      <c r="I87" s="20"/>
      <c r="J87" s="20"/>
      <c r="K87" s="20"/>
      <c r="L87" s="20"/>
      <c r="M87" s="20"/>
      <c r="N87" s="20"/>
      <c r="O87" s="42"/>
      <c r="P87" s="42"/>
      <c r="Q87" s="42"/>
      <c r="R87" s="42"/>
      <c r="S87" s="42"/>
      <c r="T87" s="42"/>
      <c r="U87" s="55"/>
    </row>
    <row r="88" spans="1:21" ht="17.25" customHeight="1" x14ac:dyDescent="0.3">
      <c r="A88" s="15" t="s">
        <v>29</v>
      </c>
      <c r="C88" s="19"/>
      <c r="D88" s="33"/>
      <c r="E88" s="33" t="s">
        <v>30</v>
      </c>
      <c r="F88" s="20" t="s">
        <v>30</v>
      </c>
      <c r="G88" s="20" t="s">
        <v>30</v>
      </c>
      <c r="H88" s="20"/>
      <c r="I88" s="20"/>
      <c r="J88" s="20" t="s">
        <v>30</v>
      </c>
      <c r="K88" s="20" t="s">
        <v>30</v>
      </c>
      <c r="L88" s="20" t="s">
        <v>30</v>
      </c>
      <c r="M88" s="20" t="s">
        <v>30</v>
      </c>
      <c r="N88" s="20"/>
      <c r="U88" s="56"/>
    </row>
    <row r="89" spans="1:21" ht="20.25" customHeight="1" x14ac:dyDescent="0.35">
      <c r="A89" s="15" t="s">
        <v>29</v>
      </c>
      <c r="C89" s="19"/>
      <c r="D89" s="34" t="str">
        <f t="shared" ref="D89" si="71">E89</f>
        <v>C100066</v>
      </c>
      <c r="E89" s="35" t="str">
        <f>"C100066"</f>
        <v>C100066</v>
      </c>
      <c r="F89" s="36" t="str">
        <f>"Fashion Travel Mug"</f>
        <v>Fashion Travel Mug</v>
      </c>
      <c r="G89" s="36"/>
      <c r="H89" s="37" t="str">
        <f>"EA"</f>
        <v>EA</v>
      </c>
      <c r="I89" s="36"/>
      <c r="J89" s="36"/>
      <c r="K89" s="36"/>
      <c r="L89" s="36"/>
      <c r="M89" s="36"/>
      <c r="N89" s="36"/>
      <c r="O89" s="38">
        <f t="shared" ref="O89:T89" si="72">(SUBTOTAL(9,O90:O92))</f>
        <v>249.99999999999997</v>
      </c>
      <c r="P89" s="38">
        <f t="shared" si="72"/>
        <v>-144</v>
      </c>
      <c r="Q89" s="38">
        <f t="shared" si="72"/>
        <v>0</v>
      </c>
      <c r="R89" s="38">
        <f t="shared" si="72"/>
        <v>0</v>
      </c>
      <c r="S89" s="38">
        <f t="shared" si="72"/>
        <v>0</v>
      </c>
      <c r="T89" s="38">
        <f t="shared" si="72"/>
        <v>0</v>
      </c>
      <c r="U89" s="53">
        <f t="shared" ref="U89" si="73">SUBTOTAL(9,O90:T92)</f>
        <v>105.99999999999997</v>
      </c>
    </row>
    <row r="90" spans="1:21" ht="17.25" customHeight="1" x14ac:dyDescent="0.3">
      <c r="A90" s="15" t="s">
        <v>29</v>
      </c>
      <c r="C90" s="19"/>
      <c r="D90" s="33" t="str">
        <f t="shared" ref="D90" si="74">D89</f>
        <v>C100066</v>
      </c>
      <c r="E90" s="33"/>
      <c r="F90" s="20"/>
      <c r="G90" s="20" t="str">
        <f>"""NAV"",""CRONUS JetCorp USA"",""32"",""1"",""168680"""</f>
        <v>"NAV","CRONUS JetCorp USA","32","1","168680"</v>
      </c>
      <c r="H90" s="39">
        <v>43466</v>
      </c>
      <c r="I90" s="40">
        <v>168680</v>
      </c>
      <c r="J90" s="40" t="str">
        <f>"Vendor"</f>
        <v>Vendor</v>
      </c>
      <c r="K90" s="40" t="str">
        <f>"V100001"</f>
        <v>V100001</v>
      </c>
      <c r="L90" s="40" t="str">
        <f>""</f>
        <v/>
      </c>
      <c r="M90" s="40" t="str">
        <f>"Greigner, Inc."</f>
        <v>Greigner, Inc.</v>
      </c>
      <c r="N90" s="40" t="str">
        <f>""</f>
        <v/>
      </c>
      <c r="O90" s="41">
        <v>249.99999999999997</v>
      </c>
      <c r="P90" s="41">
        <v>0</v>
      </c>
      <c r="Q90" s="41">
        <v>0</v>
      </c>
      <c r="R90" s="41">
        <v>0</v>
      </c>
      <c r="S90" s="41">
        <v>0</v>
      </c>
      <c r="T90" s="41">
        <v>0</v>
      </c>
      <c r="U90" s="54"/>
    </row>
    <row r="91" spans="1:21" ht="17.25" customHeight="1" x14ac:dyDescent="0.3">
      <c r="A91" s="15" t="s">
        <v>29</v>
      </c>
      <c r="C91" s="19"/>
      <c r="D91" s="33" t="str">
        <f t="shared" ref="D91" si="75">D90</f>
        <v>C100066</v>
      </c>
      <c r="E91" s="33"/>
      <c r="F91" s="20"/>
      <c r="G91" s="20" t="str">
        <f>"""NAV"",""CRONUS JetCorp USA"",""32"",""1"",""64616"""</f>
        <v>"NAV","CRONUS JetCorp USA","32","1","64616"</v>
      </c>
      <c r="H91" s="39">
        <v>43475</v>
      </c>
      <c r="I91" s="40">
        <v>64616</v>
      </c>
      <c r="J91" s="40" t="str">
        <f>"Customer"</f>
        <v>Customer</v>
      </c>
      <c r="K91" s="40" t="str">
        <f>"C100136"</f>
        <v>C100136</v>
      </c>
      <c r="L91" s="40" t="str">
        <f>"First Bank"</f>
        <v>First Bank</v>
      </c>
      <c r="M91" s="40" t="str">
        <f>""</f>
        <v/>
      </c>
      <c r="N91" s="40" t="str">
        <f>""</f>
        <v/>
      </c>
      <c r="O91" s="41">
        <v>0</v>
      </c>
      <c r="P91" s="41">
        <v>-144</v>
      </c>
      <c r="Q91" s="41">
        <v>0</v>
      </c>
      <c r="R91" s="41">
        <v>0</v>
      </c>
      <c r="S91" s="41">
        <v>0</v>
      </c>
      <c r="T91" s="41">
        <v>0</v>
      </c>
      <c r="U91" s="54"/>
    </row>
    <row r="92" spans="1:21" ht="17.25" customHeight="1" x14ac:dyDescent="0.3">
      <c r="A92" s="15" t="s">
        <v>29</v>
      </c>
      <c r="C92" s="19"/>
      <c r="D92" s="33"/>
      <c r="E92" s="33"/>
      <c r="F92" s="20"/>
      <c r="G92" s="20"/>
      <c r="H92" s="20"/>
      <c r="I92" s="20"/>
      <c r="J92" s="20"/>
      <c r="K92" s="20"/>
      <c r="L92" s="20"/>
      <c r="M92" s="20"/>
      <c r="N92" s="20"/>
      <c r="O92" s="42"/>
      <c r="P92" s="42"/>
      <c r="Q92" s="42"/>
      <c r="R92" s="42"/>
      <c r="S92" s="42"/>
      <c r="T92" s="42"/>
      <c r="U92" s="55"/>
    </row>
    <row r="93" spans="1:21" ht="17.25" customHeight="1" x14ac:dyDescent="0.3">
      <c r="A93" s="15" t="s">
        <v>29</v>
      </c>
      <c r="C93" s="19"/>
      <c r="D93" s="33"/>
      <c r="E93" s="33" t="s">
        <v>30</v>
      </c>
      <c r="F93" s="20" t="s">
        <v>30</v>
      </c>
      <c r="G93" s="20" t="s">
        <v>30</v>
      </c>
      <c r="H93" s="20"/>
      <c r="I93" s="20"/>
      <c r="J93" s="20" t="s">
        <v>30</v>
      </c>
      <c r="K93" s="20" t="s">
        <v>30</v>
      </c>
      <c r="L93" s="20" t="s">
        <v>30</v>
      </c>
      <c r="M93" s="20" t="s">
        <v>30</v>
      </c>
      <c r="N93" s="20"/>
      <c r="U93" s="56"/>
    </row>
    <row r="94" spans="1:21" ht="20.25" customHeight="1" x14ac:dyDescent="0.35">
      <c r="A94" s="15" t="s">
        <v>29</v>
      </c>
      <c r="C94" s="19"/>
      <c r="D94" s="34" t="str">
        <f t="shared" ref="D94" si="76">E94</f>
        <v>E100001</v>
      </c>
      <c r="E94" s="35" t="str">
        <f>"E100001"</f>
        <v>E100001</v>
      </c>
      <c r="F94" s="36" t="str">
        <f>"Sport Bag"</f>
        <v>Sport Bag</v>
      </c>
      <c r="G94" s="36"/>
      <c r="H94" s="37" t="str">
        <f>"EA"</f>
        <v>EA</v>
      </c>
      <c r="I94" s="36"/>
      <c r="J94" s="36"/>
      <c r="K94" s="36"/>
      <c r="L94" s="36"/>
      <c r="M94" s="36"/>
      <c r="N94" s="36"/>
      <c r="O94" s="38">
        <f t="shared" ref="O94:T94" si="77">(SUBTOTAL(9,O95:O98))</f>
        <v>200</v>
      </c>
      <c r="P94" s="38">
        <f t="shared" si="77"/>
        <v>-288</v>
      </c>
      <c r="Q94" s="38">
        <f t="shared" si="77"/>
        <v>0</v>
      </c>
      <c r="R94" s="38">
        <f t="shared" si="77"/>
        <v>0</v>
      </c>
      <c r="S94" s="38">
        <f t="shared" si="77"/>
        <v>0</v>
      </c>
      <c r="T94" s="38">
        <f t="shared" si="77"/>
        <v>0</v>
      </c>
      <c r="U94" s="53">
        <f t="shared" ref="U94" si="78">SUBTOTAL(9,O95:T98)</f>
        <v>-88</v>
      </c>
    </row>
    <row r="95" spans="1:21" ht="17.25" customHeight="1" x14ac:dyDescent="0.3">
      <c r="A95" s="15" t="s">
        <v>29</v>
      </c>
      <c r="C95" s="19"/>
      <c r="D95" s="33" t="str">
        <f t="shared" ref="D95" si="79">D94</f>
        <v>E100001</v>
      </c>
      <c r="E95" s="33"/>
      <c r="F95" s="20"/>
      <c r="G95" s="20" t="str">
        <f>"""NAV"",""CRONUS JetCorp USA"",""32"",""1"",""166803"""</f>
        <v>"NAV","CRONUS JetCorp USA","32","1","166803"</v>
      </c>
      <c r="H95" s="39">
        <v>43466</v>
      </c>
      <c r="I95" s="40">
        <v>166803</v>
      </c>
      <c r="J95" s="40" t="str">
        <f>"Vendor"</f>
        <v>Vendor</v>
      </c>
      <c r="K95" s="40" t="str">
        <f>"V100001"</f>
        <v>V100001</v>
      </c>
      <c r="L95" s="40" t="str">
        <f>""</f>
        <v/>
      </c>
      <c r="M95" s="40" t="str">
        <f>"Greigner, Inc."</f>
        <v>Greigner, Inc.</v>
      </c>
      <c r="N95" s="40" t="str">
        <f>""</f>
        <v/>
      </c>
      <c r="O95" s="41">
        <v>200</v>
      </c>
      <c r="P95" s="41">
        <v>0</v>
      </c>
      <c r="Q95" s="41">
        <v>0</v>
      </c>
      <c r="R95" s="41">
        <v>0</v>
      </c>
      <c r="S95" s="41">
        <v>0</v>
      </c>
      <c r="T95" s="41">
        <v>0</v>
      </c>
      <c r="U95" s="54"/>
    </row>
    <row r="96" spans="1:21" ht="17.25" customHeight="1" x14ac:dyDescent="0.3">
      <c r="A96" s="15" t="s">
        <v>29</v>
      </c>
      <c r="C96" s="19"/>
      <c r="D96" s="33" t="str">
        <f t="shared" ref="D96:D97" si="80">D95</f>
        <v>E100001</v>
      </c>
      <c r="E96" s="33"/>
      <c r="F96" s="20"/>
      <c r="G96" s="20" t="str">
        <f>"""NAV"",""CRONUS JetCorp USA"",""32"",""1"",""153193"""</f>
        <v>"NAV","CRONUS JetCorp USA","32","1","153193"</v>
      </c>
      <c r="H96" s="39">
        <v>43469</v>
      </c>
      <c r="I96" s="40">
        <v>153193</v>
      </c>
      <c r="J96" s="40" t="str">
        <f>"Customer"</f>
        <v>Customer</v>
      </c>
      <c r="K96" s="40" t="str">
        <f>"C100136"</f>
        <v>C100136</v>
      </c>
      <c r="L96" s="40" t="str">
        <f>"First Bank"</f>
        <v>First Bank</v>
      </c>
      <c r="M96" s="40" t="str">
        <f>""</f>
        <v/>
      </c>
      <c r="N96" s="40" t="str">
        <f>""</f>
        <v/>
      </c>
      <c r="O96" s="41">
        <v>0</v>
      </c>
      <c r="P96" s="41">
        <v>-144</v>
      </c>
      <c r="Q96" s="41">
        <v>0</v>
      </c>
      <c r="R96" s="41">
        <v>0</v>
      </c>
      <c r="S96" s="41">
        <v>0</v>
      </c>
      <c r="T96" s="41">
        <v>0</v>
      </c>
      <c r="U96" s="54"/>
    </row>
    <row r="97" spans="1:21" ht="17.25" customHeight="1" x14ac:dyDescent="0.3">
      <c r="A97" s="15" t="s">
        <v>29</v>
      </c>
      <c r="C97" s="19"/>
      <c r="D97" s="33" t="str">
        <f t="shared" si="80"/>
        <v>E100001</v>
      </c>
      <c r="E97" s="33"/>
      <c r="F97" s="20"/>
      <c r="G97" s="20" t="str">
        <f>"""NAV"",""CRONUS JetCorp USA"",""32"",""1"",""20391"""</f>
        <v>"NAV","CRONUS JetCorp USA","32","1","20391"</v>
      </c>
      <c r="H97" s="39">
        <v>43473</v>
      </c>
      <c r="I97" s="40">
        <v>20391</v>
      </c>
      <c r="J97" s="40" t="str">
        <f>"Customer"</f>
        <v>Customer</v>
      </c>
      <c r="K97" s="40" t="str">
        <f>"C100130"</f>
        <v>C100130</v>
      </c>
      <c r="L97" s="40" t="str">
        <f>"Hotspot Systems"</f>
        <v>Hotspot Systems</v>
      </c>
      <c r="M97" s="40" t="str">
        <f>""</f>
        <v/>
      </c>
      <c r="N97" s="40" t="str">
        <f>""</f>
        <v/>
      </c>
      <c r="O97" s="41">
        <v>0</v>
      </c>
      <c r="P97" s="41">
        <v>-144</v>
      </c>
      <c r="Q97" s="41">
        <v>0</v>
      </c>
      <c r="R97" s="41">
        <v>0</v>
      </c>
      <c r="S97" s="41">
        <v>0</v>
      </c>
      <c r="T97" s="41">
        <v>0</v>
      </c>
      <c r="U97" s="54"/>
    </row>
    <row r="98" spans="1:21" ht="17.25" customHeight="1" x14ac:dyDescent="0.3">
      <c r="A98" s="15" t="s">
        <v>29</v>
      </c>
      <c r="C98" s="19"/>
      <c r="D98" s="33"/>
      <c r="E98" s="33"/>
      <c r="F98" s="20"/>
      <c r="G98" s="20"/>
      <c r="H98" s="20"/>
      <c r="I98" s="20"/>
      <c r="J98" s="20"/>
      <c r="K98" s="20"/>
      <c r="L98" s="20"/>
      <c r="M98" s="20"/>
      <c r="N98" s="20"/>
      <c r="O98" s="42"/>
      <c r="P98" s="42"/>
      <c r="Q98" s="42"/>
      <c r="R98" s="42"/>
      <c r="S98" s="42"/>
      <c r="T98" s="42"/>
      <c r="U98" s="55"/>
    </row>
    <row r="99" spans="1:21" ht="17.25" customHeight="1" x14ac:dyDescent="0.3">
      <c r="A99" s="15" t="s">
        <v>29</v>
      </c>
      <c r="C99" s="19"/>
      <c r="D99" s="33"/>
      <c r="E99" s="33" t="s">
        <v>30</v>
      </c>
      <c r="F99" s="20" t="s">
        <v>30</v>
      </c>
      <c r="G99" s="20" t="s">
        <v>30</v>
      </c>
      <c r="H99" s="20"/>
      <c r="I99" s="20"/>
      <c r="J99" s="20" t="s">
        <v>30</v>
      </c>
      <c r="K99" s="20" t="s">
        <v>30</v>
      </c>
      <c r="L99" s="20" t="s">
        <v>30</v>
      </c>
      <c r="M99" s="20" t="s">
        <v>30</v>
      </c>
      <c r="N99" s="20"/>
      <c r="U99" s="56"/>
    </row>
    <row r="100" spans="1:21" ht="20.25" customHeight="1" x14ac:dyDescent="0.35">
      <c r="A100" s="15" t="s">
        <v>29</v>
      </c>
      <c r="C100" s="19"/>
      <c r="D100" s="34" t="str">
        <f t="shared" ref="D100" si="81">E100</f>
        <v>E100004</v>
      </c>
      <c r="E100" s="35" t="str">
        <f>"E100004"</f>
        <v>E100004</v>
      </c>
      <c r="F100" s="36" t="str">
        <f>"Laminated Tote"</f>
        <v>Laminated Tote</v>
      </c>
      <c r="G100" s="36"/>
      <c r="H100" s="37" t="str">
        <f>"EA"</f>
        <v>EA</v>
      </c>
      <c r="I100" s="36"/>
      <c r="J100" s="36"/>
      <c r="K100" s="36"/>
      <c r="L100" s="36"/>
      <c r="M100" s="36"/>
      <c r="N100" s="36"/>
      <c r="O100" s="38">
        <f t="shared" ref="O100:T100" si="82">(SUBTOTAL(9,O101:O102))</f>
        <v>0</v>
      </c>
      <c r="P100" s="38">
        <f t="shared" si="82"/>
        <v>-144</v>
      </c>
      <c r="Q100" s="38">
        <f t="shared" si="82"/>
        <v>0</v>
      </c>
      <c r="R100" s="38">
        <f t="shared" si="82"/>
        <v>0</v>
      </c>
      <c r="S100" s="38">
        <f t="shared" si="82"/>
        <v>0</v>
      </c>
      <c r="T100" s="38">
        <f t="shared" si="82"/>
        <v>0</v>
      </c>
      <c r="U100" s="53">
        <f t="shared" ref="U100" si="83">SUBTOTAL(9,O101:T102)</f>
        <v>-144</v>
      </c>
    </row>
    <row r="101" spans="1:21" ht="17.25" customHeight="1" x14ac:dyDescent="0.3">
      <c r="A101" s="15" t="s">
        <v>29</v>
      </c>
      <c r="C101" s="19"/>
      <c r="D101" s="33" t="str">
        <f t="shared" ref="D101" si="84">D100</f>
        <v>E100004</v>
      </c>
      <c r="E101" s="33"/>
      <c r="F101" s="20"/>
      <c r="G101" s="20" t="str">
        <f>"""NAV"",""CRONUS JetCorp USA"",""32"",""1"",""64620"""</f>
        <v>"NAV","CRONUS JetCorp USA","32","1","64620"</v>
      </c>
      <c r="H101" s="39">
        <v>43475</v>
      </c>
      <c r="I101" s="40">
        <v>64620</v>
      </c>
      <c r="J101" s="40" t="str">
        <f>"Customer"</f>
        <v>Customer</v>
      </c>
      <c r="K101" s="40" t="str">
        <f>"C100136"</f>
        <v>C100136</v>
      </c>
      <c r="L101" s="40" t="str">
        <f>"First Bank"</f>
        <v>First Bank</v>
      </c>
      <c r="M101" s="40" t="str">
        <f>""</f>
        <v/>
      </c>
      <c r="N101" s="40" t="str">
        <f>""</f>
        <v/>
      </c>
      <c r="O101" s="41">
        <v>0</v>
      </c>
      <c r="P101" s="41">
        <v>-144</v>
      </c>
      <c r="Q101" s="41">
        <v>0</v>
      </c>
      <c r="R101" s="41">
        <v>0</v>
      </c>
      <c r="S101" s="41">
        <v>0</v>
      </c>
      <c r="T101" s="41">
        <v>0</v>
      </c>
      <c r="U101" s="54"/>
    </row>
    <row r="102" spans="1:21" ht="17.25" customHeight="1" x14ac:dyDescent="0.3">
      <c r="A102" s="15" t="s">
        <v>29</v>
      </c>
      <c r="C102" s="19"/>
      <c r="D102" s="33"/>
      <c r="E102" s="33"/>
      <c r="F102" s="20"/>
      <c r="G102" s="20"/>
      <c r="H102" s="20"/>
      <c r="I102" s="20"/>
      <c r="J102" s="20"/>
      <c r="K102" s="20"/>
      <c r="L102" s="20"/>
      <c r="M102" s="20"/>
      <c r="N102" s="20"/>
      <c r="O102" s="42"/>
      <c r="P102" s="42"/>
      <c r="Q102" s="42"/>
      <c r="R102" s="42"/>
      <c r="S102" s="42"/>
      <c r="T102" s="42"/>
      <c r="U102" s="55"/>
    </row>
    <row r="103" spans="1:21" ht="17.25" customHeight="1" x14ac:dyDescent="0.3">
      <c r="A103" s="15" t="s">
        <v>29</v>
      </c>
      <c r="C103" s="19"/>
      <c r="D103" s="33"/>
      <c r="E103" s="33" t="s">
        <v>30</v>
      </c>
      <c r="F103" s="20" t="s">
        <v>30</v>
      </c>
      <c r="G103" s="20" t="s">
        <v>30</v>
      </c>
      <c r="H103" s="20"/>
      <c r="I103" s="20"/>
      <c r="J103" s="20" t="s">
        <v>30</v>
      </c>
      <c r="K103" s="20" t="s">
        <v>30</v>
      </c>
      <c r="L103" s="20" t="s">
        <v>30</v>
      </c>
      <c r="M103" s="20" t="s">
        <v>30</v>
      </c>
      <c r="N103" s="20"/>
      <c r="U103" s="56"/>
    </row>
    <row r="104" spans="1:21" ht="20.25" customHeight="1" x14ac:dyDescent="0.35">
      <c r="A104" s="15" t="s">
        <v>29</v>
      </c>
      <c r="C104" s="19"/>
      <c r="D104" s="34" t="str">
        <f t="shared" ref="D104" si="85">E104</f>
        <v>E100005</v>
      </c>
      <c r="E104" s="35" t="str">
        <f>"E100005"</f>
        <v>E100005</v>
      </c>
      <c r="F104" s="36" t="str">
        <f>"All Purpose Tote"</f>
        <v>All Purpose Tote</v>
      </c>
      <c r="G104" s="36"/>
      <c r="H104" s="37" t="str">
        <f>"EA"</f>
        <v>EA</v>
      </c>
      <c r="I104" s="36"/>
      <c r="J104" s="36"/>
      <c r="K104" s="36"/>
      <c r="L104" s="36"/>
      <c r="M104" s="36"/>
      <c r="N104" s="36"/>
      <c r="O104" s="38">
        <f t="shared" ref="O104:T104" si="86">(SUBTOTAL(9,O105:O107))</f>
        <v>0</v>
      </c>
      <c r="P104" s="38">
        <f t="shared" si="86"/>
        <v>-145</v>
      </c>
      <c r="Q104" s="38">
        <f t="shared" si="86"/>
        <v>0</v>
      </c>
      <c r="R104" s="38">
        <f t="shared" si="86"/>
        <v>0</v>
      </c>
      <c r="S104" s="38">
        <f t="shared" si="86"/>
        <v>0</v>
      </c>
      <c r="T104" s="38">
        <f t="shared" si="86"/>
        <v>0</v>
      </c>
      <c r="U104" s="53">
        <f t="shared" ref="U104" si="87">SUBTOTAL(9,O105:T107)</f>
        <v>-145</v>
      </c>
    </row>
    <row r="105" spans="1:21" ht="17.25" customHeight="1" x14ac:dyDescent="0.3">
      <c r="A105" s="15" t="s">
        <v>29</v>
      </c>
      <c r="C105" s="19"/>
      <c r="D105" s="33" t="str">
        <f t="shared" ref="D105" si="88">D104</f>
        <v>E100005</v>
      </c>
      <c r="E105" s="33"/>
      <c r="F105" s="20"/>
      <c r="G105" s="20" t="str">
        <f>"""NAV"",""CRONUS JetCorp USA"",""32"",""1"",""153198"""</f>
        <v>"NAV","CRONUS JetCorp USA","32","1","153198"</v>
      </c>
      <c r="H105" s="39">
        <v>43469</v>
      </c>
      <c r="I105" s="40">
        <v>153198</v>
      </c>
      <c r="J105" s="40" t="str">
        <f>"Customer"</f>
        <v>Customer</v>
      </c>
      <c r="K105" s="40" t="str">
        <f>"C100136"</f>
        <v>C100136</v>
      </c>
      <c r="L105" s="40" t="str">
        <f>"First Bank"</f>
        <v>First Bank</v>
      </c>
      <c r="M105" s="40" t="str">
        <f>""</f>
        <v/>
      </c>
      <c r="N105" s="40" t="str">
        <f>""</f>
        <v/>
      </c>
      <c r="O105" s="41">
        <v>0</v>
      </c>
      <c r="P105" s="41">
        <v>-1</v>
      </c>
      <c r="Q105" s="41">
        <v>0</v>
      </c>
      <c r="R105" s="41">
        <v>0</v>
      </c>
      <c r="S105" s="41">
        <v>0</v>
      </c>
      <c r="T105" s="41">
        <v>0</v>
      </c>
      <c r="U105" s="54"/>
    </row>
    <row r="106" spans="1:21" ht="17.25" customHeight="1" x14ac:dyDescent="0.3">
      <c r="A106" s="15" t="s">
        <v>29</v>
      </c>
      <c r="C106" s="19"/>
      <c r="D106" s="33" t="str">
        <f t="shared" ref="D106" si="89">D105</f>
        <v>E100005</v>
      </c>
      <c r="E106" s="33"/>
      <c r="F106" s="20"/>
      <c r="G106" s="20" t="str">
        <f>"""NAV"",""CRONUS JetCorp USA"",""32"",""1"",""153168"""</f>
        <v>"NAV","CRONUS JetCorp USA","32","1","153168"</v>
      </c>
      <c r="H106" s="39">
        <v>43470</v>
      </c>
      <c r="I106" s="40">
        <v>153168</v>
      </c>
      <c r="J106" s="40" t="str">
        <f>"Customer"</f>
        <v>Customer</v>
      </c>
      <c r="K106" s="40" t="str">
        <f>"C100136"</f>
        <v>C100136</v>
      </c>
      <c r="L106" s="40" t="str">
        <f>"First Bank"</f>
        <v>First Bank</v>
      </c>
      <c r="M106" s="40" t="str">
        <f>""</f>
        <v/>
      </c>
      <c r="N106" s="40" t="str">
        <f>""</f>
        <v/>
      </c>
      <c r="O106" s="41">
        <v>0</v>
      </c>
      <c r="P106" s="41">
        <v>-144</v>
      </c>
      <c r="Q106" s="41">
        <v>0</v>
      </c>
      <c r="R106" s="41">
        <v>0</v>
      </c>
      <c r="S106" s="41">
        <v>0</v>
      </c>
      <c r="T106" s="41">
        <v>0</v>
      </c>
      <c r="U106" s="54"/>
    </row>
    <row r="107" spans="1:21" ht="17.25" customHeight="1" x14ac:dyDescent="0.3">
      <c r="A107" s="15" t="s">
        <v>29</v>
      </c>
      <c r="C107" s="19"/>
      <c r="D107" s="33"/>
      <c r="E107" s="33"/>
      <c r="F107" s="20"/>
      <c r="G107" s="20"/>
      <c r="H107" s="20"/>
      <c r="I107" s="20"/>
      <c r="J107" s="20"/>
      <c r="K107" s="20"/>
      <c r="L107" s="20"/>
      <c r="M107" s="20"/>
      <c r="N107" s="20"/>
      <c r="O107" s="42"/>
      <c r="P107" s="42"/>
      <c r="Q107" s="42"/>
      <c r="R107" s="42"/>
      <c r="S107" s="42"/>
      <c r="T107" s="42"/>
      <c r="U107" s="55"/>
    </row>
    <row r="108" spans="1:21" ht="17.25" customHeight="1" x14ac:dyDescent="0.3">
      <c r="A108" s="15" t="s">
        <v>29</v>
      </c>
      <c r="C108" s="19"/>
      <c r="D108" s="33"/>
      <c r="E108" s="33" t="s">
        <v>30</v>
      </c>
      <c r="F108" s="20" t="s">
        <v>30</v>
      </c>
      <c r="G108" s="20" t="s">
        <v>30</v>
      </c>
      <c r="H108" s="20"/>
      <c r="I108" s="20"/>
      <c r="J108" s="20" t="s">
        <v>30</v>
      </c>
      <c r="K108" s="20" t="s">
        <v>30</v>
      </c>
      <c r="L108" s="20" t="s">
        <v>30</v>
      </c>
      <c r="M108" s="20" t="s">
        <v>30</v>
      </c>
      <c r="N108" s="20"/>
      <c r="U108" s="56"/>
    </row>
    <row r="109" spans="1:21" ht="20.25" customHeight="1" x14ac:dyDescent="0.35">
      <c r="A109" s="15" t="s">
        <v>29</v>
      </c>
      <c r="C109" s="19"/>
      <c r="D109" s="34" t="str">
        <f t="shared" ref="D109" si="90">E109</f>
        <v>E100006</v>
      </c>
      <c r="E109" s="35" t="str">
        <f>"E100006"</f>
        <v>E100006</v>
      </c>
      <c r="F109" s="36" t="str">
        <f>"Budget Tote Bag"</f>
        <v>Budget Tote Bag</v>
      </c>
      <c r="G109" s="36"/>
      <c r="H109" s="37" t="str">
        <f>"EA"</f>
        <v>EA</v>
      </c>
      <c r="I109" s="36"/>
      <c r="J109" s="36"/>
      <c r="K109" s="36"/>
      <c r="L109" s="36"/>
      <c r="M109" s="36"/>
      <c r="N109" s="36"/>
      <c r="O109" s="38">
        <f t="shared" ref="O109:T109" si="91">(SUBTOTAL(9,O110:O113))</f>
        <v>200</v>
      </c>
      <c r="P109" s="38">
        <f t="shared" si="91"/>
        <v>-2</v>
      </c>
      <c r="Q109" s="38">
        <f t="shared" si="91"/>
        <v>0</v>
      </c>
      <c r="R109" s="38">
        <f t="shared" si="91"/>
        <v>0</v>
      </c>
      <c r="S109" s="38">
        <f t="shared" si="91"/>
        <v>0</v>
      </c>
      <c r="T109" s="38">
        <f t="shared" si="91"/>
        <v>0</v>
      </c>
      <c r="U109" s="53">
        <f t="shared" ref="U109" si="92">SUBTOTAL(9,O110:T113)</f>
        <v>198</v>
      </c>
    </row>
    <row r="110" spans="1:21" ht="17.25" customHeight="1" x14ac:dyDescent="0.3">
      <c r="A110" s="15" t="s">
        <v>29</v>
      </c>
      <c r="C110" s="19"/>
      <c r="D110" s="33" t="str">
        <f t="shared" ref="D110" si="93">D109</f>
        <v>E100006</v>
      </c>
      <c r="E110" s="33"/>
      <c r="F110" s="20"/>
      <c r="G110" s="20" t="str">
        <f>"""NAV"",""CRONUS JetCorp USA"",""32"",""1"",""166802"""</f>
        <v>"NAV","CRONUS JetCorp USA","32","1","166802"</v>
      </c>
      <c r="H110" s="39">
        <v>43466</v>
      </c>
      <c r="I110" s="40">
        <v>166802</v>
      </c>
      <c r="J110" s="40" t="str">
        <f>"Vendor"</f>
        <v>Vendor</v>
      </c>
      <c r="K110" s="40" t="str">
        <f>"V100001"</f>
        <v>V100001</v>
      </c>
      <c r="L110" s="40" t="str">
        <f>""</f>
        <v/>
      </c>
      <c r="M110" s="40" t="str">
        <f>"Greigner, Inc."</f>
        <v>Greigner, Inc.</v>
      </c>
      <c r="N110" s="40" t="str">
        <f>""</f>
        <v/>
      </c>
      <c r="O110" s="41">
        <v>200</v>
      </c>
      <c r="P110" s="41">
        <v>0</v>
      </c>
      <c r="Q110" s="41">
        <v>0</v>
      </c>
      <c r="R110" s="41">
        <v>0</v>
      </c>
      <c r="S110" s="41">
        <v>0</v>
      </c>
      <c r="T110" s="41">
        <v>0</v>
      </c>
      <c r="U110" s="54"/>
    </row>
    <row r="111" spans="1:21" ht="17.25" customHeight="1" x14ac:dyDescent="0.3">
      <c r="A111" s="15" t="s">
        <v>29</v>
      </c>
      <c r="C111" s="19"/>
      <c r="D111" s="33" t="str">
        <f t="shared" ref="D111:D112" si="94">D110</f>
        <v>E100006</v>
      </c>
      <c r="E111" s="33"/>
      <c r="F111" s="20"/>
      <c r="G111" s="20" t="str">
        <f>"""NAV"",""CRONUS JetCorp USA"",""32"",""1"",""153200"""</f>
        <v>"NAV","CRONUS JetCorp USA","32","1","153200"</v>
      </c>
      <c r="H111" s="39">
        <v>43469</v>
      </c>
      <c r="I111" s="40">
        <v>153200</v>
      </c>
      <c r="J111" s="40" t="str">
        <f>"Customer"</f>
        <v>Customer</v>
      </c>
      <c r="K111" s="40" t="str">
        <f>"C100136"</f>
        <v>C100136</v>
      </c>
      <c r="L111" s="40" t="str">
        <f>"First Bank"</f>
        <v>First Bank</v>
      </c>
      <c r="M111" s="40" t="str">
        <f>""</f>
        <v/>
      </c>
      <c r="N111" s="40" t="str">
        <f>""</f>
        <v/>
      </c>
      <c r="O111" s="41">
        <v>0</v>
      </c>
      <c r="P111" s="41">
        <v>-1</v>
      </c>
      <c r="Q111" s="41">
        <v>0</v>
      </c>
      <c r="R111" s="41">
        <v>0</v>
      </c>
      <c r="S111" s="41">
        <v>0</v>
      </c>
      <c r="T111" s="41">
        <v>0</v>
      </c>
      <c r="U111" s="54"/>
    </row>
    <row r="112" spans="1:21" ht="17.25" customHeight="1" x14ac:dyDescent="0.3">
      <c r="A112" s="15" t="s">
        <v>29</v>
      </c>
      <c r="C112" s="19"/>
      <c r="D112" s="33" t="str">
        <f t="shared" si="94"/>
        <v>E100006</v>
      </c>
      <c r="E112" s="33"/>
      <c r="F112" s="20"/>
      <c r="G112" s="20" t="str">
        <f>"""NAV"",""CRONUS JetCorp USA"",""32"",""1"",""153176"""</f>
        <v>"NAV","CRONUS JetCorp USA","32","1","153176"</v>
      </c>
      <c r="H112" s="39">
        <v>43470</v>
      </c>
      <c r="I112" s="40">
        <v>153176</v>
      </c>
      <c r="J112" s="40" t="str">
        <f>"Customer"</f>
        <v>Customer</v>
      </c>
      <c r="K112" s="40" t="str">
        <f>"C100136"</f>
        <v>C100136</v>
      </c>
      <c r="L112" s="40" t="str">
        <f>"First Bank"</f>
        <v>First Bank</v>
      </c>
      <c r="M112" s="40" t="str">
        <f>""</f>
        <v/>
      </c>
      <c r="N112" s="40" t="str">
        <f>""</f>
        <v/>
      </c>
      <c r="O112" s="41">
        <v>0</v>
      </c>
      <c r="P112" s="41">
        <v>-1</v>
      </c>
      <c r="Q112" s="41">
        <v>0</v>
      </c>
      <c r="R112" s="41">
        <v>0</v>
      </c>
      <c r="S112" s="41">
        <v>0</v>
      </c>
      <c r="T112" s="41">
        <v>0</v>
      </c>
      <c r="U112" s="54"/>
    </row>
    <row r="113" spans="1:21" ht="17.25" customHeight="1" x14ac:dyDescent="0.3">
      <c r="A113" s="15" t="s">
        <v>29</v>
      </c>
      <c r="C113" s="19"/>
      <c r="D113" s="33"/>
      <c r="E113" s="33"/>
      <c r="F113" s="20"/>
      <c r="G113" s="20"/>
      <c r="H113" s="20"/>
      <c r="I113" s="20"/>
      <c r="J113" s="20"/>
      <c r="K113" s="20"/>
      <c r="L113" s="20"/>
      <c r="M113" s="20"/>
      <c r="N113" s="20"/>
      <c r="O113" s="42"/>
      <c r="P113" s="42"/>
      <c r="Q113" s="42"/>
      <c r="R113" s="42"/>
      <c r="S113" s="42"/>
      <c r="T113" s="42"/>
      <c r="U113" s="55"/>
    </row>
    <row r="114" spans="1:21" ht="17.25" customHeight="1" x14ac:dyDescent="0.3">
      <c r="A114" s="15" t="s">
        <v>29</v>
      </c>
      <c r="C114" s="19"/>
      <c r="D114" s="33"/>
      <c r="E114" s="33" t="s">
        <v>30</v>
      </c>
      <c r="F114" s="20" t="s">
        <v>30</v>
      </c>
      <c r="G114" s="20" t="s">
        <v>30</v>
      </c>
      <c r="H114" s="20"/>
      <c r="I114" s="20"/>
      <c r="J114" s="20" t="s">
        <v>30</v>
      </c>
      <c r="K114" s="20" t="s">
        <v>30</v>
      </c>
      <c r="L114" s="20" t="s">
        <v>30</v>
      </c>
      <c r="M114" s="20" t="s">
        <v>30</v>
      </c>
      <c r="N114" s="20"/>
      <c r="U114" s="56"/>
    </row>
    <row r="115" spans="1:21" ht="20.25" customHeight="1" x14ac:dyDescent="0.35">
      <c r="A115" s="15" t="s">
        <v>29</v>
      </c>
      <c r="C115" s="19"/>
      <c r="D115" s="34" t="str">
        <f t="shared" ref="D115" si="95">E115</f>
        <v>E100008</v>
      </c>
      <c r="E115" s="35" t="str">
        <f>"E100008"</f>
        <v>E100008</v>
      </c>
      <c r="F115" s="36" t="str">
        <f>"Super Shopper"</f>
        <v>Super Shopper</v>
      </c>
      <c r="G115" s="36"/>
      <c r="H115" s="37" t="str">
        <f>"EA"</f>
        <v>EA</v>
      </c>
      <c r="I115" s="36"/>
      <c r="J115" s="36"/>
      <c r="K115" s="36"/>
      <c r="L115" s="36"/>
      <c r="M115" s="36"/>
      <c r="N115" s="36"/>
      <c r="O115" s="38">
        <f t="shared" ref="O115:T115" si="96">(SUBTOTAL(9,O116:O119))</f>
        <v>400</v>
      </c>
      <c r="P115" s="38">
        <f t="shared" si="96"/>
        <v>-146</v>
      </c>
      <c r="Q115" s="38">
        <f t="shared" si="96"/>
        <v>0</v>
      </c>
      <c r="R115" s="38">
        <f t="shared" si="96"/>
        <v>0</v>
      </c>
      <c r="S115" s="38">
        <f t="shared" si="96"/>
        <v>0</v>
      </c>
      <c r="T115" s="38">
        <f t="shared" si="96"/>
        <v>0</v>
      </c>
      <c r="U115" s="53">
        <f t="shared" ref="U115" si="97">SUBTOTAL(9,O116:T119)</f>
        <v>254</v>
      </c>
    </row>
    <row r="116" spans="1:21" ht="17.25" customHeight="1" x14ac:dyDescent="0.3">
      <c r="A116" s="15" t="s">
        <v>29</v>
      </c>
      <c r="C116" s="19"/>
      <c r="D116" s="33" t="str">
        <f t="shared" ref="D116" si="98">D115</f>
        <v>E100008</v>
      </c>
      <c r="E116" s="33"/>
      <c r="F116" s="20"/>
      <c r="G116" s="20" t="str">
        <f>"""NAV"",""CRONUS JetCorp USA"",""32"",""1"",""166801"""</f>
        <v>"NAV","CRONUS JetCorp USA","32","1","166801"</v>
      </c>
      <c r="H116" s="39">
        <v>43466</v>
      </c>
      <c r="I116" s="40">
        <v>166801</v>
      </c>
      <c r="J116" s="40" t="str">
        <f>"Vendor"</f>
        <v>Vendor</v>
      </c>
      <c r="K116" s="40" t="str">
        <f>"V100001"</f>
        <v>V100001</v>
      </c>
      <c r="L116" s="40" t="str">
        <f>""</f>
        <v/>
      </c>
      <c r="M116" s="40" t="str">
        <f>"Greigner, Inc."</f>
        <v>Greigner, Inc.</v>
      </c>
      <c r="N116" s="40" t="str">
        <f>""</f>
        <v/>
      </c>
      <c r="O116" s="41">
        <v>400</v>
      </c>
      <c r="P116" s="41">
        <v>0</v>
      </c>
      <c r="Q116" s="41">
        <v>0</v>
      </c>
      <c r="R116" s="41">
        <v>0</v>
      </c>
      <c r="S116" s="41">
        <v>0</v>
      </c>
      <c r="T116" s="41">
        <v>0</v>
      </c>
      <c r="U116" s="54"/>
    </row>
    <row r="117" spans="1:21" ht="17.25" customHeight="1" x14ac:dyDescent="0.3">
      <c r="A117" s="15" t="s">
        <v>29</v>
      </c>
      <c r="C117" s="19"/>
      <c r="D117" s="33" t="str">
        <f t="shared" ref="D117:D118" si="99">D116</f>
        <v>E100008</v>
      </c>
      <c r="E117" s="33"/>
      <c r="F117" s="20"/>
      <c r="G117" s="20" t="str">
        <f>"""NAV"",""CRONUS JetCorp USA"",""32"",""1"",""153173"""</f>
        <v>"NAV","CRONUS JetCorp USA","32","1","153173"</v>
      </c>
      <c r="H117" s="39">
        <v>43470</v>
      </c>
      <c r="I117" s="40">
        <v>153173</v>
      </c>
      <c r="J117" s="40" t="str">
        <f>"Customer"</f>
        <v>Customer</v>
      </c>
      <c r="K117" s="40" t="str">
        <f>"C100136"</f>
        <v>C100136</v>
      </c>
      <c r="L117" s="40" t="str">
        <f>"First Bank"</f>
        <v>First Bank</v>
      </c>
      <c r="M117" s="40" t="str">
        <f>""</f>
        <v/>
      </c>
      <c r="N117" s="40" t="str">
        <f>""</f>
        <v/>
      </c>
      <c r="O117" s="41">
        <v>0</v>
      </c>
      <c r="P117" s="41">
        <v>-144</v>
      </c>
      <c r="Q117" s="41">
        <v>0</v>
      </c>
      <c r="R117" s="41">
        <v>0</v>
      </c>
      <c r="S117" s="41">
        <v>0</v>
      </c>
      <c r="T117" s="41">
        <v>0</v>
      </c>
      <c r="U117" s="54"/>
    </row>
    <row r="118" spans="1:21" ht="17.25" customHeight="1" x14ac:dyDescent="0.3">
      <c r="A118" s="15" t="s">
        <v>29</v>
      </c>
      <c r="C118" s="19"/>
      <c r="D118" s="33" t="str">
        <f t="shared" si="99"/>
        <v>E100008</v>
      </c>
      <c r="E118" s="33"/>
      <c r="F118" s="20"/>
      <c r="G118" s="20" t="str">
        <f>"""NAV"",""CRONUS JetCorp USA"",""32"",""1"",""64631"""</f>
        <v>"NAV","CRONUS JetCorp USA","32","1","64631"</v>
      </c>
      <c r="H118" s="39">
        <v>43475</v>
      </c>
      <c r="I118" s="40">
        <v>64631</v>
      </c>
      <c r="J118" s="40" t="str">
        <f>"Customer"</f>
        <v>Customer</v>
      </c>
      <c r="K118" s="40" t="str">
        <f>"C100136"</f>
        <v>C100136</v>
      </c>
      <c r="L118" s="40" t="str">
        <f>"First Bank"</f>
        <v>First Bank</v>
      </c>
      <c r="M118" s="40" t="str">
        <f>""</f>
        <v/>
      </c>
      <c r="N118" s="40" t="str">
        <f>""</f>
        <v/>
      </c>
      <c r="O118" s="41">
        <v>0</v>
      </c>
      <c r="P118" s="41">
        <v>-2</v>
      </c>
      <c r="Q118" s="41">
        <v>0</v>
      </c>
      <c r="R118" s="41">
        <v>0</v>
      </c>
      <c r="S118" s="41">
        <v>0</v>
      </c>
      <c r="T118" s="41">
        <v>0</v>
      </c>
      <c r="U118" s="54"/>
    </row>
    <row r="119" spans="1:21" ht="17.25" customHeight="1" x14ac:dyDescent="0.3">
      <c r="A119" s="15" t="s">
        <v>29</v>
      </c>
      <c r="C119" s="19"/>
      <c r="D119" s="33"/>
      <c r="E119" s="33"/>
      <c r="F119" s="20"/>
      <c r="G119" s="20"/>
      <c r="H119" s="20"/>
      <c r="I119" s="20"/>
      <c r="J119" s="20"/>
      <c r="K119" s="20"/>
      <c r="L119" s="20"/>
      <c r="M119" s="20"/>
      <c r="N119" s="20"/>
      <c r="O119" s="42"/>
      <c r="P119" s="42"/>
      <c r="Q119" s="42"/>
      <c r="R119" s="42"/>
      <c r="S119" s="42"/>
      <c r="T119" s="42"/>
      <c r="U119" s="55"/>
    </row>
    <row r="120" spans="1:21" ht="17.25" customHeight="1" x14ac:dyDescent="0.3">
      <c r="A120" s="15" t="s">
        <v>29</v>
      </c>
      <c r="C120" s="19"/>
      <c r="D120" s="33"/>
      <c r="E120" s="33" t="s">
        <v>30</v>
      </c>
      <c r="F120" s="20" t="s">
        <v>30</v>
      </c>
      <c r="G120" s="20" t="s">
        <v>30</v>
      </c>
      <c r="H120" s="20"/>
      <c r="I120" s="20"/>
      <c r="J120" s="20" t="s">
        <v>30</v>
      </c>
      <c r="K120" s="20" t="s">
        <v>30</v>
      </c>
      <c r="L120" s="20" t="s">
        <v>30</v>
      </c>
      <c r="M120" s="20" t="s">
        <v>30</v>
      </c>
      <c r="N120" s="20"/>
      <c r="U120" s="56"/>
    </row>
    <row r="121" spans="1:21" ht="20.25" customHeight="1" x14ac:dyDescent="0.35">
      <c r="A121" s="15" t="s">
        <v>29</v>
      </c>
      <c r="C121" s="19"/>
      <c r="D121" s="34" t="str">
        <f t="shared" ref="D121" si="100">E121</f>
        <v>E100009</v>
      </c>
      <c r="E121" s="35" t="str">
        <f>"E100009"</f>
        <v>E100009</v>
      </c>
      <c r="F121" s="36" t="str">
        <f>"Die-Cut Tote"</f>
        <v>Die-Cut Tote</v>
      </c>
      <c r="G121" s="36"/>
      <c r="H121" s="37" t="str">
        <f>"EA"</f>
        <v>EA</v>
      </c>
      <c r="I121" s="36"/>
      <c r="J121" s="36"/>
      <c r="K121" s="36"/>
      <c r="L121" s="36"/>
      <c r="M121" s="36"/>
      <c r="N121" s="36"/>
      <c r="O121" s="38">
        <f t="shared" ref="O121:T121" si="101">(SUBTOTAL(9,O122:O123))</f>
        <v>0</v>
      </c>
      <c r="P121" s="38">
        <f t="shared" si="101"/>
        <v>-145</v>
      </c>
      <c r="Q121" s="38">
        <f t="shared" si="101"/>
        <v>0</v>
      </c>
      <c r="R121" s="38">
        <f t="shared" si="101"/>
        <v>0</v>
      </c>
      <c r="S121" s="38">
        <f t="shared" si="101"/>
        <v>0</v>
      </c>
      <c r="T121" s="38">
        <f t="shared" si="101"/>
        <v>0</v>
      </c>
      <c r="U121" s="53">
        <f t="shared" ref="U121" si="102">SUBTOTAL(9,O122:T123)</f>
        <v>-145</v>
      </c>
    </row>
    <row r="122" spans="1:21" ht="17.25" customHeight="1" x14ac:dyDescent="0.3">
      <c r="A122" s="15" t="s">
        <v>29</v>
      </c>
      <c r="C122" s="19"/>
      <c r="D122" s="33" t="str">
        <f t="shared" ref="D122" si="103">D121</f>
        <v>E100009</v>
      </c>
      <c r="E122" s="33"/>
      <c r="F122" s="20"/>
      <c r="G122" s="20" t="str">
        <f>"""NAV"",""CRONUS JetCorp USA"",""32"",""1"",""64630"""</f>
        <v>"NAV","CRONUS JetCorp USA","32","1","64630"</v>
      </c>
      <c r="H122" s="39">
        <v>43475</v>
      </c>
      <c r="I122" s="40">
        <v>64630</v>
      </c>
      <c r="J122" s="40" t="str">
        <f>"Customer"</f>
        <v>Customer</v>
      </c>
      <c r="K122" s="40" t="str">
        <f>"C100136"</f>
        <v>C100136</v>
      </c>
      <c r="L122" s="40" t="str">
        <f>"First Bank"</f>
        <v>First Bank</v>
      </c>
      <c r="M122" s="40" t="str">
        <f>""</f>
        <v/>
      </c>
      <c r="N122" s="40" t="str">
        <f>""</f>
        <v/>
      </c>
      <c r="O122" s="41">
        <v>0</v>
      </c>
      <c r="P122" s="41">
        <v>-145</v>
      </c>
      <c r="Q122" s="41">
        <v>0</v>
      </c>
      <c r="R122" s="41">
        <v>0</v>
      </c>
      <c r="S122" s="41">
        <v>0</v>
      </c>
      <c r="T122" s="41">
        <v>0</v>
      </c>
      <c r="U122" s="54"/>
    </row>
    <row r="123" spans="1:21" ht="17.25" customHeight="1" x14ac:dyDescent="0.3">
      <c r="A123" s="15" t="s">
        <v>29</v>
      </c>
      <c r="C123" s="19"/>
      <c r="D123" s="33"/>
      <c r="E123" s="33"/>
      <c r="F123" s="20"/>
      <c r="G123" s="20"/>
      <c r="H123" s="20"/>
      <c r="I123" s="20"/>
      <c r="J123" s="20"/>
      <c r="K123" s="20"/>
      <c r="L123" s="20"/>
      <c r="M123" s="20"/>
      <c r="N123" s="20"/>
      <c r="O123" s="42"/>
      <c r="P123" s="42"/>
      <c r="Q123" s="42"/>
      <c r="R123" s="42"/>
      <c r="S123" s="42"/>
      <c r="T123" s="42"/>
      <c r="U123" s="55"/>
    </row>
    <row r="124" spans="1:21" ht="17.25" customHeight="1" x14ac:dyDescent="0.3">
      <c r="A124" s="15" t="s">
        <v>29</v>
      </c>
      <c r="C124" s="19"/>
      <c r="D124" s="33"/>
      <c r="E124" s="33" t="s">
        <v>30</v>
      </c>
      <c r="F124" s="20" t="s">
        <v>30</v>
      </c>
      <c r="G124" s="20" t="s">
        <v>30</v>
      </c>
      <c r="H124" s="20"/>
      <c r="I124" s="20"/>
      <c r="J124" s="20" t="s">
        <v>30</v>
      </c>
      <c r="K124" s="20" t="s">
        <v>30</v>
      </c>
      <c r="L124" s="20" t="s">
        <v>30</v>
      </c>
      <c r="M124" s="20" t="s">
        <v>30</v>
      </c>
      <c r="N124" s="20"/>
      <c r="U124" s="56"/>
    </row>
    <row r="125" spans="1:21" ht="20.25" customHeight="1" x14ac:dyDescent="0.35">
      <c r="A125" s="15" t="s">
        <v>29</v>
      </c>
      <c r="C125" s="19"/>
      <c r="D125" s="34" t="str">
        <f t="shared" ref="D125" si="104">E125</f>
        <v>E100010</v>
      </c>
      <c r="E125" s="35" t="str">
        <f>"E100010"</f>
        <v>E100010</v>
      </c>
      <c r="F125" s="36" t="str">
        <f>"Vinyl Tote"</f>
        <v>Vinyl Tote</v>
      </c>
      <c r="G125" s="36"/>
      <c r="H125" s="37" t="str">
        <f>"EA"</f>
        <v>EA</v>
      </c>
      <c r="I125" s="36"/>
      <c r="J125" s="36"/>
      <c r="K125" s="36"/>
      <c r="L125" s="36"/>
      <c r="M125" s="36"/>
      <c r="N125" s="36"/>
      <c r="O125" s="38">
        <f t="shared" ref="O125:T125" si="105">(SUBTOTAL(9,O126:O128))</f>
        <v>200</v>
      </c>
      <c r="P125" s="38">
        <f t="shared" si="105"/>
        <v>-288</v>
      </c>
      <c r="Q125" s="38">
        <f t="shared" si="105"/>
        <v>0</v>
      </c>
      <c r="R125" s="38">
        <f t="shared" si="105"/>
        <v>0</v>
      </c>
      <c r="S125" s="38">
        <f t="shared" si="105"/>
        <v>0</v>
      </c>
      <c r="T125" s="38">
        <f t="shared" si="105"/>
        <v>0</v>
      </c>
      <c r="U125" s="53">
        <f t="shared" ref="U125" si="106">SUBTOTAL(9,O126:T128)</f>
        <v>-88</v>
      </c>
    </row>
    <row r="126" spans="1:21" ht="17.25" customHeight="1" x14ac:dyDescent="0.3">
      <c r="A126" s="15" t="s">
        <v>29</v>
      </c>
      <c r="C126" s="19"/>
      <c r="D126" s="33" t="str">
        <f t="shared" ref="D126" si="107">D125</f>
        <v>E100010</v>
      </c>
      <c r="E126" s="33"/>
      <c r="F126" s="20"/>
      <c r="G126" s="20" t="str">
        <f>"""NAV"",""CRONUS JetCorp USA"",""32"",""1"",""166800"""</f>
        <v>"NAV","CRONUS JetCorp USA","32","1","166800"</v>
      </c>
      <c r="H126" s="39">
        <v>43466</v>
      </c>
      <c r="I126" s="40">
        <v>166800</v>
      </c>
      <c r="J126" s="40" t="str">
        <f>"Vendor"</f>
        <v>Vendor</v>
      </c>
      <c r="K126" s="40" t="str">
        <f>"V100001"</f>
        <v>V100001</v>
      </c>
      <c r="L126" s="40" t="str">
        <f>""</f>
        <v/>
      </c>
      <c r="M126" s="40" t="str">
        <f>"Greigner, Inc."</f>
        <v>Greigner, Inc.</v>
      </c>
      <c r="N126" s="40" t="str">
        <f>""</f>
        <v/>
      </c>
      <c r="O126" s="41">
        <v>200</v>
      </c>
      <c r="P126" s="41">
        <v>0</v>
      </c>
      <c r="Q126" s="41">
        <v>0</v>
      </c>
      <c r="R126" s="41">
        <v>0</v>
      </c>
      <c r="S126" s="41">
        <v>0</v>
      </c>
      <c r="T126" s="41">
        <v>0</v>
      </c>
      <c r="U126" s="54"/>
    </row>
    <row r="127" spans="1:21" ht="17.25" customHeight="1" x14ac:dyDescent="0.3">
      <c r="A127" s="15" t="s">
        <v>29</v>
      </c>
      <c r="C127" s="19"/>
      <c r="D127" s="33" t="str">
        <f t="shared" ref="D127" si="108">D126</f>
        <v>E100010</v>
      </c>
      <c r="E127" s="33"/>
      <c r="F127" s="20"/>
      <c r="G127" s="20" t="str">
        <f>"""NAV"",""CRONUS JetCorp USA"",""32"",""1"",""64627"""</f>
        <v>"NAV","CRONUS JetCorp USA","32","1","64627"</v>
      </c>
      <c r="H127" s="39">
        <v>43475</v>
      </c>
      <c r="I127" s="40">
        <v>64627</v>
      </c>
      <c r="J127" s="40" t="str">
        <f>"Customer"</f>
        <v>Customer</v>
      </c>
      <c r="K127" s="40" t="str">
        <f>"C100136"</f>
        <v>C100136</v>
      </c>
      <c r="L127" s="40" t="str">
        <f>"First Bank"</f>
        <v>First Bank</v>
      </c>
      <c r="M127" s="40" t="str">
        <f>""</f>
        <v/>
      </c>
      <c r="N127" s="40" t="str">
        <f>""</f>
        <v/>
      </c>
      <c r="O127" s="41">
        <v>0</v>
      </c>
      <c r="P127" s="41">
        <v>-288</v>
      </c>
      <c r="Q127" s="41">
        <v>0</v>
      </c>
      <c r="R127" s="41">
        <v>0</v>
      </c>
      <c r="S127" s="41">
        <v>0</v>
      </c>
      <c r="T127" s="41">
        <v>0</v>
      </c>
      <c r="U127" s="54"/>
    </row>
    <row r="128" spans="1:21" ht="17.25" customHeight="1" x14ac:dyDescent="0.3">
      <c r="A128" s="15" t="s">
        <v>29</v>
      </c>
      <c r="C128" s="19"/>
      <c r="D128" s="33"/>
      <c r="E128" s="33"/>
      <c r="F128" s="20"/>
      <c r="G128" s="20"/>
      <c r="H128" s="20"/>
      <c r="I128" s="20"/>
      <c r="J128" s="20"/>
      <c r="K128" s="20"/>
      <c r="L128" s="20"/>
      <c r="M128" s="20"/>
      <c r="N128" s="20"/>
      <c r="O128" s="42"/>
      <c r="P128" s="42"/>
      <c r="Q128" s="42"/>
      <c r="R128" s="42"/>
      <c r="S128" s="42"/>
      <c r="T128" s="42"/>
      <c r="U128" s="55"/>
    </row>
    <row r="129" spans="1:21" ht="17.25" customHeight="1" x14ac:dyDescent="0.3">
      <c r="A129" s="15" t="s">
        <v>29</v>
      </c>
      <c r="C129" s="19"/>
      <c r="D129" s="33"/>
      <c r="E129" s="33" t="s">
        <v>30</v>
      </c>
      <c r="F129" s="20" t="s">
        <v>30</v>
      </c>
      <c r="G129" s="20" t="s">
        <v>30</v>
      </c>
      <c r="H129" s="20"/>
      <c r="I129" s="20"/>
      <c r="J129" s="20" t="s">
        <v>30</v>
      </c>
      <c r="K129" s="20" t="s">
        <v>30</v>
      </c>
      <c r="L129" s="20" t="s">
        <v>30</v>
      </c>
      <c r="M129" s="20" t="s">
        <v>30</v>
      </c>
      <c r="N129" s="20"/>
      <c r="U129" s="56"/>
    </row>
    <row r="130" spans="1:21" ht="20.25" customHeight="1" x14ac:dyDescent="0.35">
      <c r="A130" s="15" t="s">
        <v>29</v>
      </c>
      <c r="C130" s="19"/>
      <c r="D130" s="34" t="str">
        <f t="shared" ref="D130" si="109">E130</f>
        <v>E100011</v>
      </c>
      <c r="E130" s="35" t="str">
        <f>"E100011"</f>
        <v>E100011</v>
      </c>
      <c r="F130" s="36" t="str">
        <f>"Plastic Sun Visor"</f>
        <v>Plastic Sun Visor</v>
      </c>
      <c r="G130" s="36"/>
      <c r="H130" s="37" t="str">
        <f>"EA"</f>
        <v>EA</v>
      </c>
      <c r="I130" s="36"/>
      <c r="J130" s="36"/>
      <c r="K130" s="36"/>
      <c r="L130" s="36"/>
      <c r="M130" s="36"/>
      <c r="N130" s="36"/>
      <c r="O130" s="38">
        <f t="shared" ref="O130:T130" si="110">(SUBTOTAL(9,O131:O135))</f>
        <v>400</v>
      </c>
      <c r="P130" s="38">
        <f t="shared" si="110"/>
        <v>-721</v>
      </c>
      <c r="Q130" s="38">
        <f t="shared" si="110"/>
        <v>0</v>
      </c>
      <c r="R130" s="38">
        <f t="shared" si="110"/>
        <v>0</v>
      </c>
      <c r="S130" s="38">
        <f t="shared" si="110"/>
        <v>0</v>
      </c>
      <c r="T130" s="38">
        <f t="shared" si="110"/>
        <v>0</v>
      </c>
      <c r="U130" s="53">
        <f t="shared" ref="U130" si="111">SUBTOTAL(9,O131:T135)</f>
        <v>-321</v>
      </c>
    </row>
    <row r="131" spans="1:21" ht="17.25" customHeight="1" x14ac:dyDescent="0.3">
      <c r="A131" s="15" t="s">
        <v>29</v>
      </c>
      <c r="C131" s="19"/>
      <c r="D131" s="33" t="str">
        <f t="shared" ref="D131" si="112">D130</f>
        <v>E100011</v>
      </c>
      <c r="E131" s="33"/>
      <c r="F131" s="20"/>
      <c r="G131" s="20" t="str">
        <f>"""NAV"",""CRONUS JetCorp USA"",""32"",""1"",""167170"""</f>
        <v>"NAV","CRONUS JetCorp USA","32","1","167170"</v>
      </c>
      <c r="H131" s="39">
        <v>43466</v>
      </c>
      <c r="I131" s="40">
        <v>167170</v>
      </c>
      <c r="J131" s="40" t="str">
        <f>"Vendor"</f>
        <v>Vendor</v>
      </c>
      <c r="K131" s="40" t="str">
        <f>"V100001"</f>
        <v>V100001</v>
      </c>
      <c r="L131" s="40" t="str">
        <f>""</f>
        <v/>
      </c>
      <c r="M131" s="40" t="str">
        <f>"Greigner, Inc."</f>
        <v>Greigner, Inc.</v>
      </c>
      <c r="N131" s="40" t="str">
        <f>""</f>
        <v/>
      </c>
      <c r="O131" s="41">
        <v>400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54"/>
    </row>
    <row r="132" spans="1:21" ht="17.25" customHeight="1" x14ac:dyDescent="0.3">
      <c r="A132" s="15" t="s">
        <v>29</v>
      </c>
      <c r="C132" s="19"/>
      <c r="D132" s="33" t="str">
        <f t="shared" ref="D132:D134" si="113">D131</f>
        <v>E100011</v>
      </c>
      <c r="E132" s="33"/>
      <c r="F132" s="20"/>
      <c r="G132" s="20" t="str">
        <f>"""NAV"",""CRONUS JetCorp USA"",""32"",""1"",""20392"""</f>
        <v>"NAV","CRONUS JetCorp USA","32","1","20392"</v>
      </c>
      <c r="H132" s="39">
        <v>43473</v>
      </c>
      <c r="I132" s="40">
        <v>20392</v>
      </c>
      <c r="J132" s="40" t="str">
        <f>"Customer"</f>
        <v>Customer</v>
      </c>
      <c r="K132" s="40" t="str">
        <f>"C100130"</f>
        <v>C100130</v>
      </c>
      <c r="L132" s="40" t="str">
        <f>"Hotspot Systems"</f>
        <v>Hotspot Systems</v>
      </c>
      <c r="M132" s="40" t="str">
        <f>""</f>
        <v/>
      </c>
      <c r="N132" s="40" t="str">
        <f>""</f>
        <v/>
      </c>
      <c r="O132" s="41">
        <v>0</v>
      </c>
      <c r="P132" s="41">
        <v>-289</v>
      </c>
      <c r="Q132" s="41">
        <v>0</v>
      </c>
      <c r="R132" s="41">
        <v>0</v>
      </c>
      <c r="S132" s="41">
        <v>0</v>
      </c>
      <c r="T132" s="41">
        <v>0</v>
      </c>
      <c r="U132" s="54"/>
    </row>
    <row r="133" spans="1:21" ht="17.25" customHeight="1" x14ac:dyDescent="0.3">
      <c r="A133" s="15" t="s">
        <v>29</v>
      </c>
      <c r="C133" s="19"/>
      <c r="D133" s="33" t="str">
        <f t="shared" si="113"/>
        <v>E100011</v>
      </c>
      <c r="E133" s="33"/>
      <c r="F133" s="20"/>
      <c r="G133" s="20" t="str">
        <f>"""NAV"",""CRONUS JetCorp USA"",""32"",""1"",""20412"""</f>
        <v>"NAV","CRONUS JetCorp USA","32","1","20412"</v>
      </c>
      <c r="H133" s="39">
        <v>43475</v>
      </c>
      <c r="I133" s="40">
        <v>20412</v>
      </c>
      <c r="J133" s="40" t="str">
        <f>"Customer"</f>
        <v>Customer</v>
      </c>
      <c r="K133" s="40" t="str">
        <f>"C100130"</f>
        <v>C100130</v>
      </c>
      <c r="L133" s="40" t="str">
        <f>"Hotspot Systems"</f>
        <v>Hotspot Systems</v>
      </c>
      <c r="M133" s="40" t="str">
        <f>""</f>
        <v/>
      </c>
      <c r="N133" s="40" t="str">
        <f>""</f>
        <v/>
      </c>
      <c r="O133" s="41">
        <v>0</v>
      </c>
      <c r="P133" s="41">
        <v>-144</v>
      </c>
      <c r="Q133" s="41">
        <v>0</v>
      </c>
      <c r="R133" s="41">
        <v>0</v>
      </c>
      <c r="S133" s="41">
        <v>0</v>
      </c>
      <c r="T133" s="41">
        <v>0</v>
      </c>
      <c r="U133" s="54"/>
    </row>
    <row r="134" spans="1:21" ht="17.25" customHeight="1" x14ac:dyDescent="0.3">
      <c r="A134" s="15" t="s">
        <v>29</v>
      </c>
      <c r="C134" s="19"/>
      <c r="D134" s="33" t="str">
        <f t="shared" si="113"/>
        <v>E100011</v>
      </c>
      <c r="E134" s="33"/>
      <c r="F134" s="20"/>
      <c r="G134" s="20" t="str">
        <f>"""NAV"",""CRONUS JetCorp USA"",""32"",""1"",""64623"""</f>
        <v>"NAV","CRONUS JetCorp USA","32","1","64623"</v>
      </c>
      <c r="H134" s="39">
        <v>43475</v>
      </c>
      <c r="I134" s="40">
        <v>64623</v>
      </c>
      <c r="J134" s="40" t="str">
        <f>"Customer"</f>
        <v>Customer</v>
      </c>
      <c r="K134" s="40" t="str">
        <f>"C100136"</f>
        <v>C100136</v>
      </c>
      <c r="L134" s="40" t="str">
        <f>"First Bank"</f>
        <v>First Bank</v>
      </c>
      <c r="M134" s="40" t="str">
        <f>""</f>
        <v/>
      </c>
      <c r="N134" s="40" t="str">
        <f>""</f>
        <v/>
      </c>
      <c r="O134" s="41">
        <v>0</v>
      </c>
      <c r="P134" s="41">
        <v>-288</v>
      </c>
      <c r="Q134" s="41">
        <v>0</v>
      </c>
      <c r="R134" s="41">
        <v>0</v>
      </c>
      <c r="S134" s="41">
        <v>0</v>
      </c>
      <c r="T134" s="41">
        <v>0</v>
      </c>
      <c r="U134" s="54"/>
    </row>
    <row r="135" spans="1:21" ht="17.25" customHeight="1" x14ac:dyDescent="0.3">
      <c r="A135" s="15" t="s">
        <v>29</v>
      </c>
      <c r="C135" s="19"/>
      <c r="D135" s="33"/>
      <c r="E135" s="33"/>
      <c r="F135" s="20"/>
      <c r="G135" s="20"/>
      <c r="H135" s="20"/>
      <c r="I135" s="20"/>
      <c r="J135" s="20"/>
      <c r="K135" s="20"/>
      <c r="L135" s="20"/>
      <c r="M135" s="20"/>
      <c r="N135" s="20"/>
      <c r="O135" s="42"/>
      <c r="P135" s="42"/>
      <c r="Q135" s="42"/>
      <c r="R135" s="42"/>
      <c r="S135" s="42"/>
      <c r="T135" s="42"/>
      <c r="U135" s="55"/>
    </row>
    <row r="136" spans="1:21" ht="17.25" customHeight="1" x14ac:dyDescent="0.3">
      <c r="A136" s="15" t="s">
        <v>29</v>
      </c>
      <c r="C136" s="19"/>
      <c r="D136" s="33"/>
      <c r="E136" s="33" t="s">
        <v>30</v>
      </c>
      <c r="F136" s="20" t="s">
        <v>30</v>
      </c>
      <c r="G136" s="20" t="s">
        <v>30</v>
      </c>
      <c r="H136" s="20"/>
      <c r="I136" s="20"/>
      <c r="J136" s="20" t="s">
        <v>30</v>
      </c>
      <c r="K136" s="20" t="s">
        <v>30</v>
      </c>
      <c r="L136" s="20" t="s">
        <v>30</v>
      </c>
      <c r="M136" s="20" t="s">
        <v>30</v>
      </c>
      <c r="N136" s="20"/>
      <c r="U136" s="56"/>
    </row>
    <row r="137" spans="1:21" ht="20.25" customHeight="1" x14ac:dyDescent="0.35">
      <c r="A137" s="15" t="s">
        <v>29</v>
      </c>
      <c r="C137" s="19"/>
      <c r="D137" s="34" t="str">
        <f t="shared" ref="D137" si="114">E137</f>
        <v>E100013</v>
      </c>
      <c r="E137" s="35" t="str">
        <f>"E100013"</f>
        <v>E100013</v>
      </c>
      <c r="F137" s="36" t="str">
        <f>"Clip-on Stopwatch"</f>
        <v>Clip-on Stopwatch</v>
      </c>
      <c r="G137" s="36"/>
      <c r="H137" s="37" t="str">
        <f>"EA"</f>
        <v>EA</v>
      </c>
      <c r="I137" s="36"/>
      <c r="J137" s="36"/>
      <c r="K137" s="36"/>
      <c r="L137" s="36"/>
      <c r="M137" s="36"/>
      <c r="N137" s="36"/>
      <c r="O137" s="38">
        <f t="shared" ref="O137:T137" si="115">(SUBTOTAL(9,O138:O139))</f>
        <v>0</v>
      </c>
      <c r="P137" s="38">
        <f t="shared" si="115"/>
        <v>-144</v>
      </c>
      <c r="Q137" s="38">
        <f t="shared" si="115"/>
        <v>0</v>
      </c>
      <c r="R137" s="38">
        <f t="shared" si="115"/>
        <v>0</v>
      </c>
      <c r="S137" s="38">
        <f t="shared" si="115"/>
        <v>0</v>
      </c>
      <c r="T137" s="38">
        <f t="shared" si="115"/>
        <v>0</v>
      </c>
      <c r="U137" s="53">
        <f t="shared" ref="U137" si="116">SUBTOTAL(9,O138:T139)</f>
        <v>-144</v>
      </c>
    </row>
    <row r="138" spans="1:21" ht="17.25" customHeight="1" x14ac:dyDescent="0.3">
      <c r="A138" s="15" t="s">
        <v>29</v>
      </c>
      <c r="C138" s="19"/>
      <c r="D138" s="33" t="str">
        <f t="shared" ref="D138" si="117">D137</f>
        <v>E100013</v>
      </c>
      <c r="E138" s="33"/>
      <c r="F138" s="20"/>
      <c r="G138" s="20" t="str">
        <f>"""NAV"",""CRONUS JetCorp USA"",""32"",""1"",""64619"""</f>
        <v>"NAV","CRONUS JetCorp USA","32","1","64619"</v>
      </c>
      <c r="H138" s="39">
        <v>43475</v>
      </c>
      <c r="I138" s="40">
        <v>64619</v>
      </c>
      <c r="J138" s="40" t="str">
        <f>"Customer"</f>
        <v>Customer</v>
      </c>
      <c r="K138" s="40" t="str">
        <f>"C100136"</f>
        <v>C100136</v>
      </c>
      <c r="L138" s="40" t="str">
        <f>"First Bank"</f>
        <v>First Bank</v>
      </c>
      <c r="M138" s="40" t="str">
        <f>""</f>
        <v/>
      </c>
      <c r="N138" s="40" t="str">
        <f>""</f>
        <v/>
      </c>
      <c r="O138" s="41">
        <v>0</v>
      </c>
      <c r="P138" s="41">
        <v>-144</v>
      </c>
      <c r="Q138" s="41">
        <v>0</v>
      </c>
      <c r="R138" s="41">
        <v>0</v>
      </c>
      <c r="S138" s="41">
        <v>0</v>
      </c>
      <c r="T138" s="41">
        <v>0</v>
      </c>
      <c r="U138" s="54"/>
    </row>
    <row r="139" spans="1:21" ht="17.25" customHeight="1" x14ac:dyDescent="0.3">
      <c r="A139" s="15" t="s">
        <v>29</v>
      </c>
      <c r="C139" s="19"/>
      <c r="D139" s="33"/>
      <c r="E139" s="33"/>
      <c r="F139" s="20"/>
      <c r="G139" s="20"/>
      <c r="H139" s="20"/>
      <c r="I139" s="20"/>
      <c r="J139" s="20"/>
      <c r="K139" s="20"/>
      <c r="L139" s="20"/>
      <c r="M139" s="20"/>
      <c r="N139" s="20"/>
      <c r="O139" s="42"/>
      <c r="P139" s="42"/>
      <c r="Q139" s="42"/>
      <c r="R139" s="42"/>
      <c r="S139" s="42"/>
      <c r="T139" s="42"/>
      <c r="U139" s="55"/>
    </row>
    <row r="140" spans="1:21" ht="17.25" customHeight="1" x14ac:dyDescent="0.3">
      <c r="A140" s="15" t="s">
        <v>29</v>
      </c>
      <c r="C140" s="19"/>
      <c r="D140" s="33"/>
      <c r="E140" s="33" t="s">
        <v>30</v>
      </c>
      <c r="F140" s="20" t="s">
        <v>30</v>
      </c>
      <c r="G140" s="20" t="s">
        <v>30</v>
      </c>
      <c r="H140" s="20"/>
      <c r="I140" s="20"/>
      <c r="J140" s="20" t="s">
        <v>30</v>
      </c>
      <c r="K140" s="20" t="s">
        <v>30</v>
      </c>
      <c r="L140" s="20" t="s">
        <v>30</v>
      </c>
      <c r="M140" s="20" t="s">
        <v>30</v>
      </c>
      <c r="N140" s="20"/>
      <c r="U140" s="56"/>
    </row>
    <row r="141" spans="1:21" ht="20.25" customHeight="1" x14ac:dyDescent="0.35">
      <c r="A141" s="15" t="s">
        <v>29</v>
      </c>
      <c r="C141" s="19"/>
      <c r="D141" s="34" t="str">
        <f t="shared" ref="D141" si="118">E141</f>
        <v>E100014</v>
      </c>
      <c r="E141" s="35" t="str">
        <f>"E100014"</f>
        <v>E100014</v>
      </c>
      <c r="F141" s="36" t="str">
        <f>"Stopwatch with Neck Rope"</f>
        <v>Stopwatch with Neck Rope</v>
      </c>
      <c r="G141" s="36"/>
      <c r="H141" s="37" t="str">
        <f>"EA"</f>
        <v>EA</v>
      </c>
      <c r="I141" s="36"/>
      <c r="J141" s="36"/>
      <c r="K141" s="36"/>
      <c r="L141" s="36"/>
      <c r="M141" s="36"/>
      <c r="N141" s="36"/>
      <c r="O141" s="38">
        <f t="shared" ref="O141:T141" si="119">(SUBTOTAL(9,O142:O144))</f>
        <v>200</v>
      </c>
      <c r="P141" s="38">
        <f t="shared" si="119"/>
        <v>-144</v>
      </c>
      <c r="Q141" s="38">
        <f t="shared" si="119"/>
        <v>0</v>
      </c>
      <c r="R141" s="38">
        <f t="shared" si="119"/>
        <v>0</v>
      </c>
      <c r="S141" s="38">
        <f t="shared" si="119"/>
        <v>0</v>
      </c>
      <c r="T141" s="38">
        <f t="shared" si="119"/>
        <v>0</v>
      </c>
      <c r="U141" s="53">
        <f t="shared" ref="U141" si="120">SUBTOTAL(9,O142:T144)</f>
        <v>56</v>
      </c>
    </row>
    <row r="142" spans="1:21" ht="17.25" customHeight="1" x14ac:dyDescent="0.3">
      <c r="A142" s="15" t="s">
        <v>29</v>
      </c>
      <c r="C142" s="19"/>
      <c r="D142" s="33" t="str">
        <f t="shared" ref="D142" si="121">D141</f>
        <v>E100014</v>
      </c>
      <c r="E142" s="33"/>
      <c r="F142" s="20"/>
      <c r="G142" s="20" t="str">
        <f>"""NAV"",""CRONUS JetCorp USA"",""32"",""1"",""167622"""</f>
        <v>"NAV","CRONUS JetCorp USA","32","1","167622"</v>
      </c>
      <c r="H142" s="39">
        <v>43466</v>
      </c>
      <c r="I142" s="40">
        <v>167622</v>
      </c>
      <c r="J142" s="40" t="str">
        <f>"Vendor"</f>
        <v>Vendor</v>
      </c>
      <c r="K142" s="40" t="str">
        <f>"V100001"</f>
        <v>V100001</v>
      </c>
      <c r="L142" s="40" t="str">
        <f>""</f>
        <v/>
      </c>
      <c r="M142" s="40" t="str">
        <f>"Greigner, Inc."</f>
        <v>Greigner, Inc.</v>
      </c>
      <c r="N142" s="40" t="str">
        <f>""</f>
        <v/>
      </c>
      <c r="O142" s="41">
        <v>200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54"/>
    </row>
    <row r="143" spans="1:21" ht="17.25" customHeight="1" x14ac:dyDescent="0.3">
      <c r="A143" s="15" t="s">
        <v>29</v>
      </c>
      <c r="C143" s="19"/>
      <c r="D143" s="33" t="str">
        <f t="shared" ref="D143" si="122">D142</f>
        <v>E100014</v>
      </c>
      <c r="E143" s="33"/>
      <c r="F143" s="20"/>
      <c r="G143" s="20" t="str">
        <f>"""NAV"",""CRONUS JetCorp USA"",""32"",""1"",""20389"""</f>
        <v>"NAV","CRONUS JetCorp USA","32","1","20389"</v>
      </c>
      <c r="H143" s="39">
        <v>43473</v>
      </c>
      <c r="I143" s="40">
        <v>20389</v>
      </c>
      <c r="J143" s="40" t="str">
        <f>"Customer"</f>
        <v>Customer</v>
      </c>
      <c r="K143" s="40" t="str">
        <f>"C100130"</f>
        <v>C100130</v>
      </c>
      <c r="L143" s="40" t="str">
        <f>"Hotspot Systems"</f>
        <v>Hotspot Systems</v>
      </c>
      <c r="M143" s="40" t="str">
        <f>""</f>
        <v/>
      </c>
      <c r="N143" s="40" t="str">
        <f>""</f>
        <v/>
      </c>
      <c r="O143" s="41">
        <v>0</v>
      </c>
      <c r="P143" s="41">
        <v>-144</v>
      </c>
      <c r="Q143" s="41">
        <v>0</v>
      </c>
      <c r="R143" s="41">
        <v>0</v>
      </c>
      <c r="S143" s="41">
        <v>0</v>
      </c>
      <c r="T143" s="41">
        <v>0</v>
      </c>
      <c r="U143" s="54"/>
    </row>
    <row r="144" spans="1:21" ht="17.25" customHeight="1" x14ac:dyDescent="0.3">
      <c r="A144" s="15" t="s">
        <v>29</v>
      </c>
      <c r="C144" s="19"/>
      <c r="D144" s="33"/>
      <c r="E144" s="33"/>
      <c r="F144" s="20"/>
      <c r="G144" s="20"/>
      <c r="H144" s="20"/>
      <c r="I144" s="20"/>
      <c r="J144" s="20"/>
      <c r="K144" s="20"/>
      <c r="L144" s="20"/>
      <c r="M144" s="20"/>
      <c r="N144" s="20"/>
      <c r="O144" s="42"/>
      <c r="P144" s="42"/>
      <c r="Q144" s="42"/>
      <c r="R144" s="42"/>
      <c r="S144" s="42"/>
      <c r="T144" s="42"/>
      <c r="U144" s="55"/>
    </row>
    <row r="145" spans="1:21" ht="17.25" customHeight="1" x14ac:dyDescent="0.3">
      <c r="A145" s="15" t="s">
        <v>29</v>
      </c>
      <c r="C145" s="19"/>
      <c r="D145" s="33"/>
      <c r="E145" s="33" t="s">
        <v>30</v>
      </c>
      <c r="F145" s="20" t="s">
        <v>30</v>
      </c>
      <c r="G145" s="20" t="s">
        <v>30</v>
      </c>
      <c r="H145" s="20"/>
      <c r="I145" s="20"/>
      <c r="J145" s="20" t="s">
        <v>30</v>
      </c>
      <c r="K145" s="20" t="s">
        <v>30</v>
      </c>
      <c r="L145" s="20" t="s">
        <v>30</v>
      </c>
      <c r="M145" s="20" t="s">
        <v>30</v>
      </c>
      <c r="N145" s="20"/>
      <c r="U145" s="56"/>
    </row>
    <row r="146" spans="1:21" ht="20.25" customHeight="1" x14ac:dyDescent="0.35">
      <c r="A146" s="15" t="s">
        <v>29</v>
      </c>
      <c r="C146" s="19"/>
      <c r="D146" s="34" t="str">
        <f t="shared" ref="D146" si="123">E146</f>
        <v>E100016</v>
      </c>
      <c r="E146" s="35" t="str">
        <f>"E100016"</f>
        <v>E100016</v>
      </c>
      <c r="F146" s="36" t="str">
        <f>"4 Function Rotating Carabiner Watch"</f>
        <v>4 Function Rotating Carabiner Watch</v>
      </c>
      <c r="G146" s="36"/>
      <c r="H146" s="37" t="str">
        <f>"EA"</f>
        <v>EA</v>
      </c>
      <c r="I146" s="36"/>
      <c r="J146" s="36"/>
      <c r="K146" s="36"/>
      <c r="L146" s="36"/>
      <c r="M146" s="36"/>
      <c r="N146" s="36"/>
      <c r="O146" s="38">
        <f t="shared" ref="O146:T146" si="124">(SUBTOTAL(9,O147:O151))</f>
        <v>400</v>
      </c>
      <c r="P146" s="38">
        <f t="shared" si="124"/>
        <v>-289</v>
      </c>
      <c r="Q146" s="38">
        <f t="shared" si="124"/>
        <v>0</v>
      </c>
      <c r="R146" s="38">
        <f t="shared" si="124"/>
        <v>0</v>
      </c>
      <c r="S146" s="38">
        <f t="shared" si="124"/>
        <v>0</v>
      </c>
      <c r="T146" s="38">
        <f t="shared" si="124"/>
        <v>0</v>
      </c>
      <c r="U146" s="53">
        <f t="shared" ref="U146" si="125">SUBTOTAL(9,O147:T151)</f>
        <v>111</v>
      </c>
    </row>
    <row r="147" spans="1:21" ht="17.25" customHeight="1" x14ac:dyDescent="0.3">
      <c r="A147" s="15" t="s">
        <v>29</v>
      </c>
      <c r="C147" s="19"/>
      <c r="D147" s="33" t="str">
        <f t="shared" ref="D147" si="126">D146</f>
        <v>E100016</v>
      </c>
      <c r="E147" s="33"/>
      <c r="F147" s="20"/>
      <c r="G147" s="20" t="str">
        <f>"""NAV"",""CRONUS JetCorp USA"",""32"",""1"",""167621"""</f>
        <v>"NAV","CRONUS JetCorp USA","32","1","167621"</v>
      </c>
      <c r="H147" s="39">
        <v>43466</v>
      </c>
      <c r="I147" s="40">
        <v>167621</v>
      </c>
      <c r="J147" s="40" t="str">
        <f>"Vendor"</f>
        <v>Vendor</v>
      </c>
      <c r="K147" s="40" t="str">
        <f>"V100001"</f>
        <v>V100001</v>
      </c>
      <c r="L147" s="40" t="str">
        <f>""</f>
        <v/>
      </c>
      <c r="M147" s="40" t="str">
        <f>"Greigner, Inc."</f>
        <v>Greigner, Inc.</v>
      </c>
      <c r="N147" s="40" t="str">
        <f>""</f>
        <v/>
      </c>
      <c r="O147" s="41">
        <v>400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54"/>
    </row>
    <row r="148" spans="1:21" ht="17.25" customHeight="1" x14ac:dyDescent="0.3">
      <c r="A148" s="15" t="s">
        <v>29</v>
      </c>
      <c r="C148" s="19"/>
      <c r="D148" s="33" t="str">
        <f t="shared" ref="D148:D150" si="127">D147</f>
        <v>E100016</v>
      </c>
      <c r="E148" s="33"/>
      <c r="F148" s="20"/>
      <c r="G148" s="20" t="str">
        <f>"""NAV"",""CRONUS JetCorp USA"",""32"",""1"",""20388"""</f>
        <v>"NAV","CRONUS JetCorp USA","32","1","20388"</v>
      </c>
      <c r="H148" s="39">
        <v>43473</v>
      </c>
      <c r="I148" s="40">
        <v>20388</v>
      </c>
      <c r="J148" s="40" t="str">
        <f>"Customer"</f>
        <v>Customer</v>
      </c>
      <c r="K148" s="40" t="str">
        <f>"C100130"</f>
        <v>C100130</v>
      </c>
      <c r="L148" s="40" t="str">
        <f>"Hotspot Systems"</f>
        <v>Hotspot Systems</v>
      </c>
      <c r="M148" s="40" t="str">
        <f>""</f>
        <v/>
      </c>
      <c r="N148" s="40" t="str">
        <f>""</f>
        <v/>
      </c>
      <c r="O148" s="41">
        <v>0</v>
      </c>
      <c r="P148" s="41">
        <v>-144</v>
      </c>
      <c r="Q148" s="41">
        <v>0</v>
      </c>
      <c r="R148" s="41">
        <v>0</v>
      </c>
      <c r="S148" s="41">
        <v>0</v>
      </c>
      <c r="T148" s="41">
        <v>0</v>
      </c>
      <c r="U148" s="54"/>
    </row>
    <row r="149" spans="1:21" ht="17.25" customHeight="1" x14ac:dyDescent="0.3">
      <c r="A149" s="15" t="s">
        <v>29</v>
      </c>
      <c r="C149" s="19"/>
      <c r="D149" s="33" t="str">
        <f t="shared" si="127"/>
        <v>E100016</v>
      </c>
      <c r="E149" s="33"/>
      <c r="F149" s="20"/>
      <c r="G149" s="20" t="str">
        <f>"""NAV"",""CRONUS JetCorp USA"",""32"",""1"",""20416"""</f>
        <v>"NAV","CRONUS JetCorp USA","32","1","20416"</v>
      </c>
      <c r="H149" s="39">
        <v>43475</v>
      </c>
      <c r="I149" s="40">
        <v>20416</v>
      </c>
      <c r="J149" s="40" t="str">
        <f>"Customer"</f>
        <v>Customer</v>
      </c>
      <c r="K149" s="40" t="str">
        <f>"C100130"</f>
        <v>C100130</v>
      </c>
      <c r="L149" s="40" t="str">
        <f>"Hotspot Systems"</f>
        <v>Hotspot Systems</v>
      </c>
      <c r="M149" s="40" t="str">
        <f>""</f>
        <v/>
      </c>
      <c r="N149" s="40" t="str">
        <f>""</f>
        <v/>
      </c>
      <c r="O149" s="41">
        <v>0</v>
      </c>
      <c r="P149" s="41">
        <v>-1</v>
      </c>
      <c r="Q149" s="41">
        <v>0</v>
      </c>
      <c r="R149" s="41">
        <v>0</v>
      </c>
      <c r="S149" s="41">
        <v>0</v>
      </c>
      <c r="T149" s="41">
        <v>0</v>
      </c>
      <c r="U149" s="54"/>
    </row>
    <row r="150" spans="1:21" ht="17.25" customHeight="1" x14ac:dyDescent="0.3">
      <c r="A150" s="15" t="s">
        <v>29</v>
      </c>
      <c r="C150" s="19"/>
      <c r="D150" s="33" t="str">
        <f t="shared" si="127"/>
        <v>E100016</v>
      </c>
      <c r="E150" s="33"/>
      <c r="F150" s="20"/>
      <c r="G150" s="20" t="str">
        <f>"""NAV"",""CRONUS JetCorp USA"",""32"",""1"",""64617"""</f>
        <v>"NAV","CRONUS JetCorp USA","32","1","64617"</v>
      </c>
      <c r="H150" s="39">
        <v>43475</v>
      </c>
      <c r="I150" s="40">
        <v>64617</v>
      </c>
      <c r="J150" s="40" t="str">
        <f>"Customer"</f>
        <v>Customer</v>
      </c>
      <c r="K150" s="40" t="str">
        <f>"C100136"</f>
        <v>C100136</v>
      </c>
      <c r="L150" s="40" t="str">
        <f>"First Bank"</f>
        <v>First Bank</v>
      </c>
      <c r="M150" s="40" t="str">
        <f>""</f>
        <v/>
      </c>
      <c r="N150" s="40" t="str">
        <f>""</f>
        <v/>
      </c>
      <c r="O150" s="41">
        <v>0</v>
      </c>
      <c r="P150" s="41">
        <v>-144</v>
      </c>
      <c r="Q150" s="41">
        <v>0</v>
      </c>
      <c r="R150" s="41">
        <v>0</v>
      </c>
      <c r="S150" s="41">
        <v>0</v>
      </c>
      <c r="T150" s="41">
        <v>0</v>
      </c>
      <c r="U150" s="54"/>
    </row>
    <row r="151" spans="1:21" ht="17.25" customHeight="1" x14ac:dyDescent="0.3">
      <c r="A151" s="15" t="s">
        <v>29</v>
      </c>
      <c r="C151" s="19"/>
      <c r="D151" s="33"/>
      <c r="E151" s="33"/>
      <c r="F151" s="20"/>
      <c r="G151" s="20"/>
      <c r="H151" s="20"/>
      <c r="I151" s="20"/>
      <c r="J151" s="20"/>
      <c r="K151" s="20"/>
      <c r="L151" s="20"/>
      <c r="M151" s="20"/>
      <c r="N151" s="20"/>
      <c r="O151" s="42"/>
      <c r="P151" s="42"/>
      <c r="Q151" s="42"/>
      <c r="R151" s="42"/>
      <c r="S151" s="42"/>
      <c r="T151" s="42"/>
      <c r="U151" s="55"/>
    </row>
    <row r="152" spans="1:21" ht="17.25" customHeight="1" x14ac:dyDescent="0.3">
      <c r="A152" s="15" t="s">
        <v>29</v>
      </c>
      <c r="C152" s="19"/>
      <c r="D152" s="33"/>
      <c r="E152" s="33" t="s">
        <v>30</v>
      </c>
      <c r="F152" s="20" t="s">
        <v>30</v>
      </c>
      <c r="G152" s="20" t="s">
        <v>30</v>
      </c>
      <c r="H152" s="20"/>
      <c r="I152" s="20"/>
      <c r="J152" s="20" t="s">
        <v>30</v>
      </c>
      <c r="K152" s="20" t="s">
        <v>30</v>
      </c>
      <c r="L152" s="20" t="s">
        <v>30</v>
      </c>
      <c r="M152" s="20" t="s">
        <v>30</v>
      </c>
      <c r="N152" s="20"/>
      <c r="U152" s="56"/>
    </row>
    <row r="153" spans="1:21" ht="20.25" customHeight="1" x14ac:dyDescent="0.35">
      <c r="A153" s="15" t="s">
        <v>29</v>
      </c>
      <c r="C153" s="19"/>
      <c r="D153" s="34" t="str">
        <f t="shared" ref="D153" si="128">E153</f>
        <v>E100017</v>
      </c>
      <c r="E153" s="35" t="str">
        <f>"E100017"</f>
        <v>E100017</v>
      </c>
      <c r="F153" s="36" t="str">
        <f>"Clip-on Clock with Compass"</f>
        <v>Clip-on Clock with Compass</v>
      </c>
      <c r="G153" s="36"/>
      <c r="H153" s="37" t="str">
        <f>"EA"</f>
        <v>EA</v>
      </c>
      <c r="I153" s="36"/>
      <c r="J153" s="36"/>
      <c r="K153" s="36"/>
      <c r="L153" s="36"/>
      <c r="M153" s="36"/>
      <c r="N153" s="36"/>
      <c r="O153" s="38">
        <f t="shared" ref="O153:T153" si="129">(SUBTOTAL(9,O154:O157))</f>
        <v>400</v>
      </c>
      <c r="P153" s="38">
        <f t="shared" si="129"/>
        <v>-288</v>
      </c>
      <c r="Q153" s="38">
        <f t="shared" si="129"/>
        <v>0</v>
      </c>
      <c r="R153" s="38">
        <f t="shared" si="129"/>
        <v>0</v>
      </c>
      <c r="S153" s="38">
        <f t="shared" si="129"/>
        <v>0</v>
      </c>
      <c r="T153" s="38">
        <f t="shared" si="129"/>
        <v>0</v>
      </c>
      <c r="U153" s="53">
        <f t="shared" ref="U153" si="130">SUBTOTAL(9,O154:T157)</f>
        <v>112</v>
      </c>
    </row>
    <row r="154" spans="1:21" ht="17.25" customHeight="1" x14ac:dyDescent="0.3">
      <c r="A154" s="15" t="s">
        <v>29</v>
      </c>
      <c r="C154" s="19"/>
      <c r="D154" s="33" t="str">
        <f t="shared" ref="D154" si="131">D153</f>
        <v>E100017</v>
      </c>
      <c r="E154" s="33"/>
      <c r="F154" s="20"/>
      <c r="G154" s="20" t="str">
        <f>"""NAV"",""CRONUS JetCorp USA"",""32"",""1"",""167620"""</f>
        <v>"NAV","CRONUS JetCorp USA","32","1","167620"</v>
      </c>
      <c r="H154" s="39">
        <v>43466</v>
      </c>
      <c r="I154" s="40">
        <v>167620</v>
      </c>
      <c r="J154" s="40" t="str">
        <f>"Vendor"</f>
        <v>Vendor</v>
      </c>
      <c r="K154" s="40" t="str">
        <f>"V100001"</f>
        <v>V100001</v>
      </c>
      <c r="L154" s="40" t="str">
        <f>""</f>
        <v/>
      </c>
      <c r="M154" s="40" t="str">
        <f>"Greigner, Inc."</f>
        <v>Greigner, Inc.</v>
      </c>
      <c r="N154" s="40" t="str">
        <f>""</f>
        <v/>
      </c>
      <c r="O154" s="41">
        <v>400</v>
      </c>
      <c r="P154" s="41">
        <v>0</v>
      </c>
      <c r="Q154" s="41">
        <v>0</v>
      </c>
      <c r="R154" s="41">
        <v>0</v>
      </c>
      <c r="S154" s="41">
        <v>0</v>
      </c>
      <c r="T154" s="41">
        <v>0</v>
      </c>
      <c r="U154" s="54"/>
    </row>
    <row r="155" spans="1:21" ht="17.25" customHeight="1" x14ac:dyDescent="0.3">
      <c r="A155" s="15" t="s">
        <v>29</v>
      </c>
      <c r="C155" s="19"/>
      <c r="D155" s="33" t="str">
        <f t="shared" ref="D155:D156" si="132">D154</f>
        <v>E100017</v>
      </c>
      <c r="E155" s="33"/>
      <c r="F155" s="20"/>
      <c r="G155" s="20" t="str">
        <f>"""NAV"",""CRONUS JetCorp USA"",""32"",""1"",""153169"""</f>
        <v>"NAV","CRONUS JetCorp USA","32","1","153169"</v>
      </c>
      <c r="H155" s="39">
        <v>43470</v>
      </c>
      <c r="I155" s="40">
        <v>153169</v>
      </c>
      <c r="J155" s="40" t="str">
        <f>"Customer"</f>
        <v>Customer</v>
      </c>
      <c r="K155" s="40" t="str">
        <f>"C100136"</f>
        <v>C100136</v>
      </c>
      <c r="L155" s="40" t="str">
        <f>"First Bank"</f>
        <v>First Bank</v>
      </c>
      <c r="M155" s="40" t="str">
        <f>""</f>
        <v/>
      </c>
      <c r="N155" s="40" t="str">
        <f>""</f>
        <v/>
      </c>
      <c r="O155" s="41">
        <v>0</v>
      </c>
      <c r="P155" s="41">
        <v>-144</v>
      </c>
      <c r="Q155" s="41">
        <v>0</v>
      </c>
      <c r="R155" s="41">
        <v>0</v>
      </c>
      <c r="S155" s="41">
        <v>0</v>
      </c>
      <c r="T155" s="41">
        <v>0</v>
      </c>
      <c r="U155" s="54"/>
    </row>
    <row r="156" spans="1:21" ht="17.25" customHeight="1" x14ac:dyDescent="0.3">
      <c r="A156" s="15" t="s">
        <v>29</v>
      </c>
      <c r="C156" s="19"/>
      <c r="D156" s="33" t="str">
        <f t="shared" si="132"/>
        <v>E100017</v>
      </c>
      <c r="E156" s="33"/>
      <c r="F156" s="20"/>
      <c r="G156" s="20" t="str">
        <f>"""NAV"",""CRONUS JetCorp USA"",""32"",""1"",""64624"""</f>
        <v>"NAV","CRONUS JetCorp USA","32","1","64624"</v>
      </c>
      <c r="H156" s="39">
        <v>43475</v>
      </c>
      <c r="I156" s="40">
        <v>64624</v>
      </c>
      <c r="J156" s="40" t="str">
        <f>"Customer"</f>
        <v>Customer</v>
      </c>
      <c r="K156" s="40" t="str">
        <f>"C100136"</f>
        <v>C100136</v>
      </c>
      <c r="L156" s="40" t="str">
        <f>"First Bank"</f>
        <v>First Bank</v>
      </c>
      <c r="M156" s="40" t="str">
        <f>""</f>
        <v/>
      </c>
      <c r="N156" s="40" t="str">
        <f>""</f>
        <v/>
      </c>
      <c r="O156" s="41">
        <v>0</v>
      </c>
      <c r="P156" s="41">
        <v>-144</v>
      </c>
      <c r="Q156" s="41">
        <v>0</v>
      </c>
      <c r="R156" s="41">
        <v>0</v>
      </c>
      <c r="S156" s="41">
        <v>0</v>
      </c>
      <c r="T156" s="41">
        <v>0</v>
      </c>
      <c r="U156" s="54"/>
    </row>
    <row r="157" spans="1:21" ht="17.25" customHeight="1" x14ac:dyDescent="0.3">
      <c r="A157" s="15" t="s">
        <v>29</v>
      </c>
      <c r="C157" s="19"/>
      <c r="D157" s="33"/>
      <c r="E157" s="33"/>
      <c r="F157" s="20"/>
      <c r="G157" s="20"/>
      <c r="H157" s="20"/>
      <c r="I157" s="20"/>
      <c r="J157" s="20"/>
      <c r="K157" s="20"/>
      <c r="L157" s="20"/>
      <c r="M157" s="20"/>
      <c r="N157" s="20"/>
      <c r="O157" s="42"/>
      <c r="P157" s="42"/>
      <c r="Q157" s="42"/>
      <c r="R157" s="42"/>
      <c r="S157" s="42"/>
      <c r="T157" s="42"/>
      <c r="U157" s="55"/>
    </row>
    <row r="158" spans="1:21" ht="17.25" customHeight="1" x14ac:dyDescent="0.3">
      <c r="A158" s="15" t="s">
        <v>29</v>
      </c>
      <c r="C158" s="19"/>
      <c r="D158" s="33"/>
      <c r="E158" s="33" t="s">
        <v>30</v>
      </c>
      <c r="F158" s="20" t="s">
        <v>30</v>
      </c>
      <c r="G158" s="20" t="s">
        <v>30</v>
      </c>
      <c r="H158" s="20"/>
      <c r="I158" s="20"/>
      <c r="J158" s="20" t="s">
        <v>30</v>
      </c>
      <c r="K158" s="20" t="s">
        <v>30</v>
      </c>
      <c r="L158" s="20" t="s">
        <v>30</v>
      </c>
      <c r="M158" s="20" t="s">
        <v>30</v>
      </c>
      <c r="N158" s="20"/>
      <c r="U158" s="56"/>
    </row>
    <row r="159" spans="1:21" ht="20.25" customHeight="1" x14ac:dyDescent="0.35">
      <c r="A159" s="15" t="s">
        <v>29</v>
      </c>
      <c r="C159" s="19"/>
      <c r="D159" s="34" t="str">
        <f t="shared" ref="D159" si="133">E159</f>
        <v>E100018</v>
      </c>
      <c r="E159" s="35" t="str">
        <f>"E100018"</f>
        <v>E100018</v>
      </c>
      <c r="F159" s="36" t="str">
        <f>"Flexi-Clock &amp; Clip"</f>
        <v>Flexi-Clock &amp; Clip</v>
      </c>
      <c r="G159" s="36"/>
      <c r="H159" s="37" t="str">
        <f>"EA"</f>
        <v>EA</v>
      </c>
      <c r="I159" s="36"/>
      <c r="J159" s="36"/>
      <c r="K159" s="36"/>
      <c r="L159" s="36"/>
      <c r="M159" s="36"/>
      <c r="N159" s="36"/>
      <c r="O159" s="38">
        <f t="shared" ref="O159:T159" si="134">(SUBTOTAL(9,O160:O162))</f>
        <v>200</v>
      </c>
      <c r="P159" s="38">
        <f t="shared" si="134"/>
        <v>-12</v>
      </c>
      <c r="Q159" s="38">
        <f t="shared" si="134"/>
        <v>0</v>
      </c>
      <c r="R159" s="38">
        <f t="shared" si="134"/>
        <v>0</v>
      </c>
      <c r="S159" s="38">
        <f t="shared" si="134"/>
        <v>0</v>
      </c>
      <c r="T159" s="38">
        <f t="shared" si="134"/>
        <v>0</v>
      </c>
      <c r="U159" s="53">
        <f t="shared" ref="U159" si="135">SUBTOTAL(9,O160:T162)</f>
        <v>188</v>
      </c>
    </row>
    <row r="160" spans="1:21" ht="17.25" customHeight="1" x14ac:dyDescent="0.3">
      <c r="A160" s="15" t="s">
        <v>29</v>
      </c>
      <c r="C160" s="19"/>
      <c r="D160" s="33" t="str">
        <f t="shared" ref="D160" si="136">D159</f>
        <v>E100018</v>
      </c>
      <c r="E160" s="33"/>
      <c r="F160" s="20"/>
      <c r="G160" s="20" t="str">
        <f>"""NAV"",""CRONUS JetCorp USA"",""32"",""1"",""167619"""</f>
        <v>"NAV","CRONUS JetCorp USA","32","1","167619"</v>
      </c>
      <c r="H160" s="39">
        <v>43466</v>
      </c>
      <c r="I160" s="40">
        <v>167619</v>
      </c>
      <c r="J160" s="40" t="str">
        <f>"Vendor"</f>
        <v>Vendor</v>
      </c>
      <c r="K160" s="40" t="str">
        <f>"V100001"</f>
        <v>V100001</v>
      </c>
      <c r="L160" s="40" t="str">
        <f>""</f>
        <v/>
      </c>
      <c r="M160" s="40" t="str">
        <f>"Greigner, Inc."</f>
        <v>Greigner, Inc.</v>
      </c>
      <c r="N160" s="40" t="str">
        <f>""</f>
        <v/>
      </c>
      <c r="O160" s="41">
        <v>200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54"/>
    </row>
    <row r="161" spans="1:21" ht="17.25" customHeight="1" x14ac:dyDescent="0.3">
      <c r="A161" s="15" t="s">
        <v>29</v>
      </c>
      <c r="C161" s="19"/>
      <c r="D161" s="33" t="str">
        <f t="shared" ref="D161" si="137">D160</f>
        <v>E100018</v>
      </c>
      <c r="E161" s="33"/>
      <c r="F161" s="20"/>
      <c r="G161" s="20" t="str">
        <f>"""NAV"",""CRONUS JetCorp USA"",""32"",""1"",""20414"""</f>
        <v>"NAV","CRONUS JetCorp USA","32","1","20414"</v>
      </c>
      <c r="H161" s="39">
        <v>43475</v>
      </c>
      <c r="I161" s="40">
        <v>20414</v>
      </c>
      <c r="J161" s="40" t="str">
        <f>"Customer"</f>
        <v>Customer</v>
      </c>
      <c r="K161" s="40" t="str">
        <f>"C100130"</f>
        <v>C100130</v>
      </c>
      <c r="L161" s="40" t="str">
        <f>"Hotspot Systems"</f>
        <v>Hotspot Systems</v>
      </c>
      <c r="M161" s="40" t="str">
        <f>""</f>
        <v/>
      </c>
      <c r="N161" s="40" t="str">
        <f>""</f>
        <v/>
      </c>
      <c r="O161" s="41">
        <v>0</v>
      </c>
      <c r="P161" s="41">
        <v>-12</v>
      </c>
      <c r="Q161" s="41">
        <v>0</v>
      </c>
      <c r="R161" s="41">
        <v>0</v>
      </c>
      <c r="S161" s="41">
        <v>0</v>
      </c>
      <c r="T161" s="41">
        <v>0</v>
      </c>
      <c r="U161" s="54"/>
    </row>
    <row r="162" spans="1:21" ht="17.25" customHeight="1" x14ac:dyDescent="0.3">
      <c r="A162" s="15" t="s">
        <v>29</v>
      </c>
      <c r="C162" s="19"/>
      <c r="D162" s="33"/>
      <c r="E162" s="33"/>
      <c r="F162" s="20"/>
      <c r="G162" s="20"/>
      <c r="H162" s="20"/>
      <c r="I162" s="20"/>
      <c r="J162" s="20"/>
      <c r="K162" s="20"/>
      <c r="L162" s="20"/>
      <c r="M162" s="20"/>
      <c r="N162" s="20"/>
      <c r="O162" s="42"/>
      <c r="P162" s="42"/>
      <c r="Q162" s="42"/>
      <c r="R162" s="42"/>
      <c r="S162" s="42"/>
      <c r="T162" s="42"/>
      <c r="U162" s="55"/>
    </row>
    <row r="163" spans="1:21" ht="17.25" customHeight="1" x14ac:dyDescent="0.3">
      <c r="A163" s="15" t="s">
        <v>29</v>
      </c>
      <c r="C163" s="19"/>
      <c r="D163" s="33"/>
      <c r="E163" s="33" t="s">
        <v>30</v>
      </c>
      <c r="F163" s="20" t="s">
        <v>30</v>
      </c>
      <c r="G163" s="20" t="s">
        <v>30</v>
      </c>
      <c r="H163" s="20"/>
      <c r="I163" s="20"/>
      <c r="J163" s="20" t="s">
        <v>30</v>
      </c>
      <c r="K163" s="20" t="s">
        <v>30</v>
      </c>
      <c r="L163" s="20" t="s">
        <v>30</v>
      </c>
      <c r="M163" s="20" t="s">
        <v>30</v>
      </c>
      <c r="N163" s="20"/>
      <c r="U163" s="56"/>
    </row>
    <row r="164" spans="1:21" ht="20.25" customHeight="1" x14ac:dyDescent="0.35">
      <c r="A164" s="15" t="s">
        <v>29</v>
      </c>
      <c r="C164" s="19"/>
      <c r="D164" s="34" t="str">
        <f t="shared" ref="D164" si="138">E164</f>
        <v>E100021</v>
      </c>
      <c r="E164" s="35" t="str">
        <f>"E100021"</f>
        <v>E100021</v>
      </c>
      <c r="F164" s="36" t="str">
        <f>"Slim Travel Alarm"</f>
        <v>Slim Travel Alarm</v>
      </c>
      <c r="G164" s="36"/>
      <c r="H164" s="37" t="str">
        <f>"EA"</f>
        <v>EA</v>
      </c>
      <c r="I164" s="36"/>
      <c r="J164" s="36"/>
      <c r="K164" s="36"/>
      <c r="L164" s="36"/>
      <c r="M164" s="36"/>
      <c r="N164" s="36"/>
      <c r="O164" s="38">
        <f t="shared" ref="O164:T164" si="139">(SUBTOTAL(9,O165:O166))</f>
        <v>0</v>
      </c>
      <c r="P164" s="38">
        <f t="shared" si="139"/>
        <v>-144</v>
      </c>
      <c r="Q164" s="38">
        <f t="shared" si="139"/>
        <v>0</v>
      </c>
      <c r="R164" s="38">
        <f t="shared" si="139"/>
        <v>0</v>
      </c>
      <c r="S164" s="38">
        <f t="shared" si="139"/>
        <v>0</v>
      </c>
      <c r="T164" s="38">
        <f t="shared" si="139"/>
        <v>0</v>
      </c>
      <c r="U164" s="53">
        <f t="shared" ref="U164" si="140">SUBTOTAL(9,O165:T166)</f>
        <v>-144</v>
      </c>
    </row>
    <row r="165" spans="1:21" ht="17.25" customHeight="1" x14ac:dyDescent="0.3">
      <c r="A165" s="15" t="s">
        <v>29</v>
      </c>
      <c r="C165" s="19"/>
      <c r="D165" s="33" t="str">
        <f t="shared" ref="D165" si="141">D164</f>
        <v>E100021</v>
      </c>
      <c r="E165" s="33"/>
      <c r="F165" s="20"/>
      <c r="G165" s="20" t="str">
        <f>"""NAV"",""CRONUS JetCorp USA"",""32"",""1"",""153167"""</f>
        <v>"NAV","CRONUS JetCorp USA","32","1","153167"</v>
      </c>
      <c r="H165" s="39">
        <v>43470</v>
      </c>
      <c r="I165" s="40">
        <v>153167</v>
      </c>
      <c r="J165" s="40" t="str">
        <f>"Customer"</f>
        <v>Customer</v>
      </c>
      <c r="K165" s="40" t="str">
        <f>"C100136"</f>
        <v>C100136</v>
      </c>
      <c r="L165" s="40" t="str">
        <f>"First Bank"</f>
        <v>First Bank</v>
      </c>
      <c r="M165" s="40" t="str">
        <f>""</f>
        <v/>
      </c>
      <c r="N165" s="40" t="str">
        <f>""</f>
        <v/>
      </c>
      <c r="O165" s="41">
        <v>0</v>
      </c>
      <c r="P165" s="41">
        <v>-144</v>
      </c>
      <c r="Q165" s="41">
        <v>0</v>
      </c>
      <c r="R165" s="41">
        <v>0</v>
      </c>
      <c r="S165" s="41">
        <v>0</v>
      </c>
      <c r="T165" s="41">
        <v>0</v>
      </c>
      <c r="U165" s="54"/>
    </row>
    <row r="166" spans="1:21" ht="17.25" customHeight="1" x14ac:dyDescent="0.3">
      <c r="A166" s="15" t="s">
        <v>29</v>
      </c>
      <c r="C166" s="19"/>
      <c r="D166" s="33"/>
      <c r="E166" s="33"/>
      <c r="F166" s="20"/>
      <c r="G166" s="20"/>
      <c r="H166" s="20"/>
      <c r="I166" s="20"/>
      <c r="J166" s="20"/>
      <c r="K166" s="20"/>
      <c r="L166" s="20"/>
      <c r="M166" s="20"/>
      <c r="N166" s="20"/>
      <c r="O166" s="42"/>
      <c r="P166" s="42"/>
      <c r="Q166" s="42"/>
      <c r="R166" s="42"/>
      <c r="S166" s="42"/>
      <c r="T166" s="42"/>
      <c r="U166" s="55"/>
    </row>
    <row r="167" spans="1:21" ht="17.25" customHeight="1" x14ac:dyDescent="0.3">
      <c r="A167" s="15" t="s">
        <v>29</v>
      </c>
      <c r="C167" s="19"/>
      <c r="D167" s="33"/>
      <c r="E167" s="33" t="s">
        <v>30</v>
      </c>
      <c r="F167" s="20" t="s">
        <v>30</v>
      </c>
      <c r="G167" s="20" t="s">
        <v>30</v>
      </c>
      <c r="H167" s="20"/>
      <c r="I167" s="20"/>
      <c r="J167" s="20" t="s">
        <v>30</v>
      </c>
      <c r="K167" s="20" t="s">
        <v>30</v>
      </c>
      <c r="L167" s="20" t="s">
        <v>30</v>
      </c>
      <c r="M167" s="20" t="s">
        <v>30</v>
      </c>
      <c r="N167" s="20"/>
      <c r="U167" s="56"/>
    </row>
    <row r="168" spans="1:21" ht="20.25" customHeight="1" x14ac:dyDescent="0.35">
      <c r="A168" s="15" t="s">
        <v>29</v>
      </c>
      <c r="C168" s="19"/>
      <c r="D168" s="34" t="str">
        <f t="shared" ref="D168" si="142">E168</f>
        <v>E100023</v>
      </c>
      <c r="E168" s="35" t="str">
        <f>"E100023"</f>
        <v>E100023</v>
      </c>
      <c r="F168" s="36" t="str">
        <f>"Sport Earbuds"</f>
        <v>Sport Earbuds</v>
      </c>
      <c r="G168" s="36"/>
      <c r="H168" s="37" t="str">
        <f>"EA"</f>
        <v>EA</v>
      </c>
      <c r="I168" s="36"/>
      <c r="J168" s="36"/>
      <c r="K168" s="36"/>
      <c r="L168" s="36"/>
      <c r="M168" s="36"/>
      <c r="N168" s="36"/>
      <c r="O168" s="38">
        <f t="shared" ref="O168:T168" si="143">(SUBTOTAL(9,O169:O170))</f>
        <v>0</v>
      </c>
      <c r="P168" s="38">
        <f t="shared" si="143"/>
        <v>-144</v>
      </c>
      <c r="Q168" s="38">
        <f t="shared" si="143"/>
        <v>0</v>
      </c>
      <c r="R168" s="38">
        <f t="shared" si="143"/>
        <v>0</v>
      </c>
      <c r="S168" s="38">
        <f t="shared" si="143"/>
        <v>0</v>
      </c>
      <c r="T168" s="38">
        <f t="shared" si="143"/>
        <v>0</v>
      </c>
      <c r="U168" s="53">
        <f t="shared" ref="U168" si="144">SUBTOTAL(9,O169:T170)</f>
        <v>-144</v>
      </c>
    </row>
    <row r="169" spans="1:21" ht="17.25" customHeight="1" x14ac:dyDescent="0.3">
      <c r="A169" s="15" t="s">
        <v>29</v>
      </c>
      <c r="C169" s="19"/>
      <c r="D169" s="33" t="str">
        <f t="shared" ref="D169" si="145">D168</f>
        <v>E100023</v>
      </c>
      <c r="E169" s="33"/>
      <c r="F169" s="20"/>
      <c r="G169" s="20" t="str">
        <f>"""NAV"",""CRONUS JetCorp USA"",""32"",""1"",""64615"""</f>
        <v>"NAV","CRONUS JetCorp USA","32","1","64615"</v>
      </c>
      <c r="H169" s="39">
        <v>43475</v>
      </c>
      <c r="I169" s="40">
        <v>64615</v>
      </c>
      <c r="J169" s="40" t="str">
        <f>"Customer"</f>
        <v>Customer</v>
      </c>
      <c r="K169" s="40" t="str">
        <f>"C100136"</f>
        <v>C100136</v>
      </c>
      <c r="L169" s="40" t="str">
        <f>"First Bank"</f>
        <v>First Bank</v>
      </c>
      <c r="M169" s="40" t="str">
        <f>""</f>
        <v/>
      </c>
      <c r="N169" s="40" t="str">
        <f>""</f>
        <v/>
      </c>
      <c r="O169" s="41">
        <v>0</v>
      </c>
      <c r="P169" s="41">
        <v>-144</v>
      </c>
      <c r="Q169" s="41">
        <v>0</v>
      </c>
      <c r="R169" s="41">
        <v>0</v>
      </c>
      <c r="S169" s="41">
        <v>0</v>
      </c>
      <c r="T169" s="41">
        <v>0</v>
      </c>
      <c r="U169" s="54"/>
    </row>
    <row r="170" spans="1:21" ht="17.25" customHeight="1" x14ac:dyDescent="0.3">
      <c r="A170" s="15" t="s">
        <v>29</v>
      </c>
      <c r="C170" s="19"/>
      <c r="D170" s="33"/>
      <c r="E170" s="33"/>
      <c r="F170" s="20"/>
      <c r="G170" s="20"/>
      <c r="H170" s="20"/>
      <c r="I170" s="20"/>
      <c r="J170" s="20"/>
      <c r="K170" s="20"/>
      <c r="L170" s="20"/>
      <c r="M170" s="20"/>
      <c r="N170" s="20"/>
      <c r="O170" s="42"/>
      <c r="P170" s="42"/>
      <c r="Q170" s="42"/>
      <c r="R170" s="42"/>
      <c r="S170" s="42"/>
      <c r="T170" s="42"/>
      <c r="U170" s="55"/>
    </row>
    <row r="171" spans="1:21" ht="17.25" customHeight="1" x14ac:dyDescent="0.3">
      <c r="A171" s="15" t="s">
        <v>29</v>
      </c>
      <c r="C171" s="19"/>
      <c r="D171" s="33"/>
      <c r="E171" s="33" t="s">
        <v>30</v>
      </c>
      <c r="F171" s="20" t="s">
        <v>30</v>
      </c>
      <c r="G171" s="20" t="s">
        <v>30</v>
      </c>
      <c r="H171" s="20"/>
      <c r="I171" s="20"/>
      <c r="J171" s="20" t="s">
        <v>30</v>
      </c>
      <c r="K171" s="20" t="s">
        <v>30</v>
      </c>
      <c r="L171" s="20" t="s">
        <v>30</v>
      </c>
      <c r="M171" s="20" t="s">
        <v>30</v>
      </c>
      <c r="N171" s="20"/>
      <c r="U171" s="56"/>
    </row>
    <row r="172" spans="1:21" ht="20.25" customHeight="1" x14ac:dyDescent="0.35">
      <c r="A172" s="15" t="s">
        <v>29</v>
      </c>
      <c r="C172" s="19"/>
      <c r="D172" s="34" t="str">
        <f t="shared" ref="D172" si="146">E172</f>
        <v>E100024</v>
      </c>
      <c r="E172" s="35" t="str">
        <f>"E100024"</f>
        <v>E100024</v>
      </c>
      <c r="F172" s="36" t="str">
        <f>"Arch Calculator"</f>
        <v>Arch Calculator</v>
      </c>
      <c r="G172" s="36"/>
      <c r="H172" s="37" t="str">
        <f>"EA"</f>
        <v>EA</v>
      </c>
      <c r="I172" s="36"/>
      <c r="J172" s="36"/>
      <c r="K172" s="36"/>
      <c r="L172" s="36"/>
      <c r="M172" s="36"/>
      <c r="N172" s="36"/>
      <c r="O172" s="38">
        <f t="shared" ref="O172:T172" si="147">(SUBTOTAL(9,O173:O174))</f>
        <v>499.99999999999994</v>
      </c>
      <c r="P172" s="38">
        <f t="shared" si="147"/>
        <v>0</v>
      </c>
      <c r="Q172" s="38">
        <f t="shared" si="147"/>
        <v>0</v>
      </c>
      <c r="R172" s="38">
        <f t="shared" si="147"/>
        <v>0</v>
      </c>
      <c r="S172" s="38">
        <f t="shared" si="147"/>
        <v>0</v>
      </c>
      <c r="T172" s="38">
        <f t="shared" si="147"/>
        <v>0</v>
      </c>
      <c r="U172" s="53">
        <f t="shared" ref="U172" si="148">SUBTOTAL(9,O173:T174)</f>
        <v>499.99999999999994</v>
      </c>
    </row>
    <row r="173" spans="1:21" ht="17.25" customHeight="1" x14ac:dyDescent="0.3">
      <c r="A173" s="15" t="s">
        <v>29</v>
      </c>
      <c r="C173" s="19"/>
      <c r="D173" s="33" t="str">
        <f t="shared" ref="D173" si="149">D172</f>
        <v>E100024</v>
      </c>
      <c r="E173" s="33"/>
      <c r="F173" s="20"/>
      <c r="G173" s="20" t="str">
        <f>"""NAV"",""CRONUS JetCorp USA"",""32"",""1"",""168366"""</f>
        <v>"NAV","CRONUS JetCorp USA","32","1","168366"</v>
      </c>
      <c r="H173" s="39">
        <v>43466</v>
      </c>
      <c r="I173" s="40">
        <v>168366</v>
      </c>
      <c r="J173" s="40" t="str">
        <f>"Vendor"</f>
        <v>Vendor</v>
      </c>
      <c r="K173" s="40" t="str">
        <f>"V100001"</f>
        <v>V100001</v>
      </c>
      <c r="L173" s="40" t="str">
        <f>""</f>
        <v/>
      </c>
      <c r="M173" s="40" t="str">
        <f>"Greigner, Inc."</f>
        <v>Greigner, Inc.</v>
      </c>
      <c r="N173" s="40" t="str">
        <f>""</f>
        <v/>
      </c>
      <c r="O173" s="41">
        <v>499.99999999999994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54"/>
    </row>
    <row r="174" spans="1:21" ht="17.25" customHeight="1" x14ac:dyDescent="0.3">
      <c r="A174" s="15" t="s">
        <v>29</v>
      </c>
      <c r="C174" s="19"/>
      <c r="D174" s="33"/>
      <c r="E174" s="33"/>
      <c r="F174" s="20"/>
      <c r="G174" s="20"/>
      <c r="H174" s="20"/>
      <c r="I174" s="20"/>
      <c r="J174" s="20"/>
      <c r="K174" s="20"/>
      <c r="L174" s="20"/>
      <c r="M174" s="20"/>
      <c r="N174" s="20"/>
      <c r="O174" s="42"/>
      <c r="P174" s="42"/>
      <c r="Q174" s="42"/>
      <c r="R174" s="42"/>
      <c r="S174" s="42"/>
      <c r="T174" s="42"/>
      <c r="U174" s="55"/>
    </row>
    <row r="175" spans="1:21" ht="17.25" customHeight="1" x14ac:dyDescent="0.3">
      <c r="A175" s="15" t="s">
        <v>29</v>
      </c>
      <c r="C175" s="19"/>
      <c r="D175" s="33"/>
      <c r="E175" s="33" t="s">
        <v>30</v>
      </c>
      <c r="F175" s="20" t="s">
        <v>30</v>
      </c>
      <c r="G175" s="20" t="s">
        <v>30</v>
      </c>
      <c r="H175" s="20"/>
      <c r="I175" s="20"/>
      <c r="J175" s="20" t="s">
        <v>30</v>
      </c>
      <c r="K175" s="20" t="s">
        <v>30</v>
      </c>
      <c r="L175" s="20" t="s">
        <v>30</v>
      </c>
      <c r="M175" s="20" t="s">
        <v>30</v>
      </c>
      <c r="N175" s="20"/>
      <c r="U175" s="56"/>
    </row>
    <row r="176" spans="1:21" ht="20.25" customHeight="1" x14ac:dyDescent="0.35">
      <c r="A176" s="15" t="s">
        <v>29</v>
      </c>
      <c r="C176" s="19"/>
      <c r="D176" s="34" t="str">
        <f t="shared" ref="D176" si="150">E176</f>
        <v>E100025</v>
      </c>
      <c r="E176" s="35" t="str">
        <f>"E100025"</f>
        <v>E100025</v>
      </c>
      <c r="F176" s="36" t="str">
        <f>"Calc-U-Note"</f>
        <v>Calc-U-Note</v>
      </c>
      <c r="G176" s="36"/>
      <c r="H176" s="37" t="str">
        <f>"EA"</f>
        <v>EA</v>
      </c>
      <c r="I176" s="36"/>
      <c r="J176" s="36"/>
      <c r="K176" s="36"/>
      <c r="L176" s="36"/>
      <c r="M176" s="36"/>
      <c r="N176" s="36"/>
      <c r="O176" s="38">
        <f t="shared" ref="O176:T176" si="151">(SUBTOTAL(9,O177:O180))</f>
        <v>250</v>
      </c>
      <c r="P176" s="38">
        <f t="shared" si="151"/>
        <v>-49</v>
      </c>
      <c r="Q176" s="38">
        <f t="shared" si="151"/>
        <v>0</v>
      </c>
      <c r="R176" s="38">
        <f t="shared" si="151"/>
        <v>0</v>
      </c>
      <c r="S176" s="38">
        <f t="shared" si="151"/>
        <v>0</v>
      </c>
      <c r="T176" s="38">
        <f t="shared" si="151"/>
        <v>0</v>
      </c>
      <c r="U176" s="53">
        <f t="shared" ref="U176" si="152">SUBTOTAL(9,O177:T180)</f>
        <v>201</v>
      </c>
    </row>
    <row r="177" spans="1:21" ht="17.25" customHeight="1" x14ac:dyDescent="0.3">
      <c r="A177" s="15" t="s">
        <v>29</v>
      </c>
      <c r="C177" s="19"/>
      <c r="D177" s="33" t="str">
        <f t="shared" ref="D177" si="153">D176</f>
        <v>E100025</v>
      </c>
      <c r="E177" s="33"/>
      <c r="F177" s="20"/>
      <c r="G177" s="20" t="str">
        <f>"""NAV"",""CRONUS JetCorp USA"",""32"",""1"",""168365"""</f>
        <v>"NAV","CRONUS JetCorp USA","32","1","168365"</v>
      </c>
      <c r="H177" s="39">
        <v>43466</v>
      </c>
      <c r="I177" s="40">
        <v>168365</v>
      </c>
      <c r="J177" s="40" t="str">
        <f>"Vendor"</f>
        <v>Vendor</v>
      </c>
      <c r="K177" s="40" t="str">
        <f>"V100001"</f>
        <v>V100001</v>
      </c>
      <c r="L177" s="40" t="str">
        <f>""</f>
        <v/>
      </c>
      <c r="M177" s="40" t="str">
        <f>"Greigner, Inc."</f>
        <v>Greigner, Inc.</v>
      </c>
      <c r="N177" s="40" t="str">
        <f>""</f>
        <v/>
      </c>
      <c r="O177" s="41">
        <v>250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54"/>
    </row>
    <row r="178" spans="1:21" ht="17.25" customHeight="1" x14ac:dyDescent="0.3">
      <c r="A178" s="15" t="s">
        <v>29</v>
      </c>
      <c r="C178" s="19"/>
      <c r="D178" s="33" t="str">
        <f t="shared" ref="D178:D179" si="154">D177</f>
        <v>E100025</v>
      </c>
      <c r="E178" s="33"/>
      <c r="F178" s="20"/>
      <c r="G178" s="20" t="str">
        <f>"""NAV"",""CRONUS JetCorp USA"",""32"",""1"",""153199"""</f>
        <v>"NAV","CRONUS JetCorp USA","32","1","153199"</v>
      </c>
      <c r="H178" s="39">
        <v>43469</v>
      </c>
      <c r="I178" s="40">
        <v>153199</v>
      </c>
      <c r="J178" s="40" t="str">
        <f>"Customer"</f>
        <v>Customer</v>
      </c>
      <c r="K178" s="40" t="str">
        <f>"C100136"</f>
        <v>C100136</v>
      </c>
      <c r="L178" s="40" t="str">
        <f>"First Bank"</f>
        <v>First Bank</v>
      </c>
      <c r="M178" s="40" t="str">
        <f>""</f>
        <v/>
      </c>
      <c r="N178" s="40" t="str">
        <f>""</f>
        <v/>
      </c>
      <c r="O178" s="41">
        <v>0</v>
      </c>
      <c r="P178" s="41">
        <v>-1</v>
      </c>
      <c r="Q178" s="41">
        <v>0</v>
      </c>
      <c r="R178" s="41">
        <v>0</v>
      </c>
      <c r="S178" s="41">
        <v>0</v>
      </c>
      <c r="T178" s="41">
        <v>0</v>
      </c>
      <c r="U178" s="54"/>
    </row>
    <row r="179" spans="1:21" ht="17.25" customHeight="1" x14ac:dyDescent="0.3">
      <c r="A179" s="15" t="s">
        <v>29</v>
      </c>
      <c r="C179" s="19"/>
      <c r="D179" s="33" t="str">
        <f t="shared" si="154"/>
        <v>E100025</v>
      </c>
      <c r="E179" s="33"/>
      <c r="F179" s="20"/>
      <c r="G179" s="20" t="str">
        <f>"""NAV"",""CRONUS JetCorp USA"",""32"",""1"",""153172"""</f>
        <v>"NAV","CRONUS JetCorp USA","32","1","153172"</v>
      </c>
      <c r="H179" s="39">
        <v>43470</v>
      </c>
      <c r="I179" s="40">
        <v>153172</v>
      </c>
      <c r="J179" s="40" t="str">
        <f>"Customer"</f>
        <v>Customer</v>
      </c>
      <c r="K179" s="40" t="str">
        <f>"C100136"</f>
        <v>C100136</v>
      </c>
      <c r="L179" s="40" t="str">
        <f>"First Bank"</f>
        <v>First Bank</v>
      </c>
      <c r="M179" s="40" t="str">
        <f>""</f>
        <v/>
      </c>
      <c r="N179" s="40" t="str">
        <f>""</f>
        <v/>
      </c>
      <c r="O179" s="41">
        <v>0</v>
      </c>
      <c r="P179" s="41">
        <v>-48</v>
      </c>
      <c r="Q179" s="41">
        <v>0</v>
      </c>
      <c r="R179" s="41">
        <v>0</v>
      </c>
      <c r="S179" s="41">
        <v>0</v>
      </c>
      <c r="T179" s="41">
        <v>0</v>
      </c>
      <c r="U179" s="54"/>
    </row>
    <row r="180" spans="1:21" ht="17.25" customHeight="1" x14ac:dyDescent="0.3">
      <c r="A180" s="15" t="s">
        <v>29</v>
      </c>
      <c r="C180" s="19"/>
      <c r="D180" s="33"/>
      <c r="E180" s="33"/>
      <c r="F180" s="20"/>
      <c r="G180" s="20"/>
      <c r="H180" s="20"/>
      <c r="I180" s="20"/>
      <c r="J180" s="20"/>
      <c r="K180" s="20"/>
      <c r="L180" s="20"/>
      <c r="M180" s="20"/>
      <c r="N180" s="20"/>
      <c r="O180" s="42"/>
      <c r="P180" s="42"/>
      <c r="Q180" s="42"/>
      <c r="R180" s="42"/>
      <c r="S180" s="42"/>
      <c r="T180" s="42"/>
      <c r="U180" s="55"/>
    </row>
    <row r="181" spans="1:21" ht="17.25" customHeight="1" x14ac:dyDescent="0.3">
      <c r="A181" s="15" t="s">
        <v>29</v>
      </c>
      <c r="C181" s="19"/>
      <c r="D181" s="33"/>
      <c r="E181" s="33" t="s">
        <v>30</v>
      </c>
      <c r="F181" s="20" t="s">
        <v>30</v>
      </c>
      <c r="G181" s="20" t="s">
        <v>30</v>
      </c>
      <c r="H181" s="20"/>
      <c r="I181" s="20"/>
      <c r="J181" s="20" t="s">
        <v>30</v>
      </c>
      <c r="K181" s="20" t="s">
        <v>30</v>
      </c>
      <c r="L181" s="20" t="s">
        <v>30</v>
      </c>
      <c r="M181" s="20" t="s">
        <v>30</v>
      </c>
      <c r="N181" s="20"/>
      <c r="U181" s="56"/>
    </row>
    <row r="182" spans="1:21" ht="20.25" customHeight="1" x14ac:dyDescent="0.35">
      <c r="A182" s="15" t="s">
        <v>29</v>
      </c>
      <c r="C182" s="19"/>
      <c r="D182" s="34" t="str">
        <f t="shared" ref="D182" si="155">E182</f>
        <v>E100026</v>
      </c>
      <c r="E182" s="35" t="str">
        <f>"E100026"</f>
        <v>E100026</v>
      </c>
      <c r="F182" s="36" t="str">
        <f>"Desk Calculator"</f>
        <v>Desk Calculator</v>
      </c>
      <c r="G182" s="36"/>
      <c r="H182" s="37" t="str">
        <f>"EA"</f>
        <v>EA</v>
      </c>
      <c r="I182" s="36"/>
      <c r="J182" s="36"/>
      <c r="K182" s="36"/>
      <c r="L182" s="36"/>
      <c r="M182" s="36"/>
      <c r="N182" s="36"/>
      <c r="O182" s="38">
        <f t="shared" ref="O182:T182" si="156">(SUBTOTAL(9,O183:O184))</f>
        <v>0</v>
      </c>
      <c r="P182" s="38">
        <f t="shared" si="156"/>
        <v>-144</v>
      </c>
      <c r="Q182" s="38">
        <f t="shared" si="156"/>
        <v>0</v>
      </c>
      <c r="R182" s="38">
        <f t="shared" si="156"/>
        <v>0</v>
      </c>
      <c r="S182" s="38">
        <f t="shared" si="156"/>
        <v>0</v>
      </c>
      <c r="T182" s="38">
        <f t="shared" si="156"/>
        <v>0</v>
      </c>
      <c r="U182" s="53">
        <f t="shared" ref="U182" si="157">SUBTOTAL(9,O183:T184)</f>
        <v>-144</v>
      </c>
    </row>
    <row r="183" spans="1:21" ht="17.25" customHeight="1" x14ac:dyDescent="0.3">
      <c r="A183" s="15" t="s">
        <v>29</v>
      </c>
      <c r="C183" s="19"/>
      <c r="D183" s="33" t="str">
        <f t="shared" ref="D183" si="158">D182</f>
        <v>E100026</v>
      </c>
      <c r="E183" s="33"/>
      <c r="F183" s="20"/>
      <c r="G183" s="20" t="str">
        <f>"""NAV"",""CRONUS JetCorp USA"",""32"",""1"",""64626"""</f>
        <v>"NAV","CRONUS JetCorp USA","32","1","64626"</v>
      </c>
      <c r="H183" s="39">
        <v>43475</v>
      </c>
      <c r="I183" s="40">
        <v>64626</v>
      </c>
      <c r="J183" s="40" t="str">
        <f>"Customer"</f>
        <v>Customer</v>
      </c>
      <c r="K183" s="40" t="str">
        <f>"C100136"</f>
        <v>C100136</v>
      </c>
      <c r="L183" s="40" t="str">
        <f>"First Bank"</f>
        <v>First Bank</v>
      </c>
      <c r="M183" s="40" t="str">
        <f>""</f>
        <v/>
      </c>
      <c r="N183" s="40" t="str">
        <f>""</f>
        <v/>
      </c>
      <c r="O183" s="41">
        <v>0</v>
      </c>
      <c r="P183" s="41">
        <v>-144</v>
      </c>
      <c r="Q183" s="41">
        <v>0</v>
      </c>
      <c r="R183" s="41">
        <v>0</v>
      </c>
      <c r="S183" s="41">
        <v>0</v>
      </c>
      <c r="T183" s="41">
        <v>0</v>
      </c>
      <c r="U183" s="54"/>
    </row>
    <row r="184" spans="1:21" ht="17.25" customHeight="1" x14ac:dyDescent="0.3">
      <c r="A184" s="15" t="s">
        <v>29</v>
      </c>
      <c r="C184" s="19"/>
      <c r="D184" s="33"/>
      <c r="E184" s="33"/>
      <c r="F184" s="20"/>
      <c r="G184" s="20"/>
      <c r="H184" s="20"/>
      <c r="I184" s="20"/>
      <c r="J184" s="20"/>
      <c r="K184" s="20"/>
      <c r="L184" s="20"/>
      <c r="M184" s="20"/>
      <c r="N184" s="20"/>
      <c r="O184" s="42"/>
      <c r="P184" s="42"/>
      <c r="Q184" s="42"/>
      <c r="R184" s="42"/>
      <c r="S184" s="42"/>
      <c r="T184" s="42"/>
      <c r="U184" s="55"/>
    </row>
    <row r="185" spans="1:21" ht="17.25" customHeight="1" x14ac:dyDescent="0.3">
      <c r="A185" s="15" t="s">
        <v>29</v>
      </c>
      <c r="C185" s="19"/>
      <c r="D185" s="33"/>
      <c r="E185" s="33" t="s">
        <v>30</v>
      </c>
      <c r="F185" s="20" t="s">
        <v>30</v>
      </c>
      <c r="G185" s="20" t="s">
        <v>30</v>
      </c>
      <c r="H185" s="20"/>
      <c r="I185" s="20"/>
      <c r="J185" s="20" t="s">
        <v>30</v>
      </c>
      <c r="K185" s="20" t="s">
        <v>30</v>
      </c>
      <c r="L185" s="20" t="s">
        <v>30</v>
      </c>
      <c r="M185" s="20" t="s">
        <v>30</v>
      </c>
      <c r="N185" s="20"/>
      <c r="U185" s="56"/>
    </row>
    <row r="186" spans="1:21" ht="20.25" customHeight="1" x14ac:dyDescent="0.35">
      <c r="A186" s="15" t="s">
        <v>29</v>
      </c>
      <c r="C186" s="19"/>
      <c r="D186" s="34" t="str">
        <f t="shared" ref="D186" si="159">E186</f>
        <v>E100027</v>
      </c>
      <c r="E186" s="35" t="str">
        <f>"E100027"</f>
        <v>E100027</v>
      </c>
      <c r="F186" s="36" t="str">
        <f>"Ergo-Calculator"</f>
        <v>Ergo-Calculator</v>
      </c>
      <c r="G186" s="36"/>
      <c r="H186" s="37" t="str">
        <f>"EA"</f>
        <v>EA</v>
      </c>
      <c r="I186" s="36"/>
      <c r="J186" s="36"/>
      <c r="K186" s="36"/>
      <c r="L186" s="36"/>
      <c r="M186" s="36"/>
      <c r="N186" s="36"/>
      <c r="O186" s="38">
        <f t="shared" ref="O186:T186" si="160">(SUBTOTAL(9,O187:O189))</f>
        <v>750</v>
      </c>
      <c r="P186" s="38">
        <f t="shared" si="160"/>
        <v>-144</v>
      </c>
      <c r="Q186" s="38">
        <f t="shared" si="160"/>
        <v>0</v>
      </c>
      <c r="R186" s="38">
        <f t="shared" si="160"/>
        <v>0</v>
      </c>
      <c r="S186" s="38">
        <f t="shared" si="160"/>
        <v>0</v>
      </c>
      <c r="T186" s="38">
        <f t="shared" si="160"/>
        <v>0</v>
      </c>
      <c r="U186" s="53">
        <f t="shared" ref="U186" si="161">SUBTOTAL(9,O187:T189)</f>
        <v>606</v>
      </c>
    </row>
    <row r="187" spans="1:21" ht="17.25" customHeight="1" x14ac:dyDescent="0.3">
      <c r="A187" s="15" t="s">
        <v>29</v>
      </c>
      <c r="C187" s="19"/>
      <c r="D187" s="33" t="str">
        <f t="shared" ref="D187" si="162">D186</f>
        <v>E100027</v>
      </c>
      <c r="E187" s="33"/>
      <c r="F187" s="20"/>
      <c r="G187" s="20" t="str">
        <f>"""NAV"",""CRONUS JetCorp USA"",""32"",""1"",""168364"""</f>
        <v>"NAV","CRONUS JetCorp USA","32","1","168364"</v>
      </c>
      <c r="H187" s="39">
        <v>43466</v>
      </c>
      <c r="I187" s="40">
        <v>168364</v>
      </c>
      <c r="J187" s="40" t="str">
        <f>"Vendor"</f>
        <v>Vendor</v>
      </c>
      <c r="K187" s="40" t="str">
        <f>"V100001"</f>
        <v>V100001</v>
      </c>
      <c r="L187" s="40" t="str">
        <f>""</f>
        <v/>
      </c>
      <c r="M187" s="40" t="str">
        <f>"Greigner, Inc."</f>
        <v>Greigner, Inc.</v>
      </c>
      <c r="N187" s="40" t="str">
        <f>""</f>
        <v/>
      </c>
      <c r="O187" s="41">
        <v>750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  <c r="U187" s="54"/>
    </row>
    <row r="188" spans="1:21" ht="17.25" customHeight="1" x14ac:dyDescent="0.3">
      <c r="A188" s="15" t="s">
        <v>29</v>
      </c>
      <c r="C188" s="19"/>
      <c r="D188" s="33" t="str">
        <f t="shared" ref="D188" si="163">D187</f>
        <v>E100027</v>
      </c>
      <c r="E188" s="33"/>
      <c r="F188" s="20"/>
      <c r="G188" s="20" t="str">
        <f>"""NAV"",""CRONUS JetCorp USA"",""32"",""1"",""153192"""</f>
        <v>"NAV","CRONUS JetCorp USA","32","1","153192"</v>
      </c>
      <c r="H188" s="39">
        <v>43469</v>
      </c>
      <c r="I188" s="40">
        <v>153192</v>
      </c>
      <c r="J188" s="40" t="str">
        <f>"Customer"</f>
        <v>Customer</v>
      </c>
      <c r="K188" s="40" t="str">
        <f>"C100136"</f>
        <v>C100136</v>
      </c>
      <c r="L188" s="40" t="str">
        <f>"First Bank"</f>
        <v>First Bank</v>
      </c>
      <c r="M188" s="40" t="str">
        <f>""</f>
        <v/>
      </c>
      <c r="N188" s="40" t="str">
        <f>""</f>
        <v/>
      </c>
      <c r="O188" s="41">
        <v>0</v>
      </c>
      <c r="P188" s="41">
        <v>-144</v>
      </c>
      <c r="Q188" s="41">
        <v>0</v>
      </c>
      <c r="R188" s="41">
        <v>0</v>
      </c>
      <c r="S188" s="41">
        <v>0</v>
      </c>
      <c r="T188" s="41">
        <v>0</v>
      </c>
      <c r="U188" s="54"/>
    </row>
    <row r="189" spans="1:21" ht="17.25" customHeight="1" x14ac:dyDescent="0.3">
      <c r="A189" s="15" t="s">
        <v>29</v>
      </c>
      <c r="C189" s="19"/>
      <c r="D189" s="33"/>
      <c r="E189" s="33"/>
      <c r="F189" s="20"/>
      <c r="G189" s="20"/>
      <c r="H189" s="20"/>
      <c r="I189" s="20"/>
      <c r="J189" s="20"/>
      <c r="K189" s="20"/>
      <c r="L189" s="20"/>
      <c r="M189" s="20"/>
      <c r="N189" s="20"/>
      <c r="O189" s="42"/>
      <c r="P189" s="42"/>
      <c r="Q189" s="42"/>
      <c r="R189" s="42"/>
      <c r="S189" s="42"/>
      <c r="T189" s="42"/>
      <c r="U189" s="55"/>
    </row>
    <row r="190" spans="1:21" ht="17.25" customHeight="1" x14ac:dyDescent="0.3">
      <c r="A190" s="15" t="s">
        <v>29</v>
      </c>
      <c r="C190" s="19"/>
      <c r="D190" s="33"/>
      <c r="E190" s="33" t="s">
        <v>30</v>
      </c>
      <c r="F190" s="20" t="s">
        <v>30</v>
      </c>
      <c r="G190" s="20" t="s">
        <v>30</v>
      </c>
      <c r="H190" s="20"/>
      <c r="I190" s="20"/>
      <c r="J190" s="20" t="s">
        <v>30</v>
      </c>
      <c r="K190" s="20" t="s">
        <v>30</v>
      </c>
      <c r="L190" s="20" t="s">
        <v>30</v>
      </c>
      <c r="M190" s="20" t="s">
        <v>30</v>
      </c>
      <c r="N190" s="20"/>
      <c r="U190" s="56"/>
    </row>
    <row r="191" spans="1:21" ht="20.25" customHeight="1" x14ac:dyDescent="0.35">
      <c r="A191" s="15" t="s">
        <v>29</v>
      </c>
      <c r="C191" s="19"/>
      <c r="D191" s="34" t="str">
        <f t="shared" ref="D191" si="164">E191</f>
        <v>E100030</v>
      </c>
      <c r="E191" s="35" t="str">
        <f>"E100030"</f>
        <v>E100030</v>
      </c>
      <c r="F191" s="36" t="str">
        <f>"LED Keychain"</f>
        <v>LED Keychain</v>
      </c>
      <c r="G191" s="36"/>
      <c r="H191" s="37" t="str">
        <f>"EA"</f>
        <v>EA</v>
      </c>
      <c r="I191" s="36"/>
      <c r="J191" s="36"/>
      <c r="K191" s="36"/>
      <c r="L191" s="36"/>
      <c r="M191" s="36"/>
      <c r="N191" s="36"/>
      <c r="O191" s="38">
        <f t="shared" ref="O191:T191" si="165">(SUBTOTAL(9,O192:O193))</f>
        <v>249.99999999999997</v>
      </c>
      <c r="P191" s="38">
        <f t="shared" si="165"/>
        <v>0</v>
      </c>
      <c r="Q191" s="38">
        <f t="shared" si="165"/>
        <v>0</v>
      </c>
      <c r="R191" s="38">
        <f t="shared" si="165"/>
        <v>0</v>
      </c>
      <c r="S191" s="38">
        <f t="shared" si="165"/>
        <v>0</v>
      </c>
      <c r="T191" s="38">
        <f t="shared" si="165"/>
        <v>0</v>
      </c>
      <c r="U191" s="53">
        <f t="shared" ref="U191" si="166">SUBTOTAL(9,O192:T193)</f>
        <v>249.99999999999997</v>
      </c>
    </row>
    <row r="192" spans="1:21" ht="17.25" customHeight="1" x14ac:dyDescent="0.3">
      <c r="A192" s="15" t="s">
        <v>29</v>
      </c>
      <c r="C192" s="19"/>
      <c r="D192" s="33" t="str">
        <f t="shared" ref="D192" si="167">D191</f>
        <v>E100030</v>
      </c>
      <c r="E192" s="33"/>
      <c r="F192" s="20"/>
      <c r="G192" s="20" t="str">
        <f>"""NAV"",""CRONUS JetCorp USA"",""32"",""1"",""168363"""</f>
        <v>"NAV","CRONUS JetCorp USA","32","1","168363"</v>
      </c>
      <c r="H192" s="39">
        <v>43466</v>
      </c>
      <c r="I192" s="40">
        <v>168363</v>
      </c>
      <c r="J192" s="40" t="str">
        <f>"Vendor"</f>
        <v>Vendor</v>
      </c>
      <c r="K192" s="40" t="str">
        <f>"V100001"</f>
        <v>V100001</v>
      </c>
      <c r="L192" s="40" t="str">
        <f>""</f>
        <v/>
      </c>
      <c r="M192" s="40" t="str">
        <f>"Greigner, Inc."</f>
        <v>Greigner, Inc.</v>
      </c>
      <c r="N192" s="40" t="str">
        <f>""</f>
        <v/>
      </c>
      <c r="O192" s="41">
        <v>249.99999999999997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54"/>
    </row>
    <row r="193" spans="1:21" ht="17.25" customHeight="1" x14ac:dyDescent="0.3">
      <c r="A193" s="15" t="s">
        <v>29</v>
      </c>
      <c r="C193" s="19"/>
      <c r="D193" s="33"/>
      <c r="E193" s="33"/>
      <c r="F193" s="20"/>
      <c r="G193" s="20"/>
      <c r="H193" s="20"/>
      <c r="I193" s="20"/>
      <c r="J193" s="20"/>
      <c r="K193" s="20"/>
      <c r="L193" s="20"/>
      <c r="M193" s="20"/>
      <c r="N193" s="20"/>
      <c r="O193" s="42"/>
      <c r="P193" s="42"/>
      <c r="Q193" s="42"/>
      <c r="R193" s="42"/>
      <c r="S193" s="42"/>
      <c r="T193" s="42"/>
      <c r="U193" s="55"/>
    </row>
    <row r="194" spans="1:21" ht="17.25" customHeight="1" x14ac:dyDescent="0.3">
      <c r="A194" s="15" t="s">
        <v>29</v>
      </c>
      <c r="C194" s="19"/>
      <c r="D194" s="33"/>
      <c r="E194" s="33" t="s">
        <v>30</v>
      </c>
      <c r="F194" s="20" t="s">
        <v>30</v>
      </c>
      <c r="G194" s="20" t="s">
        <v>30</v>
      </c>
      <c r="H194" s="20"/>
      <c r="I194" s="20"/>
      <c r="J194" s="20" t="s">
        <v>30</v>
      </c>
      <c r="K194" s="20" t="s">
        <v>30</v>
      </c>
      <c r="L194" s="20" t="s">
        <v>30</v>
      </c>
      <c r="M194" s="20" t="s">
        <v>30</v>
      </c>
      <c r="N194" s="20"/>
      <c r="U194" s="56"/>
    </row>
    <row r="195" spans="1:21" ht="20.25" customHeight="1" x14ac:dyDescent="0.35">
      <c r="A195" s="15" t="s">
        <v>29</v>
      </c>
      <c r="C195" s="19"/>
      <c r="D195" s="34" t="str">
        <f t="shared" ref="D195" si="168">E195</f>
        <v>E100032</v>
      </c>
      <c r="E195" s="35" t="str">
        <f>"E100032"</f>
        <v>E100032</v>
      </c>
      <c r="F195" s="36" t="str">
        <f>"Button Key-Light"</f>
        <v>Button Key-Light</v>
      </c>
      <c r="G195" s="36"/>
      <c r="H195" s="37" t="str">
        <f>"EA"</f>
        <v>EA</v>
      </c>
      <c r="I195" s="36"/>
      <c r="J195" s="36"/>
      <c r="K195" s="36"/>
      <c r="L195" s="36"/>
      <c r="M195" s="36"/>
      <c r="N195" s="36"/>
      <c r="O195" s="38">
        <f t="shared" ref="O195:T195" si="169">(SUBTOTAL(9,O196:O197))</f>
        <v>0</v>
      </c>
      <c r="P195" s="38">
        <f t="shared" si="169"/>
        <v>-144</v>
      </c>
      <c r="Q195" s="38">
        <f t="shared" si="169"/>
        <v>0</v>
      </c>
      <c r="R195" s="38">
        <f t="shared" si="169"/>
        <v>0</v>
      </c>
      <c r="S195" s="38">
        <f t="shared" si="169"/>
        <v>0</v>
      </c>
      <c r="T195" s="38">
        <f t="shared" si="169"/>
        <v>0</v>
      </c>
      <c r="U195" s="53">
        <f t="shared" ref="U195" si="170">SUBTOTAL(9,O196:T197)</f>
        <v>-144</v>
      </c>
    </row>
    <row r="196" spans="1:21" ht="17.25" customHeight="1" x14ac:dyDescent="0.3">
      <c r="A196" s="15" t="s">
        <v>29</v>
      </c>
      <c r="C196" s="19"/>
      <c r="D196" s="33" t="str">
        <f t="shared" ref="D196" si="171">D195</f>
        <v>E100032</v>
      </c>
      <c r="E196" s="33"/>
      <c r="F196" s="20"/>
      <c r="G196" s="20" t="str">
        <f>"""NAV"",""CRONUS JetCorp USA"",""32"",""1"",""64628"""</f>
        <v>"NAV","CRONUS JetCorp USA","32","1","64628"</v>
      </c>
      <c r="H196" s="39">
        <v>43475</v>
      </c>
      <c r="I196" s="40">
        <v>64628</v>
      </c>
      <c r="J196" s="40" t="str">
        <f>"Customer"</f>
        <v>Customer</v>
      </c>
      <c r="K196" s="40" t="str">
        <f>"C100136"</f>
        <v>C100136</v>
      </c>
      <c r="L196" s="40" t="str">
        <f>"First Bank"</f>
        <v>First Bank</v>
      </c>
      <c r="M196" s="40" t="str">
        <f>""</f>
        <v/>
      </c>
      <c r="N196" s="40" t="str">
        <f>""</f>
        <v/>
      </c>
      <c r="O196" s="41">
        <v>0</v>
      </c>
      <c r="P196" s="41">
        <v>-144</v>
      </c>
      <c r="Q196" s="41">
        <v>0</v>
      </c>
      <c r="R196" s="41">
        <v>0</v>
      </c>
      <c r="S196" s="41">
        <v>0</v>
      </c>
      <c r="T196" s="41">
        <v>0</v>
      </c>
      <c r="U196" s="54"/>
    </row>
    <row r="197" spans="1:21" ht="17.25" customHeight="1" x14ac:dyDescent="0.3">
      <c r="A197" s="15" t="s">
        <v>29</v>
      </c>
      <c r="C197" s="19"/>
      <c r="D197" s="33"/>
      <c r="E197" s="33"/>
      <c r="F197" s="20"/>
      <c r="G197" s="20"/>
      <c r="H197" s="20"/>
      <c r="I197" s="20"/>
      <c r="J197" s="20"/>
      <c r="K197" s="20"/>
      <c r="L197" s="20"/>
      <c r="M197" s="20"/>
      <c r="N197" s="20"/>
      <c r="O197" s="42"/>
      <c r="P197" s="42"/>
      <c r="Q197" s="42"/>
      <c r="R197" s="42"/>
      <c r="S197" s="42"/>
      <c r="T197" s="42"/>
      <c r="U197" s="55"/>
    </row>
    <row r="198" spans="1:21" ht="17.25" customHeight="1" x14ac:dyDescent="0.3">
      <c r="A198" s="15" t="s">
        <v>29</v>
      </c>
      <c r="C198" s="19"/>
      <c r="D198" s="33"/>
      <c r="E198" s="33" t="s">
        <v>30</v>
      </c>
      <c r="F198" s="20" t="s">
        <v>30</v>
      </c>
      <c r="G198" s="20" t="s">
        <v>30</v>
      </c>
      <c r="H198" s="20"/>
      <c r="I198" s="20"/>
      <c r="J198" s="20" t="s">
        <v>30</v>
      </c>
      <c r="K198" s="20" t="s">
        <v>30</v>
      </c>
      <c r="L198" s="20" t="s">
        <v>30</v>
      </c>
      <c r="M198" s="20" t="s">
        <v>30</v>
      </c>
      <c r="N198" s="20"/>
      <c r="U198" s="56"/>
    </row>
    <row r="199" spans="1:21" ht="20.25" customHeight="1" x14ac:dyDescent="0.35">
      <c r="A199" s="15" t="s">
        <v>29</v>
      </c>
      <c r="C199" s="19"/>
      <c r="D199" s="34" t="str">
        <f t="shared" ref="D199" si="172">E199</f>
        <v>E100033</v>
      </c>
      <c r="E199" s="35" t="str">
        <f>"E100033"</f>
        <v>E100033</v>
      </c>
      <c r="F199" s="36" t="str">
        <f>"Dual Source Flashlight"</f>
        <v>Dual Source Flashlight</v>
      </c>
      <c r="G199" s="36"/>
      <c r="H199" s="37" t="str">
        <f>"EA"</f>
        <v>EA</v>
      </c>
      <c r="I199" s="36"/>
      <c r="J199" s="36"/>
      <c r="K199" s="36"/>
      <c r="L199" s="36"/>
      <c r="M199" s="36"/>
      <c r="N199" s="36"/>
      <c r="O199" s="38">
        <f t="shared" ref="O199:T199" si="173">(SUBTOTAL(9,O200:O203))</f>
        <v>250</v>
      </c>
      <c r="P199" s="38">
        <f t="shared" si="173"/>
        <v>-192</v>
      </c>
      <c r="Q199" s="38">
        <f t="shared" si="173"/>
        <v>0</v>
      </c>
      <c r="R199" s="38">
        <f t="shared" si="173"/>
        <v>0</v>
      </c>
      <c r="S199" s="38">
        <f t="shared" si="173"/>
        <v>0</v>
      </c>
      <c r="T199" s="38">
        <f t="shared" si="173"/>
        <v>0</v>
      </c>
      <c r="U199" s="53">
        <f t="shared" ref="U199" si="174">SUBTOTAL(9,O200:T203)</f>
        <v>58</v>
      </c>
    </row>
    <row r="200" spans="1:21" ht="17.25" customHeight="1" x14ac:dyDescent="0.3">
      <c r="A200" s="15" t="s">
        <v>29</v>
      </c>
      <c r="C200" s="19"/>
      <c r="D200" s="33" t="str">
        <f t="shared" ref="D200" si="175">D199</f>
        <v>E100033</v>
      </c>
      <c r="E200" s="33"/>
      <c r="F200" s="20"/>
      <c r="G200" s="20" t="str">
        <f>"""NAV"",""CRONUS JetCorp USA"",""32"",""1"",""168362"""</f>
        <v>"NAV","CRONUS JetCorp USA","32","1","168362"</v>
      </c>
      <c r="H200" s="39">
        <v>43466</v>
      </c>
      <c r="I200" s="40">
        <v>168362</v>
      </c>
      <c r="J200" s="40" t="str">
        <f>"Vendor"</f>
        <v>Vendor</v>
      </c>
      <c r="K200" s="40" t="str">
        <f>"V100001"</f>
        <v>V100001</v>
      </c>
      <c r="L200" s="40" t="str">
        <f>""</f>
        <v/>
      </c>
      <c r="M200" s="40" t="str">
        <f>"Greigner, Inc."</f>
        <v>Greigner, Inc.</v>
      </c>
      <c r="N200" s="40" t="str">
        <f>""</f>
        <v/>
      </c>
      <c r="O200" s="41">
        <v>250</v>
      </c>
      <c r="P200" s="41">
        <v>0</v>
      </c>
      <c r="Q200" s="41">
        <v>0</v>
      </c>
      <c r="R200" s="41">
        <v>0</v>
      </c>
      <c r="S200" s="41">
        <v>0</v>
      </c>
      <c r="T200" s="41">
        <v>0</v>
      </c>
      <c r="U200" s="54"/>
    </row>
    <row r="201" spans="1:21" ht="17.25" customHeight="1" x14ac:dyDescent="0.3">
      <c r="A201" s="15" t="s">
        <v>29</v>
      </c>
      <c r="C201" s="19"/>
      <c r="D201" s="33" t="str">
        <f t="shared" ref="D201:D202" si="176">D200</f>
        <v>E100033</v>
      </c>
      <c r="E201" s="33"/>
      <c r="F201" s="20"/>
      <c r="G201" s="20" t="str">
        <f>"""NAV"",""CRONUS JetCorp USA"",""32"",""1"",""153195"""</f>
        <v>"NAV","CRONUS JetCorp USA","32","1","153195"</v>
      </c>
      <c r="H201" s="39">
        <v>43469</v>
      </c>
      <c r="I201" s="40">
        <v>153195</v>
      </c>
      <c r="J201" s="40" t="str">
        <f>"Customer"</f>
        <v>Customer</v>
      </c>
      <c r="K201" s="40" t="str">
        <f>"C100136"</f>
        <v>C100136</v>
      </c>
      <c r="L201" s="40" t="str">
        <f>"First Bank"</f>
        <v>First Bank</v>
      </c>
      <c r="M201" s="40" t="str">
        <f>""</f>
        <v/>
      </c>
      <c r="N201" s="40" t="str">
        <f>""</f>
        <v/>
      </c>
      <c r="O201" s="41">
        <v>0</v>
      </c>
      <c r="P201" s="41">
        <v>-48</v>
      </c>
      <c r="Q201" s="41">
        <v>0</v>
      </c>
      <c r="R201" s="41">
        <v>0</v>
      </c>
      <c r="S201" s="41">
        <v>0</v>
      </c>
      <c r="T201" s="41">
        <v>0</v>
      </c>
      <c r="U201" s="54"/>
    </row>
    <row r="202" spans="1:21" ht="17.25" customHeight="1" x14ac:dyDescent="0.3">
      <c r="A202" s="15" t="s">
        <v>29</v>
      </c>
      <c r="C202" s="19"/>
      <c r="D202" s="33" t="str">
        <f t="shared" si="176"/>
        <v>E100033</v>
      </c>
      <c r="E202" s="33"/>
      <c r="F202" s="20"/>
      <c r="G202" s="20" t="str">
        <f>"""NAV"",""CRONUS JetCorp USA"",""32"",""1"",""153165"""</f>
        <v>"NAV","CRONUS JetCorp USA","32","1","153165"</v>
      </c>
      <c r="H202" s="39">
        <v>43470</v>
      </c>
      <c r="I202" s="40">
        <v>153165</v>
      </c>
      <c r="J202" s="40" t="str">
        <f>"Customer"</f>
        <v>Customer</v>
      </c>
      <c r="K202" s="40" t="str">
        <f>"C100136"</f>
        <v>C100136</v>
      </c>
      <c r="L202" s="40" t="str">
        <f>"First Bank"</f>
        <v>First Bank</v>
      </c>
      <c r="M202" s="40" t="str">
        <f>""</f>
        <v/>
      </c>
      <c r="N202" s="40" t="str">
        <f>""</f>
        <v/>
      </c>
      <c r="O202" s="41">
        <v>0</v>
      </c>
      <c r="P202" s="41">
        <v>-144</v>
      </c>
      <c r="Q202" s="41">
        <v>0</v>
      </c>
      <c r="R202" s="41">
        <v>0</v>
      </c>
      <c r="S202" s="41">
        <v>0</v>
      </c>
      <c r="T202" s="41">
        <v>0</v>
      </c>
      <c r="U202" s="54"/>
    </row>
    <row r="203" spans="1:21" ht="17.25" customHeight="1" x14ac:dyDescent="0.3">
      <c r="A203" s="15" t="s">
        <v>29</v>
      </c>
      <c r="C203" s="19"/>
      <c r="D203" s="33"/>
      <c r="E203" s="33"/>
      <c r="F203" s="20"/>
      <c r="G203" s="20"/>
      <c r="H203" s="20"/>
      <c r="I203" s="20"/>
      <c r="J203" s="20"/>
      <c r="K203" s="20"/>
      <c r="L203" s="20"/>
      <c r="M203" s="20"/>
      <c r="N203" s="20"/>
      <c r="O203" s="42"/>
      <c r="P203" s="42"/>
      <c r="Q203" s="42"/>
      <c r="R203" s="42"/>
      <c r="S203" s="42"/>
      <c r="T203" s="42"/>
      <c r="U203" s="55"/>
    </row>
    <row r="204" spans="1:21" ht="17.25" customHeight="1" x14ac:dyDescent="0.3">
      <c r="A204" s="15" t="s">
        <v>29</v>
      </c>
      <c r="C204" s="19"/>
      <c r="D204" s="33"/>
      <c r="E204" s="33" t="s">
        <v>30</v>
      </c>
      <c r="F204" s="20" t="s">
        <v>30</v>
      </c>
      <c r="G204" s="20" t="s">
        <v>30</v>
      </c>
      <c r="H204" s="20"/>
      <c r="I204" s="20"/>
      <c r="J204" s="20" t="s">
        <v>30</v>
      </c>
      <c r="K204" s="20" t="s">
        <v>30</v>
      </c>
      <c r="L204" s="20" t="s">
        <v>30</v>
      </c>
      <c r="M204" s="20" t="s">
        <v>30</v>
      </c>
      <c r="N204" s="20"/>
      <c r="U204" s="56"/>
    </row>
    <row r="205" spans="1:21" ht="20.25" customHeight="1" x14ac:dyDescent="0.35">
      <c r="A205" s="15" t="s">
        <v>29</v>
      </c>
      <c r="C205" s="19"/>
      <c r="D205" s="34" t="str">
        <f t="shared" ref="D205" si="177">E205</f>
        <v>E100034</v>
      </c>
      <c r="E205" s="35" t="str">
        <f>"E100034"</f>
        <v>E100034</v>
      </c>
      <c r="F205" s="36" t="str">
        <f>"Bamboo 1GB USB Flash Drive"</f>
        <v>Bamboo 1GB USB Flash Drive</v>
      </c>
      <c r="G205" s="36"/>
      <c r="H205" s="37" t="str">
        <f>"EA"</f>
        <v>EA</v>
      </c>
      <c r="I205" s="36"/>
      <c r="J205" s="36"/>
      <c r="K205" s="36"/>
      <c r="L205" s="36"/>
      <c r="M205" s="36"/>
      <c r="N205" s="36"/>
      <c r="O205" s="38">
        <f t="shared" ref="O205:T205" si="178">(SUBTOTAL(9,O206:O207))</f>
        <v>249.99999999999997</v>
      </c>
      <c r="P205" s="38">
        <f t="shared" si="178"/>
        <v>0</v>
      </c>
      <c r="Q205" s="38">
        <f t="shared" si="178"/>
        <v>0</v>
      </c>
      <c r="R205" s="38">
        <f t="shared" si="178"/>
        <v>0</v>
      </c>
      <c r="S205" s="38">
        <f t="shared" si="178"/>
        <v>0</v>
      </c>
      <c r="T205" s="38">
        <f t="shared" si="178"/>
        <v>0</v>
      </c>
      <c r="U205" s="53">
        <f t="shared" ref="U205" si="179">SUBTOTAL(9,O206:T207)</f>
        <v>249.99999999999997</v>
      </c>
    </row>
    <row r="206" spans="1:21" ht="17.25" customHeight="1" x14ac:dyDescent="0.3">
      <c r="A206" s="15" t="s">
        <v>29</v>
      </c>
      <c r="C206" s="19"/>
      <c r="D206" s="33" t="str">
        <f t="shared" ref="D206" si="180">D205</f>
        <v>E100034</v>
      </c>
      <c r="E206" s="33"/>
      <c r="F206" s="20"/>
      <c r="G206" s="20" t="str">
        <f>"""NAV"",""CRONUS JetCorp USA"",""32"",""1"",""168361"""</f>
        <v>"NAV","CRONUS JetCorp USA","32","1","168361"</v>
      </c>
      <c r="H206" s="39">
        <v>43466</v>
      </c>
      <c r="I206" s="40">
        <v>168361</v>
      </c>
      <c r="J206" s="40" t="str">
        <f>"Vendor"</f>
        <v>Vendor</v>
      </c>
      <c r="K206" s="40" t="str">
        <f>"V100001"</f>
        <v>V100001</v>
      </c>
      <c r="L206" s="40" t="str">
        <f>""</f>
        <v/>
      </c>
      <c r="M206" s="40" t="str">
        <f>"Greigner, Inc."</f>
        <v>Greigner, Inc.</v>
      </c>
      <c r="N206" s="40" t="str">
        <f>""</f>
        <v/>
      </c>
      <c r="O206" s="41">
        <v>249.99999999999997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  <c r="U206" s="54"/>
    </row>
    <row r="207" spans="1:21" ht="17.25" customHeight="1" x14ac:dyDescent="0.3">
      <c r="A207" s="15" t="s">
        <v>29</v>
      </c>
      <c r="C207" s="19"/>
      <c r="D207" s="33"/>
      <c r="E207" s="33"/>
      <c r="F207" s="20"/>
      <c r="G207" s="20"/>
      <c r="H207" s="20"/>
      <c r="I207" s="20"/>
      <c r="J207" s="20"/>
      <c r="K207" s="20"/>
      <c r="L207" s="20"/>
      <c r="M207" s="20"/>
      <c r="N207" s="20"/>
      <c r="O207" s="42"/>
      <c r="P207" s="42"/>
      <c r="Q207" s="42"/>
      <c r="R207" s="42"/>
      <c r="S207" s="42"/>
      <c r="T207" s="42"/>
      <c r="U207" s="55"/>
    </row>
    <row r="208" spans="1:21" ht="17.25" customHeight="1" x14ac:dyDescent="0.3">
      <c r="A208" s="15" t="s">
        <v>29</v>
      </c>
      <c r="C208" s="19"/>
      <c r="D208" s="33"/>
      <c r="E208" s="33" t="s">
        <v>30</v>
      </c>
      <c r="F208" s="20" t="s">
        <v>30</v>
      </c>
      <c r="G208" s="20" t="s">
        <v>30</v>
      </c>
      <c r="H208" s="20"/>
      <c r="I208" s="20"/>
      <c r="J208" s="20" t="s">
        <v>30</v>
      </c>
      <c r="K208" s="20" t="s">
        <v>30</v>
      </c>
      <c r="L208" s="20" t="s">
        <v>30</v>
      </c>
      <c r="M208" s="20" t="s">
        <v>30</v>
      </c>
      <c r="N208" s="20"/>
      <c r="U208" s="56"/>
    </row>
    <row r="209" spans="1:21" ht="20.25" customHeight="1" x14ac:dyDescent="0.35">
      <c r="A209" s="15" t="s">
        <v>29</v>
      </c>
      <c r="C209" s="19"/>
      <c r="D209" s="34" t="str">
        <f t="shared" ref="D209" si="181">E209</f>
        <v>E100040</v>
      </c>
      <c r="E209" s="35" t="str">
        <f>"E100040"</f>
        <v>E100040</v>
      </c>
      <c r="F209" s="36" t="str">
        <f>"Wave Mug"</f>
        <v>Wave Mug</v>
      </c>
      <c r="G209" s="36"/>
      <c r="H209" s="37" t="str">
        <f>"EA"</f>
        <v>EA</v>
      </c>
      <c r="I209" s="36"/>
      <c r="J209" s="36"/>
      <c r="K209" s="36"/>
      <c r="L209" s="36"/>
      <c r="M209" s="36"/>
      <c r="N209" s="36"/>
      <c r="O209" s="38">
        <f t="shared" ref="O209:T209" si="182">(SUBTOTAL(9,O210:O211))</f>
        <v>249.99999999999997</v>
      </c>
      <c r="P209" s="38">
        <f t="shared" si="182"/>
        <v>0</v>
      </c>
      <c r="Q209" s="38">
        <f t="shared" si="182"/>
        <v>0</v>
      </c>
      <c r="R209" s="38">
        <f t="shared" si="182"/>
        <v>0</v>
      </c>
      <c r="S209" s="38">
        <f t="shared" si="182"/>
        <v>0</v>
      </c>
      <c r="T209" s="38">
        <f t="shared" si="182"/>
        <v>0</v>
      </c>
      <c r="U209" s="53">
        <f t="shared" ref="U209" si="183">SUBTOTAL(9,O210:T211)</f>
        <v>249.99999999999997</v>
      </c>
    </row>
    <row r="210" spans="1:21" ht="17.25" customHeight="1" x14ac:dyDescent="0.3">
      <c r="A210" s="15" t="s">
        <v>29</v>
      </c>
      <c r="C210" s="19"/>
      <c r="D210" s="33" t="str">
        <f t="shared" ref="D210" si="184">D209</f>
        <v>E100040</v>
      </c>
      <c r="E210" s="33"/>
      <c r="F210" s="20"/>
      <c r="G210" s="20" t="str">
        <f>"""NAV"",""CRONUS JetCorp USA"",""32"",""1"",""168679"""</f>
        <v>"NAV","CRONUS JetCorp USA","32","1","168679"</v>
      </c>
      <c r="H210" s="39">
        <v>43466</v>
      </c>
      <c r="I210" s="40">
        <v>168679</v>
      </c>
      <c r="J210" s="40" t="str">
        <f>"Vendor"</f>
        <v>Vendor</v>
      </c>
      <c r="K210" s="40" t="str">
        <f>"V100001"</f>
        <v>V100001</v>
      </c>
      <c r="L210" s="40" t="str">
        <f>""</f>
        <v/>
      </c>
      <c r="M210" s="40" t="str">
        <f>"Greigner, Inc."</f>
        <v>Greigner, Inc.</v>
      </c>
      <c r="N210" s="40" t="str">
        <f>""</f>
        <v/>
      </c>
      <c r="O210" s="41">
        <v>249.99999999999997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  <c r="U210" s="54"/>
    </row>
    <row r="211" spans="1:21" ht="17.25" customHeight="1" x14ac:dyDescent="0.3">
      <c r="A211" s="15" t="s">
        <v>29</v>
      </c>
      <c r="C211" s="19"/>
      <c r="D211" s="33"/>
      <c r="E211" s="33"/>
      <c r="F211" s="20"/>
      <c r="G211" s="20"/>
      <c r="H211" s="20"/>
      <c r="I211" s="20"/>
      <c r="J211" s="20"/>
      <c r="K211" s="20"/>
      <c r="L211" s="20"/>
      <c r="M211" s="20"/>
      <c r="N211" s="20"/>
      <c r="O211" s="42"/>
      <c r="P211" s="42"/>
      <c r="Q211" s="42"/>
      <c r="R211" s="42"/>
      <c r="S211" s="42"/>
      <c r="T211" s="42"/>
      <c r="U211" s="55"/>
    </row>
    <row r="212" spans="1:21" ht="17.25" customHeight="1" x14ac:dyDescent="0.3">
      <c r="A212" s="15" t="s">
        <v>29</v>
      </c>
      <c r="C212" s="19"/>
      <c r="D212" s="33"/>
      <c r="E212" s="33" t="s">
        <v>30</v>
      </c>
      <c r="F212" s="20" t="s">
        <v>30</v>
      </c>
      <c r="G212" s="20" t="s">
        <v>30</v>
      </c>
      <c r="H212" s="20"/>
      <c r="I212" s="20"/>
      <c r="J212" s="20" t="s">
        <v>30</v>
      </c>
      <c r="K212" s="20" t="s">
        <v>30</v>
      </c>
      <c r="L212" s="20" t="s">
        <v>30</v>
      </c>
      <c r="M212" s="20" t="s">
        <v>30</v>
      </c>
      <c r="N212" s="20"/>
      <c r="U212" s="56"/>
    </row>
    <row r="213" spans="1:21" ht="20.25" customHeight="1" x14ac:dyDescent="0.35">
      <c r="A213" s="15" t="s">
        <v>29</v>
      </c>
      <c r="C213" s="19"/>
      <c r="D213" s="34" t="str">
        <f t="shared" ref="D213" si="185">E213</f>
        <v>E100041</v>
      </c>
      <c r="E213" s="35" t="str">
        <f>"E100041"</f>
        <v>E100041</v>
      </c>
      <c r="F213" s="36" t="str">
        <f>"Biodegradable Colored SPORT BOT"</f>
        <v>Biodegradable Colored SPORT BOT</v>
      </c>
      <c r="G213" s="36"/>
      <c r="H213" s="37" t="str">
        <f>"EA"</f>
        <v>EA</v>
      </c>
      <c r="I213" s="36"/>
      <c r="J213" s="36"/>
      <c r="K213" s="36"/>
      <c r="L213" s="36"/>
      <c r="M213" s="36"/>
      <c r="N213" s="36"/>
      <c r="O213" s="38">
        <f t="shared" ref="O213:T213" si="186">(SUBTOTAL(9,O214:O215))</f>
        <v>249.99999999999997</v>
      </c>
      <c r="P213" s="38">
        <f t="shared" si="186"/>
        <v>0</v>
      </c>
      <c r="Q213" s="38">
        <f t="shared" si="186"/>
        <v>0</v>
      </c>
      <c r="R213" s="38">
        <f t="shared" si="186"/>
        <v>0</v>
      </c>
      <c r="S213" s="38">
        <f t="shared" si="186"/>
        <v>0</v>
      </c>
      <c r="T213" s="38">
        <f t="shared" si="186"/>
        <v>0</v>
      </c>
      <c r="U213" s="53">
        <f t="shared" ref="U213" si="187">SUBTOTAL(9,O214:T215)</f>
        <v>249.99999999999997</v>
      </c>
    </row>
    <row r="214" spans="1:21" ht="17.25" customHeight="1" x14ac:dyDescent="0.3">
      <c r="A214" s="15" t="s">
        <v>29</v>
      </c>
      <c r="C214" s="19"/>
      <c r="D214" s="33" t="str">
        <f t="shared" ref="D214" si="188">D213</f>
        <v>E100041</v>
      </c>
      <c r="E214" s="33"/>
      <c r="F214" s="20"/>
      <c r="G214" s="20" t="str">
        <f>"""NAV"",""CRONUS JetCorp USA"",""32"",""1"",""168678"""</f>
        <v>"NAV","CRONUS JetCorp USA","32","1","168678"</v>
      </c>
      <c r="H214" s="39">
        <v>43466</v>
      </c>
      <c r="I214" s="40">
        <v>168678</v>
      </c>
      <c r="J214" s="40" t="str">
        <f>"Vendor"</f>
        <v>Vendor</v>
      </c>
      <c r="K214" s="40" t="str">
        <f>"V100001"</f>
        <v>V100001</v>
      </c>
      <c r="L214" s="40" t="str">
        <f>""</f>
        <v/>
      </c>
      <c r="M214" s="40" t="str">
        <f>"Greigner, Inc."</f>
        <v>Greigner, Inc.</v>
      </c>
      <c r="N214" s="40" t="str">
        <f>""</f>
        <v/>
      </c>
      <c r="O214" s="41">
        <v>249.99999999999997</v>
      </c>
      <c r="P214" s="41">
        <v>0</v>
      </c>
      <c r="Q214" s="41">
        <v>0</v>
      </c>
      <c r="R214" s="41">
        <v>0</v>
      </c>
      <c r="S214" s="41">
        <v>0</v>
      </c>
      <c r="T214" s="41">
        <v>0</v>
      </c>
      <c r="U214" s="54"/>
    </row>
    <row r="215" spans="1:21" ht="17.25" customHeight="1" x14ac:dyDescent="0.3">
      <c r="A215" s="15" t="s">
        <v>29</v>
      </c>
      <c r="C215" s="19"/>
      <c r="D215" s="33"/>
      <c r="E215" s="33"/>
      <c r="F215" s="20"/>
      <c r="G215" s="20"/>
      <c r="H215" s="20"/>
      <c r="I215" s="20"/>
      <c r="J215" s="20"/>
      <c r="K215" s="20"/>
      <c r="L215" s="20"/>
      <c r="M215" s="20"/>
      <c r="N215" s="20"/>
      <c r="O215" s="42"/>
      <c r="P215" s="42"/>
      <c r="Q215" s="42"/>
      <c r="R215" s="42"/>
      <c r="S215" s="42"/>
      <c r="T215" s="42"/>
      <c r="U215" s="55"/>
    </row>
    <row r="216" spans="1:21" ht="17.25" customHeight="1" x14ac:dyDescent="0.3">
      <c r="A216" s="15" t="s">
        <v>29</v>
      </c>
      <c r="C216" s="19"/>
      <c r="D216" s="33"/>
      <c r="E216" s="33" t="s">
        <v>30</v>
      </c>
      <c r="F216" s="20" t="s">
        <v>30</v>
      </c>
      <c r="G216" s="20" t="s">
        <v>30</v>
      </c>
      <c r="H216" s="20"/>
      <c r="I216" s="20"/>
      <c r="J216" s="20" t="s">
        <v>30</v>
      </c>
      <c r="K216" s="20" t="s">
        <v>30</v>
      </c>
      <c r="L216" s="20" t="s">
        <v>30</v>
      </c>
      <c r="M216" s="20" t="s">
        <v>30</v>
      </c>
      <c r="N216" s="20"/>
      <c r="U216" s="56"/>
    </row>
    <row r="217" spans="1:21" ht="20.25" customHeight="1" x14ac:dyDescent="0.35">
      <c r="A217" s="15" t="s">
        <v>29</v>
      </c>
      <c r="C217" s="19"/>
      <c r="D217" s="34" t="str">
        <f t="shared" ref="D217" si="189">E217</f>
        <v>E100042</v>
      </c>
      <c r="E217" s="35" t="str">
        <f>"E100042"</f>
        <v>E100042</v>
      </c>
      <c r="F217" s="36" t="str">
        <f>"Soft Touch Travel Mug"</f>
        <v>Soft Touch Travel Mug</v>
      </c>
      <c r="G217" s="36"/>
      <c r="H217" s="37" t="str">
        <f>"EA"</f>
        <v>EA</v>
      </c>
      <c r="I217" s="36"/>
      <c r="J217" s="36"/>
      <c r="K217" s="36"/>
      <c r="L217" s="36"/>
      <c r="M217" s="36"/>
      <c r="N217" s="36"/>
      <c r="O217" s="38">
        <f t="shared" ref="O217:T217" si="190">(SUBTOTAL(9,O218:O219))</f>
        <v>249.99999999999997</v>
      </c>
      <c r="P217" s="38">
        <f t="shared" si="190"/>
        <v>0</v>
      </c>
      <c r="Q217" s="38">
        <f t="shared" si="190"/>
        <v>0</v>
      </c>
      <c r="R217" s="38">
        <f t="shared" si="190"/>
        <v>0</v>
      </c>
      <c r="S217" s="38">
        <f t="shared" si="190"/>
        <v>0</v>
      </c>
      <c r="T217" s="38">
        <f t="shared" si="190"/>
        <v>0</v>
      </c>
      <c r="U217" s="53">
        <f t="shared" ref="U217" si="191">SUBTOTAL(9,O218:T219)</f>
        <v>249.99999999999997</v>
      </c>
    </row>
    <row r="218" spans="1:21" ht="17.25" customHeight="1" x14ac:dyDescent="0.3">
      <c r="A218" s="15" t="s">
        <v>29</v>
      </c>
      <c r="C218" s="19"/>
      <c r="D218" s="33" t="str">
        <f t="shared" ref="D218" si="192">D217</f>
        <v>E100042</v>
      </c>
      <c r="E218" s="33"/>
      <c r="F218" s="20"/>
      <c r="G218" s="20" t="str">
        <f>"""NAV"",""CRONUS JetCorp USA"",""32"",""1"",""168677"""</f>
        <v>"NAV","CRONUS JetCorp USA","32","1","168677"</v>
      </c>
      <c r="H218" s="39">
        <v>43466</v>
      </c>
      <c r="I218" s="40">
        <v>168677</v>
      </c>
      <c r="J218" s="40" t="str">
        <f>"Vendor"</f>
        <v>Vendor</v>
      </c>
      <c r="K218" s="40" t="str">
        <f>"V100001"</f>
        <v>V100001</v>
      </c>
      <c r="L218" s="40" t="str">
        <f>""</f>
        <v/>
      </c>
      <c r="M218" s="40" t="str">
        <f>"Greigner, Inc."</f>
        <v>Greigner, Inc.</v>
      </c>
      <c r="N218" s="40" t="str">
        <f>""</f>
        <v/>
      </c>
      <c r="O218" s="41">
        <v>249.99999999999997</v>
      </c>
      <c r="P218" s="41">
        <v>0</v>
      </c>
      <c r="Q218" s="41">
        <v>0</v>
      </c>
      <c r="R218" s="41">
        <v>0</v>
      </c>
      <c r="S218" s="41">
        <v>0</v>
      </c>
      <c r="T218" s="41">
        <v>0</v>
      </c>
      <c r="U218" s="54"/>
    </row>
    <row r="219" spans="1:21" ht="17.25" customHeight="1" x14ac:dyDescent="0.3">
      <c r="A219" s="15" t="s">
        <v>29</v>
      </c>
      <c r="C219" s="19"/>
      <c r="D219" s="33"/>
      <c r="E219" s="33"/>
      <c r="F219" s="20"/>
      <c r="G219" s="20"/>
      <c r="H219" s="20"/>
      <c r="I219" s="20"/>
      <c r="J219" s="20"/>
      <c r="K219" s="20"/>
      <c r="L219" s="20"/>
      <c r="M219" s="20"/>
      <c r="N219" s="20"/>
      <c r="O219" s="42"/>
      <c r="P219" s="42"/>
      <c r="Q219" s="42"/>
      <c r="R219" s="42"/>
      <c r="S219" s="42"/>
      <c r="T219" s="42"/>
      <c r="U219" s="55"/>
    </row>
    <row r="220" spans="1:21" ht="17.25" customHeight="1" x14ac:dyDescent="0.3">
      <c r="A220" s="15" t="s">
        <v>29</v>
      </c>
      <c r="C220" s="19"/>
      <c r="D220" s="33"/>
      <c r="E220" s="33" t="s">
        <v>30</v>
      </c>
      <c r="F220" s="20" t="s">
        <v>30</v>
      </c>
      <c r="G220" s="20" t="s">
        <v>30</v>
      </c>
      <c r="H220" s="20"/>
      <c r="I220" s="20"/>
      <c r="J220" s="20" t="s">
        <v>30</v>
      </c>
      <c r="K220" s="20" t="s">
        <v>30</v>
      </c>
      <c r="L220" s="20" t="s">
        <v>30</v>
      </c>
      <c r="M220" s="20" t="s">
        <v>30</v>
      </c>
      <c r="N220" s="20"/>
      <c r="U220" s="56"/>
    </row>
    <row r="221" spans="1:21" ht="20.25" customHeight="1" x14ac:dyDescent="0.35">
      <c r="A221" s="15" t="s">
        <v>29</v>
      </c>
      <c r="C221" s="19"/>
      <c r="D221" s="34" t="str">
        <f t="shared" ref="D221" si="193">E221</f>
        <v>E100043</v>
      </c>
      <c r="E221" s="35" t="str">
        <f>"E100043"</f>
        <v>E100043</v>
      </c>
      <c r="F221" s="36" t="str">
        <f>"Pub Glass"</f>
        <v>Pub Glass</v>
      </c>
      <c r="G221" s="36"/>
      <c r="H221" s="37" t="str">
        <f>"EA"</f>
        <v>EA</v>
      </c>
      <c r="I221" s="36"/>
      <c r="J221" s="36"/>
      <c r="K221" s="36"/>
      <c r="L221" s="36"/>
      <c r="M221" s="36"/>
      <c r="N221" s="36"/>
      <c r="O221" s="38">
        <f t="shared" ref="O221:T221" si="194">(SUBTOTAL(9,O222:O223))</f>
        <v>499.99999999999994</v>
      </c>
      <c r="P221" s="38">
        <f t="shared" si="194"/>
        <v>0</v>
      </c>
      <c r="Q221" s="38">
        <f t="shared" si="194"/>
        <v>0</v>
      </c>
      <c r="R221" s="38">
        <f t="shared" si="194"/>
        <v>0</v>
      </c>
      <c r="S221" s="38">
        <f t="shared" si="194"/>
        <v>0</v>
      </c>
      <c r="T221" s="38">
        <f t="shared" si="194"/>
        <v>0</v>
      </c>
      <c r="U221" s="53">
        <f t="shared" ref="U221" si="195">SUBTOTAL(9,O222:T223)</f>
        <v>499.99999999999994</v>
      </c>
    </row>
    <row r="222" spans="1:21" ht="17.25" customHeight="1" x14ac:dyDescent="0.3">
      <c r="A222" s="15" t="s">
        <v>29</v>
      </c>
      <c r="C222" s="19"/>
      <c r="D222" s="33" t="str">
        <f t="shared" ref="D222" si="196">D221</f>
        <v>E100043</v>
      </c>
      <c r="E222" s="33"/>
      <c r="F222" s="20"/>
      <c r="G222" s="20" t="str">
        <f>"""NAV"",""CRONUS JetCorp USA"",""32"",""1"",""168676"""</f>
        <v>"NAV","CRONUS JetCorp USA","32","1","168676"</v>
      </c>
      <c r="H222" s="39">
        <v>43466</v>
      </c>
      <c r="I222" s="40">
        <v>168676</v>
      </c>
      <c r="J222" s="40" t="str">
        <f>"Vendor"</f>
        <v>Vendor</v>
      </c>
      <c r="K222" s="40" t="str">
        <f>"V100001"</f>
        <v>V100001</v>
      </c>
      <c r="L222" s="40" t="str">
        <f>""</f>
        <v/>
      </c>
      <c r="M222" s="40" t="str">
        <f>"Greigner, Inc."</f>
        <v>Greigner, Inc.</v>
      </c>
      <c r="N222" s="40" t="str">
        <f>""</f>
        <v/>
      </c>
      <c r="O222" s="41">
        <v>499.99999999999994</v>
      </c>
      <c r="P222" s="41">
        <v>0</v>
      </c>
      <c r="Q222" s="41">
        <v>0</v>
      </c>
      <c r="R222" s="41">
        <v>0</v>
      </c>
      <c r="S222" s="41">
        <v>0</v>
      </c>
      <c r="T222" s="41">
        <v>0</v>
      </c>
      <c r="U222" s="54"/>
    </row>
    <row r="223" spans="1:21" ht="17.25" customHeight="1" x14ac:dyDescent="0.3">
      <c r="A223" s="15" t="s">
        <v>29</v>
      </c>
      <c r="C223" s="19"/>
      <c r="D223" s="33"/>
      <c r="E223" s="33"/>
      <c r="F223" s="20"/>
      <c r="G223" s="20"/>
      <c r="H223" s="20"/>
      <c r="I223" s="20"/>
      <c r="J223" s="20"/>
      <c r="K223" s="20"/>
      <c r="L223" s="20"/>
      <c r="M223" s="20"/>
      <c r="N223" s="20"/>
      <c r="O223" s="42"/>
      <c r="P223" s="42"/>
      <c r="Q223" s="42"/>
      <c r="R223" s="42"/>
      <c r="S223" s="42"/>
      <c r="T223" s="42"/>
      <c r="U223" s="55"/>
    </row>
    <row r="224" spans="1:21" ht="17.25" customHeight="1" x14ac:dyDescent="0.3">
      <c r="A224" s="15" t="s">
        <v>29</v>
      </c>
      <c r="C224" s="19"/>
      <c r="D224" s="33"/>
      <c r="E224" s="33" t="s">
        <v>30</v>
      </c>
      <c r="F224" s="20" t="s">
        <v>30</v>
      </c>
      <c r="G224" s="20" t="s">
        <v>30</v>
      </c>
      <c r="H224" s="20"/>
      <c r="I224" s="20"/>
      <c r="J224" s="20" t="s">
        <v>30</v>
      </c>
      <c r="K224" s="20" t="s">
        <v>30</v>
      </c>
      <c r="L224" s="20" t="s">
        <v>30</v>
      </c>
      <c r="M224" s="20" t="s">
        <v>30</v>
      </c>
      <c r="N224" s="20"/>
      <c r="U224" s="56"/>
    </row>
    <row r="225" spans="1:21" ht="20.25" customHeight="1" x14ac:dyDescent="0.35">
      <c r="A225" s="15" t="s">
        <v>29</v>
      </c>
      <c r="C225" s="19"/>
      <c r="D225" s="34" t="str">
        <f t="shared" ref="D225" si="197">E225</f>
        <v>E100044</v>
      </c>
      <c r="E225" s="35" t="str">
        <f>"E100044"</f>
        <v>E100044</v>
      </c>
      <c r="F225" s="36" t="str">
        <f>"Juice Glass"</f>
        <v>Juice Glass</v>
      </c>
      <c r="G225" s="36"/>
      <c r="H225" s="37" t="str">
        <f>"EA"</f>
        <v>EA</v>
      </c>
      <c r="I225" s="36"/>
      <c r="J225" s="36"/>
      <c r="K225" s="36"/>
      <c r="L225" s="36"/>
      <c r="M225" s="36"/>
      <c r="N225" s="36"/>
      <c r="O225" s="38">
        <f t="shared" ref="O225:T225" si="198">(SUBTOTAL(9,O226:O227))</f>
        <v>249.99999999999997</v>
      </c>
      <c r="P225" s="38">
        <f t="shared" si="198"/>
        <v>0</v>
      </c>
      <c r="Q225" s="38">
        <f t="shared" si="198"/>
        <v>0</v>
      </c>
      <c r="R225" s="38">
        <f t="shared" si="198"/>
        <v>0</v>
      </c>
      <c r="S225" s="38">
        <f t="shared" si="198"/>
        <v>0</v>
      </c>
      <c r="T225" s="38">
        <f t="shared" si="198"/>
        <v>0</v>
      </c>
      <c r="U225" s="53">
        <f t="shared" ref="U225" si="199">SUBTOTAL(9,O226:T227)</f>
        <v>249.99999999999997</v>
      </c>
    </row>
    <row r="226" spans="1:21" ht="17.25" customHeight="1" x14ac:dyDescent="0.3">
      <c r="A226" s="15" t="s">
        <v>29</v>
      </c>
      <c r="C226" s="19"/>
      <c r="D226" s="33" t="str">
        <f t="shared" ref="D226" si="200">D225</f>
        <v>E100044</v>
      </c>
      <c r="E226" s="33"/>
      <c r="F226" s="20"/>
      <c r="G226" s="20" t="str">
        <f>"""NAV"",""CRONUS JetCorp USA"",""32"",""1"",""168675"""</f>
        <v>"NAV","CRONUS JetCorp USA","32","1","168675"</v>
      </c>
      <c r="H226" s="39">
        <v>43466</v>
      </c>
      <c r="I226" s="40">
        <v>168675</v>
      </c>
      <c r="J226" s="40" t="str">
        <f>"Vendor"</f>
        <v>Vendor</v>
      </c>
      <c r="K226" s="40" t="str">
        <f>"V100001"</f>
        <v>V100001</v>
      </c>
      <c r="L226" s="40" t="str">
        <f>""</f>
        <v/>
      </c>
      <c r="M226" s="40" t="str">
        <f>"Greigner, Inc."</f>
        <v>Greigner, Inc.</v>
      </c>
      <c r="N226" s="40" t="str">
        <f>""</f>
        <v/>
      </c>
      <c r="O226" s="41">
        <v>249.99999999999997</v>
      </c>
      <c r="P226" s="41">
        <v>0</v>
      </c>
      <c r="Q226" s="41">
        <v>0</v>
      </c>
      <c r="R226" s="41">
        <v>0</v>
      </c>
      <c r="S226" s="41">
        <v>0</v>
      </c>
      <c r="T226" s="41">
        <v>0</v>
      </c>
      <c r="U226" s="54"/>
    </row>
    <row r="227" spans="1:21" ht="17.25" customHeight="1" x14ac:dyDescent="0.3">
      <c r="A227" s="15" t="s">
        <v>29</v>
      </c>
      <c r="C227" s="19"/>
      <c r="D227" s="33"/>
      <c r="E227" s="33"/>
      <c r="F227" s="20"/>
      <c r="G227" s="20"/>
      <c r="H227" s="20"/>
      <c r="I227" s="20"/>
      <c r="J227" s="20"/>
      <c r="K227" s="20"/>
      <c r="L227" s="20"/>
      <c r="M227" s="20"/>
      <c r="N227" s="20"/>
      <c r="O227" s="42"/>
      <c r="P227" s="42"/>
      <c r="Q227" s="42"/>
      <c r="R227" s="42"/>
      <c r="S227" s="42"/>
      <c r="T227" s="42"/>
      <c r="U227" s="55"/>
    </row>
    <row r="228" spans="1:21" ht="17.25" customHeight="1" x14ac:dyDescent="0.3">
      <c r="A228" s="15" t="s">
        <v>29</v>
      </c>
      <c r="C228" s="19"/>
      <c r="D228" s="33"/>
      <c r="E228" s="33" t="s">
        <v>30</v>
      </c>
      <c r="F228" s="20" t="s">
        <v>30</v>
      </c>
      <c r="G228" s="20" t="s">
        <v>30</v>
      </c>
      <c r="H228" s="20"/>
      <c r="I228" s="20"/>
      <c r="J228" s="20" t="s">
        <v>30</v>
      </c>
      <c r="K228" s="20" t="s">
        <v>30</v>
      </c>
      <c r="L228" s="20" t="s">
        <v>30</v>
      </c>
      <c r="M228" s="20" t="s">
        <v>30</v>
      </c>
      <c r="N228" s="20"/>
      <c r="U228" s="56"/>
    </row>
    <row r="229" spans="1:21" ht="20.25" customHeight="1" x14ac:dyDescent="0.35">
      <c r="A229" s="15" t="s">
        <v>29</v>
      </c>
      <c r="C229" s="19"/>
      <c r="D229" s="34" t="str">
        <f t="shared" ref="D229" si="201">E229</f>
        <v>E100045</v>
      </c>
      <c r="E229" s="35" t="str">
        <f>"E100045"</f>
        <v>E100045</v>
      </c>
      <c r="F229" s="36" t="str">
        <f>"Flute"</f>
        <v>Flute</v>
      </c>
      <c r="G229" s="36"/>
      <c r="H229" s="37" t="str">
        <f>"EA"</f>
        <v>EA</v>
      </c>
      <c r="I229" s="36"/>
      <c r="J229" s="36"/>
      <c r="K229" s="36"/>
      <c r="L229" s="36"/>
      <c r="M229" s="36"/>
      <c r="N229" s="36"/>
      <c r="O229" s="38">
        <f t="shared" ref="O229:T229" si="202">(SUBTOTAL(9,O230:O231))</f>
        <v>249.99999999999997</v>
      </c>
      <c r="P229" s="38">
        <f t="shared" si="202"/>
        <v>0</v>
      </c>
      <c r="Q229" s="38">
        <f t="shared" si="202"/>
        <v>0</v>
      </c>
      <c r="R229" s="38">
        <f t="shared" si="202"/>
        <v>0</v>
      </c>
      <c r="S229" s="38">
        <f t="shared" si="202"/>
        <v>0</v>
      </c>
      <c r="T229" s="38">
        <f t="shared" si="202"/>
        <v>0</v>
      </c>
      <c r="U229" s="53">
        <f t="shared" ref="U229" si="203">SUBTOTAL(9,O230:T231)</f>
        <v>249.99999999999997</v>
      </c>
    </row>
    <row r="230" spans="1:21" ht="17.25" customHeight="1" x14ac:dyDescent="0.3">
      <c r="A230" s="15" t="s">
        <v>29</v>
      </c>
      <c r="C230" s="19"/>
      <c r="D230" s="33" t="str">
        <f t="shared" ref="D230" si="204">D229</f>
        <v>E100045</v>
      </c>
      <c r="E230" s="33"/>
      <c r="F230" s="20"/>
      <c r="G230" s="20" t="str">
        <f>"""NAV"",""CRONUS JetCorp USA"",""32"",""1"",""168674"""</f>
        <v>"NAV","CRONUS JetCorp USA","32","1","168674"</v>
      </c>
      <c r="H230" s="39">
        <v>43466</v>
      </c>
      <c r="I230" s="40">
        <v>168674</v>
      </c>
      <c r="J230" s="40" t="str">
        <f>"Vendor"</f>
        <v>Vendor</v>
      </c>
      <c r="K230" s="40" t="str">
        <f>"V100001"</f>
        <v>V100001</v>
      </c>
      <c r="L230" s="40" t="str">
        <f>""</f>
        <v/>
      </c>
      <c r="M230" s="40" t="str">
        <f>"Greigner, Inc."</f>
        <v>Greigner, Inc.</v>
      </c>
      <c r="N230" s="40" t="str">
        <f>""</f>
        <v/>
      </c>
      <c r="O230" s="41">
        <v>249.99999999999997</v>
      </c>
      <c r="P230" s="41">
        <v>0</v>
      </c>
      <c r="Q230" s="41">
        <v>0</v>
      </c>
      <c r="R230" s="41">
        <v>0</v>
      </c>
      <c r="S230" s="41">
        <v>0</v>
      </c>
      <c r="T230" s="41">
        <v>0</v>
      </c>
      <c r="U230" s="54"/>
    </row>
    <row r="231" spans="1:21" ht="17.25" customHeight="1" x14ac:dyDescent="0.3">
      <c r="A231" s="15" t="s">
        <v>29</v>
      </c>
      <c r="C231" s="19"/>
      <c r="D231" s="33"/>
      <c r="E231" s="33"/>
      <c r="F231" s="20"/>
      <c r="G231" s="20"/>
      <c r="H231" s="20"/>
      <c r="I231" s="20"/>
      <c r="J231" s="20"/>
      <c r="K231" s="20"/>
      <c r="L231" s="20"/>
      <c r="M231" s="20"/>
      <c r="N231" s="20"/>
      <c r="O231" s="42"/>
      <c r="P231" s="42"/>
      <c r="Q231" s="42"/>
      <c r="R231" s="42"/>
      <c r="S231" s="42"/>
      <c r="T231" s="42"/>
      <c r="U231" s="55"/>
    </row>
    <row r="232" spans="1:21" ht="17.25" customHeight="1" x14ac:dyDescent="0.3">
      <c r="A232" s="15" t="s">
        <v>29</v>
      </c>
      <c r="C232" s="19"/>
      <c r="D232" s="33"/>
      <c r="E232" s="33" t="s">
        <v>30</v>
      </c>
      <c r="F232" s="20" t="s">
        <v>30</v>
      </c>
      <c r="G232" s="20" t="s">
        <v>30</v>
      </c>
      <c r="H232" s="20"/>
      <c r="I232" s="20"/>
      <c r="J232" s="20" t="s">
        <v>30</v>
      </c>
      <c r="K232" s="20" t="s">
        <v>30</v>
      </c>
      <c r="L232" s="20" t="s">
        <v>30</v>
      </c>
      <c r="M232" s="20" t="s">
        <v>30</v>
      </c>
      <c r="N232" s="20"/>
      <c r="U232" s="56"/>
    </row>
    <row r="233" spans="1:21" ht="20.25" customHeight="1" x14ac:dyDescent="0.35">
      <c r="A233" s="15" t="s">
        <v>29</v>
      </c>
      <c r="C233" s="19"/>
      <c r="D233" s="34" t="str">
        <f t="shared" ref="D233" si="205">E233</f>
        <v>E100047</v>
      </c>
      <c r="E233" s="35" t="str">
        <f>"E100047"</f>
        <v>E100047</v>
      </c>
      <c r="F233" s="36" t="str">
        <f>"Chardonnay Glass"</f>
        <v>Chardonnay Glass</v>
      </c>
      <c r="G233" s="36"/>
      <c r="H233" s="37" t="str">
        <f>"EA"</f>
        <v>EA</v>
      </c>
      <c r="I233" s="36"/>
      <c r="J233" s="36"/>
      <c r="K233" s="36"/>
      <c r="L233" s="36"/>
      <c r="M233" s="36"/>
      <c r="N233" s="36"/>
      <c r="O233" s="38">
        <f t="shared" ref="O233:T233" si="206">(SUBTOTAL(9,O234:O235))</f>
        <v>0</v>
      </c>
      <c r="P233" s="38">
        <f t="shared" si="206"/>
        <v>-144</v>
      </c>
      <c r="Q233" s="38">
        <f t="shared" si="206"/>
        <v>0</v>
      </c>
      <c r="R233" s="38">
        <f t="shared" si="206"/>
        <v>0</v>
      </c>
      <c r="S233" s="38">
        <f t="shared" si="206"/>
        <v>0</v>
      </c>
      <c r="T233" s="38">
        <f t="shared" si="206"/>
        <v>0</v>
      </c>
      <c r="U233" s="53">
        <f t="shared" ref="U233" si="207">SUBTOTAL(9,O234:T235)</f>
        <v>-144</v>
      </c>
    </row>
    <row r="234" spans="1:21" ht="17.25" customHeight="1" x14ac:dyDescent="0.3">
      <c r="A234" s="15" t="s">
        <v>29</v>
      </c>
      <c r="C234" s="19"/>
      <c r="D234" s="33" t="str">
        <f t="shared" ref="D234" si="208">D233</f>
        <v>E100047</v>
      </c>
      <c r="E234" s="33"/>
      <c r="F234" s="20"/>
      <c r="G234" s="20" t="str">
        <f>"""NAV"",""CRONUS JetCorp USA"",""32"",""1"",""153194"""</f>
        <v>"NAV","CRONUS JetCorp USA","32","1","153194"</v>
      </c>
      <c r="H234" s="39">
        <v>43469</v>
      </c>
      <c r="I234" s="40">
        <v>153194</v>
      </c>
      <c r="J234" s="40" t="str">
        <f>"Customer"</f>
        <v>Customer</v>
      </c>
      <c r="K234" s="40" t="str">
        <f>"C100136"</f>
        <v>C100136</v>
      </c>
      <c r="L234" s="40" t="str">
        <f>"First Bank"</f>
        <v>First Bank</v>
      </c>
      <c r="M234" s="40" t="str">
        <f>""</f>
        <v/>
      </c>
      <c r="N234" s="40" t="str">
        <f>""</f>
        <v/>
      </c>
      <c r="O234" s="41">
        <v>0</v>
      </c>
      <c r="P234" s="41">
        <v>-144</v>
      </c>
      <c r="Q234" s="41">
        <v>0</v>
      </c>
      <c r="R234" s="41">
        <v>0</v>
      </c>
      <c r="S234" s="41">
        <v>0</v>
      </c>
      <c r="T234" s="41">
        <v>0</v>
      </c>
      <c r="U234" s="54"/>
    </row>
    <row r="235" spans="1:21" ht="17.25" customHeight="1" x14ac:dyDescent="0.3">
      <c r="A235" s="15" t="s">
        <v>29</v>
      </c>
      <c r="C235" s="19"/>
      <c r="D235" s="33"/>
      <c r="E235" s="33"/>
      <c r="F235" s="20"/>
      <c r="G235" s="20"/>
      <c r="H235" s="20"/>
      <c r="I235" s="20"/>
      <c r="J235" s="20"/>
      <c r="K235" s="20"/>
      <c r="L235" s="20"/>
      <c r="M235" s="20"/>
      <c r="N235" s="20"/>
      <c r="O235" s="42"/>
      <c r="P235" s="42"/>
      <c r="Q235" s="42"/>
      <c r="R235" s="42"/>
      <c r="S235" s="42"/>
      <c r="T235" s="42"/>
      <c r="U235" s="55"/>
    </row>
    <row r="236" spans="1:21" ht="17.25" customHeight="1" x14ac:dyDescent="0.3">
      <c r="A236" s="15" t="s">
        <v>29</v>
      </c>
      <c r="C236" s="19"/>
      <c r="D236" s="33"/>
      <c r="E236" s="33" t="s">
        <v>30</v>
      </c>
      <c r="F236" s="20" t="s">
        <v>30</v>
      </c>
      <c r="G236" s="20" t="s">
        <v>30</v>
      </c>
      <c r="H236" s="20"/>
      <c r="I236" s="20"/>
      <c r="J236" s="20" t="s">
        <v>30</v>
      </c>
      <c r="K236" s="20" t="s">
        <v>30</v>
      </c>
      <c r="L236" s="20" t="s">
        <v>30</v>
      </c>
      <c r="M236" s="20" t="s">
        <v>30</v>
      </c>
      <c r="N236" s="20"/>
      <c r="U236" s="56"/>
    </row>
    <row r="237" spans="1:21" ht="20.25" customHeight="1" x14ac:dyDescent="0.35">
      <c r="A237" s="15" t="s">
        <v>29</v>
      </c>
      <c r="C237" s="19"/>
      <c r="D237" s="34" t="str">
        <f t="shared" ref="D237" si="209">E237</f>
        <v>S100001</v>
      </c>
      <c r="E237" s="35" t="str">
        <f>"S100001"</f>
        <v>S100001</v>
      </c>
      <c r="F237" s="36" t="str">
        <f>"Basketball Graphic Plaque"</f>
        <v>Basketball Graphic Plaque</v>
      </c>
      <c r="G237" s="36"/>
      <c r="H237" s="37" t="str">
        <f>"EA"</f>
        <v>EA</v>
      </c>
      <c r="I237" s="36"/>
      <c r="J237" s="36"/>
      <c r="K237" s="36"/>
      <c r="L237" s="36"/>
      <c r="M237" s="36"/>
      <c r="N237" s="36"/>
      <c r="O237" s="38">
        <f t="shared" ref="O237:T237" si="210">(SUBTOTAL(9,O238:O240))</f>
        <v>100</v>
      </c>
      <c r="P237" s="38">
        <f t="shared" si="210"/>
        <v>-144</v>
      </c>
      <c r="Q237" s="38">
        <f t="shared" si="210"/>
        <v>0</v>
      </c>
      <c r="R237" s="38">
        <f t="shared" si="210"/>
        <v>0</v>
      </c>
      <c r="S237" s="38">
        <f t="shared" si="210"/>
        <v>0</v>
      </c>
      <c r="T237" s="38">
        <f t="shared" si="210"/>
        <v>0</v>
      </c>
      <c r="U237" s="53">
        <f t="shared" ref="U237" si="211">SUBTOTAL(9,O238:T240)</f>
        <v>-44</v>
      </c>
    </row>
    <row r="238" spans="1:21" ht="17.25" customHeight="1" x14ac:dyDescent="0.3">
      <c r="A238" s="15" t="s">
        <v>29</v>
      </c>
      <c r="C238" s="19"/>
      <c r="D238" s="33" t="str">
        <f t="shared" ref="D238" si="212">D237</f>
        <v>S100001</v>
      </c>
      <c r="E238" s="33"/>
      <c r="F238" s="20"/>
      <c r="G238" s="20" t="str">
        <f>"""NAV"",""CRONUS JetCorp USA"",""32"",""1"",""166426"""</f>
        <v>"NAV","CRONUS JetCorp USA","32","1","166426"</v>
      </c>
      <c r="H238" s="39">
        <v>43466</v>
      </c>
      <c r="I238" s="40">
        <v>166426</v>
      </c>
      <c r="J238" s="40" t="str">
        <f>"Vendor"</f>
        <v>Vendor</v>
      </c>
      <c r="K238" s="40" t="str">
        <f>"V100001"</f>
        <v>V100001</v>
      </c>
      <c r="L238" s="40" t="str">
        <f>""</f>
        <v/>
      </c>
      <c r="M238" s="40" t="str">
        <f>"Greigner, Inc."</f>
        <v>Greigner, Inc.</v>
      </c>
      <c r="N238" s="40" t="str">
        <f>""</f>
        <v/>
      </c>
      <c r="O238" s="41">
        <v>100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54"/>
    </row>
    <row r="239" spans="1:21" ht="17.25" customHeight="1" x14ac:dyDescent="0.3">
      <c r="A239" s="15" t="s">
        <v>29</v>
      </c>
      <c r="C239" s="19"/>
      <c r="D239" s="33" t="str">
        <f t="shared" ref="D239" si="213">D238</f>
        <v>S100001</v>
      </c>
      <c r="E239" s="33"/>
      <c r="F239" s="20"/>
      <c r="G239" s="20" t="str">
        <f>"""NAV"",""CRONUS JetCorp USA"",""32"",""1"",""20378"""</f>
        <v>"NAV","CRONUS JetCorp USA","32","1","20378"</v>
      </c>
      <c r="H239" s="39">
        <v>43473</v>
      </c>
      <c r="I239" s="40">
        <v>20378</v>
      </c>
      <c r="J239" s="40" t="str">
        <f>"Customer"</f>
        <v>Customer</v>
      </c>
      <c r="K239" s="40" t="str">
        <f>"C100130"</f>
        <v>C100130</v>
      </c>
      <c r="L239" s="40" t="str">
        <f>"Hotspot Systems"</f>
        <v>Hotspot Systems</v>
      </c>
      <c r="M239" s="40" t="str">
        <f>""</f>
        <v/>
      </c>
      <c r="N239" s="40" t="str">
        <f>""</f>
        <v/>
      </c>
      <c r="O239" s="41">
        <v>0</v>
      </c>
      <c r="P239" s="41">
        <v>-144</v>
      </c>
      <c r="Q239" s="41">
        <v>0</v>
      </c>
      <c r="R239" s="41">
        <v>0</v>
      </c>
      <c r="S239" s="41">
        <v>0</v>
      </c>
      <c r="T239" s="41">
        <v>0</v>
      </c>
      <c r="U239" s="54"/>
    </row>
    <row r="240" spans="1:21" ht="17.25" customHeight="1" x14ac:dyDescent="0.3">
      <c r="A240" s="15" t="s">
        <v>29</v>
      </c>
      <c r="C240" s="19"/>
      <c r="D240" s="33"/>
      <c r="E240" s="33"/>
      <c r="F240" s="20"/>
      <c r="G240" s="20"/>
      <c r="H240" s="20"/>
      <c r="I240" s="20"/>
      <c r="J240" s="20"/>
      <c r="K240" s="20"/>
      <c r="L240" s="20"/>
      <c r="M240" s="20"/>
      <c r="N240" s="20"/>
      <c r="O240" s="42"/>
      <c r="P240" s="42"/>
      <c r="Q240" s="42"/>
      <c r="R240" s="42"/>
      <c r="S240" s="42"/>
      <c r="T240" s="42"/>
      <c r="U240" s="55"/>
    </row>
    <row r="241" spans="1:21" ht="17.25" customHeight="1" x14ac:dyDescent="0.3">
      <c r="A241" s="15" t="s">
        <v>29</v>
      </c>
      <c r="C241" s="19"/>
      <c r="D241" s="33"/>
      <c r="E241" s="33" t="s">
        <v>30</v>
      </c>
      <c r="F241" s="20" t="s">
        <v>30</v>
      </c>
      <c r="G241" s="20" t="s">
        <v>30</v>
      </c>
      <c r="H241" s="20"/>
      <c r="I241" s="20"/>
      <c r="J241" s="20" t="s">
        <v>30</v>
      </c>
      <c r="K241" s="20" t="s">
        <v>30</v>
      </c>
      <c r="L241" s="20" t="s">
        <v>30</v>
      </c>
      <c r="M241" s="20" t="s">
        <v>30</v>
      </c>
      <c r="N241" s="20"/>
      <c r="U241" s="56"/>
    </row>
    <row r="242" spans="1:21" ht="20.25" customHeight="1" x14ac:dyDescent="0.35">
      <c r="A242" s="15" t="s">
        <v>29</v>
      </c>
      <c r="C242" s="19"/>
      <c r="D242" s="34" t="str">
        <f t="shared" ref="D242" si="214">E242</f>
        <v>S100003</v>
      </c>
      <c r="E242" s="35" t="str">
        <f>"S100003"</f>
        <v>S100003</v>
      </c>
      <c r="F242" s="36" t="str">
        <f>"Soccer #1 Pin"</f>
        <v>Soccer #1 Pin</v>
      </c>
      <c r="G242" s="36"/>
      <c r="H242" s="37" t="str">
        <f>"EA"</f>
        <v>EA</v>
      </c>
      <c r="I242" s="36"/>
      <c r="J242" s="36"/>
      <c r="K242" s="36"/>
      <c r="L242" s="36"/>
      <c r="M242" s="36"/>
      <c r="N242" s="36"/>
      <c r="O242" s="38">
        <f t="shared" ref="O242:T242" si="215">(SUBTOTAL(9,O243:O246))</f>
        <v>700</v>
      </c>
      <c r="P242" s="38">
        <f t="shared" si="215"/>
        <v>-288</v>
      </c>
      <c r="Q242" s="38">
        <f t="shared" si="215"/>
        <v>0</v>
      </c>
      <c r="R242" s="38">
        <f t="shared" si="215"/>
        <v>0</v>
      </c>
      <c r="S242" s="38">
        <f t="shared" si="215"/>
        <v>0</v>
      </c>
      <c r="T242" s="38">
        <f t="shared" si="215"/>
        <v>0</v>
      </c>
      <c r="U242" s="53">
        <f t="shared" ref="U242" si="216">SUBTOTAL(9,O243:T246)</f>
        <v>412</v>
      </c>
    </row>
    <row r="243" spans="1:21" ht="17.25" customHeight="1" x14ac:dyDescent="0.3">
      <c r="A243" s="15" t="s">
        <v>29</v>
      </c>
      <c r="C243" s="19"/>
      <c r="D243" s="33" t="str">
        <f t="shared" ref="D243" si="217">D242</f>
        <v>S100003</v>
      </c>
      <c r="E243" s="33"/>
      <c r="F243" s="20"/>
      <c r="G243" s="20" t="str">
        <f>"""NAV"",""CRONUS JetCorp USA"",""32"",""1"",""166425"""</f>
        <v>"NAV","CRONUS JetCorp USA","32","1","166425"</v>
      </c>
      <c r="H243" s="39">
        <v>43466</v>
      </c>
      <c r="I243" s="40">
        <v>166425</v>
      </c>
      <c r="J243" s="40" t="str">
        <f>"Vendor"</f>
        <v>Vendor</v>
      </c>
      <c r="K243" s="40" t="str">
        <f>"V100001"</f>
        <v>V100001</v>
      </c>
      <c r="L243" s="40" t="str">
        <f>""</f>
        <v/>
      </c>
      <c r="M243" s="40" t="str">
        <f>"Greigner, Inc."</f>
        <v>Greigner, Inc.</v>
      </c>
      <c r="N243" s="40" t="str">
        <f>""</f>
        <v/>
      </c>
      <c r="O243" s="41">
        <v>700</v>
      </c>
      <c r="P243" s="41">
        <v>0</v>
      </c>
      <c r="Q243" s="41">
        <v>0</v>
      </c>
      <c r="R243" s="41">
        <v>0</v>
      </c>
      <c r="S243" s="41">
        <v>0</v>
      </c>
      <c r="T243" s="41">
        <v>0</v>
      </c>
      <c r="U243" s="54"/>
    </row>
    <row r="244" spans="1:21" ht="17.25" customHeight="1" x14ac:dyDescent="0.3">
      <c r="A244" s="15" t="s">
        <v>29</v>
      </c>
      <c r="C244" s="19"/>
      <c r="D244" s="33" t="str">
        <f t="shared" ref="D244:D245" si="218">D243</f>
        <v>S100003</v>
      </c>
      <c r="E244" s="33"/>
      <c r="F244" s="20"/>
      <c r="G244" s="20" t="str">
        <f>"""NAV"",""CRONUS JetCorp USA"",""32"",""1"",""20410"""</f>
        <v>"NAV","CRONUS JetCorp USA","32","1","20410"</v>
      </c>
      <c r="H244" s="39">
        <v>43475</v>
      </c>
      <c r="I244" s="40">
        <v>20410</v>
      </c>
      <c r="J244" s="40" t="str">
        <f>"Customer"</f>
        <v>Customer</v>
      </c>
      <c r="K244" s="40" t="str">
        <f>"C100130"</f>
        <v>C100130</v>
      </c>
      <c r="L244" s="40" t="str">
        <f>"Hotspot Systems"</f>
        <v>Hotspot Systems</v>
      </c>
      <c r="M244" s="40" t="str">
        <f>""</f>
        <v/>
      </c>
      <c r="N244" s="40" t="str">
        <f>""</f>
        <v/>
      </c>
      <c r="O244" s="41">
        <v>0</v>
      </c>
      <c r="P244" s="41">
        <v>-144</v>
      </c>
      <c r="Q244" s="41">
        <v>0</v>
      </c>
      <c r="R244" s="41">
        <v>0</v>
      </c>
      <c r="S244" s="41">
        <v>0</v>
      </c>
      <c r="T244" s="41">
        <v>0</v>
      </c>
      <c r="U244" s="54"/>
    </row>
    <row r="245" spans="1:21" ht="17.25" customHeight="1" x14ac:dyDescent="0.3">
      <c r="A245" s="15" t="s">
        <v>29</v>
      </c>
      <c r="C245" s="19"/>
      <c r="D245" s="33" t="str">
        <f t="shared" si="218"/>
        <v>S100003</v>
      </c>
      <c r="E245" s="33"/>
      <c r="F245" s="20"/>
      <c r="G245" s="20" t="str">
        <f>"""NAV"",""CRONUS JetCorp USA"",""32"",""1"",""64625"""</f>
        <v>"NAV","CRONUS JetCorp USA","32","1","64625"</v>
      </c>
      <c r="H245" s="39">
        <v>43475</v>
      </c>
      <c r="I245" s="40">
        <v>64625</v>
      </c>
      <c r="J245" s="40" t="str">
        <f>"Customer"</f>
        <v>Customer</v>
      </c>
      <c r="K245" s="40" t="str">
        <f>"C100136"</f>
        <v>C100136</v>
      </c>
      <c r="L245" s="40" t="str">
        <f>"First Bank"</f>
        <v>First Bank</v>
      </c>
      <c r="M245" s="40" t="str">
        <f>""</f>
        <v/>
      </c>
      <c r="N245" s="40" t="str">
        <f>""</f>
        <v/>
      </c>
      <c r="O245" s="41">
        <v>0</v>
      </c>
      <c r="P245" s="41">
        <v>-144</v>
      </c>
      <c r="Q245" s="41">
        <v>0</v>
      </c>
      <c r="R245" s="41">
        <v>0</v>
      </c>
      <c r="S245" s="41">
        <v>0</v>
      </c>
      <c r="T245" s="41">
        <v>0</v>
      </c>
      <c r="U245" s="54"/>
    </row>
    <row r="246" spans="1:21" ht="17.25" customHeight="1" x14ac:dyDescent="0.3">
      <c r="A246" s="15" t="s">
        <v>29</v>
      </c>
      <c r="C246" s="19"/>
      <c r="D246" s="33"/>
      <c r="E246" s="33"/>
      <c r="F246" s="20"/>
      <c r="G246" s="20"/>
      <c r="H246" s="20"/>
      <c r="I246" s="20"/>
      <c r="J246" s="20"/>
      <c r="K246" s="20"/>
      <c r="L246" s="20"/>
      <c r="M246" s="20"/>
      <c r="N246" s="20"/>
      <c r="O246" s="42"/>
      <c r="P246" s="42"/>
      <c r="Q246" s="42"/>
      <c r="R246" s="42"/>
      <c r="S246" s="42"/>
      <c r="T246" s="42"/>
      <c r="U246" s="55"/>
    </row>
    <row r="247" spans="1:21" ht="17.25" customHeight="1" x14ac:dyDescent="0.3">
      <c r="A247" s="15" t="s">
        <v>29</v>
      </c>
      <c r="C247" s="19"/>
      <c r="D247" s="33"/>
      <c r="E247" s="33" t="s">
        <v>30</v>
      </c>
      <c r="F247" s="20" t="s">
        <v>30</v>
      </c>
      <c r="G247" s="20" t="s">
        <v>30</v>
      </c>
      <c r="H247" s="20"/>
      <c r="I247" s="20"/>
      <c r="J247" s="20" t="s">
        <v>30</v>
      </c>
      <c r="K247" s="20" t="s">
        <v>30</v>
      </c>
      <c r="L247" s="20" t="s">
        <v>30</v>
      </c>
      <c r="M247" s="20" t="s">
        <v>30</v>
      </c>
      <c r="N247" s="20"/>
      <c r="U247" s="56"/>
    </row>
    <row r="248" spans="1:21" ht="20.25" customHeight="1" x14ac:dyDescent="0.35">
      <c r="A248" s="15" t="s">
        <v>29</v>
      </c>
      <c r="C248" s="19"/>
      <c r="D248" s="34" t="str">
        <f t="shared" ref="D248" si="219">E248</f>
        <v>S100004</v>
      </c>
      <c r="E248" s="35" t="str">
        <f>"S100004"</f>
        <v>S100004</v>
      </c>
      <c r="F248" s="36" t="str">
        <f>"Award Medallian - 2''"</f>
        <v>Award Medallian - 2''</v>
      </c>
      <c r="G248" s="36"/>
      <c r="H248" s="37" t="str">
        <f>"EA"</f>
        <v>EA</v>
      </c>
      <c r="I248" s="36"/>
      <c r="J248" s="36"/>
      <c r="K248" s="36"/>
      <c r="L248" s="36"/>
      <c r="M248" s="36"/>
      <c r="N248" s="36"/>
      <c r="O248" s="38">
        <f t="shared" ref="O248:T248" si="220">(SUBTOTAL(9,O249:O251))</f>
        <v>300</v>
      </c>
      <c r="P248" s="38">
        <f t="shared" si="220"/>
        <v>-144</v>
      </c>
      <c r="Q248" s="38">
        <f t="shared" si="220"/>
        <v>0</v>
      </c>
      <c r="R248" s="38">
        <f t="shared" si="220"/>
        <v>0</v>
      </c>
      <c r="S248" s="38">
        <f t="shared" si="220"/>
        <v>0</v>
      </c>
      <c r="T248" s="38">
        <f t="shared" si="220"/>
        <v>0</v>
      </c>
      <c r="U248" s="53">
        <f t="shared" ref="U248" si="221">SUBTOTAL(9,O249:T251)</f>
        <v>156</v>
      </c>
    </row>
    <row r="249" spans="1:21" ht="17.25" customHeight="1" x14ac:dyDescent="0.3">
      <c r="A249" s="15" t="s">
        <v>29</v>
      </c>
      <c r="C249" s="19"/>
      <c r="D249" s="33" t="str">
        <f t="shared" ref="D249" si="222">D248</f>
        <v>S100004</v>
      </c>
      <c r="E249" s="33"/>
      <c r="F249" s="20"/>
      <c r="G249" s="20" t="str">
        <f>"""NAV"",""CRONUS JetCorp USA"",""32"",""1"",""166424"""</f>
        <v>"NAV","CRONUS JetCorp USA","32","1","166424"</v>
      </c>
      <c r="H249" s="39">
        <v>43466</v>
      </c>
      <c r="I249" s="40">
        <v>166424</v>
      </c>
      <c r="J249" s="40" t="str">
        <f>"Vendor"</f>
        <v>Vendor</v>
      </c>
      <c r="K249" s="40" t="str">
        <f>"V100001"</f>
        <v>V100001</v>
      </c>
      <c r="L249" s="40" t="str">
        <f>""</f>
        <v/>
      </c>
      <c r="M249" s="40" t="str">
        <f>"Greigner, Inc."</f>
        <v>Greigner, Inc.</v>
      </c>
      <c r="N249" s="40" t="str">
        <f>""</f>
        <v/>
      </c>
      <c r="O249" s="41">
        <v>300</v>
      </c>
      <c r="P249" s="41">
        <v>0</v>
      </c>
      <c r="Q249" s="41">
        <v>0</v>
      </c>
      <c r="R249" s="41">
        <v>0</v>
      </c>
      <c r="S249" s="41">
        <v>0</v>
      </c>
      <c r="T249" s="41">
        <v>0</v>
      </c>
      <c r="U249" s="54"/>
    </row>
    <row r="250" spans="1:21" ht="17.25" customHeight="1" x14ac:dyDescent="0.3">
      <c r="A250" s="15" t="s">
        <v>29</v>
      </c>
      <c r="C250" s="19"/>
      <c r="D250" s="33" t="str">
        <f t="shared" ref="D250" si="223">D249</f>
        <v>S100004</v>
      </c>
      <c r="E250" s="33"/>
      <c r="F250" s="20"/>
      <c r="G250" s="20" t="str">
        <f>"""NAV"",""CRONUS JetCorp USA"",""32"",""1"",""20379"""</f>
        <v>"NAV","CRONUS JetCorp USA","32","1","20379"</v>
      </c>
      <c r="H250" s="39">
        <v>43473</v>
      </c>
      <c r="I250" s="40">
        <v>20379</v>
      </c>
      <c r="J250" s="40" t="str">
        <f>"Customer"</f>
        <v>Customer</v>
      </c>
      <c r="K250" s="40" t="str">
        <f>"C100130"</f>
        <v>C100130</v>
      </c>
      <c r="L250" s="40" t="str">
        <f>"Hotspot Systems"</f>
        <v>Hotspot Systems</v>
      </c>
      <c r="M250" s="40" t="str">
        <f>""</f>
        <v/>
      </c>
      <c r="N250" s="40" t="str">
        <f>""</f>
        <v/>
      </c>
      <c r="O250" s="41">
        <v>0</v>
      </c>
      <c r="P250" s="41">
        <v>-144</v>
      </c>
      <c r="Q250" s="41">
        <v>0</v>
      </c>
      <c r="R250" s="41">
        <v>0</v>
      </c>
      <c r="S250" s="41">
        <v>0</v>
      </c>
      <c r="T250" s="41">
        <v>0</v>
      </c>
      <c r="U250" s="54"/>
    </row>
    <row r="251" spans="1:21" ht="17.25" customHeight="1" x14ac:dyDescent="0.3">
      <c r="A251" s="15" t="s">
        <v>29</v>
      </c>
      <c r="C251" s="19"/>
      <c r="D251" s="33"/>
      <c r="E251" s="33"/>
      <c r="F251" s="20"/>
      <c r="G251" s="20"/>
      <c r="H251" s="20"/>
      <c r="I251" s="20"/>
      <c r="J251" s="20"/>
      <c r="K251" s="20"/>
      <c r="L251" s="20"/>
      <c r="M251" s="20"/>
      <c r="N251" s="20"/>
      <c r="O251" s="42"/>
      <c r="P251" s="42"/>
      <c r="Q251" s="42"/>
      <c r="R251" s="42"/>
      <c r="S251" s="42"/>
      <c r="T251" s="42"/>
      <c r="U251" s="55"/>
    </row>
    <row r="252" spans="1:21" ht="17.25" customHeight="1" x14ac:dyDescent="0.3">
      <c r="A252" s="15" t="s">
        <v>29</v>
      </c>
      <c r="C252" s="19"/>
      <c r="D252" s="33"/>
      <c r="E252" s="33" t="s">
        <v>30</v>
      </c>
      <c r="F252" s="20" t="s">
        <v>30</v>
      </c>
      <c r="G252" s="20" t="s">
        <v>30</v>
      </c>
      <c r="H252" s="20"/>
      <c r="I252" s="20"/>
      <c r="J252" s="20" t="s">
        <v>30</v>
      </c>
      <c r="K252" s="20" t="s">
        <v>30</v>
      </c>
      <c r="L252" s="20" t="s">
        <v>30</v>
      </c>
      <c r="M252" s="20" t="s">
        <v>30</v>
      </c>
      <c r="N252" s="20"/>
      <c r="U252" s="56"/>
    </row>
    <row r="253" spans="1:21" ht="20.25" customHeight="1" x14ac:dyDescent="0.35">
      <c r="A253" s="15" t="s">
        <v>29</v>
      </c>
      <c r="C253" s="19"/>
      <c r="D253" s="34" t="str">
        <f t="shared" ref="D253" si="224">E253</f>
        <v>S100005</v>
      </c>
      <c r="E253" s="35" t="str">
        <f>"S100005"</f>
        <v>S100005</v>
      </c>
      <c r="F253" s="36" t="str">
        <f>"Award Medallian - 2.5''"</f>
        <v>Award Medallian - 2.5''</v>
      </c>
      <c r="G253" s="36"/>
      <c r="H253" s="37" t="str">
        <f>"EA"</f>
        <v>EA</v>
      </c>
      <c r="I253" s="36"/>
      <c r="J253" s="36"/>
      <c r="K253" s="36"/>
      <c r="L253" s="36"/>
      <c r="M253" s="36"/>
      <c r="N253" s="36"/>
      <c r="O253" s="38">
        <f t="shared" ref="O253:T253" si="225">(SUBTOTAL(9,O254:O255))</f>
        <v>200</v>
      </c>
      <c r="P253" s="38">
        <f t="shared" si="225"/>
        <v>0</v>
      </c>
      <c r="Q253" s="38">
        <f t="shared" si="225"/>
        <v>0</v>
      </c>
      <c r="R253" s="38">
        <f t="shared" si="225"/>
        <v>0</v>
      </c>
      <c r="S253" s="38">
        <f t="shared" si="225"/>
        <v>0</v>
      </c>
      <c r="T253" s="38">
        <f t="shared" si="225"/>
        <v>0</v>
      </c>
      <c r="U253" s="53">
        <f t="shared" ref="U253" si="226">SUBTOTAL(9,O254:T255)</f>
        <v>200</v>
      </c>
    </row>
    <row r="254" spans="1:21" ht="17.25" customHeight="1" x14ac:dyDescent="0.3">
      <c r="A254" s="15" t="s">
        <v>29</v>
      </c>
      <c r="C254" s="19"/>
      <c r="D254" s="33" t="str">
        <f t="shared" ref="D254" si="227">D253</f>
        <v>S100005</v>
      </c>
      <c r="E254" s="33"/>
      <c r="F254" s="20"/>
      <c r="G254" s="20" t="str">
        <f>"""NAV"",""CRONUS JetCorp USA"",""32"",""1"",""166423"""</f>
        <v>"NAV","CRONUS JetCorp USA","32","1","166423"</v>
      </c>
      <c r="H254" s="39">
        <v>43466</v>
      </c>
      <c r="I254" s="40">
        <v>166423</v>
      </c>
      <c r="J254" s="40" t="str">
        <f>"Vendor"</f>
        <v>Vendor</v>
      </c>
      <c r="K254" s="40" t="str">
        <f>"V100001"</f>
        <v>V100001</v>
      </c>
      <c r="L254" s="40" t="str">
        <f>""</f>
        <v/>
      </c>
      <c r="M254" s="40" t="str">
        <f>"Greigner, Inc."</f>
        <v>Greigner, Inc.</v>
      </c>
      <c r="N254" s="40" t="str">
        <f>""</f>
        <v/>
      </c>
      <c r="O254" s="41">
        <v>200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54"/>
    </row>
    <row r="255" spans="1:21" ht="17.25" customHeight="1" x14ac:dyDescent="0.3">
      <c r="A255" s="15" t="s">
        <v>29</v>
      </c>
      <c r="C255" s="19"/>
      <c r="D255" s="33"/>
      <c r="E255" s="33"/>
      <c r="F255" s="20"/>
      <c r="G255" s="20"/>
      <c r="H255" s="20"/>
      <c r="I255" s="20"/>
      <c r="J255" s="20"/>
      <c r="K255" s="20"/>
      <c r="L255" s="20"/>
      <c r="M255" s="20"/>
      <c r="N255" s="20"/>
      <c r="O255" s="42"/>
      <c r="P255" s="42"/>
      <c r="Q255" s="42"/>
      <c r="R255" s="42"/>
      <c r="S255" s="42"/>
      <c r="T255" s="42"/>
      <c r="U255" s="55"/>
    </row>
    <row r="256" spans="1:21" ht="17.25" customHeight="1" x14ac:dyDescent="0.3">
      <c r="A256" s="15" t="s">
        <v>29</v>
      </c>
      <c r="C256" s="19"/>
      <c r="D256" s="33"/>
      <c r="E256" s="33" t="s">
        <v>30</v>
      </c>
      <c r="F256" s="20" t="s">
        <v>30</v>
      </c>
      <c r="G256" s="20" t="s">
        <v>30</v>
      </c>
      <c r="H256" s="20"/>
      <c r="I256" s="20"/>
      <c r="J256" s="20" t="s">
        <v>30</v>
      </c>
      <c r="K256" s="20" t="s">
        <v>30</v>
      </c>
      <c r="L256" s="20" t="s">
        <v>30</v>
      </c>
      <c r="M256" s="20" t="s">
        <v>30</v>
      </c>
      <c r="N256" s="20"/>
      <c r="U256" s="56"/>
    </row>
    <row r="257" spans="1:21" ht="20.25" customHeight="1" x14ac:dyDescent="0.35">
      <c r="A257" s="15" t="s">
        <v>29</v>
      </c>
      <c r="C257" s="19"/>
      <c r="D257" s="34" t="str">
        <f t="shared" ref="D257" si="228">E257</f>
        <v>S100007</v>
      </c>
      <c r="E257" s="35" t="str">
        <f>"S100007"</f>
        <v>S100007</v>
      </c>
      <c r="F257" s="36" t="str">
        <f>"Baseball Figure Trophy"</f>
        <v>Baseball Figure Trophy</v>
      </c>
      <c r="G257" s="36"/>
      <c r="H257" s="37" t="str">
        <f>"EA"</f>
        <v>EA</v>
      </c>
      <c r="I257" s="36"/>
      <c r="J257" s="36"/>
      <c r="K257" s="36"/>
      <c r="L257" s="36"/>
      <c r="M257" s="36"/>
      <c r="N257" s="36"/>
      <c r="O257" s="38">
        <f t="shared" ref="O257:T257" si="229">(SUBTOTAL(9,O258:O260))</f>
        <v>100</v>
      </c>
      <c r="P257" s="38">
        <f t="shared" si="229"/>
        <v>-144</v>
      </c>
      <c r="Q257" s="38">
        <f t="shared" si="229"/>
        <v>0</v>
      </c>
      <c r="R257" s="38">
        <f t="shared" si="229"/>
        <v>0</v>
      </c>
      <c r="S257" s="38">
        <f t="shared" si="229"/>
        <v>0</v>
      </c>
      <c r="T257" s="38">
        <f t="shared" si="229"/>
        <v>0</v>
      </c>
      <c r="U257" s="53">
        <f t="shared" ref="U257" si="230">SUBTOTAL(9,O258:T260)</f>
        <v>-44</v>
      </c>
    </row>
    <row r="258" spans="1:21" ht="17.25" customHeight="1" x14ac:dyDescent="0.3">
      <c r="A258" s="15" t="s">
        <v>29</v>
      </c>
      <c r="C258" s="19"/>
      <c r="D258" s="33" t="str">
        <f t="shared" ref="D258" si="231">D257</f>
        <v>S100007</v>
      </c>
      <c r="E258" s="33"/>
      <c r="F258" s="20"/>
      <c r="G258" s="20" t="str">
        <f>"""NAV"",""CRONUS JetCorp USA"",""32"",""1"",""166422"""</f>
        <v>"NAV","CRONUS JetCorp USA","32","1","166422"</v>
      </c>
      <c r="H258" s="39">
        <v>43466</v>
      </c>
      <c r="I258" s="40">
        <v>166422</v>
      </c>
      <c r="J258" s="40" t="str">
        <f>"Vendor"</f>
        <v>Vendor</v>
      </c>
      <c r="K258" s="40" t="str">
        <f>"V100001"</f>
        <v>V100001</v>
      </c>
      <c r="L258" s="40" t="str">
        <f>""</f>
        <v/>
      </c>
      <c r="M258" s="40" t="str">
        <f>"Greigner, Inc."</f>
        <v>Greigner, Inc.</v>
      </c>
      <c r="N258" s="40" t="str">
        <f>""</f>
        <v/>
      </c>
      <c r="O258" s="41">
        <v>100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54"/>
    </row>
    <row r="259" spans="1:21" ht="17.25" customHeight="1" x14ac:dyDescent="0.3">
      <c r="A259" s="15" t="s">
        <v>29</v>
      </c>
      <c r="C259" s="19"/>
      <c r="D259" s="33" t="str">
        <f t="shared" ref="D259" si="232">D258</f>
        <v>S100007</v>
      </c>
      <c r="E259" s="33"/>
      <c r="F259" s="20"/>
      <c r="G259" s="20" t="str">
        <f>"""NAV"",""CRONUS JetCorp USA"",""32"",""1"",""20383"""</f>
        <v>"NAV","CRONUS JetCorp USA","32","1","20383"</v>
      </c>
      <c r="H259" s="39">
        <v>43473</v>
      </c>
      <c r="I259" s="40">
        <v>20383</v>
      </c>
      <c r="J259" s="40" t="str">
        <f>"Customer"</f>
        <v>Customer</v>
      </c>
      <c r="K259" s="40" t="str">
        <f>"C100130"</f>
        <v>C100130</v>
      </c>
      <c r="L259" s="40" t="str">
        <f>"Hotspot Systems"</f>
        <v>Hotspot Systems</v>
      </c>
      <c r="M259" s="40" t="str">
        <f>""</f>
        <v/>
      </c>
      <c r="N259" s="40" t="str">
        <f>""</f>
        <v/>
      </c>
      <c r="O259" s="41">
        <v>0</v>
      </c>
      <c r="P259" s="41">
        <v>-144</v>
      </c>
      <c r="Q259" s="41">
        <v>0</v>
      </c>
      <c r="R259" s="41">
        <v>0</v>
      </c>
      <c r="S259" s="41">
        <v>0</v>
      </c>
      <c r="T259" s="41">
        <v>0</v>
      </c>
      <c r="U259" s="54"/>
    </row>
    <row r="260" spans="1:21" ht="17.25" customHeight="1" x14ac:dyDescent="0.3">
      <c r="A260" s="15" t="s">
        <v>29</v>
      </c>
      <c r="C260" s="19"/>
      <c r="D260" s="33"/>
      <c r="E260" s="33"/>
      <c r="F260" s="20"/>
      <c r="G260" s="20"/>
      <c r="H260" s="20"/>
      <c r="I260" s="20"/>
      <c r="J260" s="20"/>
      <c r="K260" s="20"/>
      <c r="L260" s="20"/>
      <c r="M260" s="20"/>
      <c r="N260" s="20"/>
      <c r="O260" s="42"/>
      <c r="P260" s="42"/>
      <c r="Q260" s="42"/>
      <c r="R260" s="42"/>
      <c r="S260" s="42"/>
      <c r="T260" s="42"/>
      <c r="U260" s="55"/>
    </row>
    <row r="261" spans="1:21" ht="17.25" customHeight="1" x14ac:dyDescent="0.3">
      <c r="A261" s="15" t="s">
        <v>29</v>
      </c>
      <c r="C261" s="19"/>
      <c r="D261" s="33"/>
      <c r="E261" s="33" t="s">
        <v>30</v>
      </c>
      <c r="F261" s="20" t="s">
        <v>30</v>
      </c>
      <c r="G261" s="20" t="s">
        <v>30</v>
      </c>
      <c r="H261" s="20"/>
      <c r="I261" s="20"/>
      <c r="J261" s="20" t="s">
        <v>30</v>
      </c>
      <c r="K261" s="20" t="s">
        <v>30</v>
      </c>
      <c r="L261" s="20" t="s">
        <v>30</v>
      </c>
      <c r="M261" s="20" t="s">
        <v>30</v>
      </c>
      <c r="N261" s="20"/>
      <c r="U261" s="56"/>
    </row>
    <row r="262" spans="1:21" ht="20.25" customHeight="1" x14ac:dyDescent="0.35">
      <c r="A262" s="15" t="s">
        <v>29</v>
      </c>
      <c r="C262" s="19"/>
      <c r="D262" s="34" t="str">
        <f t="shared" ref="D262" si="233">E262</f>
        <v>S100008</v>
      </c>
      <c r="E262" s="35" t="str">
        <f>"S100008"</f>
        <v>S100008</v>
      </c>
      <c r="F262" s="36" t="str">
        <f>"Soccer Figure Trophy"</f>
        <v>Soccer Figure Trophy</v>
      </c>
      <c r="G262" s="36"/>
      <c r="H262" s="37" t="str">
        <f>"EA"</f>
        <v>EA</v>
      </c>
      <c r="I262" s="36"/>
      <c r="J262" s="36"/>
      <c r="K262" s="36"/>
      <c r="L262" s="36"/>
      <c r="M262" s="36"/>
      <c r="N262" s="36"/>
      <c r="O262" s="38">
        <f t="shared" ref="O262:T262" si="234">(SUBTOTAL(9,O263:O264))</f>
        <v>200</v>
      </c>
      <c r="P262" s="38">
        <f t="shared" si="234"/>
        <v>0</v>
      </c>
      <c r="Q262" s="38">
        <f t="shared" si="234"/>
        <v>0</v>
      </c>
      <c r="R262" s="38">
        <f t="shared" si="234"/>
        <v>0</v>
      </c>
      <c r="S262" s="38">
        <f t="shared" si="234"/>
        <v>0</v>
      </c>
      <c r="T262" s="38">
        <f t="shared" si="234"/>
        <v>0</v>
      </c>
      <c r="U262" s="53">
        <f t="shared" ref="U262" si="235">SUBTOTAL(9,O263:T264)</f>
        <v>200</v>
      </c>
    </row>
    <row r="263" spans="1:21" ht="17.25" customHeight="1" x14ac:dyDescent="0.3">
      <c r="A263" s="15" t="s">
        <v>29</v>
      </c>
      <c r="C263" s="19"/>
      <c r="D263" s="33" t="str">
        <f t="shared" ref="D263" si="236">D262</f>
        <v>S100008</v>
      </c>
      <c r="E263" s="33"/>
      <c r="F263" s="20"/>
      <c r="G263" s="20" t="str">
        <f>"""NAV"",""CRONUS JetCorp USA"",""32"",""1"",""166421"""</f>
        <v>"NAV","CRONUS JetCorp USA","32","1","166421"</v>
      </c>
      <c r="H263" s="39">
        <v>43466</v>
      </c>
      <c r="I263" s="40">
        <v>166421</v>
      </c>
      <c r="J263" s="40" t="str">
        <f>"Vendor"</f>
        <v>Vendor</v>
      </c>
      <c r="K263" s="40" t="str">
        <f>"V100001"</f>
        <v>V100001</v>
      </c>
      <c r="L263" s="40" t="str">
        <f>""</f>
        <v/>
      </c>
      <c r="M263" s="40" t="str">
        <f>"Greigner, Inc."</f>
        <v>Greigner, Inc.</v>
      </c>
      <c r="N263" s="40" t="str">
        <f>""</f>
        <v/>
      </c>
      <c r="O263" s="41">
        <v>200</v>
      </c>
      <c r="P263" s="41">
        <v>0</v>
      </c>
      <c r="Q263" s="41">
        <v>0</v>
      </c>
      <c r="R263" s="41">
        <v>0</v>
      </c>
      <c r="S263" s="41">
        <v>0</v>
      </c>
      <c r="T263" s="41">
        <v>0</v>
      </c>
      <c r="U263" s="54"/>
    </row>
    <row r="264" spans="1:21" ht="17.25" customHeight="1" x14ac:dyDescent="0.3">
      <c r="A264" s="15" t="s">
        <v>29</v>
      </c>
      <c r="C264" s="19"/>
      <c r="D264" s="33"/>
      <c r="E264" s="33"/>
      <c r="F264" s="20"/>
      <c r="G264" s="20"/>
      <c r="H264" s="20"/>
      <c r="I264" s="20"/>
      <c r="J264" s="20"/>
      <c r="K264" s="20"/>
      <c r="L264" s="20"/>
      <c r="M264" s="20"/>
      <c r="N264" s="20"/>
      <c r="O264" s="42"/>
      <c r="P264" s="42"/>
      <c r="Q264" s="42"/>
      <c r="R264" s="42"/>
      <c r="S264" s="42"/>
      <c r="T264" s="42"/>
      <c r="U264" s="55"/>
    </row>
    <row r="265" spans="1:21" ht="17.25" customHeight="1" x14ac:dyDescent="0.3">
      <c r="A265" s="15" t="s">
        <v>29</v>
      </c>
      <c r="C265" s="19"/>
      <c r="D265" s="33"/>
      <c r="E265" s="33" t="s">
        <v>30</v>
      </c>
      <c r="F265" s="20" t="s">
        <v>30</v>
      </c>
      <c r="G265" s="20" t="s">
        <v>30</v>
      </c>
      <c r="H265" s="20"/>
      <c r="I265" s="20"/>
      <c r="J265" s="20" t="s">
        <v>30</v>
      </c>
      <c r="K265" s="20" t="s">
        <v>30</v>
      </c>
      <c r="L265" s="20" t="s">
        <v>30</v>
      </c>
      <c r="M265" s="20" t="s">
        <v>30</v>
      </c>
      <c r="N265" s="20"/>
      <c r="U265" s="56"/>
    </row>
    <row r="266" spans="1:21" ht="20.25" customHeight="1" x14ac:dyDescent="0.35">
      <c r="A266" s="15" t="s">
        <v>29</v>
      </c>
      <c r="C266" s="19"/>
      <c r="D266" s="34" t="str">
        <f t="shared" ref="D266" si="237">E266</f>
        <v>S100009</v>
      </c>
      <c r="E266" s="35" t="str">
        <f>"S100009"</f>
        <v>S100009</v>
      </c>
      <c r="F266" s="36" t="str">
        <f>"Engraved Basketball Award"</f>
        <v>Engraved Basketball Award</v>
      </c>
      <c r="G266" s="36"/>
      <c r="H266" s="37" t="str">
        <f>"EA"</f>
        <v>EA</v>
      </c>
      <c r="I266" s="36"/>
      <c r="J266" s="36"/>
      <c r="K266" s="36"/>
      <c r="L266" s="36"/>
      <c r="M266" s="36"/>
      <c r="N266" s="36"/>
      <c r="O266" s="38">
        <f t="shared" ref="O266:T266" si="238">(SUBTOTAL(9,O267:O268))</f>
        <v>200</v>
      </c>
      <c r="P266" s="38">
        <f t="shared" si="238"/>
        <v>0</v>
      </c>
      <c r="Q266" s="38">
        <f t="shared" si="238"/>
        <v>0</v>
      </c>
      <c r="R266" s="38">
        <f t="shared" si="238"/>
        <v>0</v>
      </c>
      <c r="S266" s="38">
        <f t="shared" si="238"/>
        <v>0</v>
      </c>
      <c r="T266" s="38">
        <f t="shared" si="238"/>
        <v>0</v>
      </c>
      <c r="U266" s="53">
        <f t="shared" ref="U266" si="239">SUBTOTAL(9,O267:T268)</f>
        <v>200</v>
      </c>
    </row>
    <row r="267" spans="1:21" ht="17.25" customHeight="1" x14ac:dyDescent="0.3">
      <c r="A267" s="15" t="s">
        <v>29</v>
      </c>
      <c r="C267" s="19"/>
      <c r="D267" s="33" t="str">
        <f t="shared" ref="D267" si="240">D266</f>
        <v>S100009</v>
      </c>
      <c r="E267" s="33"/>
      <c r="F267" s="20"/>
      <c r="G267" s="20" t="str">
        <f>"""NAV"",""CRONUS JetCorp USA"",""32"",""1"",""166420"""</f>
        <v>"NAV","CRONUS JetCorp USA","32","1","166420"</v>
      </c>
      <c r="H267" s="39">
        <v>43466</v>
      </c>
      <c r="I267" s="40">
        <v>166420</v>
      </c>
      <c r="J267" s="40" t="str">
        <f>"Vendor"</f>
        <v>Vendor</v>
      </c>
      <c r="K267" s="40" t="str">
        <f>"V100001"</f>
        <v>V100001</v>
      </c>
      <c r="L267" s="40" t="str">
        <f>""</f>
        <v/>
      </c>
      <c r="M267" s="40" t="str">
        <f>"Greigner, Inc."</f>
        <v>Greigner, Inc.</v>
      </c>
      <c r="N267" s="40" t="str">
        <f>""</f>
        <v/>
      </c>
      <c r="O267" s="41">
        <v>200</v>
      </c>
      <c r="P267" s="41">
        <v>0</v>
      </c>
      <c r="Q267" s="41">
        <v>0</v>
      </c>
      <c r="R267" s="41">
        <v>0</v>
      </c>
      <c r="S267" s="41">
        <v>0</v>
      </c>
      <c r="T267" s="41">
        <v>0</v>
      </c>
      <c r="U267" s="54"/>
    </row>
    <row r="268" spans="1:21" ht="17.25" customHeight="1" x14ac:dyDescent="0.3">
      <c r="A268" s="15" t="s">
        <v>29</v>
      </c>
      <c r="C268" s="19"/>
      <c r="D268" s="33"/>
      <c r="E268" s="33"/>
      <c r="F268" s="20"/>
      <c r="G268" s="20"/>
      <c r="H268" s="20"/>
      <c r="I268" s="20"/>
      <c r="J268" s="20"/>
      <c r="K268" s="20"/>
      <c r="L268" s="20"/>
      <c r="M268" s="20"/>
      <c r="N268" s="20"/>
      <c r="O268" s="42"/>
      <c r="P268" s="42"/>
      <c r="Q268" s="42"/>
      <c r="R268" s="42"/>
      <c r="S268" s="42"/>
      <c r="T268" s="42"/>
      <c r="U268" s="55"/>
    </row>
    <row r="269" spans="1:21" ht="17.25" customHeight="1" x14ac:dyDescent="0.3">
      <c r="A269" s="15" t="s">
        <v>29</v>
      </c>
      <c r="C269" s="19"/>
      <c r="D269" s="33"/>
      <c r="E269" s="33" t="s">
        <v>30</v>
      </c>
      <c r="F269" s="20" t="s">
        <v>30</v>
      </c>
      <c r="G269" s="20" t="s">
        <v>30</v>
      </c>
      <c r="H269" s="20"/>
      <c r="I269" s="20"/>
      <c r="J269" s="20" t="s">
        <v>30</v>
      </c>
      <c r="K269" s="20" t="s">
        <v>30</v>
      </c>
      <c r="L269" s="20" t="s">
        <v>30</v>
      </c>
      <c r="M269" s="20" t="s">
        <v>30</v>
      </c>
      <c r="N269" s="20"/>
      <c r="U269" s="56"/>
    </row>
    <row r="270" spans="1:21" ht="20.25" customHeight="1" x14ac:dyDescent="0.35">
      <c r="A270" s="15" t="s">
        <v>29</v>
      </c>
      <c r="C270" s="19"/>
      <c r="D270" s="34" t="str">
        <f t="shared" ref="D270" si="241">E270</f>
        <v>S100011</v>
      </c>
      <c r="E270" s="35" t="str">
        <f>"S100011"</f>
        <v>S100011</v>
      </c>
      <c r="F270" s="36" t="str">
        <f>"All Star Cap"</f>
        <v>All Star Cap</v>
      </c>
      <c r="G270" s="36"/>
      <c r="H270" s="37" t="str">
        <f>"EA"</f>
        <v>EA</v>
      </c>
      <c r="I270" s="36"/>
      <c r="J270" s="36"/>
      <c r="K270" s="36"/>
      <c r="L270" s="36"/>
      <c r="M270" s="36"/>
      <c r="N270" s="36"/>
      <c r="O270" s="38">
        <f t="shared" ref="O270:T270" si="242">(SUBTOTAL(9,O271:O273))</f>
        <v>400</v>
      </c>
      <c r="P270" s="38">
        <f t="shared" si="242"/>
        <v>-1</v>
      </c>
      <c r="Q270" s="38">
        <f t="shared" si="242"/>
        <v>0</v>
      </c>
      <c r="R270" s="38">
        <f t="shared" si="242"/>
        <v>0</v>
      </c>
      <c r="S270" s="38">
        <f t="shared" si="242"/>
        <v>0</v>
      </c>
      <c r="T270" s="38">
        <f t="shared" si="242"/>
        <v>0</v>
      </c>
      <c r="U270" s="53">
        <f t="shared" ref="U270" si="243">SUBTOTAL(9,O271:T273)</f>
        <v>399</v>
      </c>
    </row>
    <row r="271" spans="1:21" ht="17.25" customHeight="1" x14ac:dyDescent="0.3">
      <c r="A271" s="15" t="s">
        <v>29</v>
      </c>
      <c r="C271" s="19"/>
      <c r="D271" s="33" t="str">
        <f t="shared" ref="D271" si="244">D270</f>
        <v>S100011</v>
      </c>
      <c r="E271" s="33"/>
      <c r="F271" s="20"/>
      <c r="G271" s="20" t="str">
        <f>"""NAV"",""CRONUS JetCorp USA"",""32"",""1"",""167169"""</f>
        <v>"NAV","CRONUS JetCorp USA","32","1","167169"</v>
      </c>
      <c r="H271" s="39">
        <v>43466</v>
      </c>
      <c r="I271" s="40">
        <v>167169</v>
      </c>
      <c r="J271" s="40" t="str">
        <f>"Vendor"</f>
        <v>Vendor</v>
      </c>
      <c r="K271" s="40" t="str">
        <f>"V100001"</f>
        <v>V100001</v>
      </c>
      <c r="L271" s="40" t="str">
        <f>""</f>
        <v/>
      </c>
      <c r="M271" s="40" t="str">
        <f>"Greigner, Inc."</f>
        <v>Greigner, Inc.</v>
      </c>
      <c r="N271" s="40" t="str">
        <f>""</f>
        <v/>
      </c>
      <c r="O271" s="41">
        <v>400</v>
      </c>
      <c r="P271" s="41">
        <v>0</v>
      </c>
      <c r="Q271" s="41">
        <v>0</v>
      </c>
      <c r="R271" s="41">
        <v>0</v>
      </c>
      <c r="S271" s="41">
        <v>0</v>
      </c>
      <c r="T271" s="41">
        <v>0</v>
      </c>
      <c r="U271" s="54"/>
    </row>
    <row r="272" spans="1:21" ht="17.25" customHeight="1" x14ac:dyDescent="0.3">
      <c r="A272" s="15" t="s">
        <v>29</v>
      </c>
      <c r="C272" s="19"/>
      <c r="D272" s="33" t="str">
        <f t="shared" ref="D272" si="245">D271</f>
        <v>S100011</v>
      </c>
      <c r="E272" s="33"/>
      <c r="F272" s="20"/>
      <c r="G272" s="20" t="str">
        <f>"""NAV"",""CRONUS JetCorp USA"",""32"",""1"",""20394"""</f>
        <v>"NAV","CRONUS JetCorp USA","32","1","20394"</v>
      </c>
      <c r="H272" s="39">
        <v>43473</v>
      </c>
      <c r="I272" s="40">
        <v>20394</v>
      </c>
      <c r="J272" s="40" t="str">
        <f>"Customer"</f>
        <v>Customer</v>
      </c>
      <c r="K272" s="40" t="str">
        <f>"C100130"</f>
        <v>C100130</v>
      </c>
      <c r="L272" s="40" t="str">
        <f>"Hotspot Systems"</f>
        <v>Hotspot Systems</v>
      </c>
      <c r="M272" s="40" t="str">
        <f>""</f>
        <v/>
      </c>
      <c r="N272" s="40" t="str">
        <f>""</f>
        <v/>
      </c>
      <c r="O272" s="41">
        <v>0</v>
      </c>
      <c r="P272" s="41">
        <v>-1</v>
      </c>
      <c r="Q272" s="41">
        <v>0</v>
      </c>
      <c r="R272" s="41">
        <v>0</v>
      </c>
      <c r="S272" s="41">
        <v>0</v>
      </c>
      <c r="T272" s="41">
        <v>0</v>
      </c>
      <c r="U272" s="54"/>
    </row>
    <row r="273" spans="1:21" ht="17.25" customHeight="1" x14ac:dyDescent="0.3">
      <c r="A273" s="15" t="s">
        <v>29</v>
      </c>
      <c r="C273" s="19"/>
      <c r="D273" s="33"/>
      <c r="E273" s="33"/>
      <c r="F273" s="20"/>
      <c r="G273" s="20"/>
      <c r="H273" s="20"/>
      <c r="I273" s="20"/>
      <c r="J273" s="20"/>
      <c r="K273" s="20"/>
      <c r="L273" s="20"/>
      <c r="M273" s="20"/>
      <c r="N273" s="20"/>
      <c r="O273" s="42"/>
      <c r="P273" s="42"/>
      <c r="Q273" s="42"/>
      <c r="R273" s="42"/>
      <c r="S273" s="42"/>
      <c r="T273" s="42"/>
      <c r="U273" s="55"/>
    </row>
    <row r="274" spans="1:21" ht="17.25" customHeight="1" x14ac:dyDescent="0.3">
      <c r="A274" s="15" t="s">
        <v>29</v>
      </c>
      <c r="C274" s="19"/>
      <c r="D274" s="33"/>
      <c r="E274" s="33" t="s">
        <v>30</v>
      </c>
      <c r="F274" s="20" t="s">
        <v>30</v>
      </c>
      <c r="G274" s="20" t="s">
        <v>30</v>
      </c>
      <c r="H274" s="20"/>
      <c r="I274" s="20"/>
      <c r="J274" s="20" t="s">
        <v>30</v>
      </c>
      <c r="K274" s="20" t="s">
        <v>30</v>
      </c>
      <c r="L274" s="20" t="s">
        <v>30</v>
      </c>
      <c r="M274" s="20" t="s">
        <v>30</v>
      </c>
      <c r="N274" s="20"/>
      <c r="U274" s="56"/>
    </row>
    <row r="275" spans="1:21" ht="20.25" customHeight="1" x14ac:dyDescent="0.35">
      <c r="A275" s="15" t="s">
        <v>29</v>
      </c>
      <c r="C275" s="19"/>
      <c r="D275" s="34" t="str">
        <f t="shared" ref="D275" si="246">E275</f>
        <v>S100016</v>
      </c>
      <c r="E275" s="35" t="str">
        <f>"S100016"</f>
        <v>S100016</v>
      </c>
      <c r="F275" s="36" t="str">
        <f>"Mesh Bucket Hat"</f>
        <v>Mesh Bucket Hat</v>
      </c>
      <c r="G275" s="36"/>
      <c r="H275" s="37" t="str">
        <f>"EA"</f>
        <v>EA</v>
      </c>
      <c r="I275" s="36"/>
      <c r="J275" s="36"/>
      <c r="K275" s="36"/>
      <c r="L275" s="36"/>
      <c r="M275" s="36"/>
      <c r="N275" s="36"/>
      <c r="O275" s="38">
        <f t="shared" ref="O275:T275" si="247">(SUBTOTAL(9,O276:O278))</f>
        <v>0</v>
      </c>
      <c r="P275" s="38">
        <f t="shared" si="247"/>
        <v>-145</v>
      </c>
      <c r="Q275" s="38">
        <f t="shared" si="247"/>
        <v>0</v>
      </c>
      <c r="R275" s="38">
        <f t="shared" si="247"/>
        <v>0</v>
      </c>
      <c r="S275" s="38">
        <f t="shared" si="247"/>
        <v>0</v>
      </c>
      <c r="T275" s="38">
        <f t="shared" si="247"/>
        <v>0</v>
      </c>
      <c r="U275" s="53">
        <f t="shared" ref="U275" si="248">SUBTOTAL(9,O276:T278)</f>
        <v>-145</v>
      </c>
    </row>
    <row r="276" spans="1:21" ht="17.25" customHeight="1" x14ac:dyDescent="0.3">
      <c r="A276" s="15" t="s">
        <v>29</v>
      </c>
      <c r="C276" s="19"/>
      <c r="D276" s="33" t="str">
        <f t="shared" ref="D276" si="249">D275</f>
        <v>S100016</v>
      </c>
      <c r="E276" s="33"/>
      <c r="F276" s="20"/>
      <c r="G276" s="20" t="str">
        <f>"""NAV"",""CRONUS JetCorp USA"",""32"",""1"",""20415"""</f>
        <v>"NAV","CRONUS JetCorp USA","32","1","20415"</v>
      </c>
      <c r="H276" s="39">
        <v>43475</v>
      </c>
      <c r="I276" s="40">
        <v>20415</v>
      </c>
      <c r="J276" s="40" t="str">
        <f>"Customer"</f>
        <v>Customer</v>
      </c>
      <c r="K276" s="40" t="str">
        <f>"C100130"</f>
        <v>C100130</v>
      </c>
      <c r="L276" s="40" t="str">
        <f>"Hotspot Systems"</f>
        <v>Hotspot Systems</v>
      </c>
      <c r="M276" s="40" t="str">
        <f>""</f>
        <v/>
      </c>
      <c r="N276" s="40" t="str">
        <f>""</f>
        <v/>
      </c>
      <c r="O276" s="41">
        <v>0</v>
      </c>
      <c r="P276" s="41">
        <v>-1</v>
      </c>
      <c r="Q276" s="41">
        <v>0</v>
      </c>
      <c r="R276" s="41">
        <v>0</v>
      </c>
      <c r="S276" s="41">
        <v>0</v>
      </c>
      <c r="T276" s="41">
        <v>0</v>
      </c>
      <c r="U276" s="54"/>
    </row>
    <row r="277" spans="1:21" ht="17.25" customHeight="1" x14ac:dyDescent="0.3">
      <c r="A277" s="15" t="s">
        <v>29</v>
      </c>
      <c r="C277" s="19"/>
      <c r="D277" s="33" t="str">
        <f t="shared" ref="D277" si="250">D276</f>
        <v>S100016</v>
      </c>
      <c r="E277" s="33"/>
      <c r="F277" s="20"/>
      <c r="G277" s="20" t="str">
        <f>"""NAV"",""CRONUS JetCorp USA"",""32"",""1"",""64613"""</f>
        <v>"NAV","CRONUS JetCorp USA","32","1","64613"</v>
      </c>
      <c r="H277" s="39">
        <v>43475</v>
      </c>
      <c r="I277" s="40">
        <v>64613</v>
      </c>
      <c r="J277" s="40" t="str">
        <f>"Customer"</f>
        <v>Customer</v>
      </c>
      <c r="K277" s="40" t="str">
        <f>"C100136"</f>
        <v>C100136</v>
      </c>
      <c r="L277" s="40" t="str">
        <f>"First Bank"</f>
        <v>First Bank</v>
      </c>
      <c r="M277" s="40" t="str">
        <f>""</f>
        <v/>
      </c>
      <c r="N277" s="40" t="str">
        <f>""</f>
        <v/>
      </c>
      <c r="O277" s="41">
        <v>0</v>
      </c>
      <c r="P277" s="41">
        <v>-144</v>
      </c>
      <c r="Q277" s="41">
        <v>0</v>
      </c>
      <c r="R277" s="41">
        <v>0</v>
      </c>
      <c r="S277" s="41">
        <v>0</v>
      </c>
      <c r="T277" s="41">
        <v>0</v>
      </c>
      <c r="U277" s="54"/>
    </row>
    <row r="278" spans="1:21" ht="17.25" customHeight="1" x14ac:dyDescent="0.3">
      <c r="A278" s="15" t="s">
        <v>29</v>
      </c>
      <c r="C278" s="19"/>
      <c r="D278" s="33"/>
      <c r="E278" s="33"/>
      <c r="F278" s="20"/>
      <c r="G278" s="20"/>
      <c r="H278" s="20"/>
      <c r="I278" s="20"/>
      <c r="J278" s="20"/>
      <c r="K278" s="20"/>
      <c r="L278" s="20"/>
      <c r="M278" s="20"/>
      <c r="N278" s="20"/>
      <c r="O278" s="42"/>
      <c r="P278" s="42"/>
      <c r="Q278" s="42"/>
      <c r="R278" s="42"/>
      <c r="S278" s="42"/>
      <c r="T278" s="42"/>
      <c r="U278" s="55"/>
    </row>
    <row r="279" spans="1:21" ht="17.25" customHeight="1" x14ac:dyDescent="0.3">
      <c r="A279" s="15" t="s">
        <v>29</v>
      </c>
      <c r="C279" s="19"/>
      <c r="D279" s="33"/>
      <c r="E279" s="33" t="s">
        <v>30</v>
      </c>
      <c r="F279" s="20" t="s">
        <v>30</v>
      </c>
      <c r="G279" s="20" t="s">
        <v>30</v>
      </c>
      <c r="H279" s="20"/>
      <c r="I279" s="20"/>
      <c r="J279" s="20" t="s">
        <v>30</v>
      </c>
      <c r="K279" s="20" t="s">
        <v>30</v>
      </c>
      <c r="L279" s="20" t="s">
        <v>30</v>
      </c>
      <c r="M279" s="20" t="s">
        <v>30</v>
      </c>
      <c r="N279" s="20"/>
      <c r="U279" s="56"/>
    </row>
    <row r="280" spans="1:21" ht="20.25" customHeight="1" x14ac:dyDescent="0.35">
      <c r="A280" s="15" t="s">
        <v>29</v>
      </c>
      <c r="C280" s="19"/>
      <c r="D280" s="34" t="str">
        <f t="shared" ref="D280" si="251">E280</f>
        <v>S100017</v>
      </c>
      <c r="E280" s="35" t="str">
        <f>"S100017"</f>
        <v>S100017</v>
      </c>
      <c r="F280" s="36" t="str">
        <f>"Microfiber Bucket Hat"</f>
        <v>Microfiber Bucket Hat</v>
      </c>
      <c r="G280" s="36"/>
      <c r="H280" s="37" t="str">
        <f>"EA"</f>
        <v>EA</v>
      </c>
      <c r="I280" s="36"/>
      <c r="J280" s="36"/>
      <c r="K280" s="36"/>
      <c r="L280" s="36"/>
      <c r="M280" s="36"/>
      <c r="N280" s="36"/>
      <c r="O280" s="38">
        <f t="shared" ref="O280:T280" si="252">(SUBTOTAL(9,O281:O282))</f>
        <v>0</v>
      </c>
      <c r="P280" s="38">
        <f t="shared" si="252"/>
        <v>-144</v>
      </c>
      <c r="Q280" s="38">
        <f t="shared" si="252"/>
        <v>0</v>
      </c>
      <c r="R280" s="38">
        <f t="shared" si="252"/>
        <v>0</v>
      </c>
      <c r="S280" s="38">
        <f t="shared" si="252"/>
        <v>0</v>
      </c>
      <c r="T280" s="38">
        <f t="shared" si="252"/>
        <v>0</v>
      </c>
      <c r="U280" s="53">
        <f t="shared" ref="U280" si="253">SUBTOTAL(9,O281:T282)</f>
        <v>-144</v>
      </c>
    </row>
    <row r="281" spans="1:21" ht="17.25" customHeight="1" x14ac:dyDescent="0.3">
      <c r="A281" s="15" t="s">
        <v>29</v>
      </c>
      <c r="C281" s="19"/>
      <c r="D281" s="33" t="str">
        <f t="shared" ref="D281" si="254">D280</f>
        <v>S100017</v>
      </c>
      <c r="E281" s="33"/>
      <c r="F281" s="20"/>
      <c r="G281" s="20" t="str">
        <f>"""NAV"",""CRONUS JetCorp USA"",""32"",""1"",""20384"""</f>
        <v>"NAV","CRONUS JetCorp USA","32","1","20384"</v>
      </c>
      <c r="H281" s="39">
        <v>43473</v>
      </c>
      <c r="I281" s="40">
        <v>20384</v>
      </c>
      <c r="J281" s="40" t="str">
        <f>"Customer"</f>
        <v>Customer</v>
      </c>
      <c r="K281" s="40" t="str">
        <f>"C100130"</f>
        <v>C100130</v>
      </c>
      <c r="L281" s="40" t="str">
        <f>"Hotspot Systems"</f>
        <v>Hotspot Systems</v>
      </c>
      <c r="M281" s="40" t="str">
        <f>""</f>
        <v/>
      </c>
      <c r="N281" s="40" t="str">
        <f>""</f>
        <v/>
      </c>
      <c r="O281" s="41">
        <v>0</v>
      </c>
      <c r="P281" s="41">
        <v>-144</v>
      </c>
      <c r="Q281" s="41">
        <v>0</v>
      </c>
      <c r="R281" s="41">
        <v>0</v>
      </c>
      <c r="S281" s="41">
        <v>0</v>
      </c>
      <c r="T281" s="41">
        <v>0</v>
      </c>
      <c r="U281" s="54"/>
    </row>
    <row r="282" spans="1:21" ht="17.25" customHeight="1" x14ac:dyDescent="0.3">
      <c r="A282" s="15" t="s">
        <v>29</v>
      </c>
      <c r="C282" s="19"/>
      <c r="D282" s="33"/>
      <c r="E282" s="33"/>
      <c r="F282" s="20"/>
      <c r="G282" s="20"/>
      <c r="H282" s="20"/>
      <c r="I282" s="20"/>
      <c r="J282" s="20"/>
      <c r="K282" s="20"/>
      <c r="L282" s="20"/>
      <c r="M282" s="20"/>
      <c r="N282" s="20"/>
      <c r="O282" s="42"/>
      <c r="P282" s="42"/>
      <c r="Q282" s="42"/>
      <c r="R282" s="42"/>
      <c r="S282" s="42"/>
      <c r="T282" s="42"/>
      <c r="U282" s="55"/>
    </row>
    <row r="283" spans="1:21" ht="17.25" customHeight="1" x14ac:dyDescent="0.3">
      <c r="A283" s="15" t="s">
        <v>29</v>
      </c>
      <c r="C283" s="19"/>
      <c r="D283" s="33"/>
      <c r="E283" s="33" t="s">
        <v>30</v>
      </c>
      <c r="F283" s="20" t="s">
        <v>30</v>
      </c>
      <c r="G283" s="20" t="s">
        <v>30</v>
      </c>
      <c r="H283" s="20"/>
      <c r="I283" s="20"/>
      <c r="J283" s="20" t="s">
        <v>30</v>
      </c>
      <c r="K283" s="20" t="s">
        <v>30</v>
      </c>
      <c r="L283" s="20" t="s">
        <v>30</v>
      </c>
      <c r="M283" s="20" t="s">
        <v>30</v>
      </c>
      <c r="N283" s="20"/>
      <c r="U283" s="56"/>
    </row>
    <row r="284" spans="1:21" ht="20.25" customHeight="1" x14ac:dyDescent="0.35">
      <c r="A284" s="15" t="s">
        <v>29</v>
      </c>
      <c r="C284" s="19"/>
      <c r="D284" s="34" t="str">
        <f t="shared" ref="D284" si="255">E284</f>
        <v>S100019</v>
      </c>
      <c r="E284" s="35" t="str">
        <f>"S100019"</f>
        <v>S100019</v>
      </c>
      <c r="F284" s="36" t="str">
        <f>"Sportsman Bucket Hat"</f>
        <v>Sportsman Bucket Hat</v>
      </c>
      <c r="G284" s="36"/>
      <c r="H284" s="37" t="str">
        <f>"EA"</f>
        <v>EA</v>
      </c>
      <c r="I284" s="36"/>
      <c r="J284" s="36"/>
      <c r="K284" s="36"/>
      <c r="L284" s="36"/>
      <c r="M284" s="36"/>
      <c r="N284" s="36"/>
      <c r="O284" s="38">
        <f t="shared" ref="O284:T284" si="256">(SUBTOTAL(9,O285:O288))</f>
        <v>0</v>
      </c>
      <c r="P284" s="38">
        <f t="shared" si="256"/>
        <v>-342</v>
      </c>
      <c r="Q284" s="38">
        <f t="shared" si="256"/>
        <v>0</v>
      </c>
      <c r="R284" s="38">
        <f t="shared" si="256"/>
        <v>0</v>
      </c>
      <c r="S284" s="38">
        <f t="shared" si="256"/>
        <v>0</v>
      </c>
      <c r="T284" s="38">
        <f t="shared" si="256"/>
        <v>0</v>
      </c>
      <c r="U284" s="53">
        <f t="shared" ref="U284" si="257">SUBTOTAL(9,O285:T288)</f>
        <v>-342</v>
      </c>
    </row>
    <row r="285" spans="1:21" ht="17.25" customHeight="1" x14ac:dyDescent="0.3">
      <c r="A285" s="15" t="s">
        <v>29</v>
      </c>
      <c r="C285" s="19"/>
      <c r="D285" s="33" t="str">
        <f t="shared" ref="D285" si="258">D284</f>
        <v>S100019</v>
      </c>
      <c r="E285" s="33"/>
      <c r="F285" s="20"/>
      <c r="G285" s="20" t="str">
        <f>"""NAV"",""CRONUS JetCorp USA"",""32"",""1"",""153170"""</f>
        <v>"NAV","CRONUS JetCorp USA","32","1","153170"</v>
      </c>
      <c r="H285" s="39">
        <v>43470</v>
      </c>
      <c r="I285" s="40">
        <v>153170</v>
      </c>
      <c r="J285" s="40" t="str">
        <f>"Customer"</f>
        <v>Customer</v>
      </c>
      <c r="K285" s="40" t="str">
        <f>"C100136"</f>
        <v>C100136</v>
      </c>
      <c r="L285" s="40" t="str">
        <f>"First Bank"</f>
        <v>First Bank</v>
      </c>
      <c r="M285" s="40" t="str">
        <f>""</f>
        <v/>
      </c>
      <c r="N285" s="40" t="str">
        <f>""</f>
        <v/>
      </c>
      <c r="O285" s="41">
        <v>0</v>
      </c>
      <c r="P285" s="41">
        <v>-48</v>
      </c>
      <c r="Q285" s="41">
        <v>0</v>
      </c>
      <c r="R285" s="41">
        <v>0</v>
      </c>
      <c r="S285" s="41">
        <v>0</v>
      </c>
      <c r="T285" s="41">
        <v>0</v>
      </c>
      <c r="U285" s="54"/>
    </row>
    <row r="286" spans="1:21" ht="17.25" customHeight="1" x14ac:dyDescent="0.3">
      <c r="A286" s="15" t="s">
        <v>29</v>
      </c>
      <c r="C286" s="19"/>
      <c r="D286" s="33" t="str">
        <f t="shared" ref="D286:D287" si="259">D285</f>
        <v>S100019</v>
      </c>
      <c r="E286" s="33"/>
      <c r="F286" s="20"/>
      <c r="G286" s="20" t="str">
        <f>"""NAV"",""CRONUS JetCorp USA"",""32"",""1"",""20381"""</f>
        <v>"NAV","CRONUS JetCorp USA","32","1","20381"</v>
      </c>
      <c r="H286" s="39">
        <v>43473</v>
      </c>
      <c r="I286" s="40">
        <v>20381</v>
      </c>
      <c r="J286" s="40" t="str">
        <f>"Customer"</f>
        <v>Customer</v>
      </c>
      <c r="K286" s="40" t="str">
        <f>"C100130"</f>
        <v>C100130</v>
      </c>
      <c r="L286" s="40" t="str">
        <f>"Hotspot Systems"</f>
        <v>Hotspot Systems</v>
      </c>
      <c r="M286" s="40" t="str">
        <f>""</f>
        <v/>
      </c>
      <c r="N286" s="40" t="str">
        <f>""</f>
        <v/>
      </c>
      <c r="O286" s="41">
        <v>0</v>
      </c>
      <c r="P286" s="41">
        <v>-288</v>
      </c>
      <c r="Q286" s="41">
        <v>0</v>
      </c>
      <c r="R286" s="41">
        <v>0</v>
      </c>
      <c r="S286" s="41">
        <v>0</v>
      </c>
      <c r="T286" s="41">
        <v>0</v>
      </c>
      <c r="U286" s="54"/>
    </row>
    <row r="287" spans="1:21" ht="17.25" customHeight="1" x14ac:dyDescent="0.3">
      <c r="A287" s="15" t="s">
        <v>29</v>
      </c>
      <c r="C287" s="19"/>
      <c r="D287" s="33" t="str">
        <f t="shared" si="259"/>
        <v>S100019</v>
      </c>
      <c r="E287" s="33"/>
      <c r="F287" s="20"/>
      <c r="G287" s="20" t="str">
        <f>"""NAV"",""CRONUS JetCorp USA"",""32"",""1"",""20413"""</f>
        <v>"NAV","CRONUS JetCorp USA","32","1","20413"</v>
      </c>
      <c r="H287" s="39">
        <v>43475</v>
      </c>
      <c r="I287" s="40">
        <v>20413</v>
      </c>
      <c r="J287" s="40" t="str">
        <f>"Customer"</f>
        <v>Customer</v>
      </c>
      <c r="K287" s="40" t="str">
        <f>"C100130"</f>
        <v>C100130</v>
      </c>
      <c r="L287" s="40" t="str">
        <f>"Hotspot Systems"</f>
        <v>Hotspot Systems</v>
      </c>
      <c r="M287" s="40" t="str">
        <f>""</f>
        <v/>
      </c>
      <c r="N287" s="40" t="str">
        <f>""</f>
        <v/>
      </c>
      <c r="O287" s="41">
        <v>0</v>
      </c>
      <c r="P287" s="41">
        <v>-6</v>
      </c>
      <c r="Q287" s="41">
        <v>0</v>
      </c>
      <c r="R287" s="41">
        <v>0</v>
      </c>
      <c r="S287" s="41">
        <v>0</v>
      </c>
      <c r="T287" s="41">
        <v>0</v>
      </c>
      <c r="U287" s="54"/>
    </row>
    <row r="288" spans="1:21" ht="17.25" customHeight="1" x14ac:dyDescent="0.3">
      <c r="A288" s="15" t="s">
        <v>29</v>
      </c>
      <c r="C288" s="19"/>
      <c r="D288" s="33"/>
      <c r="E288" s="33"/>
      <c r="F288" s="20"/>
      <c r="G288" s="20"/>
      <c r="H288" s="20"/>
      <c r="I288" s="20"/>
      <c r="J288" s="20"/>
      <c r="K288" s="20"/>
      <c r="L288" s="20"/>
      <c r="M288" s="20"/>
      <c r="N288" s="20"/>
      <c r="O288" s="42"/>
      <c r="P288" s="42"/>
      <c r="Q288" s="42"/>
      <c r="R288" s="42"/>
      <c r="S288" s="42"/>
      <c r="T288" s="42"/>
      <c r="U288" s="55"/>
    </row>
    <row r="289" spans="1:21" ht="17.25" customHeight="1" x14ac:dyDescent="0.3">
      <c r="A289" s="15" t="s">
        <v>29</v>
      </c>
      <c r="C289" s="19"/>
      <c r="D289" s="33"/>
      <c r="E289" s="33" t="s">
        <v>30</v>
      </c>
      <c r="F289" s="20" t="s">
        <v>30</v>
      </c>
      <c r="G289" s="20" t="s">
        <v>30</v>
      </c>
      <c r="H289" s="20"/>
      <c r="I289" s="20"/>
      <c r="J289" s="20" t="s">
        <v>30</v>
      </c>
      <c r="K289" s="20" t="s">
        <v>30</v>
      </c>
      <c r="L289" s="20" t="s">
        <v>30</v>
      </c>
      <c r="M289" s="20" t="s">
        <v>30</v>
      </c>
      <c r="N289" s="20"/>
      <c r="U289" s="56"/>
    </row>
    <row r="290" spans="1:21" ht="20.25" customHeight="1" x14ac:dyDescent="0.35">
      <c r="A290" s="15" t="s">
        <v>29</v>
      </c>
      <c r="C290" s="19"/>
      <c r="D290" s="34" t="str">
        <f t="shared" ref="D290" si="260">E290</f>
        <v>S100020</v>
      </c>
      <c r="E290" s="35" t="str">
        <f>"S100020"</f>
        <v>S100020</v>
      </c>
      <c r="F290" s="36" t="str">
        <f>"Super Sport Stopwatch"</f>
        <v>Super Sport Stopwatch</v>
      </c>
      <c r="G290" s="36"/>
      <c r="H290" s="37" t="str">
        <f>"EA"</f>
        <v>EA</v>
      </c>
      <c r="I290" s="36"/>
      <c r="J290" s="36"/>
      <c r="K290" s="36"/>
      <c r="L290" s="36"/>
      <c r="M290" s="36"/>
      <c r="N290" s="36"/>
      <c r="O290" s="38">
        <f t="shared" ref="O290:T290" si="261">(SUBTOTAL(9,O291:O293))</f>
        <v>600</v>
      </c>
      <c r="P290" s="38">
        <f t="shared" si="261"/>
        <v>-144</v>
      </c>
      <c r="Q290" s="38">
        <f t="shared" si="261"/>
        <v>0</v>
      </c>
      <c r="R290" s="38">
        <f t="shared" si="261"/>
        <v>0</v>
      </c>
      <c r="S290" s="38">
        <f t="shared" si="261"/>
        <v>0</v>
      </c>
      <c r="T290" s="38">
        <f t="shared" si="261"/>
        <v>0</v>
      </c>
      <c r="U290" s="53">
        <f t="shared" ref="U290" si="262">SUBTOTAL(9,O291:T293)</f>
        <v>456</v>
      </c>
    </row>
    <row r="291" spans="1:21" ht="17.25" customHeight="1" x14ac:dyDescent="0.3">
      <c r="A291" s="15" t="s">
        <v>29</v>
      </c>
      <c r="C291" s="19"/>
      <c r="D291" s="33" t="str">
        <f t="shared" ref="D291" si="263">D290</f>
        <v>S100020</v>
      </c>
      <c r="E291" s="33"/>
      <c r="F291" s="20"/>
      <c r="G291" s="20" t="str">
        <f>"""NAV"",""CRONUS JetCorp USA"",""32"",""1"",""167618"""</f>
        <v>"NAV","CRONUS JetCorp USA","32","1","167618"</v>
      </c>
      <c r="H291" s="39">
        <v>43466</v>
      </c>
      <c r="I291" s="40">
        <v>167618</v>
      </c>
      <c r="J291" s="40" t="str">
        <f>"Vendor"</f>
        <v>Vendor</v>
      </c>
      <c r="K291" s="40" t="str">
        <f>"V100001"</f>
        <v>V100001</v>
      </c>
      <c r="L291" s="40" t="str">
        <f>""</f>
        <v/>
      </c>
      <c r="M291" s="40" t="str">
        <f>"Greigner, Inc."</f>
        <v>Greigner, Inc.</v>
      </c>
      <c r="N291" s="40" t="str">
        <f>""</f>
        <v/>
      </c>
      <c r="O291" s="41">
        <v>600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54"/>
    </row>
    <row r="292" spans="1:21" ht="17.25" customHeight="1" x14ac:dyDescent="0.3">
      <c r="A292" s="15" t="s">
        <v>29</v>
      </c>
      <c r="C292" s="19"/>
      <c r="D292" s="33" t="str">
        <f t="shared" ref="D292" si="264">D291</f>
        <v>S100020</v>
      </c>
      <c r="E292" s="33"/>
      <c r="F292" s="20"/>
      <c r="G292" s="20" t="str">
        <f>"""NAV"",""CRONUS JetCorp USA"",""32"",""1"",""20390"""</f>
        <v>"NAV","CRONUS JetCorp USA","32","1","20390"</v>
      </c>
      <c r="H292" s="39">
        <v>43473</v>
      </c>
      <c r="I292" s="40">
        <v>20390</v>
      </c>
      <c r="J292" s="40" t="str">
        <f>"Customer"</f>
        <v>Customer</v>
      </c>
      <c r="K292" s="40" t="str">
        <f>"C100130"</f>
        <v>C100130</v>
      </c>
      <c r="L292" s="40" t="str">
        <f>"Hotspot Systems"</f>
        <v>Hotspot Systems</v>
      </c>
      <c r="M292" s="40" t="str">
        <f>""</f>
        <v/>
      </c>
      <c r="N292" s="40" t="str">
        <f>""</f>
        <v/>
      </c>
      <c r="O292" s="41">
        <v>0</v>
      </c>
      <c r="P292" s="41">
        <v>-144</v>
      </c>
      <c r="Q292" s="41">
        <v>0</v>
      </c>
      <c r="R292" s="41">
        <v>0</v>
      </c>
      <c r="S292" s="41">
        <v>0</v>
      </c>
      <c r="T292" s="41">
        <v>0</v>
      </c>
      <c r="U292" s="54"/>
    </row>
    <row r="293" spans="1:21" ht="17.25" customHeight="1" x14ac:dyDescent="0.3">
      <c r="A293" s="15" t="s">
        <v>29</v>
      </c>
      <c r="C293" s="19"/>
      <c r="D293" s="33"/>
      <c r="E293" s="33"/>
      <c r="F293" s="20"/>
      <c r="G293" s="20"/>
      <c r="H293" s="20"/>
      <c r="I293" s="20"/>
      <c r="J293" s="20"/>
      <c r="K293" s="20"/>
      <c r="L293" s="20"/>
      <c r="M293" s="20"/>
      <c r="N293" s="20"/>
      <c r="O293" s="42"/>
      <c r="P293" s="42"/>
      <c r="Q293" s="42"/>
      <c r="R293" s="42"/>
      <c r="S293" s="42"/>
      <c r="T293" s="42"/>
      <c r="U293" s="55"/>
    </row>
    <row r="294" spans="1:21" ht="17.25" customHeight="1" x14ac:dyDescent="0.3">
      <c r="A294" s="15" t="s">
        <v>29</v>
      </c>
      <c r="C294" s="19"/>
      <c r="D294" s="33"/>
      <c r="E294" s="33" t="s">
        <v>30</v>
      </c>
      <c r="F294" s="20" t="s">
        <v>30</v>
      </c>
      <c r="G294" s="20" t="s">
        <v>30</v>
      </c>
      <c r="H294" s="20"/>
      <c r="I294" s="20"/>
      <c r="J294" s="20" t="s">
        <v>30</v>
      </c>
      <c r="K294" s="20" t="s">
        <v>30</v>
      </c>
      <c r="L294" s="20" t="s">
        <v>30</v>
      </c>
      <c r="M294" s="20" t="s">
        <v>30</v>
      </c>
      <c r="N294" s="20"/>
      <c r="U294" s="56"/>
    </row>
    <row r="295" spans="1:21" ht="20.25" customHeight="1" x14ac:dyDescent="0.35">
      <c r="A295" s="15" t="s">
        <v>29</v>
      </c>
      <c r="C295" s="19"/>
      <c r="D295" s="34" t="str">
        <f t="shared" ref="D295" si="265">E295</f>
        <v>S100021</v>
      </c>
      <c r="E295" s="35" t="str">
        <f>"S100021"</f>
        <v>S100021</v>
      </c>
      <c r="F295" s="36" t="str">
        <f>"Translucent Stopwatch"</f>
        <v>Translucent Stopwatch</v>
      </c>
      <c r="G295" s="36"/>
      <c r="H295" s="37" t="str">
        <f>"EA"</f>
        <v>EA</v>
      </c>
      <c r="I295" s="36"/>
      <c r="J295" s="36"/>
      <c r="K295" s="36"/>
      <c r="L295" s="36"/>
      <c r="M295" s="36"/>
      <c r="N295" s="36"/>
      <c r="O295" s="38">
        <f t="shared" ref="O295:T295" si="266">(SUBTOTAL(9,O296:O298))</f>
        <v>200</v>
      </c>
      <c r="P295" s="38">
        <f t="shared" si="266"/>
        <v>-144</v>
      </c>
      <c r="Q295" s="38">
        <f t="shared" si="266"/>
        <v>0</v>
      </c>
      <c r="R295" s="38">
        <f t="shared" si="266"/>
        <v>0</v>
      </c>
      <c r="S295" s="38">
        <f t="shared" si="266"/>
        <v>0</v>
      </c>
      <c r="T295" s="38">
        <f t="shared" si="266"/>
        <v>0</v>
      </c>
      <c r="U295" s="53">
        <f t="shared" ref="U295" si="267">SUBTOTAL(9,O296:T298)</f>
        <v>56</v>
      </c>
    </row>
    <row r="296" spans="1:21" ht="17.25" customHeight="1" x14ac:dyDescent="0.3">
      <c r="A296" s="15" t="s">
        <v>29</v>
      </c>
      <c r="C296" s="19"/>
      <c r="D296" s="33" t="str">
        <f t="shared" ref="D296" si="268">D295</f>
        <v>S100021</v>
      </c>
      <c r="E296" s="33"/>
      <c r="F296" s="20"/>
      <c r="G296" s="20" t="str">
        <f>"""NAV"",""CRONUS JetCorp USA"",""32"",""1"",""167617"""</f>
        <v>"NAV","CRONUS JetCorp USA","32","1","167617"</v>
      </c>
      <c r="H296" s="39">
        <v>43466</v>
      </c>
      <c r="I296" s="40">
        <v>167617</v>
      </c>
      <c r="J296" s="40" t="str">
        <f>"Vendor"</f>
        <v>Vendor</v>
      </c>
      <c r="K296" s="40" t="str">
        <f>"V100001"</f>
        <v>V100001</v>
      </c>
      <c r="L296" s="40" t="str">
        <f>""</f>
        <v/>
      </c>
      <c r="M296" s="40" t="str">
        <f>"Greigner, Inc."</f>
        <v>Greigner, Inc.</v>
      </c>
      <c r="N296" s="40" t="str">
        <f>""</f>
        <v/>
      </c>
      <c r="O296" s="41">
        <v>200</v>
      </c>
      <c r="P296" s="41">
        <v>0</v>
      </c>
      <c r="Q296" s="41">
        <v>0</v>
      </c>
      <c r="R296" s="41">
        <v>0</v>
      </c>
      <c r="S296" s="41">
        <v>0</v>
      </c>
      <c r="T296" s="41">
        <v>0</v>
      </c>
      <c r="U296" s="54"/>
    </row>
    <row r="297" spans="1:21" ht="17.25" customHeight="1" x14ac:dyDescent="0.3">
      <c r="A297" s="15" t="s">
        <v>29</v>
      </c>
      <c r="C297" s="19"/>
      <c r="D297" s="33" t="str">
        <f t="shared" ref="D297" si="269">D296</f>
        <v>S100021</v>
      </c>
      <c r="E297" s="33"/>
      <c r="F297" s="20"/>
      <c r="G297" s="20" t="str">
        <f>"""NAV"",""CRONUS JetCorp USA"",""32"",""1"",""20409"""</f>
        <v>"NAV","CRONUS JetCorp USA","32","1","20409"</v>
      </c>
      <c r="H297" s="39">
        <v>43475</v>
      </c>
      <c r="I297" s="40">
        <v>20409</v>
      </c>
      <c r="J297" s="40" t="str">
        <f>"Customer"</f>
        <v>Customer</v>
      </c>
      <c r="K297" s="40" t="str">
        <f>"C100130"</f>
        <v>C100130</v>
      </c>
      <c r="L297" s="40" t="str">
        <f>"Hotspot Systems"</f>
        <v>Hotspot Systems</v>
      </c>
      <c r="M297" s="40" t="str">
        <f>""</f>
        <v/>
      </c>
      <c r="N297" s="40" t="str">
        <f>""</f>
        <v/>
      </c>
      <c r="O297" s="41">
        <v>0</v>
      </c>
      <c r="P297" s="41">
        <v>-144</v>
      </c>
      <c r="Q297" s="41">
        <v>0</v>
      </c>
      <c r="R297" s="41">
        <v>0</v>
      </c>
      <c r="S297" s="41">
        <v>0</v>
      </c>
      <c r="T297" s="41">
        <v>0</v>
      </c>
      <c r="U297" s="54"/>
    </row>
    <row r="298" spans="1:21" ht="17.25" customHeight="1" x14ac:dyDescent="0.3">
      <c r="A298" s="15" t="s">
        <v>29</v>
      </c>
      <c r="C298" s="19"/>
      <c r="D298" s="33"/>
      <c r="E298" s="33"/>
      <c r="F298" s="20"/>
      <c r="G298" s="20"/>
      <c r="H298" s="20"/>
      <c r="I298" s="20"/>
      <c r="J298" s="20"/>
      <c r="K298" s="20"/>
      <c r="L298" s="20"/>
      <c r="M298" s="20"/>
      <c r="N298" s="20"/>
      <c r="O298" s="42"/>
      <c r="P298" s="42"/>
      <c r="Q298" s="42"/>
      <c r="R298" s="42"/>
      <c r="S298" s="42"/>
      <c r="T298" s="42"/>
      <c r="U298" s="55"/>
    </row>
    <row r="299" spans="1:21" ht="17.25" customHeight="1" x14ac:dyDescent="0.3">
      <c r="A299" s="15" t="s">
        <v>29</v>
      </c>
      <c r="C299" s="19"/>
      <c r="D299" s="33"/>
      <c r="E299" s="33" t="s">
        <v>30</v>
      </c>
      <c r="F299" s="20" t="s">
        <v>30</v>
      </c>
      <c r="G299" s="20" t="s">
        <v>30</v>
      </c>
      <c r="H299" s="20"/>
      <c r="I299" s="20"/>
      <c r="J299" s="20" t="s">
        <v>30</v>
      </c>
      <c r="K299" s="20" t="s">
        <v>30</v>
      </c>
      <c r="L299" s="20" t="s">
        <v>30</v>
      </c>
      <c r="M299" s="20" t="s">
        <v>30</v>
      </c>
      <c r="N299" s="20"/>
      <c r="U299" s="56"/>
    </row>
    <row r="300" spans="1:21" ht="20.25" customHeight="1" x14ac:dyDescent="0.35">
      <c r="A300" s="15" t="s">
        <v>29</v>
      </c>
      <c r="C300" s="19"/>
      <c r="D300" s="34" t="str">
        <f t="shared" ref="D300" si="270">E300</f>
        <v>S100024</v>
      </c>
      <c r="E300" s="35" t="str">
        <f>"S100024"</f>
        <v>S100024</v>
      </c>
      <c r="F300" s="36" t="str">
        <f>"Aluminum SPORT BOT"</f>
        <v>Aluminum SPORT BOT</v>
      </c>
      <c r="G300" s="36"/>
      <c r="H300" s="37" t="str">
        <f>"EA"</f>
        <v>EA</v>
      </c>
      <c r="I300" s="36"/>
      <c r="J300" s="36"/>
      <c r="K300" s="36"/>
      <c r="L300" s="36"/>
      <c r="M300" s="36"/>
      <c r="N300" s="36"/>
      <c r="O300" s="38">
        <f t="shared" ref="O300:T300" si="271">(SUBTOTAL(9,O301:O303))</f>
        <v>249.99999999999997</v>
      </c>
      <c r="P300" s="38">
        <f t="shared" si="271"/>
        <v>-1</v>
      </c>
      <c r="Q300" s="38">
        <f t="shared" si="271"/>
        <v>0</v>
      </c>
      <c r="R300" s="38">
        <f t="shared" si="271"/>
        <v>0</v>
      </c>
      <c r="S300" s="38">
        <f t="shared" si="271"/>
        <v>0</v>
      </c>
      <c r="T300" s="38">
        <f t="shared" si="271"/>
        <v>0</v>
      </c>
      <c r="U300" s="53">
        <f t="shared" ref="U300" si="272">SUBTOTAL(9,O301:T303)</f>
        <v>248.99999999999997</v>
      </c>
    </row>
    <row r="301" spans="1:21" ht="17.25" customHeight="1" x14ac:dyDescent="0.3">
      <c r="A301" s="15" t="s">
        <v>29</v>
      </c>
      <c r="C301" s="19"/>
      <c r="D301" s="33" t="str">
        <f t="shared" ref="D301" si="273">D300</f>
        <v>S100024</v>
      </c>
      <c r="E301" s="33"/>
      <c r="F301" s="20"/>
      <c r="G301" s="20" t="str">
        <f>"""NAV"",""CRONUS JetCorp USA"",""32"",""1"",""168673"""</f>
        <v>"NAV","CRONUS JetCorp USA","32","1","168673"</v>
      </c>
      <c r="H301" s="39">
        <v>43466</v>
      </c>
      <c r="I301" s="40">
        <v>168673</v>
      </c>
      <c r="J301" s="40" t="str">
        <f>"Vendor"</f>
        <v>Vendor</v>
      </c>
      <c r="K301" s="40" t="str">
        <f>"V100001"</f>
        <v>V100001</v>
      </c>
      <c r="L301" s="40" t="str">
        <f>""</f>
        <v/>
      </c>
      <c r="M301" s="40" t="str">
        <f>"Greigner, Inc."</f>
        <v>Greigner, Inc.</v>
      </c>
      <c r="N301" s="40" t="str">
        <f>""</f>
        <v/>
      </c>
      <c r="O301" s="41">
        <v>249.99999999999997</v>
      </c>
      <c r="P301" s="41">
        <v>0</v>
      </c>
      <c r="Q301" s="41">
        <v>0</v>
      </c>
      <c r="R301" s="41">
        <v>0</v>
      </c>
      <c r="S301" s="41">
        <v>0</v>
      </c>
      <c r="T301" s="41">
        <v>0</v>
      </c>
      <c r="U301" s="54"/>
    </row>
    <row r="302" spans="1:21" ht="17.25" customHeight="1" x14ac:dyDescent="0.3">
      <c r="A302" s="15" t="s">
        <v>29</v>
      </c>
      <c r="C302" s="19"/>
      <c r="D302" s="33" t="str">
        <f t="shared" ref="D302" si="274">D301</f>
        <v>S100024</v>
      </c>
      <c r="E302" s="33"/>
      <c r="F302" s="20"/>
      <c r="G302" s="20" t="str">
        <f>"""NAV"",""CRONUS JetCorp USA"",""32"",""1"",""153175"""</f>
        <v>"NAV","CRONUS JetCorp USA","32","1","153175"</v>
      </c>
      <c r="H302" s="39">
        <v>43470</v>
      </c>
      <c r="I302" s="40">
        <v>153175</v>
      </c>
      <c r="J302" s="40" t="str">
        <f>"Customer"</f>
        <v>Customer</v>
      </c>
      <c r="K302" s="40" t="str">
        <f>"C100136"</f>
        <v>C100136</v>
      </c>
      <c r="L302" s="40" t="str">
        <f>"First Bank"</f>
        <v>First Bank</v>
      </c>
      <c r="M302" s="40" t="str">
        <f>""</f>
        <v/>
      </c>
      <c r="N302" s="40" t="str">
        <f>""</f>
        <v/>
      </c>
      <c r="O302" s="41">
        <v>0</v>
      </c>
      <c r="P302" s="41">
        <v>-1</v>
      </c>
      <c r="Q302" s="41">
        <v>0</v>
      </c>
      <c r="R302" s="41">
        <v>0</v>
      </c>
      <c r="S302" s="41">
        <v>0</v>
      </c>
      <c r="T302" s="41">
        <v>0</v>
      </c>
      <c r="U302" s="54"/>
    </row>
    <row r="303" spans="1:21" ht="17.25" customHeight="1" x14ac:dyDescent="0.3">
      <c r="A303" s="15" t="s">
        <v>29</v>
      </c>
      <c r="C303" s="19"/>
      <c r="D303" s="33"/>
      <c r="E303" s="33"/>
      <c r="F303" s="20"/>
      <c r="G303" s="20"/>
      <c r="H303" s="20"/>
      <c r="I303" s="20"/>
      <c r="J303" s="20"/>
      <c r="K303" s="20"/>
      <c r="L303" s="20"/>
      <c r="M303" s="20"/>
      <c r="N303" s="20"/>
      <c r="O303" s="42"/>
      <c r="P303" s="42"/>
      <c r="Q303" s="42"/>
      <c r="R303" s="42"/>
      <c r="S303" s="42"/>
      <c r="T303" s="42"/>
      <c r="U303" s="55"/>
    </row>
    <row r="304" spans="1:21" ht="17.25" customHeight="1" x14ac:dyDescent="0.3">
      <c r="A304" s="15" t="s">
        <v>29</v>
      </c>
      <c r="C304" s="19"/>
      <c r="D304" s="33"/>
      <c r="E304" s="33" t="s">
        <v>30</v>
      </c>
      <c r="F304" s="20" t="s">
        <v>30</v>
      </c>
      <c r="G304" s="20" t="s">
        <v>30</v>
      </c>
      <c r="H304" s="20"/>
      <c r="I304" s="20"/>
      <c r="J304" s="20" t="s">
        <v>30</v>
      </c>
      <c r="K304" s="20" t="s">
        <v>30</v>
      </c>
      <c r="L304" s="20" t="s">
        <v>30</v>
      </c>
      <c r="M304" s="20" t="s">
        <v>30</v>
      </c>
      <c r="N304" s="20"/>
      <c r="U304" s="56"/>
    </row>
    <row r="305" spans="1:21" ht="20.25" customHeight="1" x14ac:dyDescent="0.35">
      <c r="A305" s="15" t="s">
        <v>29</v>
      </c>
      <c r="C305" s="19"/>
      <c r="D305" s="34" t="str">
        <f t="shared" ref="D305" si="275">E305</f>
        <v>S100025</v>
      </c>
      <c r="E305" s="35" t="str">
        <f>"S100025"</f>
        <v>S100025</v>
      </c>
      <c r="F305" s="36" t="str">
        <f>"SPORT BOT with Pop Lid"</f>
        <v>SPORT BOT with Pop Lid</v>
      </c>
      <c r="G305" s="36"/>
      <c r="H305" s="37" t="str">
        <f>"EA"</f>
        <v>EA</v>
      </c>
      <c r="I305" s="36"/>
      <c r="J305" s="36"/>
      <c r="K305" s="36"/>
      <c r="L305" s="36"/>
      <c r="M305" s="36"/>
      <c r="N305" s="36"/>
      <c r="O305" s="38">
        <f t="shared" ref="O305:T305" si="276">(SUBTOTAL(9,O306:O308))</f>
        <v>249.99999999999997</v>
      </c>
      <c r="P305" s="38">
        <f t="shared" si="276"/>
        <v>-144</v>
      </c>
      <c r="Q305" s="38">
        <f t="shared" si="276"/>
        <v>0</v>
      </c>
      <c r="R305" s="38">
        <f t="shared" si="276"/>
        <v>0</v>
      </c>
      <c r="S305" s="38">
        <f t="shared" si="276"/>
        <v>0</v>
      </c>
      <c r="T305" s="38">
        <f t="shared" si="276"/>
        <v>0</v>
      </c>
      <c r="U305" s="53">
        <f t="shared" ref="U305" si="277">SUBTOTAL(9,O306:T308)</f>
        <v>105.99999999999997</v>
      </c>
    </row>
    <row r="306" spans="1:21" ht="17.25" customHeight="1" x14ac:dyDescent="0.3">
      <c r="A306" s="15" t="s">
        <v>29</v>
      </c>
      <c r="C306" s="19"/>
      <c r="D306" s="33" t="str">
        <f t="shared" ref="D306" si="278">D305</f>
        <v>S100025</v>
      </c>
      <c r="E306" s="33"/>
      <c r="F306" s="20"/>
      <c r="G306" s="20" t="str">
        <f>"""NAV"",""CRONUS JetCorp USA"",""32"",""1"",""168672"""</f>
        <v>"NAV","CRONUS JetCorp USA","32","1","168672"</v>
      </c>
      <c r="H306" s="39">
        <v>43466</v>
      </c>
      <c r="I306" s="40">
        <v>168672</v>
      </c>
      <c r="J306" s="40" t="str">
        <f>"Vendor"</f>
        <v>Vendor</v>
      </c>
      <c r="K306" s="40" t="str">
        <f>"V100001"</f>
        <v>V100001</v>
      </c>
      <c r="L306" s="40" t="str">
        <f>""</f>
        <v/>
      </c>
      <c r="M306" s="40" t="str">
        <f>"Greigner, Inc."</f>
        <v>Greigner, Inc.</v>
      </c>
      <c r="N306" s="40" t="str">
        <f>""</f>
        <v/>
      </c>
      <c r="O306" s="41">
        <v>249.99999999999997</v>
      </c>
      <c r="P306" s="41">
        <v>0</v>
      </c>
      <c r="Q306" s="41">
        <v>0</v>
      </c>
      <c r="R306" s="41">
        <v>0</v>
      </c>
      <c r="S306" s="41">
        <v>0</v>
      </c>
      <c r="T306" s="41">
        <v>0</v>
      </c>
      <c r="U306" s="54"/>
    </row>
    <row r="307" spans="1:21" ht="17.25" customHeight="1" x14ac:dyDescent="0.3">
      <c r="A307" s="15" t="s">
        <v>29</v>
      </c>
      <c r="C307" s="19"/>
      <c r="D307" s="33" t="str">
        <f t="shared" ref="D307" si="279">D306</f>
        <v>S100025</v>
      </c>
      <c r="E307" s="33"/>
      <c r="F307" s="20"/>
      <c r="G307" s="20" t="str">
        <f>"""NAV"",""CRONUS JetCorp USA"",""32"",""1"",""64622"""</f>
        <v>"NAV","CRONUS JetCorp USA","32","1","64622"</v>
      </c>
      <c r="H307" s="39">
        <v>43475</v>
      </c>
      <c r="I307" s="40">
        <v>64622</v>
      </c>
      <c r="J307" s="40" t="str">
        <f>"Customer"</f>
        <v>Customer</v>
      </c>
      <c r="K307" s="40" t="str">
        <f>"C100136"</f>
        <v>C100136</v>
      </c>
      <c r="L307" s="40" t="str">
        <f>"First Bank"</f>
        <v>First Bank</v>
      </c>
      <c r="M307" s="40" t="str">
        <f>""</f>
        <v/>
      </c>
      <c r="N307" s="40" t="str">
        <f>""</f>
        <v/>
      </c>
      <c r="O307" s="41">
        <v>0</v>
      </c>
      <c r="P307" s="41">
        <v>-144</v>
      </c>
      <c r="Q307" s="41">
        <v>0</v>
      </c>
      <c r="R307" s="41">
        <v>0</v>
      </c>
      <c r="S307" s="41">
        <v>0</v>
      </c>
      <c r="T307" s="41">
        <v>0</v>
      </c>
      <c r="U307" s="54"/>
    </row>
    <row r="308" spans="1:21" ht="17.25" customHeight="1" x14ac:dyDescent="0.3">
      <c r="A308" s="15" t="s">
        <v>29</v>
      </c>
      <c r="C308" s="19"/>
      <c r="D308" s="33"/>
      <c r="E308" s="33"/>
      <c r="F308" s="20"/>
      <c r="G308" s="20"/>
      <c r="H308" s="20"/>
      <c r="I308" s="20"/>
      <c r="J308" s="20"/>
      <c r="K308" s="20"/>
      <c r="L308" s="20"/>
      <c r="M308" s="20"/>
      <c r="N308" s="20"/>
      <c r="O308" s="42"/>
      <c r="P308" s="42"/>
      <c r="Q308" s="42"/>
      <c r="R308" s="42"/>
      <c r="S308" s="42"/>
      <c r="T308" s="42"/>
      <c r="U308" s="55"/>
    </row>
    <row r="309" spans="1:21" ht="17.25" customHeight="1" x14ac:dyDescent="0.3">
      <c r="A309" s="15" t="s">
        <v>29</v>
      </c>
      <c r="C309" s="19"/>
      <c r="D309" s="33"/>
      <c r="E309" s="33" t="s">
        <v>30</v>
      </c>
      <c r="F309" s="20" t="s">
        <v>30</v>
      </c>
      <c r="G309" s="20" t="s">
        <v>30</v>
      </c>
      <c r="H309" s="20"/>
      <c r="I309" s="20"/>
      <c r="J309" s="20" t="s">
        <v>30</v>
      </c>
      <c r="K309" s="20" t="s">
        <v>30</v>
      </c>
      <c r="L309" s="20" t="s">
        <v>30</v>
      </c>
      <c r="M309" s="20" t="s">
        <v>30</v>
      </c>
      <c r="N309" s="20"/>
      <c r="U309" s="56"/>
    </row>
    <row r="310" spans="1:21" ht="20.25" customHeight="1" x14ac:dyDescent="0.35">
      <c r="A310" s="15" t="s">
        <v>29</v>
      </c>
      <c r="C310" s="19"/>
      <c r="D310" s="34" t="str">
        <f t="shared" ref="D310" si="280">E310</f>
        <v>S100026</v>
      </c>
      <c r="E310" s="35" t="str">
        <f>"S100026"</f>
        <v>S100026</v>
      </c>
      <c r="F310" s="36" t="str">
        <f>"Wide SPORT BOT"</f>
        <v>Wide SPORT BOT</v>
      </c>
      <c r="G310" s="36"/>
      <c r="H310" s="37" t="str">
        <f>"EA"</f>
        <v>EA</v>
      </c>
      <c r="I310" s="36"/>
      <c r="J310" s="36"/>
      <c r="K310" s="36"/>
      <c r="L310" s="36"/>
      <c r="M310" s="36"/>
      <c r="N310" s="36"/>
      <c r="O310" s="38">
        <f t="shared" ref="O310:T310" si="281">(SUBTOTAL(9,O311:O313))</f>
        <v>499.99999999999994</v>
      </c>
      <c r="P310" s="38">
        <f t="shared" si="281"/>
        <v>-144</v>
      </c>
      <c r="Q310" s="38">
        <f t="shared" si="281"/>
        <v>0</v>
      </c>
      <c r="R310" s="38">
        <f t="shared" si="281"/>
        <v>0</v>
      </c>
      <c r="S310" s="38">
        <f t="shared" si="281"/>
        <v>0</v>
      </c>
      <c r="T310" s="38">
        <f t="shared" si="281"/>
        <v>0</v>
      </c>
      <c r="U310" s="53">
        <f t="shared" ref="U310" si="282">SUBTOTAL(9,O311:T313)</f>
        <v>355.99999999999994</v>
      </c>
    </row>
    <row r="311" spans="1:21" ht="17.25" customHeight="1" x14ac:dyDescent="0.3">
      <c r="A311" s="15" t="s">
        <v>29</v>
      </c>
      <c r="C311" s="19"/>
      <c r="D311" s="33" t="str">
        <f t="shared" ref="D311" si="283">D310</f>
        <v>S100026</v>
      </c>
      <c r="E311" s="33"/>
      <c r="F311" s="20"/>
      <c r="G311" s="20" t="str">
        <f>"""NAV"",""CRONUS JetCorp USA"",""32"",""1"",""168671"""</f>
        <v>"NAV","CRONUS JetCorp USA","32","1","168671"</v>
      </c>
      <c r="H311" s="39">
        <v>43466</v>
      </c>
      <c r="I311" s="40">
        <v>168671</v>
      </c>
      <c r="J311" s="40" t="str">
        <f>"Vendor"</f>
        <v>Vendor</v>
      </c>
      <c r="K311" s="40" t="str">
        <f>"V100001"</f>
        <v>V100001</v>
      </c>
      <c r="L311" s="40" t="str">
        <f>""</f>
        <v/>
      </c>
      <c r="M311" s="40" t="str">
        <f>"Greigner, Inc."</f>
        <v>Greigner, Inc.</v>
      </c>
      <c r="N311" s="40" t="str">
        <f>""</f>
        <v/>
      </c>
      <c r="O311" s="41">
        <v>499.99999999999994</v>
      </c>
      <c r="P311" s="41">
        <v>0</v>
      </c>
      <c r="Q311" s="41">
        <v>0</v>
      </c>
      <c r="R311" s="41">
        <v>0</v>
      </c>
      <c r="S311" s="41">
        <v>0</v>
      </c>
      <c r="T311" s="41">
        <v>0</v>
      </c>
      <c r="U311" s="54"/>
    </row>
    <row r="312" spans="1:21" ht="17.25" customHeight="1" x14ac:dyDescent="0.3">
      <c r="A312" s="15" t="s">
        <v>29</v>
      </c>
      <c r="C312" s="19"/>
      <c r="D312" s="33" t="str">
        <f t="shared" ref="D312" si="284">D311</f>
        <v>S100026</v>
      </c>
      <c r="E312" s="33"/>
      <c r="F312" s="20"/>
      <c r="G312" s="20" t="str">
        <f>"""NAV"",""CRONUS JetCorp USA"",""32"",""1"",""153164"""</f>
        <v>"NAV","CRONUS JetCorp USA","32","1","153164"</v>
      </c>
      <c r="H312" s="39">
        <v>43470</v>
      </c>
      <c r="I312" s="40">
        <v>153164</v>
      </c>
      <c r="J312" s="40" t="str">
        <f>"Customer"</f>
        <v>Customer</v>
      </c>
      <c r="K312" s="40" t="str">
        <f>"C100136"</f>
        <v>C100136</v>
      </c>
      <c r="L312" s="40" t="str">
        <f>"First Bank"</f>
        <v>First Bank</v>
      </c>
      <c r="M312" s="40" t="str">
        <f>""</f>
        <v/>
      </c>
      <c r="N312" s="40" t="str">
        <f>""</f>
        <v/>
      </c>
      <c r="O312" s="41">
        <v>0</v>
      </c>
      <c r="P312" s="41">
        <v>-144</v>
      </c>
      <c r="Q312" s="41">
        <v>0</v>
      </c>
      <c r="R312" s="41">
        <v>0</v>
      </c>
      <c r="S312" s="41">
        <v>0</v>
      </c>
      <c r="T312" s="41">
        <v>0</v>
      </c>
      <c r="U312" s="54"/>
    </row>
    <row r="313" spans="1:21" ht="17.25" customHeight="1" x14ac:dyDescent="0.3">
      <c r="A313" s="15" t="s">
        <v>29</v>
      </c>
      <c r="C313" s="19"/>
      <c r="D313" s="33"/>
      <c r="E313" s="33"/>
      <c r="F313" s="20"/>
      <c r="G313" s="20"/>
      <c r="H313" s="20"/>
      <c r="I313" s="20"/>
      <c r="J313" s="20"/>
      <c r="K313" s="20"/>
      <c r="L313" s="20"/>
      <c r="M313" s="20"/>
      <c r="N313" s="20"/>
      <c r="O313" s="42"/>
      <c r="P313" s="42"/>
      <c r="Q313" s="42"/>
      <c r="R313" s="42"/>
      <c r="S313" s="42"/>
      <c r="T313" s="42"/>
      <c r="U313" s="55"/>
    </row>
    <row r="314" spans="1:21" ht="17.25" customHeight="1" x14ac:dyDescent="0.3">
      <c r="A314" s="15" t="s">
        <v>29</v>
      </c>
      <c r="C314" s="19"/>
      <c r="D314" s="33"/>
      <c r="E314" s="33" t="s">
        <v>30</v>
      </c>
      <c r="F314" s="20" t="s">
        <v>30</v>
      </c>
      <c r="G314" s="20" t="s">
        <v>30</v>
      </c>
      <c r="H314" s="20"/>
      <c r="I314" s="20"/>
      <c r="J314" s="20" t="s">
        <v>30</v>
      </c>
      <c r="K314" s="20" t="s">
        <v>30</v>
      </c>
      <c r="L314" s="20" t="s">
        <v>30</v>
      </c>
      <c r="M314" s="20" t="s">
        <v>30</v>
      </c>
      <c r="N314" s="20"/>
      <c r="U314" s="56"/>
    </row>
    <row r="315" spans="1:21" ht="20.25" customHeight="1" x14ac:dyDescent="0.35">
      <c r="A315" s="15" t="s">
        <v>29</v>
      </c>
      <c r="C315" s="19"/>
      <c r="D315" s="34" t="str">
        <f t="shared" ref="D315" si="285">E315</f>
        <v>S200004</v>
      </c>
      <c r="E315" s="35" t="str">
        <f>"S200004"</f>
        <v>S200004</v>
      </c>
      <c r="F315" s="36" t="str">
        <f>"5"" Female Graduate Trophy"</f>
        <v>5" Female Graduate Trophy</v>
      </c>
      <c r="G315" s="36"/>
      <c r="H315" s="37" t="str">
        <f>"EA"</f>
        <v>EA</v>
      </c>
      <c r="I315" s="36"/>
      <c r="J315" s="36"/>
      <c r="K315" s="36"/>
      <c r="L315" s="36"/>
      <c r="M315" s="36"/>
      <c r="N315" s="36"/>
      <c r="O315" s="38">
        <f t="shared" ref="O315:T315" si="286">(SUBTOTAL(9,O316:O317))</f>
        <v>0</v>
      </c>
      <c r="P315" s="38">
        <f t="shared" si="286"/>
        <v>-144</v>
      </c>
      <c r="Q315" s="38">
        <f t="shared" si="286"/>
        <v>0</v>
      </c>
      <c r="R315" s="38">
        <f t="shared" si="286"/>
        <v>0</v>
      </c>
      <c r="S315" s="38">
        <f t="shared" si="286"/>
        <v>0</v>
      </c>
      <c r="T315" s="38">
        <f t="shared" si="286"/>
        <v>0</v>
      </c>
      <c r="U315" s="53">
        <f t="shared" ref="U315" si="287">SUBTOTAL(9,O316:T317)</f>
        <v>-144</v>
      </c>
    </row>
    <row r="316" spans="1:21" ht="17.25" customHeight="1" x14ac:dyDescent="0.3">
      <c r="A316" s="15" t="s">
        <v>29</v>
      </c>
      <c r="C316" s="19"/>
      <c r="D316" s="33" t="str">
        <f t="shared" ref="D316" si="288">D315</f>
        <v>S200004</v>
      </c>
      <c r="E316" s="33"/>
      <c r="F316" s="20"/>
      <c r="G316" s="20" t="str">
        <f>"""NAV"",""CRONUS JetCorp USA"",""32"",""1"",""153162"""</f>
        <v>"NAV","CRONUS JetCorp USA","32","1","153162"</v>
      </c>
      <c r="H316" s="39">
        <v>43470</v>
      </c>
      <c r="I316" s="40">
        <v>153162</v>
      </c>
      <c r="J316" s="40" t="str">
        <f>"Customer"</f>
        <v>Customer</v>
      </c>
      <c r="K316" s="40" t="str">
        <f>"C100136"</f>
        <v>C100136</v>
      </c>
      <c r="L316" s="40" t="str">
        <f>"First Bank"</f>
        <v>First Bank</v>
      </c>
      <c r="M316" s="40" t="str">
        <f>""</f>
        <v/>
      </c>
      <c r="N316" s="40" t="str">
        <f>""</f>
        <v/>
      </c>
      <c r="O316" s="41">
        <v>0</v>
      </c>
      <c r="P316" s="41">
        <v>-144</v>
      </c>
      <c r="Q316" s="41">
        <v>0</v>
      </c>
      <c r="R316" s="41">
        <v>0</v>
      </c>
      <c r="S316" s="41">
        <v>0</v>
      </c>
      <c r="T316" s="41">
        <v>0</v>
      </c>
      <c r="U316" s="54"/>
    </row>
    <row r="317" spans="1:21" ht="17.25" customHeight="1" x14ac:dyDescent="0.3">
      <c r="A317" s="15" t="s">
        <v>29</v>
      </c>
      <c r="C317" s="19"/>
      <c r="D317" s="33"/>
      <c r="E317" s="33"/>
      <c r="F317" s="20"/>
      <c r="G317" s="20"/>
      <c r="H317" s="20"/>
      <c r="I317" s="20"/>
      <c r="J317" s="20"/>
      <c r="K317" s="20"/>
      <c r="L317" s="20"/>
      <c r="M317" s="20"/>
      <c r="N317" s="20"/>
      <c r="O317" s="42"/>
      <c r="P317" s="42"/>
      <c r="Q317" s="42"/>
      <c r="R317" s="42"/>
      <c r="S317" s="42"/>
      <c r="T317" s="42"/>
      <c r="U317" s="55"/>
    </row>
    <row r="318" spans="1:21" ht="17.25" customHeight="1" x14ac:dyDescent="0.3">
      <c r="A318" s="15" t="s">
        <v>29</v>
      </c>
      <c r="C318" s="19"/>
      <c r="D318" s="33"/>
      <c r="E318" s="33" t="s">
        <v>30</v>
      </c>
      <c r="F318" s="20" t="s">
        <v>30</v>
      </c>
      <c r="G318" s="20" t="s">
        <v>30</v>
      </c>
      <c r="H318" s="20"/>
      <c r="I318" s="20"/>
      <c r="J318" s="20" t="s">
        <v>30</v>
      </c>
      <c r="K318" s="20" t="s">
        <v>30</v>
      </c>
      <c r="L318" s="20" t="s">
        <v>30</v>
      </c>
      <c r="M318" s="20" t="s">
        <v>30</v>
      </c>
      <c r="N318" s="20"/>
      <c r="U318" s="56"/>
    </row>
    <row r="319" spans="1:21" ht="20.25" customHeight="1" x14ac:dyDescent="0.35">
      <c r="A319" s="15" t="s">
        <v>29</v>
      </c>
      <c r="C319" s="19"/>
      <c r="D319" s="34" t="str">
        <f t="shared" ref="D319" si="289">E319</f>
        <v>S200012</v>
      </c>
      <c r="E319" s="35" t="str">
        <f>"S200012"</f>
        <v>S200012</v>
      </c>
      <c r="F319" s="36" t="str">
        <f>"10.75"" Star Riser Apple Trophy"</f>
        <v>10.75" Star Riser Apple Trophy</v>
      </c>
      <c r="G319" s="36"/>
      <c r="H319" s="37" t="str">
        <f>"EA"</f>
        <v>EA</v>
      </c>
      <c r="I319" s="36"/>
      <c r="J319" s="36"/>
      <c r="K319" s="36"/>
      <c r="L319" s="36"/>
      <c r="M319" s="36"/>
      <c r="N319" s="36"/>
      <c r="O319" s="38">
        <f t="shared" ref="O319:T319" si="290">(SUBTOTAL(9,O320:O321))</f>
        <v>0</v>
      </c>
      <c r="P319" s="38">
        <f t="shared" si="290"/>
        <v>-48</v>
      </c>
      <c r="Q319" s="38">
        <f t="shared" si="290"/>
        <v>0</v>
      </c>
      <c r="R319" s="38">
        <f t="shared" si="290"/>
        <v>0</v>
      </c>
      <c r="S319" s="38">
        <f t="shared" si="290"/>
        <v>0</v>
      </c>
      <c r="T319" s="38">
        <f t="shared" si="290"/>
        <v>0</v>
      </c>
      <c r="U319" s="53">
        <f t="shared" ref="U319" si="291">SUBTOTAL(9,O320:T321)</f>
        <v>-48</v>
      </c>
    </row>
    <row r="320" spans="1:21" ht="17.25" customHeight="1" x14ac:dyDescent="0.3">
      <c r="A320" s="15" t="s">
        <v>29</v>
      </c>
      <c r="C320" s="19"/>
      <c r="D320" s="33" t="str">
        <f t="shared" ref="D320" si="292">D319</f>
        <v>S200012</v>
      </c>
      <c r="E320" s="33"/>
      <c r="F320" s="20"/>
      <c r="G320" s="20" t="str">
        <f>"""NAV"",""CRONUS JetCorp USA"",""32"",""1"",""153163"""</f>
        <v>"NAV","CRONUS JetCorp USA","32","1","153163"</v>
      </c>
      <c r="H320" s="39">
        <v>43470</v>
      </c>
      <c r="I320" s="40">
        <v>153163</v>
      </c>
      <c r="J320" s="40" t="str">
        <f>"Customer"</f>
        <v>Customer</v>
      </c>
      <c r="K320" s="40" t="str">
        <f>"C100136"</f>
        <v>C100136</v>
      </c>
      <c r="L320" s="40" t="str">
        <f>"First Bank"</f>
        <v>First Bank</v>
      </c>
      <c r="M320" s="40" t="str">
        <f>""</f>
        <v/>
      </c>
      <c r="N320" s="40" t="str">
        <f>""</f>
        <v/>
      </c>
      <c r="O320" s="41">
        <v>0</v>
      </c>
      <c r="P320" s="41">
        <v>-48</v>
      </c>
      <c r="Q320" s="41">
        <v>0</v>
      </c>
      <c r="R320" s="41">
        <v>0</v>
      </c>
      <c r="S320" s="41">
        <v>0</v>
      </c>
      <c r="T320" s="41">
        <v>0</v>
      </c>
      <c r="U320" s="54"/>
    </row>
    <row r="321" spans="1:21" ht="17.25" customHeight="1" x14ac:dyDescent="0.3">
      <c r="A321" s="15" t="s">
        <v>29</v>
      </c>
      <c r="C321" s="19"/>
      <c r="D321" s="33"/>
      <c r="E321" s="33"/>
      <c r="F321" s="20"/>
      <c r="G321" s="20"/>
      <c r="H321" s="20"/>
      <c r="I321" s="20"/>
      <c r="J321" s="20"/>
      <c r="K321" s="20"/>
      <c r="L321" s="20"/>
      <c r="M321" s="20"/>
      <c r="N321" s="20"/>
      <c r="O321" s="42"/>
      <c r="P321" s="42"/>
      <c r="Q321" s="42"/>
      <c r="R321" s="42"/>
      <c r="S321" s="42"/>
      <c r="T321" s="42"/>
      <c r="U321" s="55"/>
    </row>
    <row r="322" spans="1:21" ht="17.25" customHeight="1" x14ac:dyDescent="0.3">
      <c r="A322" s="15" t="s">
        <v>29</v>
      </c>
      <c r="C322" s="19"/>
      <c r="D322" s="33"/>
      <c r="E322" s="33" t="s">
        <v>30</v>
      </c>
      <c r="F322" s="20" t="s">
        <v>30</v>
      </c>
      <c r="G322" s="20" t="s">
        <v>30</v>
      </c>
      <c r="H322" s="20"/>
      <c r="I322" s="20"/>
      <c r="J322" s="20" t="s">
        <v>30</v>
      </c>
      <c r="K322" s="20" t="s">
        <v>30</v>
      </c>
      <c r="L322" s="20" t="s">
        <v>30</v>
      </c>
      <c r="M322" s="20" t="s">
        <v>30</v>
      </c>
      <c r="N322" s="20"/>
      <c r="U322" s="56"/>
    </row>
    <row r="323" spans="1:21" ht="20.25" customHeight="1" x14ac:dyDescent="0.35">
      <c r="A323" s="15" t="s">
        <v>29</v>
      </c>
      <c r="C323" s="19"/>
      <c r="D323" s="34" t="str">
        <f t="shared" ref="D323" si="293">E323</f>
        <v>S200017</v>
      </c>
      <c r="E323" s="35" t="str">
        <f>"S200017"</f>
        <v>S200017</v>
      </c>
      <c r="F323" s="36" t="str">
        <f>"10.75"" Tourch Riser WrestlingTrophy"</f>
        <v>10.75" Tourch Riser WrestlingTrophy</v>
      </c>
      <c r="G323" s="36"/>
      <c r="H323" s="37" t="str">
        <f>"EA"</f>
        <v>EA</v>
      </c>
      <c r="I323" s="36"/>
      <c r="J323" s="36"/>
      <c r="K323" s="36"/>
      <c r="L323" s="36"/>
      <c r="M323" s="36"/>
      <c r="N323" s="36"/>
      <c r="O323" s="38">
        <f t="shared" ref="O323:T323" si="294">(SUBTOTAL(9,O324:O325))</f>
        <v>0</v>
      </c>
      <c r="P323" s="38">
        <f t="shared" si="294"/>
        <v>-144</v>
      </c>
      <c r="Q323" s="38">
        <f t="shared" si="294"/>
        <v>0</v>
      </c>
      <c r="R323" s="38">
        <f t="shared" si="294"/>
        <v>0</v>
      </c>
      <c r="S323" s="38">
        <f t="shared" si="294"/>
        <v>0</v>
      </c>
      <c r="T323" s="38">
        <f t="shared" si="294"/>
        <v>0</v>
      </c>
      <c r="U323" s="53">
        <f t="shared" ref="U323" si="295">SUBTOTAL(9,O324:T325)</f>
        <v>-144</v>
      </c>
    </row>
    <row r="324" spans="1:21" ht="17.25" customHeight="1" x14ac:dyDescent="0.3">
      <c r="A324" s="15" t="s">
        <v>29</v>
      </c>
      <c r="C324" s="19"/>
      <c r="D324" s="33" t="str">
        <f t="shared" ref="D324" si="296">D323</f>
        <v>S200017</v>
      </c>
      <c r="E324" s="33"/>
      <c r="F324" s="20"/>
      <c r="G324" s="20" t="str">
        <f>"""NAV"",""CRONUS JetCorp USA"",""32"",""1"",""153189"""</f>
        <v>"NAV","CRONUS JetCorp USA","32","1","153189"</v>
      </c>
      <c r="H324" s="39">
        <v>43469</v>
      </c>
      <c r="I324" s="40">
        <v>153189</v>
      </c>
      <c r="J324" s="40" t="str">
        <f>"Customer"</f>
        <v>Customer</v>
      </c>
      <c r="K324" s="40" t="str">
        <f>"C100136"</f>
        <v>C100136</v>
      </c>
      <c r="L324" s="40" t="str">
        <f>"First Bank"</f>
        <v>First Bank</v>
      </c>
      <c r="M324" s="40" t="str">
        <f>""</f>
        <v/>
      </c>
      <c r="N324" s="40" t="str">
        <f>""</f>
        <v/>
      </c>
      <c r="O324" s="41">
        <v>0</v>
      </c>
      <c r="P324" s="41">
        <v>-144</v>
      </c>
      <c r="Q324" s="41">
        <v>0</v>
      </c>
      <c r="R324" s="41">
        <v>0</v>
      </c>
      <c r="S324" s="41">
        <v>0</v>
      </c>
      <c r="T324" s="41">
        <v>0</v>
      </c>
      <c r="U324" s="54"/>
    </row>
    <row r="325" spans="1:21" ht="17.25" customHeight="1" x14ac:dyDescent="0.3">
      <c r="A325" s="15" t="s">
        <v>29</v>
      </c>
      <c r="C325" s="19"/>
      <c r="D325" s="33"/>
      <c r="E325" s="33"/>
      <c r="F325" s="20"/>
      <c r="G325" s="20"/>
      <c r="H325" s="20"/>
      <c r="I325" s="20"/>
      <c r="J325" s="20"/>
      <c r="K325" s="20"/>
      <c r="L325" s="20"/>
      <c r="M325" s="20"/>
      <c r="N325" s="20"/>
      <c r="O325" s="42"/>
      <c r="P325" s="42"/>
      <c r="Q325" s="42"/>
      <c r="R325" s="42"/>
      <c r="S325" s="42"/>
      <c r="T325" s="42"/>
      <c r="U325" s="55"/>
    </row>
    <row r="326" spans="1:21" ht="17.25" customHeight="1" x14ac:dyDescent="0.3">
      <c r="A326" s="15" t="s">
        <v>29</v>
      </c>
      <c r="C326" s="19"/>
      <c r="D326" s="33"/>
      <c r="E326" s="33" t="s">
        <v>30</v>
      </c>
      <c r="F326" s="20" t="s">
        <v>30</v>
      </c>
      <c r="G326" s="20" t="s">
        <v>30</v>
      </c>
      <c r="H326" s="20"/>
      <c r="I326" s="20"/>
      <c r="J326" s="20" t="s">
        <v>30</v>
      </c>
      <c r="K326" s="20" t="s">
        <v>30</v>
      </c>
      <c r="L326" s="20" t="s">
        <v>30</v>
      </c>
      <c r="M326" s="20" t="s">
        <v>30</v>
      </c>
      <c r="N326" s="20"/>
      <c r="U326" s="56"/>
    </row>
    <row r="327" spans="1:21" ht="20.25" customHeight="1" x14ac:dyDescent="0.35">
      <c r="A327" s="15" t="s">
        <v>29</v>
      </c>
      <c r="C327" s="19"/>
      <c r="D327" s="34" t="str">
        <f t="shared" ref="D327" si="297">E327</f>
        <v>S200018</v>
      </c>
      <c r="E327" s="35" t="str">
        <f>"S200018"</f>
        <v>S200018</v>
      </c>
      <c r="F327" s="36" t="str">
        <f>"10.75"" Tourch Riser Lamp of Knowledge Trophy"</f>
        <v>10.75" Tourch Riser Lamp of Knowledge Trophy</v>
      </c>
      <c r="G327" s="36"/>
      <c r="H327" s="37" t="str">
        <f>"EA"</f>
        <v>EA</v>
      </c>
      <c r="I327" s="36"/>
      <c r="J327" s="36"/>
      <c r="K327" s="36"/>
      <c r="L327" s="36"/>
      <c r="M327" s="36"/>
      <c r="N327" s="36"/>
      <c r="O327" s="38">
        <f t="shared" ref="O327:T327" si="298">(SUBTOTAL(9,O328:O329))</f>
        <v>0</v>
      </c>
      <c r="P327" s="38">
        <f t="shared" si="298"/>
        <v>-144</v>
      </c>
      <c r="Q327" s="38">
        <f t="shared" si="298"/>
        <v>0</v>
      </c>
      <c r="R327" s="38">
        <f t="shared" si="298"/>
        <v>0</v>
      </c>
      <c r="S327" s="38">
        <f t="shared" si="298"/>
        <v>0</v>
      </c>
      <c r="T327" s="38">
        <f t="shared" si="298"/>
        <v>0</v>
      </c>
      <c r="U327" s="53">
        <f t="shared" ref="U327" si="299">SUBTOTAL(9,O328:T329)</f>
        <v>-144</v>
      </c>
    </row>
    <row r="328" spans="1:21" ht="17.25" customHeight="1" x14ac:dyDescent="0.3">
      <c r="A328" s="15" t="s">
        <v>29</v>
      </c>
      <c r="C328" s="19"/>
      <c r="D328" s="33" t="str">
        <f t="shared" ref="D328" si="300">D327</f>
        <v>S200018</v>
      </c>
      <c r="E328" s="33"/>
      <c r="F328" s="20"/>
      <c r="G328" s="20" t="str">
        <f>"""NAV"",""CRONUS JetCorp USA"",""32"",""1"",""153161"""</f>
        <v>"NAV","CRONUS JetCorp USA","32","1","153161"</v>
      </c>
      <c r="H328" s="39">
        <v>43470</v>
      </c>
      <c r="I328" s="40">
        <v>153161</v>
      </c>
      <c r="J328" s="40" t="str">
        <f>"Customer"</f>
        <v>Customer</v>
      </c>
      <c r="K328" s="40" t="str">
        <f>"C100136"</f>
        <v>C100136</v>
      </c>
      <c r="L328" s="40" t="str">
        <f>"First Bank"</f>
        <v>First Bank</v>
      </c>
      <c r="M328" s="40" t="str">
        <f>""</f>
        <v/>
      </c>
      <c r="N328" s="40" t="str">
        <f>""</f>
        <v/>
      </c>
      <c r="O328" s="41">
        <v>0</v>
      </c>
      <c r="P328" s="41">
        <v>-144</v>
      </c>
      <c r="Q328" s="41">
        <v>0</v>
      </c>
      <c r="R328" s="41">
        <v>0</v>
      </c>
      <c r="S328" s="41">
        <v>0</v>
      </c>
      <c r="T328" s="41">
        <v>0</v>
      </c>
      <c r="U328" s="54"/>
    </row>
    <row r="329" spans="1:21" ht="17.25" customHeight="1" x14ac:dyDescent="0.3">
      <c r="A329" s="15" t="s">
        <v>29</v>
      </c>
      <c r="C329" s="19"/>
      <c r="D329" s="33"/>
      <c r="E329" s="33"/>
      <c r="F329" s="20"/>
      <c r="G329" s="20"/>
      <c r="H329" s="20"/>
      <c r="I329" s="20"/>
      <c r="J329" s="20"/>
      <c r="K329" s="20"/>
      <c r="L329" s="20"/>
      <c r="M329" s="20"/>
      <c r="N329" s="20"/>
      <c r="O329" s="42"/>
      <c r="P329" s="42"/>
      <c r="Q329" s="42"/>
      <c r="R329" s="42"/>
      <c r="S329" s="42"/>
      <c r="T329" s="42"/>
      <c r="U329" s="55"/>
    </row>
    <row r="330" spans="1:21" ht="17.25" customHeight="1" x14ac:dyDescent="0.3">
      <c r="A330" s="15" t="s">
        <v>29</v>
      </c>
      <c r="C330" s="19"/>
      <c r="D330" s="33"/>
      <c r="E330" s="33" t="s">
        <v>30</v>
      </c>
      <c r="F330" s="20" t="s">
        <v>30</v>
      </c>
      <c r="G330" s="20" t="s">
        <v>30</v>
      </c>
      <c r="H330" s="20"/>
      <c r="I330" s="20"/>
      <c r="J330" s="20" t="s">
        <v>30</v>
      </c>
      <c r="K330" s="20" t="s">
        <v>30</v>
      </c>
      <c r="L330" s="20" t="s">
        <v>30</v>
      </c>
      <c r="M330" s="20" t="s">
        <v>30</v>
      </c>
      <c r="N330" s="20"/>
      <c r="U330" s="56"/>
    </row>
    <row r="331" spans="1:21" ht="20.25" customHeight="1" x14ac:dyDescent="0.35">
      <c r="A331" s="15" t="s">
        <v>29</v>
      </c>
      <c r="C331" s="19"/>
      <c r="D331" s="34" t="str">
        <f t="shared" ref="D331" si="301">E331</f>
        <v>S200019</v>
      </c>
      <c r="E331" s="35" t="str">
        <f>"S200019"</f>
        <v>S200019</v>
      </c>
      <c r="F331" s="36" t="str">
        <f>"10.75"" Tourch Riser Apple Trophy"</f>
        <v>10.75" Tourch Riser Apple Trophy</v>
      </c>
      <c r="G331" s="36"/>
      <c r="H331" s="37" t="str">
        <f>"EA"</f>
        <v>EA</v>
      </c>
      <c r="I331" s="36"/>
      <c r="J331" s="36"/>
      <c r="K331" s="36"/>
      <c r="L331" s="36"/>
      <c r="M331" s="36"/>
      <c r="N331" s="36"/>
      <c r="O331" s="38">
        <f t="shared" ref="O331:T331" si="302">(SUBTOTAL(9,O332:O333))</f>
        <v>0</v>
      </c>
      <c r="P331" s="38">
        <f t="shared" si="302"/>
        <v>-48</v>
      </c>
      <c r="Q331" s="38">
        <f t="shared" si="302"/>
        <v>0</v>
      </c>
      <c r="R331" s="38">
        <f t="shared" si="302"/>
        <v>0</v>
      </c>
      <c r="S331" s="38">
        <f t="shared" si="302"/>
        <v>0</v>
      </c>
      <c r="T331" s="38">
        <f t="shared" si="302"/>
        <v>0</v>
      </c>
      <c r="U331" s="53">
        <f t="shared" ref="U331" si="303">SUBTOTAL(9,O332:T333)</f>
        <v>-48</v>
      </c>
    </row>
    <row r="332" spans="1:21" ht="17.25" customHeight="1" x14ac:dyDescent="0.3">
      <c r="A332" s="15" t="s">
        <v>29</v>
      </c>
      <c r="C332" s="19"/>
      <c r="D332" s="33" t="str">
        <f t="shared" ref="D332" si="304">D331</f>
        <v>S200019</v>
      </c>
      <c r="E332" s="33"/>
      <c r="F332" s="20"/>
      <c r="G332" s="20" t="str">
        <f>"""NAV"",""CRONUS JetCorp USA"",""32"",""1"",""153191"""</f>
        <v>"NAV","CRONUS JetCorp USA","32","1","153191"</v>
      </c>
      <c r="H332" s="39">
        <v>43469</v>
      </c>
      <c r="I332" s="40">
        <v>153191</v>
      </c>
      <c r="J332" s="40" t="str">
        <f>"Customer"</f>
        <v>Customer</v>
      </c>
      <c r="K332" s="40" t="str">
        <f>"C100136"</f>
        <v>C100136</v>
      </c>
      <c r="L332" s="40" t="str">
        <f>"First Bank"</f>
        <v>First Bank</v>
      </c>
      <c r="M332" s="40" t="str">
        <f>""</f>
        <v/>
      </c>
      <c r="N332" s="40" t="str">
        <f>""</f>
        <v/>
      </c>
      <c r="O332" s="41">
        <v>0</v>
      </c>
      <c r="P332" s="41">
        <v>-48</v>
      </c>
      <c r="Q332" s="41">
        <v>0</v>
      </c>
      <c r="R332" s="41">
        <v>0</v>
      </c>
      <c r="S332" s="41">
        <v>0</v>
      </c>
      <c r="T332" s="41">
        <v>0</v>
      </c>
      <c r="U332" s="54"/>
    </row>
    <row r="333" spans="1:21" ht="17.25" customHeight="1" x14ac:dyDescent="0.3">
      <c r="A333" s="15" t="s">
        <v>29</v>
      </c>
      <c r="C333" s="19"/>
      <c r="D333" s="33"/>
      <c r="E333" s="33"/>
      <c r="F333" s="20"/>
      <c r="G333" s="20"/>
      <c r="H333" s="20"/>
      <c r="I333" s="20"/>
      <c r="J333" s="20"/>
      <c r="K333" s="20"/>
      <c r="L333" s="20"/>
      <c r="M333" s="20"/>
      <c r="N333" s="20"/>
      <c r="O333" s="42"/>
      <c r="P333" s="42"/>
      <c r="Q333" s="42"/>
      <c r="R333" s="42"/>
      <c r="S333" s="42"/>
      <c r="T333" s="42"/>
      <c r="U333" s="55"/>
    </row>
    <row r="334" spans="1:21" ht="17.25" customHeight="1" x14ac:dyDescent="0.3">
      <c r="A334" s="15" t="s">
        <v>29</v>
      </c>
      <c r="C334" s="19"/>
      <c r="D334" s="33"/>
      <c r="E334" s="33" t="s">
        <v>30</v>
      </c>
      <c r="F334" s="20" t="s">
        <v>30</v>
      </c>
      <c r="G334" s="20" t="s">
        <v>30</v>
      </c>
      <c r="H334" s="20"/>
      <c r="I334" s="20"/>
      <c r="J334" s="20" t="s">
        <v>30</v>
      </c>
      <c r="K334" s="20" t="s">
        <v>30</v>
      </c>
      <c r="L334" s="20" t="s">
        <v>30</v>
      </c>
      <c r="M334" s="20" t="s">
        <v>30</v>
      </c>
      <c r="N334" s="20"/>
      <c r="U334" s="56"/>
    </row>
    <row r="335" spans="1:21" ht="20.25" customHeight="1" x14ac:dyDescent="0.35">
      <c r="A335" s="15" t="s">
        <v>29</v>
      </c>
      <c r="C335" s="19"/>
      <c r="D335" s="34" t="str">
        <f t="shared" ref="D335" si="305">E335</f>
        <v>S200020</v>
      </c>
      <c r="E335" s="35" t="str">
        <f>"S200020"</f>
        <v>S200020</v>
      </c>
      <c r="F335" s="36" t="str">
        <f>"10.75"" Tourch Riser Soccer Trophy"</f>
        <v>10.75" Tourch Riser Soccer Trophy</v>
      </c>
      <c r="G335" s="36"/>
      <c r="H335" s="37" t="str">
        <f>"EA"</f>
        <v>EA</v>
      </c>
      <c r="I335" s="36"/>
      <c r="J335" s="36"/>
      <c r="K335" s="36"/>
      <c r="L335" s="36"/>
      <c r="M335" s="36"/>
      <c r="N335" s="36"/>
      <c r="O335" s="38">
        <f t="shared" ref="O335:T335" si="306">(SUBTOTAL(9,O336:O337))</f>
        <v>0</v>
      </c>
      <c r="P335" s="38">
        <f t="shared" si="306"/>
        <v>-144</v>
      </c>
      <c r="Q335" s="38">
        <f t="shared" si="306"/>
        <v>0</v>
      </c>
      <c r="R335" s="38">
        <f t="shared" si="306"/>
        <v>0</v>
      </c>
      <c r="S335" s="38">
        <f t="shared" si="306"/>
        <v>0</v>
      </c>
      <c r="T335" s="38">
        <f t="shared" si="306"/>
        <v>0</v>
      </c>
      <c r="U335" s="53">
        <f t="shared" ref="U335" si="307">SUBTOTAL(9,O336:T337)</f>
        <v>-144</v>
      </c>
    </row>
    <row r="336" spans="1:21" ht="17.25" customHeight="1" x14ac:dyDescent="0.3">
      <c r="A336" s="15" t="s">
        <v>29</v>
      </c>
      <c r="C336" s="19"/>
      <c r="D336" s="33" t="str">
        <f t="shared" ref="D336" si="308">D335</f>
        <v>S200020</v>
      </c>
      <c r="E336" s="33"/>
      <c r="F336" s="20"/>
      <c r="G336" s="20" t="str">
        <f>"""NAV"",""CRONUS JetCorp USA"",""32"",""1"",""153188"""</f>
        <v>"NAV","CRONUS JetCorp USA","32","1","153188"</v>
      </c>
      <c r="H336" s="39">
        <v>43469</v>
      </c>
      <c r="I336" s="40">
        <v>153188</v>
      </c>
      <c r="J336" s="40" t="str">
        <f>"Customer"</f>
        <v>Customer</v>
      </c>
      <c r="K336" s="40" t="str">
        <f>"C100136"</f>
        <v>C100136</v>
      </c>
      <c r="L336" s="40" t="str">
        <f>"First Bank"</f>
        <v>First Bank</v>
      </c>
      <c r="M336" s="40" t="str">
        <f>""</f>
        <v/>
      </c>
      <c r="N336" s="40" t="str">
        <f>""</f>
        <v/>
      </c>
      <c r="O336" s="41">
        <v>0</v>
      </c>
      <c r="P336" s="41">
        <v>-144</v>
      </c>
      <c r="Q336" s="41">
        <v>0</v>
      </c>
      <c r="R336" s="41">
        <v>0</v>
      </c>
      <c r="S336" s="41">
        <v>0</v>
      </c>
      <c r="T336" s="41">
        <v>0</v>
      </c>
      <c r="U336" s="54"/>
    </row>
    <row r="337" spans="1:21" ht="17.25" customHeight="1" x14ac:dyDescent="0.3">
      <c r="A337" s="15" t="s">
        <v>29</v>
      </c>
      <c r="C337" s="19"/>
      <c r="D337" s="33"/>
      <c r="E337" s="33"/>
      <c r="F337" s="20"/>
      <c r="G337" s="20"/>
      <c r="H337" s="20"/>
      <c r="I337" s="20"/>
      <c r="J337" s="20"/>
      <c r="K337" s="20"/>
      <c r="L337" s="20"/>
      <c r="M337" s="20"/>
      <c r="N337" s="20"/>
      <c r="O337" s="42"/>
      <c r="P337" s="42"/>
      <c r="Q337" s="42"/>
      <c r="R337" s="42"/>
      <c r="S337" s="42"/>
      <c r="T337" s="42"/>
      <c r="U337" s="55"/>
    </row>
    <row r="338" spans="1:21" ht="17.25" customHeight="1" x14ac:dyDescent="0.3">
      <c r="A338" s="15" t="s">
        <v>29</v>
      </c>
      <c r="C338" s="19"/>
      <c r="D338" s="33"/>
      <c r="E338" s="33" t="s">
        <v>30</v>
      </c>
      <c r="F338" s="20" t="s">
        <v>30</v>
      </c>
      <c r="G338" s="20" t="s">
        <v>30</v>
      </c>
      <c r="H338" s="20"/>
      <c r="I338" s="20"/>
      <c r="J338" s="20" t="s">
        <v>30</v>
      </c>
      <c r="K338" s="20" t="s">
        <v>30</v>
      </c>
      <c r="L338" s="20" t="s">
        <v>30</v>
      </c>
      <c r="M338" s="20" t="s">
        <v>30</v>
      </c>
      <c r="N338" s="20"/>
      <c r="U338" s="56"/>
    </row>
    <row r="339" spans="1:21" ht="20.25" customHeight="1" x14ac:dyDescent="0.35">
      <c r="A339" s="15" t="s">
        <v>29</v>
      </c>
      <c r="C339" s="19"/>
      <c r="D339" s="34" t="str">
        <f t="shared" ref="D339" si="309">E339</f>
        <v>S200030</v>
      </c>
      <c r="E339" s="35" t="str">
        <f>"S200030"</f>
        <v>S200030</v>
      </c>
      <c r="F339" s="36" t="str">
        <f>"10.75"" Column Volleyball Trophy"</f>
        <v>10.75" Column Volleyball Trophy</v>
      </c>
      <c r="G339" s="36"/>
      <c r="H339" s="37" t="str">
        <f>"EA"</f>
        <v>EA</v>
      </c>
      <c r="I339" s="36"/>
      <c r="J339" s="36"/>
      <c r="K339" s="36"/>
      <c r="L339" s="36"/>
      <c r="M339" s="36"/>
      <c r="N339" s="36"/>
      <c r="O339" s="38">
        <f t="shared" ref="O339:T339" si="310">(SUBTOTAL(9,O340:O341))</f>
        <v>0</v>
      </c>
      <c r="P339" s="38">
        <f t="shared" si="310"/>
        <v>-1</v>
      </c>
      <c r="Q339" s="38">
        <f t="shared" si="310"/>
        <v>0</v>
      </c>
      <c r="R339" s="38">
        <f t="shared" si="310"/>
        <v>0</v>
      </c>
      <c r="S339" s="38">
        <f t="shared" si="310"/>
        <v>0</v>
      </c>
      <c r="T339" s="38">
        <f t="shared" si="310"/>
        <v>0</v>
      </c>
      <c r="U339" s="53">
        <f t="shared" ref="U339" si="311">SUBTOTAL(9,O340:T341)</f>
        <v>-1</v>
      </c>
    </row>
    <row r="340" spans="1:21" ht="17.25" customHeight="1" x14ac:dyDescent="0.3">
      <c r="A340" s="15" t="s">
        <v>29</v>
      </c>
      <c r="C340" s="19"/>
      <c r="D340" s="33" t="str">
        <f t="shared" ref="D340" si="312">D339</f>
        <v>S200030</v>
      </c>
      <c r="E340" s="33"/>
      <c r="F340" s="20"/>
      <c r="G340" s="20" t="str">
        <f>"""NAV"",""CRONUS JetCorp USA"",""32"",""1"",""153174"""</f>
        <v>"NAV","CRONUS JetCorp USA","32","1","153174"</v>
      </c>
      <c r="H340" s="39">
        <v>43470</v>
      </c>
      <c r="I340" s="40">
        <v>153174</v>
      </c>
      <c r="J340" s="40" t="str">
        <f>"Customer"</f>
        <v>Customer</v>
      </c>
      <c r="K340" s="40" t="str">
        <f>"C100136"</f>
        <v>C100136</v>
      </c>
      <c r="L340" s="40" t="str">
        <f>"First Bank"</f>
        <v>First Bank</v>
      </c>
      <c r="M340" s="40" t="str">
        <f>""</f>
        <v/>
      </c>
      <c r="N340" s="40" t="str">
        <f>""</f>
        <v/>
      </c>
      <c r="O340" s="41">
        <v>0</v>
      </c>
      <c r="P340" s="41">
        <v>-1</v>
      </c>
      <c r="Q340" s="41">
        <v>0</v>
      </c>
      <c r="R340" s="41">
        <v>0</v>
      </c>
      <c r="S340" s="41">
        <v>0</v>
      </c>
      <c r="T340" s="41">
        <v>0</v>
      </c>
      <c r="U340" s="54"/>
    </row>
    <row r="341" spans="1:21" ht="17.25" customHeight="1" x14ac:dyDescent="0.3">
      <c r="A341" s="15" t="s">
        <v>29</v>
      </c>
      <c r="C341" s="19"/>
      <c r="D341" s="33"/>
      <c r="E341" s="33"/>
      <c r="F341" s="20"/>
      <c r="G341" s="20"/>
      <c r="H341" s="20"/>
      <c r="I341" s="20"/>
      <c r="J341" s="20"/>
      <c r="K341" s="20"/>
      <c r="L341" s="20"/>
      <c r="M341" s="20"/>
      <c r="N341" s="20"/>
      <c r="O341" s="42"/>
      <c r="P341" s="42"/>
      <c r="Q341" s="42"/>
      <c r="R341" s="42"/>
      <c r="S341" s="42"/>
      <c r="T341" s="42"/>
      <c r="U341" s="55"/>
    </row>
    <row r="342" spans="1:21" ht="17.25" customHeight="1" x14ac:dyDescent="0.3">
      <c r="A342" s="15" t="s">
        <v>29</v>
      </c>
      <c r="C342" s="19"/>
      <c r="D342" s="33"/>
      <c r="E342" s="33" t="s">
        <v>30</v>
      </c>
      <c r="F342" s="20" t="s">
        <v>30</v>
      </c>
      <c r="G342" s="20" t="s">
        <v>30</v>
      </c>
      <c r="H342" s="20"/>
      <c r="I342" s="20"/>
      <c r="J342" s="20" t="s">
        <v>30</v>
      </c>
      <c r="K342" s="20" t="s">
        <v>30</v>
      </c>
      <c r="L342" s="20" t="s">
        <v>30</v>
      </c>
      <c r="M342" s="20" t="s">
        <v>30</v>
      </c>
      <c r="N342" s="20"/>
      <c r="U342" s="56"/>
    </row>
    <row r="343" spans="1:21" ht="17.25" customHeight="1" x14ac:dyDescent="0.3">
      <c r="A343" s="15"/>
      <c r="C343" s="19"/>
      <c r="D343" s="33"/>
      <c r="E343" s="33"/>
      <c r="F343" s="20"/>
      <c r="G343" s="20"/>
      <c r="H343" s="20"/>
      <c r="I343" s="20"/>
      <c r="J343" s="20"/>
      <c r="K343" s="20"/>
      <c r="L343" s="20"/>
      <c r="M343" s="20"/>
      <c r="N343" s="20"/>
      <c r="O343" s="42"/>
      <c r="P343" s="42"/>
      <c r="Q343" s="42"/>
      <c r="R343" s="42"/>
      <c r="S343" s="42"/>
      <c r="T343" s="42"/>
      <c r="U343" s="55"/>
    </row>
    <row r="344" spans="1:21" ht="20.25" customHeight="1" thickBot="1" x14ac:dyDescent="0.4">
      <c r="A344" s="15"/>
      <c r="C344" s="19"/>
      <c r="D344" s="33"/>
      <c r="E344" s="33"/>
      <c r="F344" s="20"/>
      <c r="G344" s="20"/>
      <c r="H344" s="20"/>
      <c r="I344" s="20"/>
      <c r="J344" s="20"/>
      <c r="K344" s="20"/>
      <c r="L344" s="20"/>
      <c r="M344" s="20"/>
      <c r="N344" s="58" t="s">
        <v>31</v>
      </c>
      <c r="O344" s="59">
        <f t="shared" ref="O344:T344" si="313">SUBTOTAL(9,O13:O343)</f>
        <v>14750</v>
      </c>
      <c r="P344" s="59">
        <f t="shared" si="313"/>
        <v>-8775</v>
      </c>
      <c r="Q344" s="59">
        <f t="shared" si="313"/>
        <v>0</v>
      </c>
      <c r="R344" s="59">
        <f t="shared" si="313"/>
        <v>0</v>
      </c>
      <c r="S344" s="59">
        <f t="shared" si="313"/>
        <v>0</v>
      </c>
      <c r="T344" s="59">
        <f t="shared" si="313"/>
        <v>0</v>
      </c>
      <c r="U344" s="60">
        <f>SUM(U12:U343)</f>
        <v>5975</v>
      </c>
    </row>
    <row r="345" spans="1:21" ht="17.25" customHeight="1" x14ac:dyDescent="0.3">
      <c r="A345" s="15"/>
      <c r="C345" s="19"/>
      <c r="D345" s="33"/>
      <c r="E345" s="33"/>
      <c r="F345" s="20"/>
      <c r="G345" s="20"/>
      <c r="H345" s="20"/>
      <c r="I345" s="20"/>
      <c r="J345" s="20"/>
      <c r="K345" s="20"/>
      <c r="L345" s="20"/>
      <c r="M345" s="20"/>
      <c r="N345" s="20"/>
      <c r="O345" s="42"/>
      <c r="P345" s="42"/>
      <c r="Q345" s="42"/>
      <c r="R345" s="42"/>
      <c r="S345" s="42"/>
      <c r="T345" s="42"/>
      <c r="U345" s="55"/>
    </row>
    <row r="346" spans="1:21" ht="17.25" customHeight="1" x14ac:dyDescent="0.3">
      <c r="A346" s="15"/>
      <c r="C346" s="19"/>
      <c r="D346" s="43"/>
      <c r="E346" s="43"/>
      <c r="F346" s="44"/>
      <c r="G346" s="44"/>
      <c r="H346" s="44"/>
      <c r="I346" s="44"/>
      <c r="J346" s="44"/>
      <c r="K346" s="44"/>
      <c r="L346" s="44"/>
      <c r="M346" s="44"/>
      <c r="N346" s="45"/>
      <c r="O346" s="46"/>
      <c r="P346" s="46"/>
      <c r="Q346" s="46"/>
      <c r="R346" s="46"/>
      <c r="S346" s="46"/>
      <c r="T346" s="46"/>
      <c r="U346" s="57"/>
    </row>
    <row r="347" spans="1:21" ht="17.25" customHeight="1" x14ac:dyDescent="0.3">
      <c r="A347" s="15"/>
      <c r="C347" s="19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</row>
    <row r="348" spans="1:21" ht="17.25" customHeight="1" x14ac:dyDescent="0.3">
      <c r="A348" s="15"/>
      <c r="C348" s="19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</row>
    <row r="349" spans="1:21" ht="17.25" customHeight="1" x14ac:dyDescent="0.3">
      <c r="A349" s="15"/>
      <c r="C349" s="19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</row>
    <row r="350" spans="1:21" ht="17.25" customHeight="1" x14ac:dyDescent="0.3">
      <c r="A350" s="15"/>
      <c r="C350" s="19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</row>
    <row r="351" spans="1:21" ht="17.25" customHeight="1" x14ac:dyDescent="0.3">
      <c r="A351" s="15"/>
      <c r="C351" s="19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</row>
    <row r="352" spans="1:21" ht="17.25" customHeight="1" x14ac:dyDescent="0.3">
      <c r="A352" s="15"/>
      <c r="C352" s="19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</row>
    <row r="353" spans="1:21" ht="17.25" customHeight="1" x14ac:dyDescent="0.3">
      <c r="A353" s="15"/>
      <c r="C353" s="19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</row>
    <row r="354" spans="1:21" ht="17.25" customHeight="1" x14ac:dyDescent="0.3">
      <c r="A354" s="15"/>
      <c r="C354" s="19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</row>
    <row r="355" spans="1:21" ht="17.25" customHeight="1" x14ac:dyDescent="0.3">
      <c r="A355" s="15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ht="17.25" customHeight="1" x14ac:dyDescent="0.3">
      <c r="A356" s="15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ht="14.25" customHeight="1" x14ac:dyDescent="0.25">
      <c r="A357" s="15"/>
    </row>
    <row r="358" spans="1:21" ht="14.25" customHeight="1" x14ac:dyDescent="0.25">
      <c r="A358" s="15"/>
    </row>
    <row r="359" spans="1:21" ht="14.25" customHeight="1" x14ac:dyDescent="0.25">
      <c r="A359" s="15"/>
    </row>
    <row r="360" spans="1:21" ht="14.25" customHeight="1" x14ac:dyDescent="0.25">
      <c r="A360" s="15"/>
    </row>
    <row r="361" spans="1:21" ht="14.25" customHeight="1" x14ac:dyDescent="0.25">
      <c r="A361" s="15"/>
    </row>
    <row r="362" spans="1:21" ht="14.25" customHeight="1" x14ac:dyDescent="0.25">
      <c r="A362" s="15"/>
    </row>
    <row r="363" spans="1:21" ht="14.25" customHeight="1" x14ac:dyDescent="0.25">
      <c r="A363" s="15"/>
    </row>
    <row r="364" spans="1:21" ht="14.25" customHeight="1" x14ac:dyDescent="0.25">
      <c r="A364" s="15"/>
    </row>
    <row r="365" spans="1:21" ht="14.25" customHeight="1" x14ac:dyDescent="0.25">
      <c r="A365" s="15"/>
    </row>
  </sheetData>
  <mergeCells count="1">
    <mergeCell ref="E3:F3"/>
  </mergeCells>
  <pageMargins left="0.25" right="0.25" top="0.75" bottom="0.75" header="0.3" footer="0.3"/>
  <pageSetup scale="35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4E7FA-8CAF-45BC-B75B-D6DD0FBC1D2B}">
  <dimension ref="A1:E6"/>
  <sheetViews>
    <sheetView workbookViewId="0"/>
  </sheetViews>
  <sheetFormatPr defaultRowHeight="12.75" x14ac:dyDescent="0.2"/>
  <sheetData>
    <row r="1" spans="1:5" x14ac:dyDescent="0.2">
      <c r="A1" s="47" t="s">
        <v>9995</v>
      </c>
      <c r="B1" s="47" t="s">
        <v>0</v>
      </c>
      <c r="C1" s="47" t="s">
        <v>1</v>
      </c>
      <c r="D1" s="47" t="s">
        <v>2</v>
      </c>
      <c r="E1" s="47" t="s">
        <v>5277</v>
      </c>
    </row>
    <row r="3" spans="1:5" x14ac:dyDescent="0.2">
      <c r="C3" s="47" t="s">
        <v>3</v>
      </c>
    </row>
    <row r="4" spans="1:5" x14ac:dyDescent="0.2">
      <c r="A4" s="47" t="s">
        <v>4</v>
      </c>
      <c r="B4" s="47" t="s">
        <v>5</v>
      </c>
      <c r="C4" s="47" t="s">
        <v>8609</v>
      </c>
      <c r="E4" s="47" t="s">
        <v>5278</v>
      </c>
    </row>
    <row r="5" spans="1:5" x14ac:dyDescent="0.2">
      <c r="A5" s="47" t="s">
        <v>4</v>
      </c>
      <c r="B5" s="47" t="s">
        <v>6</v>
      </c>
      <c r="C5" s="47" t="s">
        <v>33</v>
      </c>
      <c r="D5" s="47" t="s">
        <v>32</v>
      </c>
    </row>
    <row r="6" spans="1:5" x14ac:dyDescent="0.2">
      <c r="A6" s="47" t="s">
        <v>4</v>
      </c>
      <c r="B6" s="47" t="s">
        <v>7</v>
      </c>
      <c r="C6" s="47" t="s">
        <v>9993</v>
      </c>
      <c r="D6" s="47" t="s">
        <v>9994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D9902-A1C6-4A88-AF07-6445C83B3628}">
  <dimension ref="A1:E6"/>
  <sheetViews>
    <sheetView workbookViewId="0"/>
  </sheetViews>
  <sheetFormatPr defaultRowHeight="12.75" x14ac:dyDescent="0.2"/>
  <sheetData>
    <row r="1" spans="1:5" x14ac:dyDescent="0.2">
      <c r="A1" s="47" t="s">
        <v>9995</v>
      </c>
      <c r="B1" s="47" t="s">
        <v>0</v>
      </c>
      <c r="C1" s="47" t="s">
        <v>1</v>
      </c>
      <c r="D1" s="47" t="s">
        <v>2</v>
      </c>
      <c r="E1" s="47" t="s">
        <v>5277</v>
      </c>
    </row>
    <row r="3" spans="1:5" x14ac:dyDescent="0.2">
      <c r="C3" s="47" t="s">
        <v>3</v>
      </c>
    </row>
    <row r="4" spans="1:5" x14ac:dyDescent="0.2">
      <c r="A4" s="47" t="s">
        <v>4</v>
      </c>
      <c r="B4" s="47" t="s">
        <v>5</v>
      </c>
      <c r="C4" s="47" t="s">
        <v>8609</v>
      </c>
      <c r="E4" s="47" t="s">
        <v>5278</v>
      </c>
    </row>
    <row r="5" spans="1:5" x14ac:dyDescent="0.2">
      <c r="A5" s="47" t="s">
        <v>4</v>
      </c>
      <c r="B5" s="47" t="s">
        <v>6</v>
      </c>
      <c r="C5" s="47" t="s">
        <v>33</v>
      </c>
      <c r="D5" s="47" t="s">
        <v>32</v>
      </c>
    </row>
    <row r="6" spans="1:5" x14ac:dyDescent="0.2">
      <c r="A6" s="47" t="s">
        <v>4</v>
      </c>
      <c r="B6" s="47" t="s">
        <v>7</v>
      </c>
      <c r="C6" s="47" t="s">
        <v>9993</v>
      </c>
      <c r="D6" s="47" t="s">
        <v>9994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A4BB1-7270-4790-9083-FBCEB337F411}">
  <dimension ref="A1:U17"/>
  <sheetViews>
    <sheetView workbookViewId="0"/>
  </sheetViews>
  <sheetFormatPr defaultRowHeight="12.75" x14ac:dyDescent="0.2"/>
  <sheetData>
    <row r="1" spans="1:21" x14ac:dyDescent="0.2">
      <c r="A1" s="47" t="s">
        <v>9996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12</v>
      </c>
      <c r="K5" s="47" t="s">
        <v>5</v>
      </c>
      <c r="L5" s="47" t="s">
        <v>35</v>
      </c>
    </row>
    <row r="6" spans="1:21" x14ac:dyDescent="0.2"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2045</v>
      </c>
      <c r="F12" s="47" t="s">
        <v>2046</v>
      </c>
      <c r="H12" s="47" t="s">
        <v>2047</v>
      </c>
      <c r="O12" s="47" t="s">
        <v>2048</v>
      </c>
      <c r="P12" s="47" t="s">
        <v>2049</v>
      </c>
      <c r="Q12" s="47" t="s">
        <v>2050</v>
      </c>
      <c r="R12" s="47" t="s">
        <v>2051</v>
      </c>
      <c r="S12" s="47" t="s">
        <v>2052</v>
      </c>
      <c r="T12" s="47" t="s">
        <v>2053</v>
      </c>
      <c r="U12" s="47" t="s">
        <v>2054</v>
      </c>
    </row>
    <row r="13" spans="1:21" x14ac:dyDescent="0.2">
      <c r="D13" s="47" t="s">
        <v>2055</v>
      </c>
      <c r="G13" s="47" t="s">
        <v>2056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2064</v>
      </c>
      <c r="P13" s="47" t="s">
        <v>2065</v>
      </c>
      <c r="Q13" s="47" t="s">
        <v>2066</v>
      </c>
      <c r="R13" s="47" t="s">
        <v>2067</v>
      </c>
      <c r="S13" s="47" t="s">
        <v>2068</v>
      </c>
      <c r="T13" s="47" t="s">
        <v>2069</v>
      </c>
    </row>
    <row r="15" spans="1:21" x14ac:dyDescent="0.2">
      <c r="E15" s="47" t="s">
        <v>30</v>
      </c>
      <c r="F15" s="47" t="s">
        <v>30</v>
      </c>
      <c r="G15" s="47" t="s">
        <v>30</v>
      </c>
      <c r="J15" s="47" t="s">
        <v>30</v>
      </c>
      <c r="K15" s="47" t="s">
        <v>30</v>
      </c>
      <c r="L15" s="47" t="s">
        <v>30</v>
      </c>
      <c r="M15" s="47" t="s">
        <v>30</v>
      </c>
    </row>
    <row r="17" spans="14:21" x14ac:dyDescent="0.2">
      <c r="N17" s="47" t="s">
        <v>31</v>
      </c>
      <c r="O17" s="47" t="s">
        <v>2070</v>
      </c>
      <c r="P17" s="47" t="s">
        <v>2071</v>
      </c>
      <c r="Q17" s="47" t="s">
        <v>2072</v>
      </c>
      <c r="R17" s="47" t="s">
        <v>2073</v>
      </c>
      <c r="S17" s="47" t="s">
        <v>2074</v>
      </c>
      <c r="T17" s="47" t="s">
        <v>2075</v>
      </c>
      <c r="U17" s="47" t="s">
        <v>2076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C3468-FE1F-432B-AB28-70612BEC80F2}">
  <dimension ref="A1:U17"/>
  <sheetViews>
    <sheetView workbookViewId="0"/>
  </sheetViews>
  <sheetFormatPr defaultRowHeight="12.75" x14ac:dyDescent="0.2"/>
  <sheetData>
    <row r="1" spans="1:21" x14ac:dyDescent="0.2">
      <c r="A1" s="47" t="s">
        <v>9996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12</v>
      </c>
      <c r="K5" s="47" t="s">
        <v>5</v>
      </c>
      <c r="L5" s="47" t="s">
        <v>35</v>
      </c>
    </row>
    <row r="6" spans="1:21" x14ac:dyDescent="0.2"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2045</v>
      </c>
      <c r="F12" s="47" t="s">
        <v>2046</v>
      </c>
      <c r="H12" s="47" t="s">
        <v>2047</v>
      </c>
      <c r="O12" s="47" t="s">
        <v>2048</v>
      </c>
      <c r="P12" s="47" t="s">
        <v>2049</v>
      </c>
      <c r="Q12" s="47" t="s">
        <v>2050</v>
      </c>
      <c r="R12" s="47" t="s">
        <v>2051</v>
      </c>
      <c r="S12" s="47" t="s">
        <v>2052</v>
      </c>
      <c r="T12" s="47" t="s">
        <v>2053</v>
      </c>
      <c r="U12" s="47" t="s">
        <v>2054</v>
      </c>
    </row>
    <row r="13" spans="1:21" x14ac:dyDescent="0.2">
      <c r="D13" s="47" t="s">
        <v>2055</v>
      </c>
      <c r="G13" s="47" t="s">
        <v>2056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2064</v>
      </c>
      <c r="P13" s="47" t="s">
        <v>2065</v>
      </c>
      <c r="Q13" s="47" t="s">
        <v>2066</v>
      </c>
      <c r="R13" s="47" t="s">
        <v>2067</v>
      </c>
      <c r="S13" s="47" t="s">
        <v>2068</v>
      </c>
      <c r="T13" s="47" t="s">
        <v>2069</v>
      </c>
    </row>
    <row r="15" spans="1:21" x14ac:dyDescent="0.2">
      <c r="E15" s="47" t="s">
        <v>30</v>
      </c>
      <c r="F15" s="47" t="s">
        <v>30</v>
      </c>
      <c r="G15" s="47" t="s">
        <v>30</v>
      </c>
      <c r="J15" s="47" t="s">
        <v>30</v>
      </c>
      <c r="K15" s="47" t="s">
        <v>30</v>
      </c>
      <c r="L15" s="47" t="s">
        <v>30</v>
      </c>
      <c r="M15" s="47" t="s">
        <v>30</v>
      </c>
    </row>
    <row r="17" spans="14:21" x14ac:dyDescent="0.2">
      <c r="N17" s="47" t="s">
        <v>31</v>
      </c>
      <c r="O17" s="47" t="s">
        <v>2070</v>
      </c>
      <c r="P17" s="47" t="s">
        <v>2071</v>
      </c>
      <c r="Q17" s="47" t="s">
        <v>2072</v>
      </c>
      <c r="R17" s="47" t="s">
        <v>2073</v>
      </c>
      <c r="S17" s="47" t="s">
        <v>2074</v>
      </c>
      <c r="T17" s="47" t="s">
        <v>2075</v>
      </c>
      <c r="U17" s="47" t="s">
        <v>2076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AFE15-114E-49B5-B74F-533C7921DB16}">
  <dimension ref="A1:U17"/>
  <sheetViews>
    <sheetView workbookViewId="0"/>
  </sheetViews>
  <sheetFormatPr defaultRowHeight="12.75" x14ac:dyDescent="0.2"/>
  <sheetData>
    <row r="1" spans="1:21" x14ac:dyDescent="0.2">
      <c r="A1" s="47" t="s">
        <v>9997</v>
      </c>
      <c r="B1" s="47" t="s">
        <v>8</v>
      </c>
      <c r="C1" s="47" t="s">
        <v>8</v>
      </c>
      <c r="D1" s="47" t="s">
        <v>9</v>
      </c>
      <c r="E1" s="47" t="s">
        <v>8</v>
      </c>
      <c r="F1" s="47" t="s">
        <v>8</v>
      </c>
      <c r="G1" s="47" t="s">
        <v>9</v>
      </c>
      <c r="H1" s="47" t="s">
        <v>8</v>
      </c>
      <c r="J1" s="47" t="s">
        <v>8</v>
      </c>
      <c r="K1" s="47" t="s">
        <v>8</v>
      </c>
      <c r="L1" s="47" t="s">
        <v>8</v>
      </c>
      <c r="M1" s="47" t="s">
        <v>8</v>
      </c>
      <c r="O1" s="47" t="s">
        <v>8</v>
      </c>
      <c r="P1" s="47" t="s">
        <v>8</v>
      </c>
      <c r="Q1" s="47" t="s">
        <v>8</v>
      </c>
      <c r="R1" s="47" t="s">
        <v>8</v>
      </c>
      <c r="S1" s="47" t="s">
        <v>8</v>
      </c>
      <c r="T1" s="47" t="s">
        <v>8</v>
      </c>
      <c r="U1" s="47" t="s">
        <v>8</v>
      </c>
    </row>
    <row r="3" spans="1:21" x14ac:dyDescent="0.2">
      <c r="E3" s="47" t="s">
        <v>10</v>
      </c>
    </row>
    <row r="4" spans="1:21" x14ac:dyDescent="0.2">
      <c r="K4" s="47" t="s">
        <v>2043</v>
      </c>
      <c r="L4" s="47" t="s">
        <v>34</v>
      </c>
    </row>
    <row r="5" spans="1:21" x14ac:dyDescent="0.2">
      <c r="E5" s="47" t="s">
        <v>7</v>
      </c>
      <c r="K5" s="47" t="s">
        <v>5</v>
      </c>
      <c r="L5" s="47" t="s">
        <v>35</v>
      </c>
    </row>
    <row r="6" spans="1:21" x14ac:dyDescent="0.2">
      <c r="E6" s="47" t="s">
        <v>2077</v>
      </c>
      <c r="K6" s="47" t="s">
        <v>6</v>
      </c>
      <c r="L6" s="47" t="s">
        <v>36</v>
      </c>
    </row>
    <row r="7" spans="1:21" x14ac:dyDescent="0.2">
      <c r="K7" s="47" t="s">
        <v>11</v>
      </c>
      <c r="L7" s="47" t="s">
        <v>37</v>
      </c>
    </row>
    <row r="9" spans="1:21" x14ac:dyDescent="0.2">
      <c r="E9" s="47" t="s">
        <v>6</v>
      </c>
      <c r="F9" s="47" t="s">
        <v>14</v>
      </c>
      <c r="H9" s="47" t="s">
        <v>15</v>
      </c>
    </row>
    <row r="10" spans="1:21" x14ac:dyDescent="0.2">
      <c r="H10" s="47" t="s">
        <v>16</v>
      </c>
      <c r="I10" s="47" t="s">
        <v>17</v>
      </c>
      <c r="J10" s="47" t="s">
        <v>18</v>
      </c>
      <c r="K10" s="47" t="s">
        <v>19</v>
      </c>
      <c r="L10" s="47" t="s">
        <v>20</v>
      </c>
      <c r="M10" s="47" t="s">
        <v>21</v>
      </c>
      <c r="N10" s="47" t="s">
        <v>13</v>
      </c>
      <c r="O10" s="47" t="s">
        <v>22</v>
      </c>
      <c r="P10" s="47" t="s">
        <v>23</v>
      </c>
      <c r="Q10" s="47" t="s">
        <v>24</v>
      </c>
      <c r="R10" s="47" t="s">
        <v>25</v>
      </c>
      <c r="S10" s="47" t="s">
        <v>26</v>
      </c>
      <c r="T10" s="47" t="s">
        <v>27</v>
      </c>
      <c r="U10" s="47" t="s">
        <v>28</v>
      </c>
    </row>
    <row r="12" spans="1:21" x14ac:dyDescent="0.2">
      <c r="D12" s="47" t="s">
        <v>2044</v>
      </c>
      <c r="E12" s="47" t="s">
        <v>2078</v>
      </c>
      <c r="F12" s="47" t="s">
        <v>2046</v>
      </c>
      <c r="H12" s="47" t="s">
        <v>2047</v>
      </c>
      <c r="O12" s="47" t="s">
        <v>2048</v>
      </c>
      <c r="P12" s="47" t="s">
        <v>2049</v>
      </c>
      <c r="Q12" s="47" t="s">
        <v>2050</v>
      </c>
      <c r="R12" s="47" t="s">
        <v>2051</v>
      </c>
      <c r="S12" s="47" t="s">
        <v>2052</v>
      </c>
      <c r="T12" s="47" t="s">
        <v>2053</v>
      </c>
      <c r="U12" s="47" t="s">
        <v>2054</v>
      </c>
    </row>
    <row r="13" spans="1:21" x14ac:dyDescent="0.2">
      <c r="D13" s="47" t="s">
        <v>2055</v>
      </c>
      <c r="G13" s="47" t="s">
        <v>2079</v>
      </c>
      <c r="H13" s="47" t="s">
        <v>2057</v>
      </c>
      <c r="I13" s="47" t="s">
        <v>2058</v>
      </c>
      <c r="J13" s="47" t="s">
        <v>2059</v>
      </c>
      <c r="K13" s="47" t="s">
        <v>2060</v>
      </c>
      <c r="L13" s="47" t="s">
        <v>2061</v>
      </c>
      <c r="M13" s="47" t="s">
        <v>2062</v>
      </c>
      <c r="N13" s="47" t="s">
        <v>2063</v>
      </c>
      <c r="O13" s="47" t="s">
        <v>2080</v>
      </c>
      <c r="P13" s="47" t="s">
        <v>2081</v>
      </c>
      <c r="Q13" s="47" t="s">
        <v>2082</v>
      </c>
      <c r="R13" s="47" t="s">
        <v>2083</v>
      </c>
      <c r="S13" s="47" t="s">
        <v>2084</v>
      </c>
      <c r="T13" s="47" t="s">
        <v>2085</v>
      </c>
    </row>
    <row r="15" spans="1:21" x14ac:dyDescent="0.2">
      <c r="E15" s="47" t="s">
        <v>30</v>
      </c>
      <c r="F15" s="47" t="s">
        <v>30</v>
      </c>
      <c r="G15" s="47" t="s">
        <v>30</v>
      </c>
      <c r="J15" s="47" t="s">
        <v>30</v>
      </c>
      <c r="K15" s="47" t="s">
        <v>30</v>
      </c>
      <c r="L15" s="47" t="s">
        <v>30</v>
      </c>
      <c r="M15" s="47" t="s">
        <v>30</v>
      </c>
    </row>
    <row r="17" spans="14:21" x14ac:dyDescent="0.2">
      <c r="N17" s="47" t="s">
        <v>31</v>
      </c>
      <c r="O17" s="47" t="s">
        <v>2070</v>
      </c>
      <c r="P17" s="47" t="s">
        <v>2071</v>
      </c>
      <c r="Q17" s="47" t="s">
        <v>2072</v>
      </c>
      <c r="R17" s="47" t="s">
        <v>2073</v>
      </c>
      <c r="S17" s="47" t="s">
        <v>2074</v>
      </c>
      <c r="T17" s="47" t="s">
        <v>2075</v>
      </c>
      <c r="U17" s="47" t="s">
        <v>2076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</vt:i4>
      </vt:variant>
    </vt:vector>
  </HeadingPairs>
  <TitlesOfParts>
    <vt:vector size="17" baseType="lpstr">
      <vt:lpstr>Options</vt:lpstr>
      <vt:lpstr>All Locations</vt:lpstr>
      <vt:lpstr>NY-WHSE1</vt:lpstr>
      <vt:lpstr>NY-WHSE2</vt:lpstr>
      <vt:lpstr>AccountType</vt:lpstr>
      <vt:lpstr>Company</vt:lpstr>
      <vt:lpstr>Datasource</vt:lpstr>
      <vt:lpstr>DateFilter</vt:lpstr>
      <vt:lpstr>EndDate</vt:lpstr>
      <vt:lpstr>'All Locations'!GLTotalingFilter</vt:lpstr>
      <vt:lpstr>'NY-WHSE2'!GLTotalingFilter</vt:lpstr>
      <vt:lpstr>GLTotalingFilter</vt:lpstr>
      <vt:lpstr>'All Locations'!Heading</vt:lpstr>
      <vt:lpstr>'NY-WHSE2'!Heading</vt:lpstr>
      <vt:lpstr>Heading</vt:lpstr>
      <vt:lpstr>PeriodType</vt:lpstr>
      <vt:lpstr>StartDate</vt:lpstr>
    </vt:vector>
  </TitlesOfParts>
  <Company>Software Professionals,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Inventory Movement by Location</dc:title>
  <dc:subject>Jet Reports</dc:subject>
  <dc:creator>Jeff Lee</dc:creator>
  <dc:description>Provides info about Item Movement with a separate sheet for each location.</dc:description>
  <cp:lastModifiedBy>Haseeb Tariq</cp:lastModifiedBy>
  <cp:lastPrinted>2012-11-02T21:37:58Z</cp:lastPrinted>
  <dcterms:created xsi:type="dcterms:W3CDTF">2008-10-22T00:07:14Z</dcterms:created>
  <dcterms:modified xsi:type="dcterms:W3CDTF">2023-09-04T10:48:44Z</dcterms:modified>
  <cp:category>Inventory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edsREVERT">
    <vt:lpwstr>FALSE</vt:lpwstr>
  </property>
  <property fmtid="{D5CDD505-2E9C-101B-9397-08002B2CF9AE}" pid="3" name="Jet Reports Drill Button Active">
    <vt:bool>true</vt:bool>
  </property>
  <property fmtid="{D5CDD505-2E9C-101B-9397-08002B2CF9AE}" pid="4" name="OriginalName">
    <vt:lpwstr>Book4</vt:lpwstr>
  </property>
  <property fmtid="{D5CDD505-2E9C-101B-9397-08002B2CF9AE}" pid="5" name="Jet Reports Last Version Refresh">
    <vt:lpwstr>Version 7.1.0  Released 1/23/2008 3:23:30 PM</vt:lpwstr>
  </property>
  <property fmtid="{D5CDD505-2E9C-101B-9397-08002B2CF9AE}" pid="6" name="Jet Reports Design Mode Active">
    <vt:bool>false</vt:bool>
  </property>
  <property fmtid="{D5CDD505-2E9C-101B-9397-08002B2CF9AE}" pid="7" name="Jet Reports Function Literals">
    <vt:lpwstr>,	;	,	{	}	[@[{0}]]	1033	19465</vt:lpwstr>
  </property>
</Properties>
</file>