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90" documentId="11_FE74B03BC322887522B0BE588BDB9E1A5B029184" xr6:coauthVersionLast="47" xr6:coauthVersionMax="47" xr10:uidLastSave="{8897AF4A-2436-4FBA-8585-876B998E492D}"/>
  <bookViews>
    <workbookView xWindow="-120" yWindow="-120" windowWidth="29040" windowHeight="17520" firstSheet="1" activeTab="1" xr2:uid="{00000000-000D-0000-FFFF-FFFF00000000}"/>
  </bookViews>
  <sheets>
    <sheet name="Options" sheetId="1" state="hidden" r:id="rId1"/>
    <sheet name="Item Profitability by Customer" sheetId="2" r:id="rId2"/>
    <sheet name="Sheet1" sheetId="279" state="veryHidden" r:id="rId3"/>
    <sheet name="Sheet2" sheetId="280" state="veryHidden" r:id="rId4"/>
    <sheet name="Sheet3" sheetId="281" state="veryHidden" r:id="rId5"/>
    <sheet name="Sheet4" sheetId="282" state="veryHidden" r:id="rId6"/>
    <sheet name="Sheet5" sheetId="285" state="veryHidden" r:id="rId7"/>
    <sheet name="Sheet6" sheetId="286" state="veryHidden" r:id="rId8"/>
  </sheets>
  <definedNames>
    <definedName name="CurrentYrDateFilter">Options!$D$11</definedName>
    <definedName name="CustomerFilter">Options!$D$6</definedName>
    <definedName name="CustomerSourceType">Options!$D$15</definedName>
    <definedName name="EndDate">Options!$D$5</definedName>
    <definedName name="ItemFilter">Options!$D$7</definedName>
    <definedName name="PeriodType">Options!$D$3</definedName>
    <definedName name="_xlnm.Print_Area" localSheetId="1">'Item Profitability by Customer'!$E$16:$T$171</definedName>
    <definedName name="PriorYrDateFilter">Options!$D$12</definedName>
    <definedName name="SaleEntryType">Options!$D$14</definedName>
    <definedName name="StartDate">Options!$D$4</definedName>
    <definedName name="TwoYrDateFilter">Options!$D$13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E3" i="1"/>
  <c r="D4" i="1"/>
  <c r="D5" i="1"/>
  <c r="D6" i="1"/>
  <c r="E6" i="1"/>
  <c r="D7" i="1"/>
  <c r="C7" i="2" s="1"/>
  <c r="G15" i="2" s="1"/>
  <c r="E7" i="1"/>
  <c r="D11" i="1"/>
  <c r="D12" i="1"/>
  <c r="J6" i="2"/>
  <c r="O7" i="2"/>
  <c r="O17" i="2" s="1"/>
  <c r="O8" i="2"/>
  <c r="J9" i="2"/>
  <c r="O9" i="2"/>
  <c r="G14" i="2"/>
  <c r="J17" i="2"/>
  <c r="E20" i="2"/>
  <c r="G20" i="2"/>
  <c r="F22" i="2"/>
  <c r="G22" i="2"/>
  <c r="M22" i="2"/>
  <c r="N22" i="2"/>
  <c r="F23" i="2"/>
  <c r="G23" i="2"/>
  <c r="M23" i="2"/>
  <c r="N23" i="2"/>
  <c r="F24" i="2"/>
  <c r="G24" i="2"/>
  <c r="M24" i="2"/>
  <c r="N24" i="2" s="1"/>
  <c r="F25" i="2"/>
  <c r="G25" i="2"/>
  <c r="M25" i="2"/>
  <c r="N25" i="2" s="1"/>
  <c r="F26" i="2"/>
  <c r="G26" i="2"/>
  <c r="M26" i="2"/>
  <c r="N26" i="2"/>
  <c r="F27" i="2"/>
  <c r="G27" i="2"/>
  <c r="M27" i="2"/>
  <c r="N27" i="2"/>
  <c r="F28" i="2"/>
  <c r="G28" i="2"/>
  <c r="M28" i="2"/>
  <c r="N28" i="2" s="1"/>
  <c r="F29" i="2"/>
  <c r="G29" i="2"/>
  <c r="M29" i="2"/>
  <c r="N29" i="2" s="1"/>
  <c r="F30" i="2"/>
  <c r="G30" i="2"/>
  <c r="M30" i="2"/>
  <c r="N30" i="2"/>
  <c r="F31" i="2"/>
  <c r="G31" i="2"/>
  <c r="M31" i="2"/>
  <c r="N31" i="2"/>
  <c r="F32" i="2"/>
  <c r="G32" i="2"/>
  <c r="M32" i="2"/>
  <c r="N32" i="2" s="1"/>
  <c r="F33" i="2"/>
  <c r="G33" i="2"/>
  <c r="M33" i="2"/>
  <c r="N33" i="2"/>
  <c r="F34" i="2"/>
  <c r="G34" i="2"/>
  <c r="M34" i="2"/>
  <c r="N34" i="2"/>
  <c r="F35" i="2"/>
  <c r="G35" i="2"/>
  <c r="M35" i="2"/>
  <c r="N35" i="2" s="1"/>
  <c r="F36" i="2"/>
  <c r="G36" i="2"/>
  <c r="M36" i="2"/>
  <c r="N36" i="2" s="1"/>
  <c r="F37" i="2"/>
  <c r="G37" i="2"/>
  <c r="M37" i="2"/>
  <c r="N37" i="2"/>
  <c r="F38" i="2"/>
  <c r="G38" i="2"/>
  <c r="M38" i="2"/>
  <c r="N38" i="2" s="1"/>
  <c r="J40" i="2"/>
  <c r="N40" i="2" s="1"/>
  <c r="K40" i="2"/>
  <c r="L40" i="2"/>
  <c r="M40" i="2"/>
  <c r="O40" i="2"/>
  <c r="P40" i="2"/>
  <c r="Q40" i="2"/>
  <c r="E42" i="2"/>
  <c r="G42" i="2"/>
  <c r="F44" i="2"/>
  <c r="G44" i="2"/>
  <c r="M44" i="2"/>
  <c r="N44" i="2"/>
  <c r="J46" i="2"/>
  <c r="K46" i="2"/>
  <c r="L46" i="2"/>
  <c r="M46" i="2"/>
  <c r="N46" i="2"/>
  <c r="O46" i="2"/>
  <c r="P46" i="2"/>
  <c r="Q46" i="2"/>
  <c r="E48" i="2"/>
  <c r="G48" i="2"/>
  <c r="F50" i="2"/>
  <c r="G50" i="2"/>
  <c r="M50" i="2"/>
  <c r="N50" i="2"/>
  <c r="F51" i="2"/>
  <c r="G51" i="2"/>
  <c r="M51" i="2"/>
  <c r="N51" i="2" s="1"/>
  <c r="F52" i="2"/>
  <c r="G52" i="2"/>
  <c r="M52" i="2"/>
  <c r="N52" i="2"/>
  <c r="F53" i="2"/>
  <c r="G53" i="2"/>
  <c r="M53" i="2"/>
  <c r="N53" i="2" s="1"/>
  <c r="F54" i="2"/>
  <c r="G54" i="2"/>
  <c r="M54" i="2"/>
  <c r="N54" i="2"/>
  <c r="F55" i="2"/>
  <c r="G55" i="2"/>
  <c r="M55" i="2"/>
  <c r="N55" i="2" s="1"/>
  <c r="F56" i="2"/>
  <c r="G56" i="2"/>
  <c r="M56" i="2"/>
  <c r="N56" i="2"/>
  <c r="F57" i="2"/>
  <c r="G57" i="2"/>
  <c r="M57" i="2"/>
  <c r="N57" i="2" s="1"/>
  <c r="F58" i="2"/>
  <c r="G58" i="2"/>
  <c r="M58" i="2"/>
  <c r="N58" i="2"/>
  <c r="F59" i="2"/>
  <c r="G59" i="2"/>
  <c r="M59" i="2"/>
  <c r="N59" i="2" s="1"/>
  <c r="F60" i="2"/>
  <c r="G60" i="2"/>
  <c r="M60" i="2"/>
  <c r="N60" i="2"/>
  <c r="J62" i="2"/>
  <c r="M62" i="2" s="1"/>
  <c r="N62" i="2" s="1"/>
  <c r="K62" i="2"/>
  <c r="L62" i="2"/>
  <c r="O62" i="2"/>
  <c r="P62" i="2"/>
  <c r="Q62" i="2"/>
  <c r="E64" i="2"/>
  <c r="G64" i="2"/>
  <c r="F66" i="2"/>
  <c r="G66" i="2"/>
  <c r="M66" i="2"/>
  <c r="N66" i="2"/>
  <c r="F67" i="2"/>
  <c r="G67" i="2"/>
  <c r="M67" i="2"/>
  <c r="N67" i="2"/>
  <c r="F68" i="2"/>
  <c r="G68" i="2"/>
  <c r="M68" i="2"/>
  <c r="N68" i="2"/>
  <c r="F69" i="2"/>
  <c r="G69" i="2"/>
  <c r="M69" i="2"/>
  <c r="N69" i="2"/>
  <c r="F70" i="2"/>
  <c r="G70" i="2"/>
  <c r="M70" i="2"/>
  <c r="N70" i="2" s="1"/>
  <c r="F71" i="2"/>
  <c r="G71" i="2"/>
  <c r="M71" i="2"/>
  <c r="N71" i="2"/>
  <c r="F72" i="2"/>
  <c r="G72" i="2"/>
  <c r="M72" i="2"/>
  <c r="N72" i="2"/>
  <c r="F73" i="2"/>
  <c r="G73" i="2"/>
  <c r="M73" i="2"/>
  <c r="N73" i="2"/>
  <c r="F74" i="2"/>
  <c r="G74" i="2"/>
  <c r="M74" i="2"/>
  <c r="N74" i="2"/>
  <c r="F75" i="2"/>
  <c r="G75" i="2"/>
  <c r="M75" i="2"/>
  <c r="N75" i="2"/>
  <c r="F76" i="2"/>
  <c r="G76" i="2"/>
  <c r="M76" i="2"/>
  <c r="N76" i="2"/>
  <c r="F77" i="2"/>
  <c r="G77" i="2"/>
  <c r="M77" i="2"/>
  <c r="N77" i="2"/>
  <c r="F78" i="2"/>
  <c r="G78" i="2"/>
  <c r="M78" i="2"/>
  <c r="N78" i="2"/>
  <c r="F79" i="2"/>
  <c r="G79" i="2"/>
  <c r="M79" i="2"/>
  <c r="N79" i="2"/>
  <c r="F80" i="2"/>
  <c r="G80" i="2"/>
  <c r="M80" i="2"/>
  <c r="N80" i="2"/>
  <c r="F81" i="2"/>
  <c r="G81" i="2"/>
  <c r="M81" i="2"/>
  <c r="N81" i="2"/>
  <c r="J83" i="2"/>
  <c r="M83" i="2" s="1"/>
  <c r="K83" i="2"/>
  <c r="L83" i="2"/>
  <c r="O83" i="2"/>
  <c r="P83" i="2"/>
  <c r="Q83" i="2"/>
  <c r="E85" i="2"/>
  <c r="G85" i="2"/>
  <c r="F87" i="2"/>
  <c r="G87" i="2"/>
  <c r="M87" i="2"/>
  <c r="N87" i="2"/>
  <c r="F88" i="2"/>
  <c r="G88" i="2"/>
  <c r="M88" i="2"/>
  <c r="N88" i="2"/>
  <c r="F89" i="2"/>
  <c r="G89" i="2"/>
  <c r="M89" i="2"/>
  <c r="N89" i="2"/>
  <c r="F90" i="2"/>
  <c r="G90" i="2"/>
  <c r="M90" i="2"/>
  <c r="N90" i="2"/>
  <c r="F91" i="2"/>
  <c r="G91" i="2"/>
  <c r="M91" i="2"/>
  <c r="N91" i="2"/>
  <c r="F92" i="2"/>
  <c r="G92" i="2"/>
  <c r="M92" i="2"/>
  <c r="N92" i="2"/>
  <c r="F93" i="2"/>
  <c r="G93" i="2"/>
  <c r="M93" i="2"/>
  <c r="N93" i="2"/>
  <c r="F94" i="2"/>
  <c r="G94" i="2"/>
  <c r="M94" i="2"/>
  <c r="N94" i="2"/>
  <c r="F95" i="2"/>
  <c r="G95" i="2"/>
  <c r="M95" i="2"/>
  <c r="N95" i="2"/>
  <c r="F96" i="2"/>
  <c r="G96" i="2"/>
  <c r="M96" i="2"/>
  <c r="N96" i="2"/>
  <c r="F97" i="2"/>
  <c r="G97" i="2"/>
  <c r="M97" i="2"/>
  <c r="N97" i="2"/>
  <c r="F98" i="2"/>
  <c r="G98" i="2"/>
  <c r="M98" i="2"/>
  <c r="N98" i="2"/>
  <c r="F99" i="2"/>
  <c r="G99" i="2"/>
  <c r="M99" i="2"/>
  <c r="N99" i="2"/>
  <c r="F100" i="2"/>
  <c r="G100" i="2"/>
  <c r="M100" i="2"/>
  <c r="N100" i="2"/>
  <c r="F101" i="2"/>
  <c r="G101" i="2"/>
  <c r="M101" i="2"/>
  <c r="N101" i="2"/>
  <c r="F102" i="2"/>
  <c r="G102" i="2"/>
  <c r="M102" i="2"/>
  <c r="N102" i="2"/>
  <c r="F103" i="2"/>
  <c r="G103" i="2"/>
  <c r="M103" i="2"/>
  <c r="N103" i="2"/>
  <c r="F104" i="2"/>
  <c r="G104" i="2"/>
  <c r="M104" i="2"/>
  <c r="N104" i="2"/>
  <c r="F105" i="2"/>
  <c r="G105" i="2"/>
  <c r="M105" i="2"/>
  <c r="N105" i="2"/>
  <c r="F106" i="2"/>
  <c r="G106" i="2"/>
  <c r="M106" i="2"/>
  <c r="N106" i="2"/>
  <c r="F107" i="2"/>
  <c r="G107" i="2"/>
  <c r="M107" i="2"/>
  <c r="N107" i="2"/>
  <c r="F108" i="2"/>
  <c r="G108" i="2"/>
  <c r="M108" i="2"/>
  <c r="N108" i="2"/>
  <c r="F109" i="2"/>
  <c r="G109" i="2"/>
  <c r="M109" i="2"/>
  <c r="N109" i="2"/>
  <c r="J111" i="2"/>
  <c r="K111" i="2"/>
  <c r="L111" i="2"/>
  <c r="N111" i="2"/>
  <c r="O111" i="2"/>
  <c r="P111" i="2"/>
  <c r="Q111" i="2"/>
  <c r="E113" i="2"/>
  <c r="G113" i="2"/>
  <c r="F115" i="2"/>
  <c r="G115" i="2"/>
  <c r="M115" i="2"/>
  <c r="N115" i="2"/>
  <c r="F116" i="2"/>
  <c r="G116" i="2"/>
  <c r="M116" i="2"/>
  <c r="N116" i="2"/>
  <c r="F117" i="2"/>
  <c r="G117" i="2"/>
  <c r="M117" i="2"/>
  <c r="N117" i="2"/>
  <c r="F118" i="2"/>
  <c r="G118" i="2"/>
  <c r="M118" i="2"/>
  <c r="N118" i="2"/>
  <c r="F119" i="2"/>
  <c r="G119" i="2"/>
  <c r="M119" i="2"/>
  <c r="N119" i="2"/>
  <c r="F120" i="2"/>
  <c r="G120" i="2"/>
  <c r="M120" i="2"/>
  <c r="N120" i="2"/>
  <c r="F121" i="2"/>
  <c r="G121" i="2"/>
  <c r="M121" i="2"/>
  <c r="N121" i="2"/>
  <c r="F122" i="2"/>
  <c r="G122" i="2"/>
  <c r="M122" i="2"/>
  <c r="N122" i="2"/>
  <c r="F123" i="2"/>
  <c r="G123" i="2"/>
  <c r="M123" i="2"/>
  <c r="N123" i="2"/>
  <c r="F124" i="2"/>
  <c r="G124" i="2"/>
  <c r="M124" i="2"/>
  <c r="N124" i="2"/>
  <c r="F125" i="2"/>
  <c r="G125" i="2"/>
  <c r="M125" i="2"/>
  <c r="N125" i="2"/>
  <c r="F126" i="2"/>
  <c r="G126" i="2"/>
  <c r="M126" i="2"/>
  <c r="N126" i="2"/>
  <c r="F127" i="2"/>
  <c r="G127" i="2"/>
  <c r="M127" i="2"/>
  <c r="N127" i="2"/>
  <c r="J129" i="2"/>
  <c r="M129" i="2" s="1"/>
  <c r="K129" i="2"/>
  <c r="L129" i="2"/>
  <c r="O129" i="2"/>
  <c r="P129" i="2"/>
  <c r="Q129" i="2"/>
  <c r="E131" i="2"/>
  <c r="G131" i="2"/>
  <c r="F133" i="2"/>
  <c r="G133" i="2"/>
  <c r="M133" i="2"/>
  <c r="N133" i="2"/>
  <c r="F134" i="2"/>
  <c r="G134" i="2"/>
  <c r="M134" i="2"/>
  <c r="N134" i="2"/>
  <c r="F135" i="2"/>
  <c r="G135" i="2"/>
  <c r="M135" i="2"/>
  <c r="N135" i="2"/>
  <c r="F136" i="2"/>
  <c r="G136" i="2"/>
  <c r="M136" i="2"/>
  <c r="N136" i="2" s="1"/>
  <c r="F137" i="2"/>
  <c r="G137" i="2"/>
  <c r="M137" i="2"/>
  <c r="N137" i="2"/>
  <c r="F138" i="2"/>
  <c r="G138" i="2"/>
  <c r="M138" i="2"/>
  <c r="N138" i="2"/>
  <c r="F139" i="2"/>
  <c r="G139" i="2"/>
  <c r="M139" i="2"/>
  <c r="N139" i="2"/>
  <c r="F140" i="2"/>
  <c r="G140" i="2"/>
  <c r="M140" i="2"/>
  <c r="N140" i="2"/>
  <c r="F141" i="2"/>
  <c r="G141" i="2"/>
  <c r="M141" i="2"/>
  <c r="N141" i="2"/>
  <c r="F142" i="2"/>
  <c r="G142" i="2"/>
  <c r="M142" i="2"/>
  <c r="N142" i="2"/>
  <c r="F143" i="2"/>
  <c r="G143" i="2"/>
  <c r="M143" i="2"/>
  <c r="N143" i="2"/>
  <c r="F144" i="2"/>
  <c r="G144" i="2"/>
  <c r="M144" i="2"/>
  <c r="N144" i="2"/>
  <c r="F145" i="2"/>
  <c r="G145" i="2"/>
  <c r="M145" i="2"/>
  <c r="N145" i="2"/>
  <c r="F146" i="2"/>
  <c r="G146" i="2"/>
  <c r="M146" i="2"/>
  <c r="N146" i="2"/>
  <c r="F147" i="2"/>
  <c r="G147" i="2"/>
  <c r="M147" i="2"/>
  <c r="N147" i="2"/>
  <c r="F148" i="2"/>
  <c r="G148" i="2"/>
  <c r="M148" i="2"/>
  <c r="N148" i="2" s="1"/>
  <c r="F149" i="2"/>
  <c r="G149" i="2"/>
  <c r="M149" i="2"/>
  <c r="N149" i="2"/>
  <c r="F150" i="2"/>
  <c r="G150" i="2"/>
  <c r="M150" i="2"/>
  <c r="N150" i="2" s="1"/>
  <c r="J152" i="2"/>
  <c r="K152" i="2"/>
  <c r="L152" i="2"/>
  <c r="O152" i="2"/>
  <c r="P152" i="2"/>
  <c r="Q152" i="2"/>
  <c r="E154" i="2"/>
  <c r="G154" i="2"/>
  <c r="F156" i="2"/>
  <c r="G156" i="2"/>
  <c r="M156" i="2"/>
  <c r="N156" i="2"/>
  <c r="F157" i="2"/>
  <c r="G157" i="2"/>
  <c r="M157" i="2"/>
  <c r="N157" i="2" s="1"/>
  <c r="F158" i="2"/>
  <c r="G158" i="2"/>
  <c r="M158" i="2"/>
  <c r="N158" i="2" s="1"/>
  <c r="F159" i="2"/>
  <c r="G159" i="2"/>
  <c r="M159" i="2"/>
  <c r="N159" i="2"/>
  <c r="F160" i="2"/>
  <c r="G160" i="2"/>
  <c r="M160" i="2"/>
  <c r="N160" i="2"/>
  <c r="F161" i="2"/>
  <c r="G161" i="2"/>
  <c r="M161" i="2"/>
  <c r="N161" i="2" s="1"/>
  <c r="F162" i="2"/>
  <c r="G162" i="2"/>
  <c r="M162" i="2"/>
  <c r="N162" i="2" s="1"/>
  <c r="F163" i="2"/>
  <c r="G163" i="2"/>
  <c r="M163" i="2"/>
  <c r="N163" i="2"/>
  <c r="F164" i="2"/>
  <c r="G164" i="2"/>
  <c r="M164" i="2"/>
  <c r="N164" i="2"/>
  <c r="F165" i="2"/>
  <c r="G165" i="2"/>
  <c r="M165" i="2"/>
  <c r="N165" i="2" s="1"/>
  <c r="F166" i="2"/>
  <c r="G166" i="2"/>
  <c r="M166" i="2"/>
  <c r="N166" i="2" s="1"/>
  <c r="C42" i="2"/>
  <c r="C43" i="2" s="1"/>
  <c r="C44" i="2" s="1"/>
  <c r="C154" i="2"/>
  <c r="C155" i="2" s="1"/>
  <c r="C156" i="2" s="1"/>
  <c r="C113" i="2"/>
  <c r="C114" i="2" s="1"/>
  <c r="C115" i="2" s="1"/>
  <c r="C64" i="2"/>
  <c r="C65" i="2" s="1"/>
  <c r="C66" i="2" s="1"/>
  <c r="C67" i="2" s="1"/>
  <c r="C68" i="2" s="1"/>
  <c r="C69" i="2" s="1"/>
  <c r="C70" i="2" s="1"/>
  <c r="C71" i="2" s="1"/>
  <c r="C72" i="2" s="1"/>
  <c r="C48" i="2"/>
  <c r="C49" i="2" s="1"/>
  <c r="C50" i="2" s="1"/>
  <c r="C51" i="2" s="1"/>
  <c r="C52" i="2" s="1"/>
  <c r="C53" i="2" s="1"/>
  <c r="C54" i="2" s="1"/>
  <c r="C55" i="2" s="1"/>
  <c r="C56" i="2" s="1"/>
  <c r="C57" i="2" s="1"/>
  <c r="C5" i="2"/>
  <c r="C4" i="2"/>
  <c r="C6" i="2"/>
  <c r="C3" i="2"/>
  <c r="M111" i="2" l="1"/>
  <c r="M152" i="2"/>
  <c r="N152" i="2" s="1"/>
  <c r="N83" i="2"/>
  <c r="N129" i="2"/>
  <c r="C58" i="2"/>
  <c r="C59" i="2" s="1"/>
  <c r="C73" i="2"/>
  <c r="C74" i="2" s="1"/>
  <c r="C75" i="2" s="1"/>
  <c r="C76" i="2" s="1"/>
  <c r="C77" i="2" s="1"/>
  <c r="C85" i="2"/>
  <c r="C86" i="2" s="1"/>
  <c r="C87" i="2" s="1"/>
  <c r="C88" i="2" s="1"/>
  <c r="C89" i="2" s="1"/>
  <c r="C128" i="2"/>
  <c r="C129" i="2" s="1"/>
  <c r="G129" i="2" s="1"/>
  <c r="C116" i="2"/>
  <c r="C117" i="2" s="1"/>
  <c r="C118" i="2" s="1"/>
  <c r="C167" i="2"/>
  <c r="C168" i="2" s="1"/>
  <c r="G168" i="2" s="1"/>
  <c r="C157" i="2"/>
  <c r="C158" i="2" s="1"/>
  <c r="C110" i="2"/>
  <c r="C111" i="2" s="1"/>
  <c r="G111" i="2" s="1"/>
  <c r="C61" i="2"/>
  <c r="C62" i="2" s="1"/>
  <c r="G62" i="2" s="1"/>
  <c r="C82" i="2"/>
  <c r="C83" i="2" s="1"/>
  <c r="G83" i="2" s="1"/>
  <c r="C45" i="2"/>
  <c r="C46" i="2" s="1"/>
  <c r="G46" i="2" s="1"/>
  <c r="C131" i="2"/>
  <c r="C132" i="2" s="1"/>
  <c r="C133" i="2" s="1"/>
  <c r="C134" i="2" s="1"/>
  <c r="C135" i="2" s="1"/>
  <c r="C136" i="2" s="1"/>
  <c r="C137" i="2" s="1"/>
  <c r="C8" i="2"/>
  <c r="C78" i="2" l="1"/>
  <c r="C60" i="2"/>
  <c r="C159" i="2"/>
  <c r="C138" i="2"/>
  <c r="C119" i="2"/>
  <c r="C90" i="2"/>
  <c r="C151" i="2"/>
  <c r="C152" i="2" s="1"/>
  <c r="G152" i="2" s="1"/>
  <c r="C9" i="2"/>
  <c r="D13" i="1"/>
  <c r="C10" i="2" s="1"/>
  <c r="C91" i="2" l="1"/>
  <c r="C139" i="2"/>
  <c r="C120" i="2"/>
  <c r="C160" i="2"/>
  <c r="C79" i="2"/>
  <c r="C80" i="2" l="1"/>
  <c r="C92" i="2"/>
  <c r="C161" i="2"/>
  <c r="C121" i="2"/>
  <c r="C140" i="2"/>
  <c r="K168" i="2"/>
  <c r="C20" i="2"/>
  <c r="C21" i="2" s="1"/>
  <c r="C22" i="2" s="1"/>
  <c r="C141" i="2" l="1"/>
  <c r="C23" i="2"/>
  <c r="C93" i="2"/>
  <c r="P168" i="2"/>
  <c r="C122" i="2"/>
  <c r="C81" i="2"/>
  <c r="C162" i="2"/>
  <c r="C39" i="2"/>
  <c r="C40" i="2" s="1"/>
  <c r="G40" i="2" s="1"/>
  <c r="R120" i="2" l="1"/>
  <c r="S120" i="2" s="1"/>
  <c r="R60" i="2"/>
  <c r="S60" i="2" s="1"/>
  <c r="R157" i="2"/>
  <c r="S157" i="2" s="1"/>
  <c r="R58" i="2"/>
  <c r="S58" i="2" s="1"/>
  <c r="R79" i="2"/>
  <c r="S79" i="2" s="1"/>
  <c r="R137" i="2"/>
  <c r="S137" i="2" s="1"/>
  <c r="R68" i="2"/>
  <c r="S68" i="2" s="1"/>
  <c r="R91" i="2"/>
  <c r="S91" i="2" s="1"/>
  <c r="R134" i="2"/>
  <c r="S134" i="2"/>
  <c r="R76" i="2"/>
  <c r="S76" i="2" s="1"/>
  <c r="R74" i="2"/>
  <c r="S74" i="2" s="1"/>
  <c r="R136" i="2"/>
  <c r="S136" i="2" s="1"/>
  <c r="R161" i="2"/>
  <c r="S161" i="2" s="1"/>
  <c r="R116" i="2"/>
  <c r="S116" i="2" s="1"/>
  <c r="R117" i="2"/>
  <c r="S117" i="2" s="1"/>
  <c r="S53" i="2"/>
  <c r="R53" i="2"/>
  <c r="R90" i="2"/>
  <c r="S90" i="2" s="1"/>
  <c r="R57" i="2"/>
  <c r="S57" i="2" s="1"/>
  <c r="R140" i="2"/>
  <c r="S140" i="2" s="1"/>
  <c r="C163" i="2"/>
  <c r="R121" i="2"/>
  <c r="S121" i="2" s="1"/>
  <c r="R118" i="2"/>
  <c r="S118" i="2"/>
  <c r="R71" i="2"/>
  <c r="S71" i="2" s="1"/>
  <c r="R69" i="2"/>
  <c r="S69" i="2" s="1"/>
  <c r="C142" i="2"/>
  <c r="R160" i="2"/>
  <c r="S160" i="2" s="1"/>
  <c r="C123" i="2"/>
  <c r="R138" i="2"/>
  <c r="S138" i="2" s="1"/>
  <c r="R77" i="2"/>
  <c r="S77" i="2" s="1"/>
  <c r="R158" i="2"/>
  <c r="S158" i="2" s="1"/>
  <c r="R72" i="2"/>
  <c r="S72" i="2"/>
  <c r="R159" i="2"/>
  <c r="S159" i="2" s="1"/>
  <c r="R88" i="2"/>
  <c r="S88" i="2"/>
  <c r="R56" i="2"/>
  <c r="S56" i="2" s="1"/>
  <c r="S51" i="2"/>
  <c r="R51" i="2"/>
  <c r="R92" i="2"/>
  <c r="S92" i="2" s="1"/>
  <c r="R78" i="2"/>
  <c r="S78" i="2"/>
  <c r="R73" i="2"/>
  <c r="S73" i="2" s="1"/>
  <c r="R52" i="2"/>
  <c r="S52" i="2"/>
  <c r="R67" i="2"/>
  <c r="S67" i="2" s="1"/>
  <c r="R75" i="2"/>
  <c r="S75" i="2" s="1"/>
  <c r="R54" i="2"/>
  <c r="S54" i="2" s="1"/>
  <c r="R59" i="2"/>
  <c r="S59" i="2" s="1"/>
  <c r="C94" i="2"/>
  <c r="R55" i="2"/>
  <c r="S55" i="2" s="1"/>
  <c r="R135" i="2"/>
  <c r="S135" i="2" s="1"/>
  <c r="R70" i="2"/>
  <c r="S70" i="2" s="1"/>
  <c r="R89" i="2"/>
  <c r="S89" i="2" s="1"/>
  <c r="C24" i="2"/>
  <c r="R80" i="2"/>
  <c r="S80" i="2"/>
  <c r="R139" i="2"/>
  <c r="S139" i="2" s="1"/>
  <c r="R119" i="2"/>
  <c r="S119" i="2"/>
  <c r="R87" i="2"/>
  <c r="S87" i="2" s="1"/>
  <c r="R156" i="2"/>
  <c r="S156" i="2" s="1"/>
  <c r="S44" i="2"/>
  <c r="R44" i="2"/>
  <c r="R50" i="2"/>
  <c r="S50" i="2" s="1"/>
  <c r="R133" i="2"/>
  <c r="S133" i="2" s="1"/>
  <c r="R115" i="2"/>
  <c r="S115" i="2" s="1"/>
  <c r="R66" i="2"/>
  <c r="S66" i="2" s="1"/>
  <c r="C143" i="2" l="1"/>
  <c r="R141" i="2"/>
  <c r="S141" i="2" s="1"/>
  <c r="C95" i="2"/>
  <c r="R122" i="2"/>
  <c r="S122" i="2" s="1"/>
  <c r="R23" i="2"/>
  <c r="S23" i="2"/>
  <c r="C124" i="2"/>
  <c r="R162" i="2"/>
  <c r="S162" i="2" s="1"/>
  <c r="R93" i="2"/>
  <c r="S93" i="2" s="1"/>
  <c r="R81" i="2"/>
  <c r="S81" i="2" s="1"/>
  <c r="C25" i="2"/>
  <c r="C164" i="2"/>
  <c r="R62" i="2"/>
  <c r="S62" i="2" s="1"/>
  <c r="R83" i="2"/>
  <c r="S83" i="2" s="1"/>
  <c r="R22" i="2"/>
  <c r="S22" i="2"/>
  <c r="S46" i="2"/>
  <c r="R46" i="2"/>
  <c r="R142" i="2" l="1"/>
  <c r="S142" i="2" s="1"/>
  <c r="R163" i="2"/>
  <c r="S163" i="2" s="1"/>
  <c r="C144" i="2"/>
  <c r="R123" i="2"/>
  <c r="S123" i="2" s="1"/>
  <c r="R94" i="2"/>
  <c r="S94" i="2" s="1"/>
  <c r="C165" i="2"/>
  <c r="C26" i="2"/>
  <c r="C96" i="2"/>
  <c r="C125" i="2"/>
  <c r="R24" i="2"/>
  <c r="S24" i="2" s="1"/>
  <c r="R25" i="2" l="1"/>
  <c r="S25" i="2"/>
  <c r="R164" i="2"/>
  <c r="S164" i="2"/>
  <c r="C27" i="2"/>
  <c r="R124" i="2"/>
  <c r="S124" i="2" s="1"/>
  <c r="C126" i="2"/>
  <c r="R143" i="2"/>
  <c r="S143" i="2"/>
  <c r="C145" i="2"/>
  <c r="R95" i="2"/>
  <c r="S95" i="2" s="1"/>
  <c r="C97" i="2"/>
  <c r="C166" i="2"/>
  <c r="R125" i="2" l="1"/>
  <c r="S125" i="2"/>
  <c r="Q168" i="2"/>
  <c r="L168" i="2"/>
  <c r="O168" i="2"/>
  <c r="C127" i="2"/>
  <c r="R144" i="2"/>
  <c r="S144" i="2" s="1"/>
  <c r="R165" i="2"/>
  <c r="S165" i="2"/>
  <c r="S26" i="2"/>
  <c r="R26" i="2"/>
  <c r="C146" i="2"/>
  <c r="R96" i="2"/>
  <c r="S96" i="2" s="1"/>
  <c r="C98" i="2"/>
  <c r="C28" i="2"/>
  <c r="R168" i="2" l="1"/>
  <c r="S168" i="2"/>
  <c r="R97" i="2"/>
  <c r="S97" i="2" s="1"/>
  <c r="C29" i="2"/>
  <c r="C99" i="2"/>
  <c r="R145" i="2"/>
  <c r="S145" i="2" s="1"/>
  <c r="R126" i="2"/>
  <c r="S126" i="2" s="1"/>
  <c r="C147" i="2"/>
  <c r="R27" i="2"/>
  <c r="S27" i="2" s="1"/>
  <c r="R166" i="2"/>
  <c r="S166" i="2"/>
  <c r="J168" i="2"/>
  <c r="R146" i="2" l="1"/>
  <c r="S146" i="2" s="1"/>
  <c r="C100" i="2"/>
  <c r="C148" i="2"/>
  <c r="R28" i="2"/>
  <c r="S28" i="2"/>
  <c r="C30" i="2"/>
  <c r="R127" i="2"/>
  <c r="S127" i="2"/>
  <c r="R129" i="2"/>
  <c r="S129" i="2" s="1"/>
  <c r="M168" i="2"/>
  <c r="N168" i="2" s="1"/>
  <c r="R98" i="2"/>
  <c r="S98" i="2"/>
  <c r="R147" i="2" l="1"/>
  <c r="S147" i="2"/>
  <c r="C149" i="2"/>
  <c r="R99" i="2"/>
  <c r="S99" i="2" s="1"/>
  <c r="C31" i="2"/>
  <c r="R29" i="2"/>
  <c r="S29" i="2" s="1"/>
  <c r="C101" i="2"/>
  <c r="C102" i="2" l="1"/>
  <c r="R100" i="2"/>
  <c r="S100" i="2"/>
  <c r="R148" i="2"/>
  <c r="S148" i="2" s="1"/>
  <c r="C150" i="2"/>
  <c r="S30" i="2"/>
  <c r="R30" i="2"/>
  <c r="C32" i="2"/>
  <c r="C33" i="2" l="1"/>
  <c r="S31" i="2"/>
  <c r="R31" i="2"/>
  <c r="R101" i="2"/>
  <c r="S101" i="2" s="1"/>
  <c r="C103" i="2"/>
  <c r="R149" i="2"/>
  <c r="S149" i="2" s="1"/>
  <c r="R102" i="2" l="1"/>
  <c r="S102" i="2" s="1"/>
  <c r="R150" i="2"/>
  <c r="S150" i="2" s="1"/>
  <c r="R152" i="2"/>
  <c r="S152" i="2" s="1"/>
  <c r="R32" i="2"/>
  <c r="S32" i="2"/>
  <c r="C104" i="2"/>
  <c r="C34" i="2"/>
  <c r="C105" i="2" l="1"/>
  <c r="S33" i="2"/>
  <c r="R33" i="2"/>
  <c r="C35" i="2"/>
  <c r="R103" i="2"/>
  <c r="S103" i="2" s="1"/>
  <c r="C36" i="2" l="1"/>
  <c r="R104" i="2"/>
  <c r="S104" i="2" s="1"/>
  <c r="R34" i="2"/>
  <c r="S34" i="2" s="1"/>
  <c r="C106" i="2"/>
  <c r="C107" i="2" l="1"/>
  <c r="R35" i="2"/>
  <c r="S35" i="2" s="1"/>
  <c r="C37" i="2"/>
  <c r="R105" i="2"/>
  <c r="S105" i="2" s="1"/>
  <c r="C38" i="2" l="1"/>
  <c r="R106" i="2"/>
  <c r="S106" i="2" s="1"/>
  <c r="C108" i="2"/>
  <c r="R36" i="2"/>
  <c r="S36" i="2" s="1"/>
  <c r="R107" i="2" l="1"/>
  <c r="S107" i="2"/>
  <c r="R37" i="2"/>
  <c r="S37" i="2"/>
  <c r="C109" i="2"/>
  <c r="Q170" i="2"/>
  <c r="L170" i="2"/>
  <c r="R38" i="2" l="1"/>
  <c r="S38" i="2"/>
  <c r="R108" i="2"/>
  <c r="S108" i="2" s="1"/>
  <c r="J170" i="2" l="1"/>
  <c r="R40" i="2"/>
  <c r="S40" i="2"/>
  <c r="O170" i="2"/>
  <c r="R109" i="2"/>
  <c r="S109" i="2" s="1"/>
  <c r="R111" i="2" l="1"/>
  <c r="S111" i="2" s="1"/>
  <c r="R170" i="2"/>
  <c r="S170" i="2"/>
  <c r="M170" i="2"/>
  <c r="N170" i="2" s="1"/>
</calcChain>
</file>

<file path=xl/sharedStrings.xml><?xml version="1.0" encoding="utf-8"?>
<sst xmlns="http://schemas.openxmlformats.org/spreadsheetml/2006/main" count="2334" uniqueCount="1617">
  <si>
    <t>Sales</t>
  </si>
  <si>
    <t>Period Type:</t>
  </si>
  <si>
    <t>Sale</t>
  </si>
  <si>
    <t>Customer</t>
  </si>
  <si>
    <t>Item No.:</t>
  </si>
  <si>
    <t>Start Date:</t>
  </si>
  <si>
    <t>End Date:</t>
  </si>
  <si>
    <t>Option</t>
  </si>
  <si>
    <t>Title</t>
  </si>
  <si>
    <t>Value</t>
  </si>
  <si>
    <t>Lookup</t>
  </si>
  <si>
    <t>Hide</t>
  </si>
  <si>
    <t>Period Type</t>
  </si>
  <si>
    <t>Item Profitability by Customer</t>
  </si>
  <si>
    <t>Cust. No.</t>
  </si>
  <si>
    <t>Customer Name</t>
  </si>
  <si>
    <t>Quantity</t>
  </si>
  <si>
    <t>Profit $</t>
  </si>
  <si>
    <t>Profit %</t>
  </si>
  <si>
    <t>GRAND TOTAL:</t>
  </si>
  <si>
    <t xml:space="preserve"> </t>
  </si>
  <si>
    <t xml:space="preserve">  </t>
  </si>
  <si>
    <t>Customer No.</t>
  </si>
  <si>
    <t>Name</t>
  </si>
  <si>
    <t>Current Year Date Filter</t>
  </si>
  <si>
    <t>Prior Year Date Filter</t>
  </si>
  <si>
    <t>2 Year Date Filter</t>
  </si>
  <si>
    <t>Sale Entry Type</t>
  </si>
  <si>
    <t>Sale Source Type</t>
  </si>
  <si>
    <t>Customer Source Type</t>
  </si>
  <si>
    <t>2 Yr Date Filter</t>
  </si>
  <si>
    <t>Item Filter</t>
  </si>
  <si>
    <t>Customer Filter</t>
  </si>
  <si>
    <t>COGS</t>
  </si>
  <si>
    <t>Current Period vs. Same Period Prior Year</t>
  </si>
  <si>
    <t>Tooltip</t>
  </si>
  <si>
    <t>Enter a date using the date format used in your NAV instance</t>
  </si>
  <si>
    <t>=NL("Lookup",{"Day","Week","Month","Quarter","Year"},"Select a Period Type")</t>
  </si>
  <si>
    <t>="1/1/2019"</t>
  </si>
  <si>
    <t>="*"</t>
  </si>
  <si>
    <t>=NL("Lookup","18 Customer",{"1 No.","2 Name"})</t>
  </si>
  <si>
    <t>=NL("Lookup","27 Item",{"1 No.","3 Description"})</t>
  </si>
  <si>
    <t>=NP("DateFilter",StartDate,EndDate)</t>
  </si>
  <si>
    <t>=D12&amp;"|"&amp;D11</t>
  </si>
  <si>
    <t>1</t>
  </si>
  <si>
    <t>=NL("Columns=11","2000000007 Date",,"2 Period Start",$C$8,"Period Type",$C$3)</t>
  </si>
  <si>
    <t>=NF(J6,"2 Period Start")</t>
  </si>
  <si>
    <t>=J7-365</t>
  </si>
  <si>
    <t>=NF(J6,"3 Period End")</t>
  </si>
  <si>
    <t>=J8-365</t>
  </si>
  <si>
    <t>=C6</t>
  </si>
  <si>
    <t>=C7</t>
  </si>
  <si>
    <t>=TEXT(J7,"MMM-DD-YY")</t>
  </si>
  <si>
    <t>=TEXT(O7,"MMM-DD-YY")</t>
  </si>
  <si>
    <t>=NL("Rows=6","32 Item Ledger Entry","5 Source No.","4 Entry Type",$C$4,"41 Source Type",$C$5,"5 Source No.",$C$6,"Item No.",$C$7,"3 Posting Date",$C$10)</t>
  </si>
  <si>
    <t>=NL(,"18 Customer","2 Name","1 No.",$E20)</t>
  </si>
  <si>
    <t>=E20</t>
  </si>
  <si>
    <t>=J22-L22</t>
  </si>
  <si>
    <t>=IF(J22&lt;&gt;0,M22/J22,"")</t>
  </si>
  <si>
    <t>=O22-Q22</t>
  </si>
  <si>
    <t>=IF(O22&lt;&gt;0,R22/O22,"")</t>
  </si>
  <si>
    <t>=SUBTOTAL(9,J21:J23)</t>
  </si>
  <si>
    <t>=SUBTOTAL(9,K21:K23)</t>
  </si>
  <si>
    <t>=SUBTOTAL(9,L21:L23)</t>
  </si>
  <si>
    <t>=J24-L24</t>
  </si>
  <si>
    <t>=IF(J24&lt;&gt;0,M24/J24,"")</t>
  </si>
  <si>
    <t>=SUBTOTAL(9,O21:O23)</t>
  </si>
  <si>
    <t>=SUBTOTAL(9,P21:P23)</t>
  </si>
  <si>
    <t>=SUBTOTAL(9,Q21:Q23)</t>
  </si>
  <si>
    <t>=O24-Q24</t>
  </si>
  <si>
    <t>=IF(O24&lt;&gt;0,R24/O24,"")</t>
  </si>
  <si>
    <t>=SUBTOTAL(9,J20:J25)</t>
  </si>
  <si>
    <t>=SUBTOTAL(9,L20:L25)</t>
  </si>
  <si>
    <t>=J26-L26</t>
  </si>
  <si>
    <t>=IF(J26&lt;&gt;0,M26/J26,"")</t>
  </si>
  <si>
    <t>=SUBTOTAL(9,O20:O25)</t>
  </si>
  <si>
    <t>=SUBTOTAL(9,Q20:Q25)</t>
  </si>
  <si>
    <t>=O26-Q26</t>
  </si>
  <si>
    <t>=IF(O26&lt;&gt;0,R26/O26,"")</t>
  </si>
  <si>
    <t>Auto</t>
  </si>
  <si>
    <t>=J28-L28</t>
  </si>
  <si>
    <t>=IF(J28&lt;&gt;0,M28/J28,"")</t>
  </si>
  <si>
    <t>=O28-Q28</t>
  </si>
  <si>
    <t>=IF(O28&lt;&gt;0,R28/O28,"")</t>
  </si>
  <si>
    <t>=J30-L30</t>
  </si>
  <si>
    <t>=IF(J30&lt;&gt;0,M30/J30,"")</t>
  </si>
  <si>
    <t>=O30-Q30</t>
  </si>
  <si>
    <t>=IF(O30&lt;&gt;0,R30/O30,"")</t>
  </si>
  <si>
    <t>=J34-L34</t>
  </si>
  <si>
    <t>=IF(J34&lt;&gt;0,M34/J34,"")</t>
  </si>
  <si>
    <t>=O34-Q34</t>
  </si>
  <si>
    <t>=IF(O34&lt;&gt;0,R34/O34,"")</t>
  </si>
  <si>
    <t>=J36-L36</t>
  </si>
  <si>
    <t>=IF(J36&lt;&gt;0,M36/J36,"")</t>
  </si>
  <si>
    <t>=O36-Q36</t>
  </si>
  <si>
    <t>=IF(O36&lt;&gt;0,R36/O36,"")</t>
  </si>
  <si>
    <t>="C100021"</t>
  </si>
  <si>
    <t>=J40-L40</t>
  </si>
  <si>
    <t>=IF(J40&lt;&gt;0,M40/J40,"")</t>
  </si>
  <si>
    <t>=O40-Q40</t>
  </si>
  <si>
    <t>=IF(O40&lt;&gt;0,R40/O40,"")</t>
  </si>
  <si>
    <t>="C100031"</t>
  </si>
  <si>
    <t>=J46-L46</t>
  </si>
  <si>
    <t>=IF(J46&lt;&gt;0,M46/J46,"")</t>
  </si>
  <si>
    <t>=O46-Q46</t>
  </si>
  <si>
    <t>=IF(O46&lt;&gt;0,R46/O46,"")</t>
  </si>
  <si>
    <t>="C100035"</t>
  </si>
  <si>
    <t>=J52-L52</t>
  </si>
  <si>
    <t>=IF(J52&lt;&gt;0,M52/J52,"")</t>
  </si>
  <si>
    <t>=O52-Q52</t>
  </si>
  <si>
    <t>=IF(O52&lt;&gt;0,R52/O52,"")</t>
  </si>
  <si>
    <t>=J54-L54</t>
  </si>
  <si>
    <t>=IF(J54&lt;&gt;0,M54/J54,"")</t>
  </si>
  <si>
    <t>=O54-Q54</t>
  </si>
  <si>
    <t>=IF(O54&lt;&gt;0,R54/O54,"")</t>
  </si>
  <si>
    <t>=J58-L58</t>
  </si>
  <si>
    <t>=IF(J58&lt;&gt;0,M58/J58,"")</t>
  </si>
  <si>
    <t>=O58-Q58</t>
  </si>
  <si>
    <t>=IF(O58&lt;&gt;0,R58/O58,"")</t>
  </si>
  <si>
    <t>=J60-L60</t>
  </si>
  <si>
    <t>=IF(J60&lt;&gt;0,M60/J60,"")</t>
  </si>
  <si>
    <t>=O60-Q60</t>
  </si>
  <si>
    <t>=IF(O60&lt;&gt;0,R60/O60,"")</t>
  </si>
  <si>
    <t>=J66-L66</t>
  </si>
  <si>
    <t>=IF(J66&lt;&gt;0,M66/J66,"")</t>
  </si>
  <si>
    <t>=O66-Q66</t>
  </si>
  <si>
    <t>=IF(O66&lt;&gt;0,R66/O66,"")</t>
  </si>
  <si>
    <t>="C100040"</t>
  </si>
  <si>
    <t>=J76-L76</t>
  </si>
  <si>
    <t>=IF(J76&lt;&gt;0,M76/J76,"")</t>
  </si>
  <si>
    <t>=O76-Q76</t>
  </si>
  <si>
    <t>=IF(O76&lt;&gt;0,R76/O76,"")</t>
  </si>
  <si>
    <t>=J78-L78</t>
  </si>
  <si>
    <t>=IF(J78&lt;&gt;0,M78/J78,"")</t>
  </si>
  <si>
    <t>=O78-Q78</t>
  </si>
  <si>
    <t>=IF(O78&lt;&gt;0,R78/O78,"")</t>
  </si>
  <si>
    <t>=J88-L88</t>
  </si>
  <si>
    <t>=IF(J88&lt;&gt;0,M88/J88,"")</t>
  </si>
  <si>
    <t>=O88-Q88</t>
  </si>
  <si>
    <t>=IF(O88&lt;&gt;0,R88/O88,"")</t>
  </si>
  <si>
    <t>=J90-L90</t>
  </si>
  <si>
    <t>=IF(J90&lt;&gt;0,M90/J90,"")</t>
  </si>
  <si>
    <t>=O90-Q90</t>
  </si>
  <si>
    <t>=IF(O90&lt;&gt;0,R90/O90,"")</t>
  </si>
  <si>
    <t>=J94-L94</t>
  </si>
  <si>
    <t>=IF(J94&lt;&gt;0,M94/J94,"")</t>
  </si>
  <si>
    <t>=O94-Q94</t>
  </si>
  <si>
    <t>=IF(O94&lt;&gt;0,R94/O94,"")</t>
  </si>
  <si>
    <t>=J96-L96</t>
  </si>
  <si>
    <t>=IF(J96&lt;&gt;0,M96/J96,"")</t>
  </si>
  <si>
    <t>=O96-Q96</t>
  </si>
  <si>
    <t>=IF(O96&lt;&gt;0,R96/O96,"")</t>
  </si>
  <si>
    <t>=J100-L100</t>
  </si>
  <si>
    <t>=IF(J100&lt;&gt;0,M100/J100,"")</t>
  </si>
  <si>
    <t>=O100-Q100</t>
  </si>
  <si>
    <t>=IF(O100&lt;&gt;0,R100/O100,"")</t>
  </si>
  <si>
    <t>=J102-L102</t>
  </si>
  <si>
    <t>=IF(J102&lt;&gt;0,M102/J102,"")</t>
  </si>
  <si>
    <t>=O102-Q102</t>
  </si>
  <si>
    <t>=IF(O102&lt;&gt;0,R102/O102,"")</t>
  </si>
  <si>
    <t>="C100064"</t>
  </si>
  <si>
    <t>=J118-L118</t>
  </si>
  <si>
    <t>=IF(J118&lt;&gt;0,M118/J118,"")</t>
  </si>
  <si>
    <t>=O118-Q118</t>
  </si>
  <si>
    <t>=IF(O118&lt;&gt;0,R118/O118,"")</t>
  </si>
  <si>
    <t>=J120-L120</t>
  </si>
  <si>
    <t>=IF(J120&lt;&gt;0,M120/J120,"")</t>
  </si>
  <si>
    <t>=O120-Q120</t>
  </si>
  <si>
    <t>=IF(O120&lt;&gt;0,R120/O120,"")</t>
  </si>
  <si>
    <t>=J124-L124</t>
  </si>
  <si>
    <t>=IF(J124&lt;&gt;0,M124/J124,"")</t>
  </si>
  <si>
    <t>=O124-Q124</t>
  </si>
  <si>
    <t>=IF(O124&lt;&gt;0,R124/O124,"")</t>
  </si>
  <si>
    <t>=J126-L126</t>
  </si>
  <si>
    <t>=IF(J126&lt;&gt;0,M126/J126,"")</t>
  </si>
  <si>
    <t>=O126-Q126</t>
  </si>
  <si>
    <t>=IF(O126&lt;&gt;0,R126/O126,"")</t>
  </si>
  <si>
    <t>=J136-L136</t>
  </si>
  <si>
    <t>=IF(J136&lt;&gt;0,M136/J136,"")</t>
  </si>
  <si>
    <t>=O136-Q136</t>
  </si>
  <si>
    <t>=IF(O136&lt;&gt;0,R136/O136,"")</t>
  </si>
  <si>
    <t>=J138-L138</t>
  </si>
  <si>
    <t>=IF(J138&lt;&gt;0,M138/J138,"")</t>
  </si>
  <si>
    <t>=O138-Q138</t>
  </si>
  <si>
    <t>=IF(O138&lt;&gt;0,R138/O138,"")</t>
  </si>
  <si>
    <t>=J142-L142</t>
  </si>
  <si>
    <t>=IF(J142&lt;&gt;0,M142/J142,"")</t>
  </si>
  <si>
    <t>=O142-Q142</t>
  </si>
  <si>
    <t>=IF(O142&lt;&gt;0,R142/O142,"")</t>
  </si>
  <si>
    <t>=J150-L150</t>
  </si>
  <si>
    <t>=IF(J150&lt;&gt;0,M150/J150,"")</t>
  </si>
  <si>
    <t>=O150-Q150</t>
  </si>
  <si>
    <t>=IF(O150&lt;&gt;0,R150/O150,"")</t>
  </si>
  <si>
    <t>=J156-L156</t>
  </si>
  <si>
    <t>=IF(J156&lt;&gt;0,M156/J156,"")</t>
  </si>
  <si>
    <t>=O156-Q156</t>
  </si>
  <si>
    <t>=IF(O156&lt;&gt;0,R156/O156,"")</t>
  </si>
  <si>
    <t>=J160-L160</t>
  </si>
  <si>
    <t>=IF(J160&lt;&gt;0,M160/J160,"")</t>
  </si>
  <si>
    <t>=O160-Q160</t>
  </si>
  <si>
    <t>=IF(O160&lt;&gt;0,R160/O160,"")</t>
  </si>
  <si>
    <t>=J168-L168</t>
  </si>
  <si>
    <t>=IF(J168&lt;&gt;0,M168/J168,"")</t>
  </si>
  <si>
    <t>=O168-Q168</t>
  </si>
  <si>
    <t>=IF(O168&lt;&gt;0,R168/O168,"")</t>
  </si>
  <si>
    <t>="C100099"</t>
  </si>
  <si>
    <t>="C100137"</t>
  </si>
  <si>
    <t>="C100145"</t>
  </si>
  <si>
    <t>=PeriodType</t>
  </si>
  <si>
    <t>=SaleEntryType</t>
  </si>
  <si>
    <t>=CustomerSourceType</t>
  </si>
  <si>
    <t>=CustomerFilter</t>
  </si>
  <si>
    <t>=ItemFilter</t>
  </si>
  <si>
    <t>=CurrentYrDateFilter</t>
  </si>
  <si>
    <t>=PriorYrDateFilter</t>
  </si>
  <si>
    <t>=TwoYrDateFilter</t>
  </si>
  <si>
    <t>=C20</t>
  </si>
  <si>
    <t>=C21</t>
  </si>
  <si>
    <t>=NL("Rows","5802 Value Entry","2 Item No.","4 Item Ledger Entry Type",$C$4,"41 Source Type",$C$5,"5 Source No.",$C22,"Item No.",$C$7,"3 Posting Date",$C$10)</t>
  </si>
  <si>
    <t>=C22</t>
  </si>
  <si>
    <t>=C23</t>
  </si>
  <si>
    <t>=C24&amp;" TOTAL:"</t>
  </si>
  <si>
    <t>=C26</t>
  </si>
  <si>
    <t>=C27</t>
  </si>
  <si>
    <t>=C28</t>
  </si>
  <si>
    <t>=C29</t>
  </si>
  <si>
    <t>=C32</t>
  </si>
  <si>
    <t>=C33</t>
  </si>
  <si>
    <t>=C34</t>
  </si>
  <si>
    <t>=C35</t>
  </si>
  <si>
    <t>=C39</t>
  </si>
  <si>
    <t>=C44</t>
  </si>
  <si>
    <t>=C45</t>
  </si>
  <si>
    <t>=C50</t>
  </si>
  <si>
    <t>=C51</t>
  </si>
  <si>
    <t>=C52</t>
  </si>
  <si>
    <t>=C53</t>
  </si>
  <si>
    <t>=C56</t>
  </si>
  <si>
    <t>=C57</t>
  </si>
  <si>
    <t>=C58</t>
  </si>
  <si>
    <t>=C59</t>
  </si>
  <si>
    <t>=C64</t>
  </si>
  <si>
    <t>=C65</t>
  </si>
  <si>
    <t>=C68</t>
  </si>
  <si>
    <t>=C71</t>
  </si>
  <si>
    <t>=C74</t>
  </si>
  <si>
    <t>=C75</t>
  </si>
  <si>
    <t>=C76</t>
  </si>
  <si>
    <t>=C77</t>
  </si>
  <si>
    <t>=C80</t>
  </si>
  <si>
    <t>=C82</t>
  </si>
  <si>
    <t>=C86</t>
  </si>
  <si>
    <t>=C87</t>
  </si>
  <si>
    <t>=C88</t>
  </si>
  <si>
    <t>=C89</t>
  </si>
  <si>
    <t>=C92</t>
  </si>
  <si>
    <t>=C93</t>
  </si>
  <si>
    <t>=C94</t>
  </si>
  <si>
    <t>=C95</t>
  </si>
  <si>
    <t>=C98</t>
  </si>
  <si>
    <t>=C99</t>
  </si>
  <si>
    <t>=C100</t>
  </si>
  <si>
    <t>=C101</t>
  </si>
  <si>
    <t>=C104</t>
  </si>
  <si>
    <t>=C106</t>
  </si>
  <si>
    <t>=C110</t>
  </si>
  <si>
    <t>=C113</t>
  </si>
  <si>
    <t>=C116</t>
  </si>
  <si>
    <t>=C117</t>
  </si>
  <si>
    <t>=C118</t>
  </si>
  <si>
    <t>=C119</t>
  </si>
  <si>
    <t>=C122</t>
  </si>
  <si>
    <t>=C123</t>
  </si>
  <si>
    <t>=C124</t>
  </si>
  <si>
    <t>=C125</t>
  </si>
  <si>
    <t>=C128</t>
  </si>
  <si>
    <t>=C131</t>
  </si>
  <si>
    <t>=C134</t>
  </si>
  <si>
    <t>=C135</t>
  </si>
  <si>
    <t>=C137</t>
  </si>
  <si>
    <t>=C140</t>
  </si>
  <si>
    <t>=C141</t>
  </si>
  <si>
    <t>=C142</t>
  </si>
  <si>
    <t>=C147</t>
  </si>
  <si>
    <t>=C148</t>
  </si>
  <si>
    <t>=C149</t>
  </si>
  <si>
    <t>=C154</t>
  </si>
  <si>
    <t>=C155</t>
  </si>
  <si>
    <t>=C158</t>
  </si>
  <si>
    <t>=C159</t>
  </si>
  <si>
    <t>=C160</t>
  </si>
  <si>
    <t>=C165</t>
  </si>
  <si>
    <t>=C167</t>
  </si>
  <si>
    <t>=NL(,"27 Item","3 Description","1 No.","@@"&amp;F22)</t>
  </si>
  <si>
    <t>=NL("Sum","5802 Value Entry","150 Sales Amount (Expected)","41 Source Type",$C$5,"5 Source No.",$C22,"4 Item Ledger Entry Type",$C$4,"2 Item No.","@@"&amp;$F22,"3 Posting Date",J$9)+NL("Sum","5802 Value Entry","17 Sales Amount (Actual)","41 Source Type",$C$5,"5 Source no.",$C22,"4 Item Ledger Entry Type",$C$4,"2 Item No.","@@"&amp;$F22,"3 Posting Date",J$9)</t>
  </si>
  <si>
    <t>=-NL("Sum","32 Item Ledger Entry","12 Quantity","5 Source no.",$C22,"3 Posting Date",J$9,"4 Entry Type",$C$4,"2 Item No.","@@"&amp;$F22)</t>
  </si>
  <si>
    <t>=-NL("Sum","5802 Value Entry","151 Cost Amount (Expected)","41 Source Type",$C$5,"5 Source No.",$C22,"4 Item Ledger Entry Type",$C$4,"2 Item No.","@@"&amp;$F22,"3 Posting Date",J$9)-NL("Sum","5802 Value Entry","43 Cost Amount (Actual)","41 Source Type",$C$5,"5 Source no.",$C22,"4 Item Ledger Entry Type",$C$4,"2 Item No.","@@"&amp;$F22,"3 Posting Date",J$9)</t>
  </si>
  <si>
    <t>=NL("Sum","5802 Value Entry","150 Sales Amount (Expected)","41 Source Type",$C$5,"5 Source No.",$C22,"4 Item Ledger Entry Type",$C$4,"2 Item No.","@@"&amp;$F22,"3 Posting Date",O$9)+NL("Sum","5802 Value Entry","17 Sales Amount (Actual)","41 Source Type",$C$5,"5 Source no.",$C22,"4 Item Ledger Entry Type",$C$4,"2 Item No.","@@"&amp;$F22,"3 Posting Date",O$9)</t>
  </si>
  <si>
    <t>=-NL("Sum","32 Item Ledger Entry","12 Quantity","5 Source no.",$C22,"3 Posting Date",O$9,"4 Entry Type",$C$4,"2 Item No.","@@"&amp;$F22)</t>
  </si>
  <si>
    <t>=-NL("Sum","5802 Value Entry","151 Cost Amount (Expected)","41 Source Type",$C$5,"5 Source No.",$C22,"4 Item Ledger Entry Type",$C$4,"2 Item No.","@@"&amp;$F22,"3 Posting Date",O$9)-NL("Sum","5802 Value Entry","43 Cost Amount (Actual)","41 Source Type",$C$5,"5 Source no.",$C22,"4 Item Ledger Entry Type",$C$4,"2 Item No.","@@"&amp;$F22,"3 Posting Date",O$9)</t>
  </si>
  <si>
    <t>=NL("Sum","5802 Value Entry","150 Sales Amount (Expected)","41 Source Type",$C$5,"5 Source No.",$C23,"4 Item Ledger Entry Type",$C$4,"2 Item No.","@@"&amp;$F23,"3 Posting Date",J$9)+NL("Sum","5802 Value Entry","17 Sales Amount (Actual)","41 Source Type",$C$5,"5 Source no.",$C23,"4 Item Ledger Entry Type",$C$4,"2 Item No.","@@"&amp;$F23,"3 Posting Date",J$9)</t>
  </si>
  <si>
    <t>=-NL("Sum","5802 Value Entry","151 Cost Amount (Expected)","41 Source Type",$C$5,"5 Source No.",$C23,"4 Item Ledger Entry Type",$C$4,"2 Item No.","@@"&amp;$F23,"3 Posting Date",J$9)-NL("Sum","5802 Value Entry","43 Cost Amount (Actual)","41 Source Type",$C$5,"5 Source no.",$C23,"4 Item Ledger Entry Type",$C$4,"2 Item No.","@@"&amp;$F23,"3 Posting Date",J$9)</t>
  </si>
  <si>
    <t>=J23-L23</t>
  </si>
  <si>
    <t>=IF(J23&lt;&gt;0,M23/J23,"")</t>
  </si>
  <si>
    <t>=NL("Sum","5802 Value Entry","150 Sales Amount (Expected)","41 Source Type",$C$5,"5 Source No.",$C23,"4 Item Ledger Entry Type",$C$4,"2 Item No.","@@"&amp;$F23,"3 Posting Date",O$9)+NL("Sum","5802 Value Entry","17 Sales Amount (Actual)","41 Source Type",$C$5,"5 Source no.",$C23,"4 Item Ledger Entry Type",$C$4,"2 Item No.","@@"&amp;$F23,"3 Posting Date",O$9)</t>
  </si>
  <si>
    <t>=-NL("Sum","5802 Value Entry","151 Cost Amount (Expected)","41 Source Type",$C$5,"5 Source No.",$C23,"4 Item Ledger Entry Type",$C$4,"2 Item No.","@@"&amp;$F23,"3 Posting Date",O$9)-NL("Sum","5802 Value Entry","43 Cost Amount (Actual)","41 Source Type",$C$5,"5 Source no.",$C23,"4 Item Ledger Entry Type",$C$4,"2 Item No.","@@"&amp;$F23,"3 Posting Date",O$9)</t>
  </si>
  <si>
    <t>=O23-Q23</t>
  </si>
  <si>
    <t>=IF(O23&lt;&gt;0,R23/O23,"")</t>
  </si>
  <si>
    <t>=NL("Sum","5802 Value Entry","150 Sales Amount (Expected)","41 Source Type",$C$5,"5 Source No.",$C24,"4 Item Ledger Entry Type",$C$4,"2 Item No.","@@"&amp;$F24,"3 Posting Date",J$9)+NL("Sum","5802 Value Entry","17 Sales Amount (Actual)","41 Source Type",$C$5,"5 Source no.",$C24,"4 Item Ledger Entry Type",$C$4,"2 Item No.","@@"&amp;$F24,"3 Posting Date",J$9)</t>
  </si>
  <si>
    <t>=-NL("Sum","5802 Value Entry","151 Cost Amount (Expected)","41 Source Type",$C$5,"5 Source No.",$C24,"4 Item Ledger Entry Type",$C$4,"2 Item No.","@@"&amp;$F24,"3 Posting Date",J$9)-NL("Sum","5802 Value Entry","43 Cost Amount (Actual)","41 Source Type",$C$5,"5 Source no.",$C24,"4 Item Ledger Entry Type",$C$4,"2 Item No.","@@"&amp;$F24,"3 Posting Date",J$9)</t>
  </si>
  <si>
    <t>=NL("Sum","5802 Value Entry","150 Sales Amount (Expected)","41 Source Type",$C$5,"5 Source No.",$C24,"4 Item Ledger Entry Type",$C$4,"2 Item No.","@@"&amp;$F24,"3 Posting Date",O$9)+NL("Sum","5802 Value Entry","17 Sales Amount (Actual)","41 Source Type",$C$5,"5 Source no.",$C24,"4 Item Ledger Entry Type",$C$4,"2 Item No.","@@"&amp;$F24,"3 Posting Date",O$9)</t>
  </si>
  <si>
    <t>=-NL("Sum","5802 Value Entry","151 Cost Amount (Expected)","41 Source Type",$C$5,"5 Source No.",$C24,"4 Item Ledger Entry Type",$C$4,"2 Item No.","@@"&amp;$F24,"3 Posting Date",O$9)-NL("Sum","5802 Value Entry","43 Cost Amount (Actual)","41 Source Type",$C$5,"5 Source no.",$C24,"4 Item Ledger Entry Type",$C$4,"2 Item No.","@@"&amp;$F24,"3 Posting Date",O$9)</t>
  </si>
  <si>
    <t>=C24</t>
  </si>
  <si>
    <t>="C100006"</t>
  </si>
  <si>
    <t>=NL("Sum","5802 Value Entry","150 Sales Amount (Expected)","41 Source Type",$C$5,"5 Source No.",$C25,"4 Item Ledger Entry Type",$C$4,"2 Item No.","@@"&amp;$F25,"3 Posting Date",J$9)+NL("Sum","5802 Value Entry","17 Sales Amount (Actual)","41 Source Type",$C$5,"5 Source no.",$C25,"4 Item Ledger Entry Type",$C$4,"2 Item No.","@@"&amp;$F25,"3 Posting Date",J$9)</t>
  </si>
  <si>
    <t>=-NL("Sum","5802 Value Entry","151 Cost Amount (Expected)","41 Source Type",$C$5,"5 Source No.",$C25,"4 Item Ledger Entry Type",$C$4,"2 Item No.","@@"&amp;$F25,"3 Posting Date",J$9)-NL("Sum","5802 Value Entry","43 Cost Amount (Actual)","41 Source Type",$C$5,"5 Source no.",$C25,"4 Item Ledger Entry Type",$C$4,"2 Item No.","@@"&amp;$F25,"3 Posting Date",J$9)</t>
  </si>
  <si>
    <t>=J25-L25</t>
  </si>
  <si>
    <t>=IF(J25&lt;&gt;0,M25/J25,"")</t>
  </si>
  <si>
    <t>=NL("Sum","5802 Value Entry","150 Sales Amount (Expected)","41 Source Type",$C$5,"5 Source No.",$C25,"4 Item Ledger Entry Type",$C$4,"2 Item No.","@@"&amp;$F25,"3 Posting Date",O$9)+NL("Sum","5802 Value Entry","17 Sales Amount (Actual)","41 Source Type",$C$5,"5 Source no.",$C25,"4 Item Ledger Entry Type",$C$4,"2 Item No.","@@"&amp;$F25,"3 Posting Date",O$9)</t>
  </si>
  <si>
    <t>=-NL("Sum","5802 Value Entry","151 Cost Amount (Expected)","41 Source Type",$C$5,"5 Source No.",$C25,"4 Item Ledger Entry Type",$C$4,"2 Item No.","@@"&amp;$F25,"3 Posting Date",O$9)-NL("Sum","5802 Value Entry","43 Cost Amount (Actual)","41 Source Type",$C$5,"5 Source no.",$C25,"4 Item Ledger Entry Type",$C$4,"2 Item No.","@@"&amp;$F25,"3 Posting Date",O$9)</t>
  </si>
  <si>
    <t>=O25-Q25</t>
  </si>
  <si>
    <t>=IF(O25&lt;&gt;0,R25/O25,"")</t>
  </si>
  <si>
    <t>=C25</t>
  </si>
  <si>
    <t>=NL("Sum","5802 Value Entry","150 Sales Amount (Expected)","41 Source Type",$C$5,"5 Source No.",$C26,"4 Item Ledger Entry Type",$C$4,"2 Item No.","@@"&amp;$F26,"3 Posting Date",J$9)+NL("Sum","5802 Value Entry","17 Sales Amount (Actual)","41 Source Type",$C$5,"5 Source no.",$C26,"4 Item Ledger Entry Type",$C$4,"2 Item No.","@@"&amp;$F26,"3 Posting Date",J$9)</t>
  </si>
  <si>
    <t>=-NL("Sum","5802 Value Entry","151 Cost Amount (Expected)","41 Source Type",$C$5,"5 Source No.",$C26,"4 Item Ledger Entry Type",$C$4,"2 Item No.","@@"&amp;$F26,"3 Posting Date",J$9)-NL("Sum","5802 Value Entry","43 Cost Amount (Actual)","41 Source Type",$C$5,"5 Source no.",$C26,"4 Item Ledger Entry Type",$C$4,"2 Item No.","@@"&amp;$F26,"3 Posting Date",J$9)</t>
  </si>
  <si>
    <t>=NL("Sum","5802 Value Entry","150 Sales Amount (Expected)","41 Source Type",$C$5,"5 Source No.",$C26,"4 Item Ledger Entry Type",$C$4,"2 Item No.","@@"&amp;$F26,"3 Posting Date",O$9)+NL("Sum","5802 Value Entry","17 Sales Amount (Actual)","41 Source Type",$C$5,"5 Source no.",$C26,"4 Item Ledger Entry Type",$C$4,"2 Item No.","@@"&amp;$F26,"3 Posting Date",O$9)</t>
  </si>
  <si>
    <t>=-NL("Sum","5802 Value Entry","151 Cost Amount (Expected)","41 Source Type",$C$5,"5 Source No.",$C26,"4 Item Ledger Entry Type",$C$4,"2 Item No.","@@"&amp;$F26,"3 Posting Date",O$9)-NL("Sum","5802 Value Entry","43 Cost Amount (Actual)","41 Source Type",$C$5,"5 Source no.",$C26,"4 Item Ledger Entry Type",$C$4,"2 Item No.","@@"&amp;$F26,"3 Posting Date",O$9)</t>
  </si>
  <si>
    <t>="C100019"</t>
  </si>
  <si>
    <t>=NL("Sum","5802 Value Entry","150 Sales Amount (Expected)","41 Source Type",$C$5,"5 Source No.",$C27,"4 Item Ledger Entry Type",$C$4,"2 Item No.","@@"&amp;$F27,"3 Posting Date",J$9)+NL("Sum","5802 Value Entry","17 Sales Amount (Actual)","41 Source Type",$C$5,"5 Source no.",$C27,"4 Item Ledger Entry Type",$C$4,"2 Item No.","@@"&amp;$F27,"3 Posting Date",J$9)</t>
  </si>
  <si>
    <t>=-NL("Sum","5802 Value Entry","151 Cost Amount (Expected)","41 Source Type",$C$5,"5 Source No.",$C27,"4 Item Ledger Entry Type",$C$4,"2 Item No.","@@"&amp;$F27,"3 Posting Date",J$9)-NL("Sum","5802 Value Entry","43 Cost Amount (Actual)","41 Source Type",$C$5,"5 Source no.",$C27,"4 Item Ledger Entry Type",$C$4,"2 Item No.","@@"&amp;$F27,"3 Posting Date",J$9)</t>
  </si>
  <si>
    <t>=J27-L27</t>
  </si>
  <si>
    <t>=IF(J27&lt;&gt;0,M27/J27,"")</t>
  </si>
  <si>
    <t>=NL("Sum","5802 Value Entry","150 Sales Amount (Expected)","41 Source Type",$C$5,"5 Source No.",$C27,"4 Item Ledger Entry Type",$C$4,"2 Item No.","@@"&amp;$F27,"3 Posting Date",O$9)+NL("Sum","5802 Value Entry","17 Sales Amount (Actual)","41 Source Type",$C$5,"5 Source no.",$C27,"4 Item Ledger Entry Type",$C$4,"2 Item No.","@@"&amp;$F27,"3 Posting Date",O$9)</t>
  </si>
  <si>
    <t>=-NL("Sum","5802 Value Entry","151 Cost Amount (Expected)","41 Source Type",$C$5,"5 Source No.",$C27,"4 Item Ledger Entry Type",$C$4,"2 Item No.","@@"&amp;$F27,"3 Posting Date",O$9)-NL("Sum","5802 Value Entry","43 Cost Amount (Actual)","41 Source Type",$C$5,"5 Source no.",$C27,"4 Item Ledger Entry Type",$C$4,"2 Item No.","@@"&amp;$F27,"3 Posting Date",O$9)</t>
  </si>
  <si>
    <t>=O27-Q27</t>
  </si>
  <si>
    <t>=IF(O27&lt;&gt;0,R27/O27,"")</t>
  </si>
  <si>
    <t>=NL("Sum","5802 Value Entry","150 Sales Amount (Expected)","41 Source Type",$C$5,"5 Source No.",$C28,"4 Item Ledger Entry Type",$C$4,"2 Item No.","@@"&amp;$F28,"3 Posting Date",J$9)+NL("Sum","5802 Value Entry","17 Sales Amount (Actual)","41 Source Type",$C$5,"5 Source no.",$C28,"4 Item Ledger Entry Type",$C$4,"2 Item No.","@@"&amp;$F28,"3 Posting Date",J$9)</t>
  </si>
  <si>
    <t>=-NL("Sum","5802 Value Entry","151 Cost Amount (Expected)","41 Source Type",$C$5,"5 Source No.",$C28,"4 Item Ledger Entry Type",$C$4,"2 Item No.","@@"&amp;$F28,"3 Posting Date",J$9)-NL("Sum","5802 Value Entry","43 Cost Amount (Actual)","41 Source Type",$C$5,"5 Source no.",$C28,"4 Item Ledger Entry Type",$C$4,"2 Item No.","@@"&amp;$F28,"3 Posting Date",J$9)</t>
  </si>
  <si>
    <t>=NL("Sum","5802 Value Entry","150 Sales Amount (Expected)","41 Source Type",$C$5,"5 Source No.",$C28,"4 Item Ledger Entry Type",$C$4,"2 Item No.","@@"&amp;$F28,"3 Posting Date",O$9)+NL("Sum","5802 Value Entry","17 Sales Amount (Actual)","41 Source Type",$C$5,"5 Source no.",$C28,"4 Item Ledger Entry Type",$C$4,"2 Item No.","@@"&amp;$F28,"3 Posting Date",O$9)</t>
  </si>
  <si>
    <t>=-NL("Sum","5802 Value Entry","151 Cost Amount (Expected)","41 Source Type",$C$5,"5 Source No.",$C28,"4 Item Ledger Entry Type",$C$4,"2 Item No.","@@"&amp;$F28,"3 Posting Date",O$9)-NL("Sum","5802 Value Entry","43 Cost Amount (Actual)","41 Source Type",$C$5,"5 Source no.",$C28,"4 Item Ledger Entry Type",$C$4,"2 Item No.","@@"&amp;$F28,"3 Posting Date",O$9)</t>
  </si>
  <si>
    <t>=NL("Sum","5802 Value Entry","150 Sales Amount (Expected)","41 Source Type",$C$5,"5 Source No.",$C29,"4 Item Ledger Entry Type",$C$4,"2 Item No.","@@"&amp;$F29,"3 Posting Date",J$9)+NL("Sum","5802 Value Entry","17 Sales Amount (Actual)","41 Source Type",$C$5,"5 Source no.",$C29,"4 Item Ledger Entry Type",$C$4,"2 Item No.","@@"&amp;$F29,"3 Posting Date",J$9)</t>
  </si>
  <si>
    <t>=-NL("Sum","5802 Value Entry","151 Cost Amount (Expected)","41 Source Type",$C$5,"5 Source No.",$C29,"4 Item Ledger Entry Type",$C$4,"2 Item No.","@@"&amp;$F29,"3 Posting Date",J$9)-NL("Sum","5802 Value Entry","43 Cost Amount (Actual)","41 Source Type",$C$5,"5 Source no.",$C29,"4 Item Ledger Entry Type",$C$4,"2 Item No.","@@"&amp;$F29,"3 Posting Date",J$9)</t>
  </si>
  <si>
    <t>=J29-L29</t>
  </si>
  <si>
    <t>=IF(J29&lt;&gt;0,M29/J29,"")</t>
  </si>
  <si>
    <t>=NL("Sum","5802 Value Entry","150 Sales Amount (Expected)","41 Source Type",$C$5,"5 Source No.",$C29,"4 Item Ledger Entry Type",$C$4,"2 Item No.","@@"&amp;$F29,"3 Posting Date",O$9)+NL("Sum","5802 Value Entry","17 Sales Amount (Actual)","41 Source Type",$C$5,"5 Source no.",$C29,"4 Item Ledger Entry Type",$C$4,"2 Item No.","@@"&amp;$F29,"3 Posting Date",O$9)</t>
  </si>
  <si>
    <t>=-NL("Sum","5802 Value Entry","151 Cost Amount (Expected)","41 Source Type",$C$5,"5 Source No.",$C29,"4 Item Ledger Entry Type",$C$4,"2 Item No.","@@"&amp;$F29,"3 Posting Date",O$9)-NL("Sum","5802 Value Entry","43 Cost Amount (Actual)","41 Source Type",$C$5,"5 Source no.",$C29,"4 Item Ledger Entry Type",$C$4,"2 Item No.","@@"&amp;$F29,"3 Posting Date",O$9)</t>
  </si>
  <si>
    <t>=O29-Q29</t>
  </si>
  <si>
    <t>=IF(O29&lt;&gt;0,R29/O29,"")</t>
  </si>
  <si>
    <t>="C100022"</t>
  </si>
  <si>
    <t>=NL("Sum","5802 Value Entry","150 Sales Amount (Expected)","41 Source Type",$C$5,"5 Source No.",$C30,"4 Item Ledger Entry Type",$C$4,"2 Item No.","@@"&amp;$F30,"3 Posting Date",J$9)+NL("Sum","5802 Value Entry","17 Sales Amount (Actual)","41 Source Type",$C$5,"5 Source no.",$C30,"4 Item Ledger Entry Type",$C$4,"2 Item No.","@@"&amp;$F30,"3 Posting Date",J$9)</t>
  </si>
  <si>
    <t>=-NL("Sum","5802 Value Entry","151 Cost Amount (Expected)","41 Source Type",$C$5,"5 Source No.",$C30,"4 Item Ledger Entry Type",$C$4,"2 Item No.","@@"&amp;$F30,"3 Posting Date",J$9)-NL("Sum","5802 Value Entry","43 Cost Amount (Actual)","41 Source Type",$C$5,"5 Source no.",$C30,"4 Item Ledger Entry Type",$C$4,"2 Item No.","@@"&amp;$F30,"3 Posting Date",J$9)</t>
  </si>
  <si>
    <t>=NL("Sum","5802 Value Entry","150 Sales Amount (Expected)","41 Source Type",$C$5,"5 Source No.",$C30,"4 Item Ledger Entry Type",$C$4,"2 Item No.","@@"&amp;$F30,"3 Posting Date",O$9)+NL("Sum","5802 Value Entry","17 Sales Amount (Actual)","41 Source Type",$C$5,"5 Source no.",$C30,"4 Item Ledger Entry Type",$C$4,"2 Item No.","@@"&amp;$F30,"3 Posting Date",O$9)</t>
  </si>
  <si>
    <t>=-NL("Sum","5802 Value Entry","151 Cost Amount (Expected)","41 Source Type",$C$5,"5 Source No.",$C30,"4 Item Ledger Entry Type",$C$4,"2 Item No.","@@"&amp;$F30,"3 Posting Date",O$9)-NL("Sum","5802 Value Entry","43 Cost Amount (Actual)","41 Source Type",$C$5,"5 Source no.",$C30,"4 Item Ledger Entry Type",$C$4,"2 Item No.","@@"&amp;$F30,"3 Posting Date",O$9)</t>
  </si>
  <si>
    <t>=C30</t>
  </si>
  <si>
    <t>="C100023"</t>
  </si>
  <si>
    <t>=NL("Sum","5802 Value Entry","150 Sales Amount (Expected)","41 Source Type",$C$5,"5 Source No.",$C31,"4 Item Ledger Entry Type",$C$4,"2 Item No.","@@"&amp;$F31,"3 Posting Date",J$9)+NL("Sum","5802 Value Entry","17 Sales Amount (Actual)","41 Source Type",$C$5,"5 Source no.",$C31,"4 Item Ledger Entry Type",$C$4,"2 Item No.","@@"&amp;$F31,"3 Posting Date",J$9)</t>
  </si>
  <si>
    <t>=-NL("Sum","5802 Value Entry","151 Cost Amount (Expected)","41 Source Type",$C$5,"5 Source No.",$C31,"4 Item Ledger Entry Type",$C$4,"2 Item No.","@@"&amp;$F31,"3 Posting Date",J$9)-NL("Sum","5802 Value Entry","43 Cost Amount (Actual)","41 Source Type",$C$5,"5 Source no.",$C31,"4 Item Ledger Entry Type",$C$4,"2 Item No.","@@"&amp;$F31,"3 Posting Date",J$9)</t>
  </si>
  <si>
    <t>=J31-L31</t>
  </si>
  <si>
    <t>=IF(J31&lt;&gt;0,M31/J31,"")</t>
  </si>
  <si>
    <t>=NL("Sum","5802 Value Entry","150 Sales Amount (Expected)","41 Source Type",$C$5,"5 Source No.",$C31,"4 Item Ledger Entry Type",$C$4,"2 Item No.","@@"&amp;$F31,"3 Posting Date",O$9)+NL("Sum","5802 Value Entry","17 Sales Amount (Actual)","41 Source Type",$C$5,"5 Source no.",$C31,"4 Item Ledger Entry Type",$C$4,"2 Item No.","@@"&amp;$F31,"3 Posting Date",O$9)</t>
  </si>
  <si>
    <t>=-NL("Sum","5802 Value Entry","151 Cost Amount (Expected)","41 Source Type",$C$5,"5 Source No.",$C31,"4 Item Ledger Entry Type",$C$4,"2 Item No.","@@"&amp;$F31,"3 Posting Date",O$9)-NL("Sum","5802 Value Entry","43 Cost Amount (Actual)","41 Source Type",$C$5,"5 Source no.",$C31,"4 Item Ledger Entry Type",$C$4,"2 Item No.","@@"&amp;$F31,"3 Posting Date",O$9)</t>
  </si>
  <si>
    <t>=O31-Q31</t>
  </si>
  <si>
    <t>=IF(O31&lt;&gt;0,R31/O31,"")</t>
  </si>
  <si>
    <t>=C31</t>
  </si>
  <si>
    <t>="C100024"</t>
  </si>
  <si>
    <t>=NL("Sum","5802 Value Entry","150 Sales Amount (Expected)","41 Source Type",$C$5,"5 Source No.",$C32,"4 Item Ledger Entry Type",$C$4,"2 Item No.","@@"&amp;$F32,"3 Posting Date",J$9)+NL("Sum","5802 Value Entry","17 Sales Amount (Actual)","41 Source Type",$C$5,"5 Source no.",$C32,"4 Item Ledger Entry Type",$C$4,"2 Item No.","@@"&amp;$F32,"3 Posting Date",J$9)</t>
  </si>
  <si>
    <t>=-NL("Sum","5802 Value Entry","151 Cost Amount (Expected)","41 Source Type",$C$5,"5 Source No.",$C32,"4 Item Ledger Entry Type",$C$4,"2 Item No.","@@"&amp;$F32,"3 Posting Date",J$9)-NL("Sum","5802 Value Entry","43 Cost Amount (Actual)","41 Source Type",$C$5,"5 Source no.",$C32,"4 Item Ledger Entry Type",$C$4,"2 Item No.","@@"&amp;$F32,"3 Posting Date",J$9)</t>
  </si>
  <si>
    <t>=J32-L32</t>
  </si>
  <si>
    <t>=IF(J32&lt;&gt;0,M32/J32,"")</t>
  </si>
  <si>
    <t>=NL("Sum","5802 Value Entry","150 Sales Amount (Expected)","41 Source Type",$C$5,"5 Source No.",$C32,"4 Item Ledger Entry Type",$C$4,"2 Item No.","@@"&amp;$F32,"3 Posting Date",O$9)+NL("Sum","5802 Value Entry","17 Sales Amount (Actual)","41 Source Type",$C$5,"5 Source no.",$C32,"4 Item Ledger Entry Type",$C$4,"2 Item No.","@@"&amp;$F32,"3 Posting Date",O$9)</t>
  </si>
  <si>
    <t>=-NL("Sum","5802 Value Entry","151 Cost Amount (Expected)","41 Source Type",$C$5,"5 Source No.",$C32,"4 Item Ledger Entry Type",$C$4,"2 Item No.","@@"&amp;$F32,"3 Posting Date",O$9)-NL("Sum","5802 Value Entry","43 Cost Amount (Actual)","41 Source Type",$C$5,"5 Source no.",$C32,"4 Item Ledger Entry Type",$C$4,"2 Item No.","@@"&amp;$F32,"3 Posting Date",O$9)</t>
  </si>
  <si>
    <t>=O32-Q32</t>
  </si>
  <si>
    <t>=IF(O32&lt;&gt;0,R32/O32,"")</t>
  </si>
  <si>
    <t>="C100025"</t>
  </si>
  <si>
    <t>=NL("Sum","5802 Value Entry","150 Sales Amount (Expected)","41 Source Type",$C$5,"5 Source No.",$C33,"4 Item Ledger Entry Type",$C$4,"2 Item No.","@@"&amp;$F33,"3 Posting Date",J$9)+NL("Sum","5802 Value Entry","17 Sales Amount (Actual)","41 Source Type",$C$5,"5 Source no.",$C33,"4 Item Ledger Entry Type",$C$4,"2 Item No.","@@"&amp;$F33,"3 Posting Date",J$9)</t>
  </si>
  <si>
    <t>=-NL("Sum","5802 Value Entry","151 Cost Amount (Expected)","41 Source Type",$C$5,"5 Source No.",$C33,"4 Item Ledger Entry Type",$C$4,"2 Item No.","@@"&amp;$F33,"3 Posting Date",J$9)-NL("Sum","5802 Value Entry","43 Cost Amount (Actual)","41 Source Type",$C$5,"5 Source no.",$C33,"4 Item Ledger Entry Type",$C$4,"2 Item No.","@@"&amp;$F33,"3 Posting Date",J$9)</t>
  </si>
  <si>
    <t>=J33-L33</t>
  </si>
  <si>
    <t>=IF(J33&lt;&gt;0,M33/J33,"")</t>
  </si>
  <si>
    <t>=NL("Sum","5802 Value Entry","150 Sales Amount (Expected)","41 Source Type",$C$5,"5 Source No.",$C33,"4 Item Ledger Entry Type",$C$4,"2 Item No.","@@"&amp;$F33,"3 Posting Date",O$9)+NL("Sum","5802 Value Entry","17 Sales Amount (Actual)","41 Source Type",$C$5,"5 Source no.",$C33,"4 Item Ledger Entry Type",$C$4,"2 Item No.","@@"&amp;$F33,"3 Posting Date",O$9)</t>
  </si>
  <si>
    <t>=-NL("Sum","5802 Value Entry","151 Cost Amount (Expected)","41 Source Type",$C$5,"5 Source No.",$C33,"4 Item Ledger Entry Type",$C$4,"2 Item No.","@@"&amp;$F33,"3 Posting Date",O$9)-NL("Sum","5802 Value Entry","43 Cost Amount (Actual)","41 Source Type",$C$5,"5 Source no.",$C33,"4 Item Ledger Entry Type",$C$4,"2 Item No.","@@"&amp;$F33,"3 Posting Date",O$9)</t>
  </si>
  <si>
    <t>=O33-Q33</t>
  </si>
  <si>
    <t>=IF(O33&lt;&gt;0,R33/O33,"")</t>
  </si>
  <si>
    <t>="C100026"</t>
  </si>
  <si>
    <t>=NL("Sum","5802 Value Entry","150 Sales Amount (Expected)","41 Source Type",$C$5,"5 Source No.",$C34,"4 Item Ledger Entry Type",$C$4,"2 Item No.","@@"&amp;$F34,"3 Posting Date",J$9)+NL("Sum","5802 Value Entry","17 Sales Amount (Actual)","41 Source Type",$C$5,"5 Source no.",$C34,"4 Item Ledger Entry Type",$C$4,"2 Item No.","@@"&amp;$F34,"3 Posting Date",J$9)</t>
  </si>
  <si>
    <t>=-NL("Sum","5802 Value Entry","151 Cost Amount (Expected)","41 Source Type",$C$5,"5 Source No.",$C34,"4 Item Ledger Entry Type",$C$4,"2 Item No.","@@"&amp;$F34,"3 Posting Date",J$9)-NL("Sum","5802 Value Entry","43 Cost Amount (Actual)","41 Source Type",$C$5,"5 Source no.",$C34,"4 Item Ledger Entry Type",$C$4,"2 Item No.","@@"&amp;$F34,"3 Posting Date",J$9)</t>
  </si>
  <si>
    <t>=NL("Sum","5802 Value Entry","150 Sales Amount (Expected)","41 Source Type",$C$5,"5 Source No.",$C34,"4 Item Ledger Entry Type",$C$4,"2 Item No.","@@"&amp;$F34,"3 Posting Date",O$9)+NL("Sum","5802 Value Entry","17 Sales Amount (Actual)","41 Source Type",$C$5,"5 Source no.",$C34,"4 Item Ledger Entry Type",$C$4,"2 Item No.","@@"&amp;$F34,"3 Posting Date",O$9)</t>
  </si>
  <si>
    <t>=-NL("Sum","5802 Value Entry","151 Cost Amount (Expected)","41 Source Type",$C$5,"5 Source No.",$C34,"4 Item Ledger Entry Type",$C$4,"2 Item No.","@@"&amp;$F34,"3 Posting Date",O$9)-NL("Sum","5802 Value Entry","43 Cost Amount (Actual)","41 Source Type",$C$5,"5 Source no.",$C34,"4 Item Ledger Entry Type",$C$4,"2 Item No.","@@"&amp;$F34,"3 Posting Date",O$9)</t>
  </si>
  <si>
    <t>=NL("Sum","5802 Value Entry","150 Sales Amount (Expected)","41 Source Type",$C$5,"5 Source No.",$C35,"4 Item Ledger Entry Type",$C$4,"2 Item No.","@@"&amp;$F35,"3 Posting Date",J$9)+NL("Sum","5802 Value Entry","17 Sales Amount (Actual)","41 Source Type",$C$5,"5 Source no.",$C35,"4 Item Ledger Entry Type",$C$4,"2 Item No.","@@"&amp;$F35,"3 Posting Date",J$9)</t>
  </si>
  <si>
    <t>=-NL("Sum","5802 Value Entry","151 Cost Amount (Expected)","41 Source Type",$C$5,"5 Source No.",$C35,"4 Item Ledger Entry Type",$C$4,"2 Item No.","@@"&amp;$F35,"3 Posting Date",J$9)-NL("Sum","5802 Value Entry","43 Cost Amount (Actual)","41 Source Type",$C$5,"5 Source no.",$C35,"4 Item Ledger Entry Type",$C$4,"2 Item No.","@@"&amp;$F35,"3 Posting Date",J$9)</t>
  </si>
  <si>
    <t>=J35-L35</t>
  </si>
  <si>
    <t>=IF(J35&lt;&gt;0,M35/J35,"")</t>
  </si>
  <si>
    <t>=NL("Sum","5802 Value Entry","150 Sales Amount (Expected)","41 Source Type",$C$5,"5 Source No.",$C35,"4 Item Ledger Entry Type",$C$4,"2 Item No.","@@"&amp;$F35,"3 Posting Date",O$9)+NL("Sum","5802 Value Entry","17 Sales Amount (Actual)","41 Source Type",$C$5,"5 Source no.",$C35,"4 Item Ledger Entry Type",$C$4,"2 Item No.","@@"&amp;$F35,"3 Posting Date",O$9)</t>
  </si>
  <si>
    <t>=-NL("Sum","5802 Value Entry","151 Cost Amount (Expected)","41 Source Type",$C$5,"5 Source No.",$C35,"4 Item Ledger Entry Type",$C$4,"2 Item No.","@@"&amp;$F35,"3 Posting Date",O$9)-NL("Sum","5802 Value Entry","43 Cost Amount (Actual)","41 Source Type",$C$5,"5 Source no.",$C35,"4 Item Ledger Entry Type",$C$4,"2 Item No.","@@"&amp;$F35,"3 Posting Date",O$9)</t>
  </si>
  <si>
    <t>=O35-Q35</t>
  </si>
  <si>
    <t>=IF(O35&lt;&gt;0,R35/O35,"")</t>
  </si>
  <si>
    <t>=NL("Sum","5802 Value Entry","150 Sales Amount (Expected)","41 Source Type",$C$5,"5 Source No.",$C36,"4 Item Ledger Entry Type",$C$4,"2 Item No.","@@"&amp;$F36,"3 Posting Date",J$9)+NL("Sum","5802 Value Entry","17 Sales Amount (Actual)","41 Source Type",$C$5,"5 Source no.",$C36,"4 Item Ledger Entry Type",$C$4,"2 Item No.","@@"&amp;$F36,"3 Posting Date",J$9)</t>
  </si>
  <si>
    <t>=-NL("Sum","5802 Value Entry","151 Cost Amount (Expected)","41 Source Type",$C$5,"5 Source No.",$C36,"4 Item Ledger Entry Type",$C$4,"2 Item No.","@@"&amp;$F36,"3 Posting Date",J$9)-NL("Sum","5802 Value Entry","43 Cost Amount (Actual)","41 Source Type",$C$5,"5 Source no.",$C36,"4 Item Ledger Entry Type",$C$4,"2 Item No.","@@"&amp;$F36,"3 Posting Date",J$9)</t>
  </si>
  <si>
    <t>=NL("Sum","5802 Value Entry","150 Sales Amount (Expected)","41 Source Type",$C$5,"5 Source No.",$C36,"4 Item Ledger Entry Type",$C$4,"2 Item No.","@@"&amp;$F36,"3 Posting Date",O$9)+NL("Sum","5802 Value Entry","17 Sales Amount (Actual)","41 Source Type",$C$5,"5 Source no.",$C36,"4 Item Ledger Entry Type",$C$4,"2 Item No.","@@"&amp;$F36,"3 Posting Date",O$9)</t>
  </si>
  <si>
    <t>=-NL("Sum","5802 Value Entry","151 Cost Amount (Expected)","41 Source Type",$C$5,"5 Source No.",$C36,"4 Item Ledger Entry Type",$C$4,"2 Item No.","@@"&amp;$F36,"3 Posting Date",O$9)-NL("Sum","5802 Value Entry","43 Cost Amount (Actual)","41 Source Type",$C$5,"5 Source no.",$C36,"4 Item Ledger Entry Type",$C$4,"2 Item No.","@@"&amp;$F36,"3 Posting Date",O$9)</t>
  </si>
  <si>
    <t>=C36</t>
  </si>
  <si>
    <t>="C100029"</t>
  </si>
  <si>
    <t>=NL("Sum","5802 Value Entry","150 Sales Amount (Expected)","41 Source Type",$C$5,"5 Source No.",$C37,"4 Item Ledger Entry Type",$C$4,"2 Item No.","@@"&amp;$F37,"3 Posting Date",J$9)+NL("Sum","5802 Value Entry","17 Sales Amount (Actual)","41 Source Type",$C$5,"5 Source no.",$C37,"4 Item Ledger Entry Type",$C$4,"2 Item No.","@@"&amp;$F37,"3 Posting Date",J$9)</t>
  </si>
  <si>
    <t>=-NL("Sum","5802 Value Entry","151 Cost Amount (Expected)","41 Source Type",$C$5,"5 Source No.",$C37,"4 Item Ledger Entry Type",$C$4,"2 Item No.","@@"&amp;$F37,"3 Posting Date",J$9)-NL("Sum","5802 Value Entry","43 Cost Amount (Actual)","41 Source Type",$C$5,"5 Source no.",$C37,"4 Item Ledger Entry Type",$C$4,"2 Item No.","@@"&amp;$F37,"3 Posting Date",J$9)</t>
  </si>
  <si>
    <t>=J37-L37</t>
  </si>
  <si>
    <t>=IF(J37&lt;&gt;0,M37/J37,"")</t>
  </si>
  <si>
    <t>=NL("Sum","5802 Value Entry","150 Sales Amount (Expected)","41 Source Type",$C$5,"5 Source No.",$C37,"4 Item Ledger Entry Type",$C$4,"2 Item No.","@@"&amp;$F37,"3 Posting Date",O$9)+NL("Sum","5802 Value Entry","17 Sales Amount (Actual)","41 Source Type",$C$5,"5 Source no.",$C37,"4 Item Ledger Entry Type",$C$4,"2 Item No.","@@"&amp;$F37,"3 Posting Date",O$9)</t>
  </si>
  <si>
    <t>=-NL("Sum","5802 Value Entry","151 Cost Amount (Expected)","41 Source Type",$C$5,"5 Source No.",$C37,"4 Item Ledger Entry Type",$C$4,"2 Item No.","@@"&amp;$F37,"3 Posting Date",O$9)-NL("Sum","5802 Value Entry","43 Cost Amount (Actual)","41 Source Type",$C$5,"5 Source no.",$C37,"4 Item Ledger Entry Type",$C$4,"2 Item No.","@@"&amp;$F37,"3 Posting Date",O$9)</t>
  </si>
  <si>
    <t>=O37-Q37</t>
  </si>
  <si>
    <t>=IF(O37&lt;&gt;0,R37/O37,"")</t>
  </si>
  <si>
    <t>=C37</t>
  </si>
  <si>
    <t>="C100030"</t>
  </si>
  <si>
    <t>=NL("Sum","5802 Value Entry","150 Sales Amount (Expected)","41 Source Type",$C$5,"5 Source No.",$C38,"4 Item Ledger Entry Type",$C$4,"2 Item No.","@@"&amp;$F38,"3 Posting Date",J$9)+NL("Sum","5802 Value Entry","17 Sales Amount (Actual)","41 Source Type",$C$5,"5 Source no.",$C38,"4 Item Ledger Entry Type",$C$4,"2 Item No.","@@"&amp;$F38,"3 Posting Date",J$9)</t>
  </si>
  <si>
    <t>=-NL("Sum","5802 Value Entry","151 Cost Amount (Expected)","41 Source Type",$C$5,"5 Source No.",$C38,"4 Item Ledger Entry Type",$C$4,"2 Item No.","@@"&amp;$F38,"3 Posting Date",J$9)-NL("Sum","5802 Value Entry","43 Cost Amount (Actual)","41 Source Type",$C$5,"5 Source no.",$C38,"4 Item Ledger Entry Type",$C$4,"2 Item No.","@@"&amp;$F38,"3 Posting Date",J$9)</t>
  </si>
  <si>
    <t>=J38-L38</t>
  </si>
  <si>
    <t>=IF(J38&lt;&gt;0,M38/J38,"")</t>
  </si>
  <si>
    <t>=NL("Sum","5802 Value Entry","150 Sales Amount (Expected)","41 Source Type",$C$5,"5 Source No.",$C38,"4 Item Ledger Entry Type",$C$4,"2 Item No.","@@"&amp;$F38,"3 Posting Date",O$9)+NL("Sum","5802 Value Entry","17 Sales Amount (Actual)","41 Source Type",$C$5,"5 Source no.",$C38,"4 Item Ledger Entry Type",$C$4,"2 Item No.","@@"&amp;$F38,"3 Posting Date",O$9)</t>
  </si>
  <si>
    <t>=-NL("Sum","5802 Value Entry","151 Cost Amount (Expected)","41 Source Type",$C$5,"5 Source No.",$C38,"4 Item Ledger Entry Type",$C$4,"2 Item No.","@@"&amp;$F38,"3 Posting Date",O$9)-NL("Sum","5802 Value Entry","43 Cost Amount (Actual)","41 Source Type",$C$5,"5 Source no.",$C38,"4 Item Ledger Entry Type",$C$4,"2 Item No.","@@"&amp;$F38,"3 Posting Date",O$9)</t>
  </si>
  <si>
    <t>=O38-Q38</t>
  </si>
  <si>
    <t>=IF(O38&lt;&gt;0,R38/O38,"")</t>
  </si>
  <si>
    <t>="E100001"</t>
  </si>
  <si>
    <t>="E100011"</t>
  </si>
  <si>
    <t>=C42</t>
  </si>
  <si>
    <t>="E100012"</t>
  </si>
  <si>
    <t>=C43</t>
  </si>
  <si>
    <t>="E100013"</t>
  </si>
  <si>
    <t>=NL("Sum","5802 Value Entry","150 Sales Amount (Expected)","41 Source Type",$C$5,"5 Source No.",$C44,"4 Item Ledger Entry Type",$C$4,"2 Item No.","@@"&amp;$F44,"3 Posting Date",J$9)+NL("Sum","5802 Value Entry","17 Sales Amount (Actual)","41 Source Type",$C$5,"5 Source no.",$C44,"4 Item Ledger Entry Type",$C$4,"2 Item No.","@@"&amp;$F44,"3 Posting Date",J$9)</t>
  </si>
  <si>
    <t>=-NL("Sum","5802 Value Entry","151 Cost Amount (Expected)","41 Source Type",$C$5,"5 Source No.",$C44,"4 Item Ledger Entry Type",$C$4,"2 Item No.","@@"&amp;$F44,"3 Posting Date",J$9)-NL("Sum","5802 Value Entry","43 Cost Amount (Actual)","41 Source Type",$C$5,"5 Source no.",$C44,"4 Item Ledger Entry Type",$C$4,"2 Item No.","@@"&amp;$F44,"3 Posting Date",J$9)</t>
  </si>
  <si>
    <t>=J44-L44</t>
  </si>
  <si>
    <t>=IF(J44&lt;&gt;0,M44/J44,"")</t>
  </si>
  <si>
    <t>=NL("Sum","5802 Value Entry","150 Sales Amount (Expected)","41 Source Type",$C$5,"5 Source No.",$C44,"4 Item Ledger Entry Type",$C$4,"2 Item No.","@@"&amp;$F44,"3 Posting Date",O$9)+NL("Sum","5802 Value Entry","17 Sales Amount (Actual)","41 Source Type",$C$5,"5 Source no.",$C44,"4 Item Ledger Entry Type",$C$4,"2 Item No.","@@"&amp;$F44,"3 Posting Date",O$9)</t>
  </si>
  <si>
    <t>=-NL("Sum","5802 Value Entry","151 Cost Amount (Expected)","41 Source Type",$C$5,"5 Source No.",$C44,"4 Item Ledger Entry Type",$C$4,"2 Item No.","@@"&amp;$F44,"3 Posting Date",O$9)-NL("Sum","5802 Value Entry","43 Cost Amount (Actual)","41 Source Type",$C$5,"5 Source no.",$C44,"4 Item Ledger Entry Type",$C$4,"2 Item No.","@@"&amp;$F44,"3 Posting Date",O$9)</t>
  </si>
  <si>
    <t>=O44-Q44</t>
  </si>
  <si>
    <t>=IF(O44&lt;&gt;0,R44/O44,"")</t>
  </si>
  <si>
    <t>="E100015"</t>
  </si>
  <si>
    <t>="E100016"</t>
  </si>
  <si>
    <t>="E100017"</t>
  </si>
  <si>
    <t>=C48</t>
  </si>
  <si>
    <t>="E100018"</t>
  </si>
  <si>
    <t>=C49</t>
  </si>
  <si>
    <t>="S100001"</t>
  </si>
  <si>
    <t>=NL("Sum","5802 Value Entry","150 Sales Amount (Expected)","41 Source Type",$C$5,"5 Source No.",$C50,"4 Item Ledger Entry Type",$C$4,"2 Item No.","@@"&amp;$F50,"3 Posting Date",J$9)+NL("Sum","5802 Value Entry","17 Sales Amount (Actual)","41 Source Type",$C$5,"5 Source no.",$C50,"4 Item Ledger Entry Type",$C$4,"2 Item No.","@@"&amp;$F50,"3 Posting Date",J$9)</t>
  </si>
  <si>
    <t>=-NL("Sum","5802 Value Entry","151 Cost Amount (Expected)","41 Source Type",$C$5,"5 Source No.",$C50,"4 Item Ledger Entry Type",$C$4,"2 Item No.","@@"&amp;$F50,"3 Posting Date",J$9)-NL("Sum","5802 Value Entry","43 Cost Amount (Actual)","41 Source Type",$C$5,"5 Source no.",$C50,"4 Item Ledger Entry Type",$C$4,"2 Item No.","@@"&amp;$F50,"3 Posting Date",J$9)</t>
  </si>
  <si>
    <t>=J50-L50</t>
  </si>
  <si>
    <t>=IF(J50&lt;&gt;0,M50/J50,"")</t>
  </si>
  <si>
    <t>=NL("Sum","5802 Value Entry","150 Sales Amount (Expected)","41 Source Type",$C$5,"5 Source No.",$C50,"4 Item Ledger Entry Type",$C$4,"2 Item No.","@@"&amp;$F50,"3 Posting Date",O$9)+NL("Sum","5802 Value Entry","17 Sales Amount (Actual)","41 Source Type",$C$5,"5 Source no.",$C50,"4 Item Ledger Entry Type",$C$4,"2 Item No.","@@"&amp;$F50,"3 Posting Date",O$9)</t>
  </si>
  <si>
    <t>=-NL("Sum","5802 Value Entry","151 Cost Amount (Expected)","41 Source Type",$C$5,"5 Source No.",$C50,"4 Item Ledger Entry Type",$C$4,"2 Item No.","@@"&amp;$F50,"3 Posting Date",O$9)-NL("Sum","5802 Value Entry","43 Cost Amount (Actual)","41 Source Type",$C$5,"5 Source no.",$C50,"4 Item Ledger Entry Type",$C$4,"2 Item No.","@@"&amp;$F50,"3 Posting Date",O$9)</t>
  </si>
  <si>
    <t>=O50-Q50</t>
  </si>
  <si>
    <t>=IF(O50&lt;&gt;0,R50/O50,"")</t>
  </si>
  <si>
    <t>=NL("Sum","5802 Value Entry","150 Sales Amount (Expected)","41 Source Type",$C$5,"5 Source No.",$C51,"4 Item Ledger Entry Type",$C$4,"2 Item No.","@@"&amp;$F51,"3 Posting Date",J$9)+NL("Sum","5802 Value Entry","17 Sales Amount (Actual)","41 Source Type",$C$5,"5 Source no.",$C51,"4 Item Ledger Entry Type",$C$4,"2 Item No.","@@"&amp;$F51,"3 Posting Date",J$9)</t>
  </si>
  <si>
    <t>=-NL("Sum","5802 Value Entry","151 Cost Amount (Expected)","41 Source Type",$C$5,"5 Source No.",$C51,"4 Item Ledger Entry Type",$C$4,"2 Item No.","@@"&amp;$F51,"3 Posting Date",J$9)-NL("Sum","5802 Value Entry","43 Cost Amount (Actual)","41 Source Type",$C$5,"5 Source no.",$C51,"4 Item Ledger Entry Type",$C$4,"2 Item No.","@@"&amp;$F51,"3 Posting Date",J$9)</t>
  </si>
  <si>
    <t>=J51-L51</t>
  </si>
  <si>
    <t>=IF(J51&lt;&gt;0,M51/J51,"")</t>
  </si>
  <si>
    <t>=NL("Sum","5802 Value Entry","150 Sales Amount (Expected)","41 Source Type",$C$5,"5 Source No.",$C51,"4 Item Ledger Entry Type",$C$4,"2 Item No.","@@"&amp;$F51,"3 Posting Date",O$9)+NL("Sum","5802 Value Entry","17 Sales Amount (Actual)","41 Source Type",$C$5,"5 Source no.",$C51,"4 Item Ledger Entry Type",$C$4,"2 Item No.","@@"&amp;$F51,"3 Posting Date",O$9)</t>
  </si>
  <si>
    <t>=-NL("Sum","5802 Value Entry","151 Cost Amount (Expected)","41 Source Type",$C$5,"5 Source No.",$C51,"4 Item Ledger Entry Type",$C$4,"2 Item No.","@@"&amp;$F51,"3 Posting Date",O$9)-NL("Sum","5802 Value Entry","43 Cost Amount (Actual)","41 Source Type",$C$5,"5 Source no.",$C51,"4 Item Ledger Entry Type",$C$4,"2 Item No.","@@"&amp;$F51,"3 Posting Date",O$9)</t>
  </si>
  <si>
    <t>=O51-Q51</t>
  </si>
  <si>
    <t>=IF(O51&lt;&gt;0,R51/O51,"")</t>
  </si>
  <si>
    <t>="S100003"</t>
  </si>
  <si>
    <t>=NL("Sum","5802 Value Entry","150 Sales Amount (Expected)","41 Source Type",$C$5,"5 Source No.",$C52,"4 Item Ledger Entry Type",$C$4,"2 Item No.","@@"&amp;$F52,"3 Posting Date",J$9)+NL("Sum","5802 Value Entry","17 Sales Amount (Actual)","41 Source Type",$C$5,"5 Source no.",$C52,"4 Item Ledger Entry Type",$C$4,"2 Item No.","@@"&amp;$F52,"3 Posting Date",J$9)</t>
  </si>
  <si>
    <t>=-NL("Sum","5802 Value Entry","151 Cost Amount (Expected)","41 Source Type",$C$5,"5 Source No.",$C52,"4 Item Ledger Entry Type",$C$4,"2 Item No.","@@"&amp;$F52,"3 Posting Date",J$9)-NL("Sum","5802 Value Entry","43 Cost Amount (Actual)","41 Source Type",$C$5,"5 Source no.",$C52,"4 Item Ledger Entry Type",$C$4,"2 Item No.","@@"&amp;$F52,"3 Posting Date",J$9)</t>
  </si>
  <si>
    <t>=NL("Sum","5802 Value Entry","150 Sales Amount (Expected)","41 Source Type",$C$5,"5 Source No.",$C52,"4 Item Ledger Entry Type",$C$4,"2 Item No.","@@"&amp;$F52,"3 Posting Date",O$9)+NL("Sum","5802 Value Entry","17 Sales Amount (Actual)","41 Source Type",$C$5,"5 Source no.",$C52,"4 Item Ledger Entry Type",$C$4,"2 Item No.","@@"&amp;$F52,"3 Posting Date",O$9)</t>
  </si>
  <si>
    <t>=-NL("Sum","5802 Value Entry","151 Cost Amount (Expected)","41 Source Type",$C$5,"5 Source No.",$C52,"4 Item Ledger Entry Type",$C$4,"2 Item No.","@@"&amp;$F52,"3 Posting Date",O$9)-NL("Sum","5802 Value Entry","43 Cost Amount (Actual)","41 Source Type",$C$5,"5 Source no.",$C52,"4 Item Ledger Entry Type",$C$4,"2 Item No.","@@"&amp;$F52,"3 Posting Date",O$9)</t>
  </si>
  <si>
    <t>="S100005"</t>
  </si>
  <si>
    <t>=NL("Sum","5802 Value Entry","150 Sales Amount (Expected)","41 Source Type",$C$5,"5 Source No.",$C53,"4 Item Ledger Entry Type",$C$4,"2 Item No.","@@"&amp;$F53,"3 Posting Date",J$9)+NL("Sum","5802 Value Entry","17 Sales Amount (Actual)","41 Source Type",$C$5,"5 Source no.",$C53,"4 Item Ledger Entry Type",$C$4,"2 Item No.","@@"&amp;$F53,"3 Posting Date",J$9)</t>
  </si>
  <si>
    <t>=-NL("Sum","5802 Value Entry","151 Cost Amount (Expected)","41 Source Type",$C$5,"5 Source No.",$C53,"4 Item Ledger Entry Type",$C$4,"2 Item No.","@@"&amp;$F53,"3 Posting Date",J$9)-NL("Sum","5802 Value Entry","43 Cost Amount (Actual)","41 Source Type",$C$5,"5 Source no.",$C53,"4 Item Ledger Entry Type",$C$4,"2 Item No.","@@"&amp;$F53,"3 Posting Date",J$9)</t>
  </si>
  <si>
    <t>=J53-L53</t>
  </si>
  <si>
    <t>=IF(J53&lt;&gt;0,M53/J53,"")</t>
  </si>
  <si>
    <t>=NL("Sum","5802 Value Entry","150 Sales Amount (Expected)","41 Source Type",$C$5,"5 Source No.",$C53,"4 Item Ledger Entry Type",$C$4,"2 Item No.","@@"&amp;$F53,"3 Posting Date",O$9)+NL("Sum","5802 Value Entry","17 Sales Amount (Actual)","41 Source Type",$C$5,"5 Source no.",$C53,"4 Item Ledger Entry Type",$C$4,"2 Item No.","@@"&amp;$F53,"3 Posting Date",O$9)</t>
  </si>
  <si>
    <t>=-NL("Sum","5802 Value Entry","151 Cost Amount (Expected)","41 Source Type",$C$5,"5 Source No.",$C53,"4 Item Ledger Entry Type",$C$4,"2 Item No.","@@"&amp;$F53,"3 Posting Date",O$9)-NL("Sum","5802 Value Entry","43 Cost Amount (Actual)","41 Source Type",$C$5,"5 Source no.",$C53,"4 Item Ledger Entry Type",$C$4,"2 Item No.","@@"&amp;$F53,"3 Posting Date",O$9)</t>
  </si>
  <si>
    <t>=O53-Q53</t>
  </si>
  <si>
    <t>=IF(O53&lt;&gt;0,R53/O53,"")</t>
  </si>
  <si>
    <t>=NL("Sum","5802 Value Entry","150 Sales Amount (Expected)","41 Source Type",$C$5,"5 Source No.",$C54,"4 Item Ledger Entry Type",$C$4,"2 Item No.","@@"&amp;$F54,"3 Posting Date",J$9)+NL("Sum","5802 Value Entry","17 Sales Amount (Actual)","41 Source Type",$C$5,"5 Source no.",$C54,"4 Item Ledger Entry Type",$C$4,"2 Item No.","@@"&amp;$F54,"3 Posting Date",J$9)</t>
  </si>
  <si>
    <t>=-NL("Sum","5802 Value Entry","151 Cost Amount (Expected)","41 Source Type",$C$5,"5 Source No.",$C54,"4 Item Ledger Entry Type",$C$4,"2 Item No.","@@"&amp;$F54,"3 Posting Date",J$9)-NL("Sum","5802 Value Entry","43 Cost Amount (Actual)","41 Source Type",$C$5,"5 Source no.",$C54,"4 Item Ledger Entry Type",$C$4,"2 Item No.","@@"&amp;$F54,"3 Posting Date",J$9)</t>
  </si>
  <si>
    <t>=NL("Sum","5802 Value Entry","150 Sales Amount (Expected)","41 Source Type",$C$5,"5 Source No.",$C54,"4 Item Ledger Entry Type",$C$4,"2 Item No.","@@"&amp;$F54,"3 Posting Date",O$9)+NL("Sum","5802 Value Entry","17 Sales Amount (Actual)","41 Source Type",$C$5,"5 Source no.",$C54,"4 Item Ledger Entry Type",$C$4,"2 Item No.","@@"&amp;$F54,"3 Posting Date",O$9)</t>
  </si>
  <si>
    <t>=-NL("Sum","5802 Value Entry","151 Cost Amount (Expected)","41 Source Type",$C$5,"5 Source No.",$C54,"4 Item Ledger Entry Type",$C$4,"2 Item No.","@@"&amp;$F54,"3 Posting Date",O$9)-NL("Sum","5802 Value Entry","43 Cost Amount (Actual)","41 Source Type",$C$5,"5 Source no.",$C54,"4 Item Ledger Entry Type",$C$4,"2 Item No.","@@"&amp;$F54,"3 Posting Date",O$9)</t>
  </si>
  <si>
    <t>=C54</t>
  </si>
  <si>
    <t>="S100007"</t>
  </si>
  <si>
    <t>=NL("Sum","5802 Value Entry","150 Sales Amount (Expected)","41 Source Type",$C$5,"5 Source No.",$C55,"4 Item Ledger Entry Type",$C$4,"2 Item No.","@@"&amp;$F55,"3 Posting Date",J$9)+NL("Sum","5802 Value Entry","17 Sales Amount (Actual)","41 Source Type",$C$5,"5 Source no.",$C55,"4 Item Ledger Entry Type",$C$4,"2 Item No.","@@"&amp;$F55,"3 Posting Date",J$9)</t>
  </si>
  <si>
    <t>=-NL("Sum","5802 Value Entry","151 Cost Amount (Expected)","41 Source Type",$C$5,"5 Source No.",$C55,"4 Item Ledger Entry Type",$C$4,"2 Item No.","@@"&amp;$F55,"3 Posting Date",J$9)-NL("Sum","5802 Value Entry","43 Cost Amount (Actual)","41 Source Type",$C$5,"5 Source no.",$C55,"4 Item Ledger Entry Type",$C$4,"2 Item No.","@@"&amp;$F55,"3 Posting Date",J$9)</t>
  </si>
  <si>
    <t>=J55-L55</t>
  </si>
  <si>
    <t>=IF(J55&lt;&gt;0,M55/J55,"")</t>
  </si>
  <si>
    <t>=NL("Sum","5802 Value Entry","150 Sales Amount (Expected)","41 Source Type",$C$5,"5 Source No.",$C55,"4 Item Ledger Entry Type",$C$4,"2 Item No.","@@"&amp;$F55,"3 Posting Date",O$9)+NL("Sum","5802 Value Entry","17 Sales Amount (Actual)","41 Source Type",$C$5,"5 Source no.",$C55,"4 Item Ledger Entry Type",$C$4,"2 Item No.","@@"&amp;$F55,"3 Posting Date",O$9)</t>
  </si>
  <si>
    <t>=-NL("Sum","5802 Value Entry","151 Cost Amount (Expected)","41 Source Type",$C$5,"5 Source No.",$C55,"4 Item Ledger Entry Type",$C$4,"2 Item No.","@@"&amp;$F55,"3 Posting Date",O$9)-NL("Sum","5802 Value Entry","43 Cost Amount (Actual)","41 Source Type",$C$5,"5 Source no.",$C55,"4 Item Ledger Entry Type",$C$4,"2 Item No.","@@"&amp;$F55,"3 Posting Date",O$9)</t>
  </si>
  <si>
    <t>=O55-Q55</t>
  </si>
  <si>
    <t>=IF(O55&lt;&gt;0,R55/O55,"")</t>
  </si>
  <si>
    <t>=C55</t>
  </si>
  <si>
    <t>=NL("Sum","5802 Value Entry","150 Sales Amount (Expected)","41 Source Type",$C$5,"5 Source No.",$C56,"4 Item Ledger Entry Type",$C$4,"2 Item No.","@@"&amp;$F56,"3 Posting Date",J$9)+NL("Sum","5802 Value Entry","17 Sales Amount (Actual)","41 Source Type",$C$5,"5 Source no.",$C56,"4 Item Ledger Entry Type",$C$4,"2 Item No.","@@"&amp;$F56,"3 Posting Date",J$9)</t>
  </si>
  <si>
    <t>=-NL("Sum","5802 Value Entry","151 Cost Amount (Expected)","41 Source Type",$C$5,"5 Source No.",$C56,"4 Item Ledger Entry Type",$C$4,"2 Item No.","@@"&amp;$F56,"3 Posting Date",J$9)-NL("Sum","5802 Value Entry","43 Cost Amount (Actual)","41 Source Type",$C$5,"5 Source no.",$C56,"4 Item Ledger Entry Type",$C$4,"2 Item No.","@@"&amp;$F56,"3 Posting Date",J$9)</t>
  </si>
  <si>
    <t>=J56-L56</t>
  </si>
  <si>
    <t>=IF(J56&lt;&gt;0,M56/J56,"")</t>
  </si>
  <si>
    <t>=NL("Sum","5802 Value Entry","150 Sales Amount (Expected)","41 Source Type",$C$5,"5 Source No.",$C56,"4 Item Ledger Entry Type",$C$4,"2 Item No.","@@"&amp;$F56,"3 Posting Date",O$9)+NL("Sum","5802 Value Entry","17 Sales Amount (Actual)","41 Source Type",$C$5,"5 Source no.",$C56,"4 Item Ledger Entry Type",$C$4,"2 Item No.","@@"&amp;$F56,"3 Posting Date",O$9)</t>
  </si>
  <si>
    <t>=-NL("Sum","5802 Value Entry","151 Cost Amount (Expected)","41 Source Type",$C$5,"5 Source No.",$C56,"4 Item Ledger Entry Type",$C$4,"2 Item No.","@@"&amp;$F56,"3 Posting Date",O$9)-NL("Sum","5802 Value Entry","43 Cost Amount (Actual)","41 Source Type",$C$5,"5 Source no.",$C56,"4 Item Ledger Entry Type",$C$4,"2 Item No.","@@"&amp;$F56,"3 Posting Date",O$9)</t>
  </si>
  <si>
    <t>=O56-Q56</t>
  </si>
  <si>
    <t>=IF(O56&lt;&gt;0,R56/O56,"")</t>
  </si>
  <si>
    <t>="S100009"</t>
  </si>
  <si>
    <t>=NL("Sum","5802 Value Entry","150 Sales Amount (Expected)","41 Source Type",$C$5,"5 Source No.",$C57,"4 Item Ledger Entry Type",$C$4,"2 Item No.","@@"&amp;$F57,"3 Posting Date",J$9)+NL("Sum","5802 Value Entry","17 Sales Amount (Actual)","41 Source Type",$C$5,"5 Source no.",$C57,"4 Item Ledger Entry Type",$C$4,"2 Item No.","@@"&amp;$F57,"3 Posting Date",J$9)</t>
  </si>
  <si>
    <t>=-NL("Sum","5802 Value Entry","151 Cost Amount (Expected)","41 Source Type",$C$5,"5 Source No.",$C57,"4 Item Ledger Entry Type",$C$4,"2 Item No.","@@"&amp;$F57,"3 Posting Date",J$9)-NL("Sum","5802 Value Entry","43 Cost Amount (Actual)","41 Source Type",$C$5,"5 Source no.",$C57,"4 Item Ledger Entry Type",$C$4,"2 Item No.","@@"&amp;$F57,"3 Posting Date",J$9)</t>
  </si>
  <si>
    <t>=J57-L57</t>
  </si>
  <si>
    <t>=IF(J57&lt;&gt;0,M57/J57,"")</t>
  </si>
  <si>
    <t>=NL("Sum","5802 Value Entry","150 Sales Amount (Expected)","41 Source Type",$C$5,"5 Source No.",$C57,"4 Item Ledger Entry Type",$C$4,"2 Item No.","@@"&amp;$F57,"3 Posting Date",O$9)+NL("Sum","5802 Value Entry","17 Sales Amount (Actual)","41 Source Type",$C$5,"5 Source no.",$C57,"4 Item Ledger Entry Type",$C$4,"2 Item No.","@@"&amp;$F57,"3 Posting Date",O$9)</t>
  </si>
  <si>
    <t>=-NL("Sum","5802 Value Entry","151 Cost Amount (Expected)","41 Source Type",$C$5,"5 Source No.",$C57,"4 Item Ledger Entry Type",$C$4,"2 Item No.","@@"&amp;$F57,"3 Posting Date",O$9)-NL("Sum","5802 Value Entry","43 Cost Amount (Actual)","41 Source Type",$C$5,"5 Source no.",$C57,"4 Item Ledger Entry Type",$C$4,"2 Item No.","@@"&amp;$F57,"3 Posting Date",O$9)</t>
  </si>
  <si>
    <t>=O57-Q57</t>
  </si>
  <si>
    <t>=IF(O57&lt;&gt;0,R57/O57,"")</t>
  </si>
  <si>
    <t>="S100010"</t>
  </si>
  <si>
    <t>=NL("Sum","5802 Value Entry","150 Sales Amount (Expected)","41 Source Type",$C$5,"5 Source No.",$C58,"4 Item Ledger Entry Type",$C$4,"2 Item No.","@@"&amp;$F58,"3 Posting Date",J$9)+NL("Sum","5802 Value Entry","17 Sales Amount (Actual)","41 Source Type",$C$5,"5 Source no.",$C58,"4 Item Ledger Entry Type",$C$4,"2 Item No.","@@"&amp;$F58,"3 Posting Date",J$9)</t>
  </si>
  <si>
    <t>=-NL("Sum","5802 Value Entry","151 Cost Amount (Expected)","41 Source Type",$C$5,"5 Source No.",$C58,"4 Item Ledger Entry Type",$C$4,"2 Item No.","@@"&amp;$F58,"3 Posting Date",J$9)-NL("Sum","5802 Value Entry","43 Cost Amount (Actual)","41 Source Type",$C$5,"5 Source no.",$C58,"4 Item Ledger Entry Type",$C$4,"2 Item No.","@@"&amp;$F58,"3 Posting Date",J$9)</t>
  </si>
  <si>
    <t>=NL("Sum","5802 Value Entry","150 Sales Amount (Expected)","41 Source Type",$C$5,"5 Source No.",$C58,"4 Item Ledger Entry Type",$C$4,"2 Item No.","@@"&amp;$F58,"3 Posting Date",O$9)+NL("Sum","5802 Value Entry","17 Sales Amount (Actual)","41 Source Type",$C$5,"5 Source no.",$C58,"4 Item Ledger Entry Type",$C$4,"2 Item No.","@@"&amp;$F58,"3 Posting Date",O$9)</t>
  </si>
  <si>
    <t>=-NL("Sum","5802 Value Entry","151 Cost Amount (Expected)","41 Source Type",$C$5,"5 Source No.",$C58,"4 Item Ledger Entry Type",$C$4,"2 Item No.","@@"&amp;$F58,"3 Posting Date",O$9)-NL("Sum","5802 Value Entry","43 Cost Amount (Actual)","41 Source Type",$C$5,"5 Source no.",$C58,"4 Item Ledger Entry Type",$C$4,"2 Item No.","@@"&amp;$F58,"3 Posting Date",O$9)</t>
  </si>
  <si>
    <t>="S100011"</t>
  </si>
  <si>
    <t>=NL("Sum","5802 Value Entry","150 Sales Amount (Expected)","41 Source Type",$C$5,"5 Source No.",$C59,"4 Item Ledger Entry Type",$C$4,"2 Item No.","@@"&amp;$F59,"3 Posting Date",J$9)+NL("Sum","5802 Value Entry","17 Sales Amount (Actual)","41 Source Type",$C$5,"5 Source no.",$C59,"4 Item Ledger Entry Type",$C$4,"2 Item No.","@@"&amp;$F59,"3 Posting Date",J$9)</t>
  </si>
  <si>
    <t>=-NL("Sum","5802 Value Entry","151 Cost Amount (Expected)","41 Source Type",$C$5,"5 Source No.",$C59,"4 Item Ledger Entry Type",$C$4,"2 Item No.","@@"&amp;$F59,"3 Posting Date",J$9)-NL("Sum","5802 Value Entry","43 Cost Amount (Actual)","41 Source Type",$C$5,"5 Source no.",$C59,"4 Item Ledger Entry Type",$C$4,"2 Item No.","@@"&amp;$F59,"3 Posting Date",J$9)</t>
  </si>
  <si>
    <t>=J59-L59</t>
  </si>
  <si>
    <t>=IF(J59&lt;&gt;0,M59/J59,"")</t>
  </si>
  <si>
    <t>=NL("Sum","5802 Value Entry","150 Sales Amount (Expected)","41 Source Type",$C$5,"5 Source No.",$C59,"4 Item Ledger Entry Type",$C$4,"2 Item No.","@@"&amp;$F59,"3 Posting Date",O$9)+NL("Sum","5802 Value Entry","17 Sales Amount (Actual)","41 Source Type",$C$5,"5 Source no.",$C59,"4 Item Ledger Entry Type",$C$4,"2 Item No.","@@"&amp;$F59,"3 Posting Date",O$9)</t>
  </si>
  <si>
    <t>=-NL("Sum","5802 Value Entry","151 Cost Amount (Expected)","41 Source Type",$C$5,"5 Source No.",$C59,"4 Item Ledger Entry Type",$C$4,"2 Item No.","@@"&amp;$F59,"3 Posting Date",O$9)-NL("Sum","5802 Value Entry","43 Cost Amount (Actual)","41 Source Type",$C$5,"5 Source no.",$C59,"4 Item Ledger Entry Type",$C$4,"2 Item No.","@@"&amp;$F59,"3 Posting Date",O$9)</t>
  </si>
  <si>
    <t>=O59-Q59</t>
  </si>
  <si>
    <t>=IF(O59&lt;&gt;0,R59/O59,"")</t>
  </si>
  <si>
    <t>="S100012"</t>
  </si>
  <si>
    <t>=NL("Sum","5802 Value Entry","150 Sales Amount (Expected)","41 Source Type",$C$5,"5 Source No.",$C60,"4 Item Ledger Entry Type",$C$4,"2 Item No.","@@"&amp;$F60,"3 Posting Date",J$9)+NL("Sum","5802 Value Entry","17 Sales Amount (Actual)","41 Source Type",$C$5,"5 Source no.",$C60,"4 Item Ledger Entry Type",$C$4,"2 Item No.","@@"&amp;$F60,"3 Posting Date",J$9)</t>
  </si>
  <si>
    <t>=-NL("Sum","5802 Value Entry","151 Cost Amount (Expected)","41 Source Type",$C$5,"5 Source No.",$C60,"4 Item Ledger Entry Type",$C$4,"2 Item No.","@@"&amp;$F60,"3 Posting Date",J$9)-NL("Sum","5802 Value Entry","43 Cost Amount (Actual)","41 Source Type",$C$5,"5 Source no.",$C60,"4 Item Ledger Entry Type",$C$4,"2 Item No.","@@"&amp;$F60,"3 Posting Date",J$9)</t>
  </si>
  <si>
    <t>=NL("Sum","5802 Value Entry","150 Sales Amount (Expected)","41 Source Type",$C$5,"5 Source No.",$C60,"4 Item Ledger Entry Type",$C$4,"2 Item No.","@@"&amp;$F60,"3 Posting Date",O$9)+NL("Sum","5802 Value Entry","17 Sales Amount (Actual)","41 Source Type",$C$5,"5 Source no.",$C60,"4 Item Ledger Entry Type",$C$4,"2 Item No.","@@"&amp;$F60,"3 Posting Date",O$9)</t>
  </si>
  <si>
    <t>=-NL("Sum","5802 Value Entry","151 Cost Amount (Expected)","41 Source Type",$C$5,"5 Source No.",$C60,"4 Item Ledger Entry Type",$C$4,"2 Item No.","@@"&amp;$F60,"3 Posting Date",O$9)-NL("Sum","5802 Value Entry","43 Cost Amount (Actual)","41 Source Type",$C$5,"5 Source no.",$C60,"4 Item Ledger Entry Type",$C$4,"2 Item No.","@@"&amp;$F60,"3 Posting Date",O$9)</t>
  </si>
  <si>
    <t>="S100013"</t>
  </si>
  <si>
    <t>=C61</t>
  </si>
  <si>
    <t>="S100014"</t>
  </si>
  <si>
    <t>=J62-L62</t>
  </si>
  <si>
    <t>=IF(J62&lt;&gt;0,M62/J62,"")</t>
  </si>
  <si>
    <t>=O62-Q62</t>
  </si>
  <si>
    <t>=IF(O62&lt;&gt;0,R62/O62,"")</t>
  </si>
  <si>
    <t>="S100016"</t>
  </si>
  <si>
    <t>="S100017"</t>
  </si>
  <si>
    <t>="S100018"</t>
  </si>
  <si>
    <t>="S100019"</t>
  </si>
  <si>
    <t>=NL("Sum","5802 Value Entry","150 Sales Amount (Expected)","41 Source Type",$C$5,"5 Source No.",$C66,"4 Item Ledger Entry Type",$C$4,"2 Item No.","@@"&amp;$F66,"3 Posting Date",J$9)+NL("Sum","5802 Value Entry","17 Sales Amount (Actual)","41 Source Type",$C$5,"5 Source no.",$C66,"4 Item Ledger Entry Type",$C$4,"2 Item No.","@@"&amp;$F66,"3 Posting Date",J$9)</t>
  </si>
  <si>
    <t>=-NL("Sum","5802 Value Entry","151 Cost Amount (Expected)","41 Source Type",$C$5,"5 Source No.",$C66,"4 Item Ledger Entry Type",$C$4,"2 Item No.","@@"&amp;$F66,"3 Posting Date",J$9)-NL("Sum","5802 Value Entry","43 Cost Amount (Actual)","41 Source Type",$C$5,"5 Source no.",$C66,"4 Item Ledger Entry Type",$C$4,"2 Item No.","@@"&amp;$F66,"3 Posting Date",J$9)</t>
  </si>
  <si>
    <t>=NL("Sum","5802 Value Entry","150 Sales Amount (Expected)","41 Source Type",$C$5,"5 Source No.",$C66,"4 Item Ledger Entry Type",$C$4,"2 Item No.","@@"&amp;$F66,"3 Posting Date",O$9)+NL("Sum","5802 Value Entry","17 Sales Amount (Actual)","41 Source Type",$C$5,"5 Source no.",$C66,"4 Item Ledger Entry Type",$C$4,"2 Item No.","@@"&amp;$F66,"3 Posting Date",O$9)</t>
  </si>
  <si>
    <t>=-NL("Sum","5802 Value Entry","151 Cost Amount (Expected)","41 Source Type",$C$5,"5 Source No.",$C66,"4 Item Ledger Entry Type",$C$4,"2 Item No.","@@"&amp;$F66,"3 Posting Date",O$9)-NL("Sum","5802 Value Entry","43 Cost Amount (Actual)","41 Source Type",$C$5,"5 Source no.",$C66,"4 Item Ledger Entry Type",$C$4,"2 Item No.","@@"&amp;$F66,"3 Posting Date",O$9)</t>
  </si>
  <si>
    <t>=C66</t>
  </si>
  <si>
    <t>="S100021"</t>
  </si>
  <si>
    <t>=NL("Sum","5802 Value Entry","150 Sales Amount (Expected)","41 Source Type",$C$5,"5 Source No.",$C67,"4 Item Ledger Entry Type",$C$4,"2 Item No.","@@"&amp;$F67,"3 Posting Date",J$9)+NL("Sum","5802 Value Entry","17 Sales Amount (Actual)","41 Source Type",$C$5,"5 Source no.",$C67,"4 Item Ledger Entry Type",$C$4,"2 Item No.","@@"&amp;$F67,"3 Posting Date",J$9)</t>
  </si>
  <si>
    <t>=-NL("Sum","5802 Value Entry","151 Cost Amount (Expected)","41 Source Type",$C$5,"5 Source No.",$C67,"4 Item Ledger Entry Type",$C$4,"2 Item No.","@@"&amp;$F67,"3 Posting Date",J$9)-NL("Sum","5802 Value Entry","43 Cost Amount (Actual)","41 Source Type",$C$5,"5 Source no.",$C67,"4 Item Ledger Entry Type",$C$4,"2 Item No.","@@"&amp;$F67,"3 Posting Date",J$9)</t>
  </si>
  <si>
    <t>=J67-L67</t>
  </si>
  <si>
    <t>=IF(J67&lt;&gt;0,M67/J67,"")</t>
  </si>
  <si>
    <t>=NL("Sum","5802 Value Entry","150 Sales Amount (Expected)","41 Source Type",$C$5,"5 Source No.",$C67,"4 Item Ledger Entry Type",$C$4,"2 Item No.","@@"&amp;$F67,"3 Posting Date",O$9)+NL("Sum","5802 Value Entry","17 Sales Amount (Actual)","41 Source Type",$C$5,"5 Source no.",$C67,"4 Item Ledger Entry Type",$C$4,"2 Item No.","@@"&amp;$F67,"3 Posting Date",O$9)</t>
  </si>
  <si>
    <t>=-NL("Sum","5802 Value Entry","151 Cost Amount (Expected)","41 Source Type",$C$5,"5 Source No.",$C67,"4 Item Ledger Entry Type",$C$4,"2 Item No.","@@"&amp;$F67,"3 Posting Date",O$9)-NL("Sum","5802 Value Entry","43 Cost Amount (Actual)","41 Source Type",$C$5,"5 Source no.",$C67,"4 Item Ledger Entry Type",$C$4,"2 Item No.","@@"&amp;$F67,"3 Posting Date",O$9)</t>
  </si>
  <si>
    <t>=O67-Q67</t>
  </si>
  <si>
    <t>=IF(O67&lt;&gt;0,R67/O67,"")</t>
  </si>
  <si>
    <t>=J69-L69</t>
  </si>
  <si>
    <t>=IF(J69&lt;&gt;0,M69/J69,"")</t>
  </si>
  <si>
    <t>=O69-Q69</t>
  </si>
  <si>
    <t>=IF(O69&lt;&gt;0,R69/O69,"")</t>
  </si>
  <si>
    <t>=C72</t>
  </si>
  <si>
    <t>=NL("Sum","5802 Value Entry","150 Sales Amount (Expected)","41 Source Type",$C$5,"5 Source No.",$C73,"4 Item Ledger Entry Type",$C$4,"2 Item No.","@@"&amp;$F73,"3 Posting Date",J$9)+NL("Sum","5802 Value Entry","17 Sales Amount (Actual)","41 Source Type",$C$5,"5 Source no.",$C73,"4 Item Ledger Entry Type",$C$4,"2 Item No.","@@"&amp;$F73,"3 Posting Date",J$9)</t>
  </si>
  <si>
    <t>=-NL("Sum","5802 Value Entry","151 Cost Amount (Expected)","41 Source Type",$C$5,"5 Source No.",$C73,"4 Item Ledger Entry Type",$C$4,"2 Item No.","@@"&amp;$F73,"3 Posting Date",J$9)-NL("Sum","5802 Value Entry","43 Cost Amount (Actual)","41 Source Type",$C$5,"5 Source no.",$C73,"4 Item Ledger Entry Type",$C$4,"2 Item No.","@@"&amp;$F73,"3 Posting Date",J$9)</t>
  </si>
  <si>
    <t>=J73-L73</t>
  </si>
  <si>
    <t>=IF(J73&lt;&gt;0,M73/J73,"")</t>
  </si>
  <si>
    <t>=NL("Sum","5802 Value Entry","150 Sales Amount (Expected)","41 Source Type",$C$5,"5 Source No.",$C73,"4 Item Ledger Entry Type",$C$4,"2 Item No.","@@"&amp;$F73,"3 Posting Date",O$9)+NL("Sum","5802 Value Entry","17 Sales Amount (Actual)","41 Source Type",$C$5,"5 Source no.",$C73,"4 Item Ledger Entry Type",$C$4,"2 Item No.","@@"&amp;$F73,"3 Posting Date",O$9)</t>
  </si>
  <si>
    <t>=-NL("Sum","5802 Value Entry","151 Cost Amount (Expected)","41 Source Type",$C$5,"5 Source No.",$C73,"4 Item Ledger Entry Type",$C$4,"2 Item No.","@@"&amp;$F73,"3 Posting Date",O$9)-NL("Sum","5802 Value Entry","43 Cost Amount (Actual)","41 Source Type",$C$5,"5 Source no.",$C73,"4 Item Ledger Entry Type",$C$4,"2 Item No.","@@"&amp;$F73,"3 Posting Date",O$9)</t>
  </si>
  <si>
    <t>=O73-Q73</t>
  </si>
  <si>
    <t>=IF(O73&lt;&gt;0,R73/O73,"")</t>
  </si>
  <si>
    <t>=C73</t>
  </si>
  <si>
    <t>=NL("Sum","5802 Value Entry","150 Sales Amount (Expected)","41 Source Type",$C$5,"5 Source No.",$C74,"4 Item Ledger Entry Type",$C$4,"2 Item No.","@@"&amp;$F74,"3 Posting Date",J$9)+NL("Sum","5802 Value Entry","17 Sales Amount (Actual)","41 Source Type",$C$5,"5 Source no.",$C74,"4 Item Ledger Entry Type",$C$4,"2 Item No.","@@"&amp;$F74,"3 Posting Date",J$9)</t>
  </si>
  <si>
    <t>=-NL("Sum","5802 Value Entry","151 Cost Amount (Expected)","41 Source Type",$C$5,"5 Source No.",$C74,"4 Item Ledger Entry Type",$C$4,"2 Item No.","@@"&amp;$F74,"3 Posting Date",J$9)-NL("Sum","5802 Value Entry","43 Cost Amount (Actual)","41 Source Type",$C$5,"5 Source no.",$C74,"4 Item Ledger Entry Type",$C$4,"2 Item No.","@@"&amp;$F74,"3 Posting Date",J$9)</t>
  </si>
  <si>
    <t>=J74-L74</t>
  </si>
  <si>
    <t>=IF(J74&lt;&gt;0,M74/J74,"")</t>
  </si>
  <si>
    <t>=NL("Sum","5802 Value Entry","150 Sales Amount (Expected)","41 Source Type",$C$5,"5 Source No.",$C74,"4 Item Ledger Entry Type",$C$4,"2 Item No.","@@"&amp;$F74,"3 Posting Date",O$9)+NL("Sum","5802 Value Entry","17 Sales Amount (Actual)","41 Source Type",$C$5,"5 Source no.",$C74,"4 Item Ledger Entry Type",$C$4,"2 Item No.","@@"&amp;$F74,"3 Posting Date",O$9)</t>
  </si>
  <si>
    <t>=-NL("Sum","5802 Value Entry","151 Cost Amount (Expected)","41 Source Type",$C$5,"5 Source No.",$C74,"4 Item Ledger Entry Type",$C$4,"2 Item No.","@@"&amp;$F74,"3 Posting Date",O$9)-NL("Sum","5802 Value Entry","43 Cost Amount (Actual)","41 Source Type",$C$5,"5 Source no.",$C74,"4 Item Ledger Entry Type",$C$4,"2 Item No.","@@"&amp;$F74,"3 Posting Date",O$9)</t>
  </si>
  <si>
    <t>=O74-Q74</t>
  </si>
  <si>
    <t>=IF(O74&lt;&gt;0,R74/O74,"")</t>
  </si>
  <si>
    <t>=NL("Sum","5802 Value Entry","150 Sales Amount (Expected)","41 Source Type",$C$5,"5 Source No.",$C75,"4 Item Ledger Entry Type",$C$4,"2 Item No.","@@"&amp;$F75,"3 Posting Date",J$9)+NL("Sum","5802 Value Entry","17 Sales Amount (Actual)","41 Source Type",$C$5,"5 Source no.",$C75,"4 Item Ledger Entry Type",$C$4,"2 Item No.","@@"&amp;$F75,"3 Posting Date",J$9)</t>
  </si>
  <si>
    <t>=-NL("Sum","5802 Value Entry","151 Cost Amount (Expected)","41 Source Type",$C$5,"5 Source No.",$C75,"4 Item Ledger Entry Type",$C$4,"2 Item No.","@@"&amp;$F75,"3 Posting Date",J$9)-NL("Sum","5802 Value Entry","43 Cost Amount (Actual)","41 Source Type",$C$5,"5 Source no.",$C75,"4 Item Ledger Entry Type",$C$4,"2 Item No.","@@"&amp;$F75,"3 Posting Date",J$9)</t>
  </si>
  <si>
    <t>=J75-L75</t>
  </si>
  <si>
    <t>=IF(J75&lt;&gt;0,M75/J75,"")</t>
  </si>
  <si>
    <t>=NL("Sum","5802 Value Entry","150 Sales Amount (Expected)","41 Source Type",$C$5,"5 Source No.",$C75,"4 Item Ledger Entry Type",$C$4,"2 Item No.","@@"&amp;$F75,"3 Posting Date",O$9)+NL("Sum","5802 Value Entry","17 Sales Amount (Actual)","41 Source Type",$C$5,"5 Source no.",$C75,"4 Item Ledger Entry Type",$C$4,"2 Item No.","@@"&amp;$F75,"3 Posting Date",O$9)</t>
  </si>
  <si>
    <t>=-NL("Sum","5802 Value Entry","151 Cost Amount (Expected)","41 Source Type",$C$5,"5 Source No.",$C75,"4 Item Ledger Entry Type",$C$4,"2 Item No.","@@"&amp;$F75,"3 Posting Date",O$9)-NL("Sum","5802 Value Entry","43 Cost Amount (Actual)","41 Source Type",$C$5,"5 Source no.",$C75,"4 Item Ledger Entry Type",$C$4,"2 Item No.","@@"&amp;$F75,"3 Posting Date",O$9)</t>
  </si>
  <si>
    <t>=O75-Q75</t>
  </si>
  <si>
    <t>=IF(O75&lt;&gt;0,R75/O75,"")</t>
  </si>
  <si>
    <t>=NL("Sum","5802 Value Entry","150 Sales Amount (Expected)","41 Source Type",$C$5,"5 Source No.",$C76,"4 Item Ledger Entry Type",$C$4,"2 Item No.","@@"&amp;$F76,"3 Posting Date",J$9)+NL("Sum","5802 Value Entry","17 Sales Amount (Actual)","41 Source Type",$C$5,"5 Source no.",$C76,"4 Item Ledger Entry Type",$C$4,"2 Item No.","@@"&amp;$F76,"3 Posting Date",J$9)</t>
  </si>
  <si>
    <t>=-NL("Sum","5802 Value Entry","151 Cost Amount (Expected)","41 Source Type",$C$5,"5 Source No.",$C76,"4 Item Ledger Entry Type",$C$4,"2 Item No.","@@"&amp;$F76,"3 Posting Date",J$9)-NL("Sum","5802 Value Entry","43 Cost Amount (Actual)","41 Source Type",$C$5,"5 Source no.",$C76,"4 Item Ledger Entry Type",$C$4,"2 Item No.","@@"&amp;$F76,"3 Posting Date",J$9)</t>
  </si>
  <si>
    <t>=NL("Sum","5802 Value Entry","150 Sales Amount (Expected)","41 Source Type",$C$5,"5 Source No.",$C76,"4 Item Ledger Entry Type",$C$4,"2 Item No.","@@"&amp;$F76,"3 Posting Date",O$9)+NL("Sum","5802 Value Entry","17 Sales Amount (Actual)","41 Source Type",$C$5,"5 Source no.",$C76,"4 Item Ledger Entry Type",$C$4,"2 Item No.","@@"&amp;$F76,"3 Posting Date",O$9)</t>
  </si>
  <si>
    <t>=-NL("Sum","5802 Value Entry","151 Cost Amount (Expected)","41 Source Type",$C$5,"5 Source No.",$C76,"4 Item Ledger Entry Type",$C$4,"2 Item No.","@@"&amp;$F76,"3 Posting Date",O$9)-NL("Sum","5802 Value Entry","43 Cost Amount (Actual)","41 Source Type",$C$5,"5 Source no.",$C76,"4 Item Ledger Entry Type",$C$4,"2 Item No.","@@"&amp;$F76,"3 Posting Date",O$9)</t>
  </si>
  <si>
    <t>=NL("Sum","5802 Value Entry","150 Sales Amount (Expected)","41 Source Type",$C$5,"5 Source No.",$C77,"4 Item Ledger Entry Type",$C$4,"2 Item No.","@@"&amp;$F77,"3 Posting Date",J$9)+NL("Sum","5802 Value Entry","17 Sales Amount (Actual)","41 Source Type",$C$5,"5 Source no.",$C77,"4 Item Ledger Entry Type",$C$4,"2 Item No.","@@"&amp;$F77,"3 Posting Date",J$9)</t>
  </si>
  <si>
    <t>=-NL("Sum","5802 Value Entry","151 Cost Amount (Expected)","41 Source Type",$C$5,"5 Source No.",$C77,"4 Item Ledger Entry Type",$C$4,"2 Item No.","@@"&amp;$F77,"3 Posting Date",J$9)-NL("Sum","5802 Value Entry","43 Cost Amount (Actual)","41 Source Type",$C$5,"5 Source no.",$C77,"4 Item Ledger Entry Type",$C$4,"2 Item No.","@@"&amp;$F77,"3 Posting Date",J$9)</t>
  </si>
  <si>
    <t>=J77-L77</t>
  </si>
  <si>
    <t>=IF(J77&lt;&gt;0,M77/J77,"")</t>
  </si>
  <si>
    <t>=NL("Sum","5802 Value Entry","150 Sales Amount (Expected)","41 Source Type",$C$5,"5 Source No.",$C77,"4 Item Ledger Entry Type",$C$4,"2 Item No.","@@"&amp;$F77,"3 Posting Date",O$9)+NL("Sum","5802 Value Entry","17 Sales Amount (Actual)","41 Source Type",$C$5,"5 Source no.",$C77,"4 Item Ledger Entry Type",$C$4,"2 Item No.","@@"&amp;$F77,"3 Posting Date",O$9)</t>
  </si>
  <si>
    <t>=-NL("Sum","5802 Value Entry","151 Cost Amount (Expected)","41 Source Type",$C$5,"5 Source No.",$C77,"4 Item Ledger Entry Type",$C$4,"2 Item No.","@@"&amp;$F77,"3 Posting Date",O$9)-NL("Sum","5802 Value Entry","43 Cost Amount (Actual)","41 Source Type",$C$5,"5 Source no.",$C77,"4 Item Ledger Entry Type",$C$4,"2 Item No.","@@"&amp;$F77,"3 Posting Date",O$9)</t>
  </si>
  <si>
    <t>=O77-Q77</t>
  </si>
  <si>
    <t>=IF(O77&lt;&gt;0,R77/O77,"")</t>
  </si>
  <si>
    <t>=NL("Sum","5802 Value Entry","150 Sales Amount (Expected)","41 Source Type",$C$5,"5 Source No.",$C78,"4 Item Ledger Entry Type",$C$4,"2 Item No.","@@"&amp;$F78,"3 Posting Date",J$9)+NL("Sum","5802 Value Entry","17 Sales Amount (Actual)","41 Source Type",$C$5,"5 Source no.",$C78,"4 Item Ledger Entry Type",$C$4,"2 Item No.","@@"&amp;$F78,"3 Posting Date",J$9)</t>
  </si>
  <si>
    <t>=-NL("Sum","5802 Value Entry","151 Cost Amount (Expected)","41 Source Type",$C$5,"5 Source No.",$C78,"4 Item Ledger Entry Type",$C$4,"2 Item No.","@@"&amp;$F78,"3 Posting Date",J$9)-NL("Sum","5802 Value Entry","43 Cost Amount (Actual)","41 Source Type",$C$5,"5 Source no.",$C78,"4 Item Ledger Entry Type",$C$4,"2 Item No.","@@"&amp;$F78,"3 Posting Date",J$9)</t>
  </si>
  <si>
    <t>=NL("Sum","5802 Value Entry","150 Sales Amount (Expected)","41 Source Type",$C$5,"5 Source No.",$C78,"4 Item Ledger Entry Type",$C$4,"2 Item No.","@@"&amp;$F78,"3 Posting Date",O$9)+NL("Sum","5802 Value Entry","17 Sales Amount (Actual)","41 Source Type",$C$5,"5 Source no.",$C78,"4 Item Ledger Entry Type",$C$4,"2 Item No.","@@"&amp;$F78,"3 Posting Date",O$9)</t>
  </si>
  <si>
    <t>=-NL("Sum","5802 Value Entry","151 Cost Amount (Expected)","41 Source Type",$C$5,"5 Source No.",$C78,"4 Item Ledger Entry Type",$C$4,"2 Item No.","@@"&amp;$F78,"3 Posting Date",O$9)-NL("Sum","5802 Value Entry","43 Cost Amount (Actual)","41 Source Type",$C$5,"5 Source no.",$C78,"4 Item Ledger Entry Type",$C$4,"2 Item No.","@@"&amp;$F78,"3 Posting Date",O$9)</t>
  </si>
  <si>
    <t>=C78</t>
  </si>
  <si>
    <t>=NL("Sum","5802 Value Entry","150 Sales Amount (Expected)","41 Source Type",$C$5,"5 Source No.",$C79,"4 Item Ledger Entry Type",$C$4,"2 Item No.","@@"&amp;$F79,"3 Posting Date",J$9)+NL("Sum","5802 Value Entry","17 Sales Amount (Actual)","41 Source Type",$C$5,"5 Source no.",$C79,"4 Item Ledger Entry Type",$C$4,"2 Item No.","@@"&amp;$F79,"3 Posting Date",J$9)</t>
  </si>
  <si>
    <t>=-NL("Sum","5802 Value Entry","151 Cost Amount (Expected)","41 Source Type",$C$5,"5 Source No.",$C79,"4 Item Ledger Entry Type",$C$4,"2 Item No.","@@"&amp;$F79,"3 Posting Date",J$9)-NL("Sum","5802 Value Entry","43 Cost Amount (Actual)","41 Source Type",$C$5,"5 Source no.",$C79,"4 Item Ledger Entry Type",$C$4,"2 Item No.","@@"&amp;$F79,"3 Posting Date",J$9)</t>
  </si>
  <si>
    <t>=J79-L79</t>
  </si>
  <si>
    <t>=IF(J79&lt;&gt;0,M79/J79,"")</t>
  </si>
  <si>
    <t>=NL("Sum","5802 Value Entry","150 Sales Amount (Expected)","41 Source Type",$C$5,"5 Source No.",$C79,"4 Item Ledger Entry Type",$C$4,"2 Item No.","@@"&amp;$F79,"3 Posting Date",O$9)+NL("Sum","5802 Value Entry","17 Sales Amount (Actual)","41 Source Type",$C$5,"5 Source no.",$C79,"4 Item Ledger Entry Type",$C$4,"2 Item No.","@@"&amp;$F79,"3 Posting Date",O$9)</t>
  </si>
  <si>
    <t>=-NL("Sum","5802 Value Entry","151 Cost Amount (Expected)","41 Source Type",$C$5,"5 Source No.",$C79,"4 Item Ledger Entry Type",$C$4,"2 Item No.","@@"&amp;$F79,"3 Posting Date",O$9)-NL("Sum","5802 Value Entry","43 Cost Amount (Actual)","41 Source Type",$C$5,"5 Source no.",$C79,"4 Item Ledger Entry Type",$C$4,"2 Item No.","@@"&amp;$F79,"3 Posting Date",O$9)</t>
  </si>
  <si>
    <t>=O79-Q79</t>
  </si>
  <si>
    <t>=IF(O79&lt;&gt;0,R79/O79,"")</t>
  </si>
  <si>
    <t>=C79</t>
  </si>
  <si>
    <t>=NL("Sum","5802 Value Entry","150 Sales Amount (Expected)","41 Source Type",$C$5,"5 Source No.",$C80,"4 Item Ledger Entry Type",$C$4,"2 Item No.","@@"&amp;$F80,"3 Posting Date",J$9)+NL("Sum","5802 Value Entry","17 Sales Amount (Actual)","41 Source Type",$C$5,"5 Source no.",$C80,"4 Item Ledger Entry Type",$C$4,"2 Item No.","@@"&amp;$F80,"3 Posting Date",J$9)</t>
  </si>
  <si>
    <t>=-NL("Sum","5802 Value Entry","151 Cost Amount (Expected)","41 Source Type",$C$5,"5 Source No.",$C80,"4 Item Ledger Entry Type",$C$4,"2 Item No.","@@"&amp;$F80,"3 Posting Date",J$9)-NL("Sum","5802 Value Entry","43 Cost Amount (Actual)","41 Source Type",$C$5,"5 Source no.",$C80,"4 Item Ledger Entry Type",$C$4,"2 Item No.","@@"&amp;$F80,"3 Posting Date",J$9)</t>
  </si>
  <si>
    <t>=J80-L80</t>
  </si>
  <si>
    <t>=IF(J80&lt;&gt;0,M80/J80,"")</t>
  </si>
  <si>
    <t>=NL("Sum","5802 Value Entry","150 Sales Amount (Expected)","41 Source Type",$C$5,"5 Source No.",$C80,"4 Item Ledger Entry Type",$C$4,"2 Item No.","@@"&amp;$F80,"3 Posting Date",O$9)+NL("Sum","5802 Value Entry","17 Sales Amount (Actual)","41 Source Type",$C$5,"5 Source no.",$C80,"4 Item Ledger Entry Type",$C$4,"2 Item No.","@@"&amp;$F80,"3 Posting Date",O$9)</t>
  </si>
  <si>
    <t>=-NL("Sum","5802 Value Entry","151 Cost Amount (Expected)","41 Source Type",$C$5,"5 Source No.",$C80,"4 Item Ledger Entry Type",$C$4,"2 Item No.","@@"&amp;$F80,"3 Posting Date",O$9)-NL("Sum","5802 Value Entry","43 Cost Amount (Actual)","41 Source Type",$C$5,"5 Source no.",$C80,"4 Item Ledger Entry Type",$C$4,"2 Item No.","@@"&amp;$F80,"3 Posting Date",O$9)</t>
  </si>
  <si>
    <t>=O80-Q80</t>
  </si>
  <si>
    <t>=IF(O80&lt;&gt;0,R80/O80,"")</t>
  </si>
  <si>
    <t>=NL("Sum","5802 Value Entry","150 Sales Amount (Expected)","41 Source Type",$C$5,"5 Source No.",$C81,"4 Item Ledger Entry Type",$C$4,"2 Item No.","@@"&amp;$F81,"3 Posting Date",J$9)+NL("Sum","5802 Value Entry","17 Sales Amount (Actual)","41 Source Type",$C$5,"5 Source no.",$C81,"4 Item Ledger Entry Type",$C$4,"2 Item No.","@@"&amp;$F81,"3 Posting Date",J$9)</t>
  </si>
  <si>
    <t>=-NL("Sum","5802 Value Entry","151 Cost Amount (Expected)","41 Source Type",$C$5,"5 Source No.",$C81,"4 Item Ledger Entry Type",$C$4,"2 Item No.","@@"&amp;$F81,"3 Posting Date",J$9)-NL("Sum","5802 Value Entry","43 Cost Amount (Actual)","41 Source Type",$C$5,"5 Source no.",$C81,"4 Item Ledger Entry Type",$C$4,"2 Item No.","@@"&amp;$F81,"3 Posting Date",J$9)</t>
  </si>
  <si>
    <t>=J81-L81</t>
  </si>
  <si>
    <t>=IF(J81&lt;&gt;0,M81/J81,"")</t>
  </si>
  <si>
    <t>=NL("Sum","5802 Value Entry","150 Sales Amount (Expected)","41 Source Type",$C$5,"5 Source No.",$C81,"4 Item Ledger Entry Type",$C$4,"2 Item No.","@@"&amp;$F81,"3 Posting Date",O$9)+NL("Sum","5802 Value Entry","17 Sales Amount (Actual)","41 Source Type",$C$5,"5 Source no.",$C81,"4 Item Ledger Entry Type",$C$4,"2 Item No.","@@"&amp;$F81,"3 Posting Date",O$9)</t>
  </si>
  <si>
    <t>=-NL("Sum","5802 Value Entry","151 Cost Amount (Expected)","41 Source Type",$C$5,"5 Source No.",$C81,"4 Item Ledger Entry Type",$C$4,"2 Item No.","@@"&amp;$F81,"3 Posting Date",O$9)-NL("Sum","5802 Value Entry","43 Cost Amount (Actual)","41 Source Type",$C$5,"5 Source no.",$C81,"4 Item Ledger Entry Type",$C$4,"2 Item No.","@@"&amp;$F81,"3 Posting Date",O$9)</t>
  </si>
  <si>
    <t>=O81-Q81</t>
  </si>
  <si>
    <t>=IF(O81&lt;&gt;0,R81/O81,"")</t>
  </si>
  <si>
    <t>=J83-L83</t>
  </si>
  <si>
    <t>=IF(J83&lt;&gt;0,M83/J83,"")</t>
  </si>
  <si>
    <t>=O83-Q83</t>
  </si>
  <si>
    <t>=IF(O83&lt;&gt;0,R83/O83,"")</t>
  </si>
  <si>
    <t>=C85</t>
  </si>
  <si>
    <t>=NL("Sum","5802 Value Entry","150 Sales Amount (Expected)","41 Source Type",$C$5,"5 Source No.",$C87,"4 Item Ledger Entry Type",$C$4,"2 Item No.","@@"&amp;$F87,"3 Posting Date",J$9)+NL("Sum","5802 Value Entry","17 Sales Amount (Actual)","41 Source Type",$C$5,"5 Source no.",$C87,"4 Item Ledger Entry Type",$C$4,"2 Item No.","@@"&amp;$F87,"3 Posting Date",J$9)</t>
  </si>
  <si>
    <t>=-NL("Sum","5802 Value Entry","151 Cost Amount (Expected)","41 Source Type",$C$5,"5 Source No.",$C87,"4 Item Ledger Entry Type",$C$4,"2 Item No.","@@"&amp;$F87,"3 Posting Date",J$9)-NL("Sum","5802 Value Entry","43 Cost Amount (Actual)","41 Source Type",$C$5,"5 Source no.",$C87,"4 Item Ledger Entry Type",$C$4,"2 Item No.","@@"&amp;$F87,"3 Posting Date",J$9)</t>
  </si>
  <si>
    <t>=J87-L87</t>
  </si>
  <si>
    <t>=IF(J87&lt;&gt;0,M87/J87,"")</t>
  </si>
  <si>
    <t>=NL("Sum","5802 Value Entry","150 Sales Amount (Expected)","41 Source Type",$C$5,"5 Source No.",$C87,"4 Item Ledger Entry Type",$C$4,"2 Item No.","@@"&amp;$F87,"3 Posting Date",O$9)+NL("Sum","5802 Value Entry","17 Sales Amount (Actual)","41 Source Type",$C$5,"5 Source no.",$C87,"4 Item Ledger Entry Type",$C$4,"2 Item No.","@@"&amp;$F87,"3 Posting Date",O$9)</t>
  </si>
  <si>
    <t>=-NL("Sum","5802 Value Entry","151 Cost Amount (Expected)","41 Source Type",$C$5,"5 Source No.",$C87,"4 Item Ledger Entry Type",$C$4,"2 Item No.","@@"&amp;$F87,"3 Posting Date",O$9)-NL("Sum","5802 Value Entry","43 Cost Amount (Actual)","41 Source Type",$C$5,"5 Source no.",$C87,"4 Item Ledger Entry Type",$C$4,"2 Item No.","@@"&amp;$F87,"3 Posting Date",O$9)</t>
  </si>
  <si>
    <t>=O87-Q87</t>
  </si>
  <si>
    <t>=IF(O87&lt;&gt;0,R87/O87,"")</t>
  </si>
  <si>
    <t>=NL("Sum","5802 Value Entry","150 Sales Amount (Expected)","41 Source Type",$C$5,"5 Source No.",$C88,"4 Item Ledger Entry Type",$C$4,"2 Item No.","@@"&amp;$F88,"3 Posting Date",J$9)+NL("Sum","5802 Value Entry","17 Sales Amount (Actual)","41 Source Type",$C$5,"5 Source no.",$C88,"4 Item Ledger Entry Type",$C$4,"2 Item No.","@@"&amp;$F88,"3 Posting Date",J$9)</t>
  </si>
  <si>
    <t>=-NL("Sum","5802 Value Entry","151 Cost Amount (Expected)","41 Source Type",$C$5,"5 Source No.",$C88,"4 Item Ledger Entry Type",$C$4,"2 Item No.","@@"&amp;$F88,"3 Posting Date",J$9)-NL("Sum","5802 Value Entry","43 Cost Amount (Actual)","41 Source Type",$C$5,"5 Source no.",$C88,"4 Item Ledger Entry Type",$C$4,"2 Item No.","@@"&amp;$F88,"3 Posting Date",J$9)</t>
  </si>
  <si>
    <t>=NL("Sum","5802 Value Entry","150 Sales Amount (Expected)","41 Source Type",$C$5,"5 Source No.",$C88,"4 Item Ledger Entry Type",$C$4,"2 Item No.","@@"&amp;$F88,"3 Posting Date",O$9)+NL("Sum","5802 Value Entry","17 Sales Amount (Actual)","41 Source Type",$C$5,"5 Source no.",$C88,"4 Item Ledger Entry Type",$C$4,"2 Item No.","@@"&amp;$F88,"3 Posting Date",O$9)</t>
  </si>
  <si>
    <t>=-NL("Sum","5802 Value Entry","151 Cost Amount (Expected)","41 Source Type",$C$5,"5 Source No.",$C88,"4 Item Ledger Entry Type",$C$4,"2 Item No.","@@"&amp;$F88,"3 Posting Date",O$9)-NL("Sum","5802 Value Entry","43 Cost Amount (Actual)","41 Source Type",$C$5,"5 Source no.",$C88,"4 Item Ledger Entry Type",$C$4,"2 Item No.","@@"&amp;$F88,"3 Posting Date",O$9)</t>
  </si>
  <si>
    <t>=NL("Sum","5802 Value Entry","150 Sales Amount (Expected)","41 Source Type",$C$5,"5 Source No.",$C89,"4 Item Ledger Entry Type",$C$4,"2 Item No.","@@"&amp;$F89,"3 Posting Date",J$9)+NL("Sum","5802 Value Entry","17 Sales Amount (Actual)","41 Source Type",$C$5,"5 Source no.",$C89,"4 Item Ledger Entry Type",$C$4,"2 Item No.","@@"&amp;$F89,"3 Posting Date",J$9)</t>
  </si>
  <si>
    <t>=-NL("Sum","5802 Value Entry","151 Cost Amount (Expected)","41 Source Type",$C$5,"5 Source No.",$C89,"4 Item Ledger Entry Type",$C$4,"2 Item No.","@@"&amp;$F89,"3 Posting Date",J$9)-NL("Sum","5802 Value Entry","43 Cost Amount (Actual)","41 Source Type",$C$5,"5 Source no.",$C89,"4 Item Ledger Entry Type",$C$4,"2 Item No.","@@"&amp;$F89,"3 Posting Date",J$9)</t>
  </si>
  <si>
    <t>=J89-L89</t>
  </si>
  <si>
    <t>=IF(J89&lt;&gt;0,M89/J89,"")</t>
  </si>
  <si>
    <t>=NL("Sum","5802 Value Entry","150 Sales Amount (Expected)","41 Source Type",$C$5,"5 Source No.",$C89,"4 Item Ledger Entry Type",$C$4,"2 Item No.","@@"&amp;$F89,"3 Posting Date",O$9)+NL("Sum","5802 Value Entry","17 Sales Amount (Actual)","41 Source Type",$C$5,"5 Source no.",$C89,"4 Item Ledger Entry Type",$C$4,"2 Item No.","@@"&amp;$F89,"3 Posting Date",O$9)</t>
  </si>
  <si>
    <t>=-NL("Sum","5802 Value Entry","151 Cost Amount (Expected)","41 Source Type",$C$5,"5 Source No.",$C89,"4 Item Ledger Entry Type",$C$4,"2 Item No.","@@"&amp;$F89,"3 Posting Date",O$9)-NL("Sum","5802 Value Entry","43 Cost Amount (Actual)","41 Source Type",$C$5,"5 Source no.",$C89,"4 Item Ledger Entry Type",$C$4,"2 Item No.","@@"&amp;$F89,"3 Posting Date",O$9)</t>
  </si>
  <si>
    <t>=O89-Q89</t>
  </si>
  <si>
    <t>=IF(O89&lt;&gt;0,R89/O89,"")</t>
  </si>
  <si>
    <t>=NL("Sum","5802 Value Entry","150 Sales Amount (Expected)","41 Source Type",$C$5,"5 Source No.",$C90,"4 Item Ledger Entry Type",$C$4,"2 Item No.","@@"&amp;$F90,"3 Posting Date",J$9)+NL("Sum","5802 Value Entry","17 Sales Amount (Actual)","41 Source Type",$C$5,"5 Source no.",$C90,"4 Item Ledger Entry Type",$C$4,"2 Item No.","@@"&amp;$F90,"3 Posting Date",J$9)</t>
  </si>
  <si>
    <t>=-NL("Sum","5802 Value Entry","151 Cost Amount (Expected)","41 Source Type",$C$5,"5 Source No.",$C90,"4 Item Ledger Entry Type",$C$4,"2 Item No.","@@"&amp;$F90,"3 Posting Date",J$9)-NL("Sum","5802 Value Entry","43 Cost Amount (Actual)","41 Source Type",$C$5,"5 Source no.",$C90,"4 Item Ledger Entry Type",$C$4,"2 Item No.","@@"&amp;$F90,"3 Posting Date",J$9)</t>
  </si>
  <si>
    <t>=NL("Sum","5802 Value Entry","150 Sales Amount (Expected)","41 Source Type",$C$5,"5 Source No.",$C90,"4 Item Ledger Entry Type",$C$4,"2 Item No.","@@"&amp;$F90,"3 Posting Date",O$9)+NL("Sum","5802 Value Entry","17 Sales Amount (Actual)","41 Source Type",$C$5,"5 Source no.",$C90,"4 Item Ledger Entry Type",$C$4,"2 Item No.","@@"&amp;$F90,"3 Posting Date",O$9)</t>
  </si>
  <si>
    <t>=-NL("Sum","5802 Value Entry","151 Cost Amount (Expected)","41 Source Type",$C$5,"5 Source No.",$C90,"4 Item Ledger Entry Type",$C$4,"2 Item No.","@@"&amp;$F90,"3 Posting Date",O$9)-NL("Sum","5802 Value Entry","43 Cost Amount (Actual)","41 Source Type",$C$5,"5 Source no.",$C90,"4 Item Ledger Entry Type",$C$4,"2 Item No.","@@"&amp;$F90,"3 Posting Date",O$9)</t>
  </si>
  <si>
    <t>=C90</t>
  </si>
  <si>
    <t>=NL("Sum","5802 Value Entry","150 Sales Amount (Expected)","41 Source Type",$C$5,"5 Source No.",$C91,"4 Item Ledger Entry Type",$C$4,"2 Item No.","@@"&amp;$F91,"3 Posting Date",J$9)+NL("Sum","5802 Value Entry","17 Sales Amount (Actual)","41 Source Type",$C$5,"5 Source no.",$C91,"4 Item Ledger Entry Type",$C$4,"2 Item No.","@@"&amp;$F91,"3 Posting Date",J$9)</t>
  </si>
  <si>
    <t>=-NL("Sum","5802 Value Entry","151 Cost Amount (Expected)","41 Source Type",$C$5,"5 Source No.",$C91,"4 Item Ledger Entry Type",$C$4,"2 Item No.","@@"&amp;$F91,"3 Posting Date",J$9)-NL("Sum","5802 Value Entry","43 Cost Amount (Actual)","41 Source Type",$C$5,"5 Source no.",$C91,"4 Item Ledger Entry Type",$C$4,"2 Item No.","@@"&amp;$F91,"3 Posting Date",J$9)</t>
  </si>
  <si>
    <t>=J91-L91</t>
  </si>
  <si>
    <t>=IF(J91&lt;&gt;0,M91/J91,"")</t>
  </si>
  <si>
    <t>=NL("Sum","5802 Value Entry","150 Sales Amount (Expected)","41 Source Type",$C$5,"5 Source No.",$C91,"4 Item Ledger Entry Type",$C$4,"2 Item No.","@@"&amp;$F91,"3 Posting Date",O$9)+NL("Sum","5802 Value Entry","17 Sales Amount (Actual)","41 Source Type",$C$5,"5 Source no.",$C91,"4 Item Ledger Entry Type",$C$4,"2 Item No.","@@"&amp;$F91,"3 Posting Date",O$9)</t>
  </si>
  <si>
    <t>=-NL("Sum","5802 Value Entry","151 Cost Amount (Expected)","41 Source Type",$C$5,"5 Source No.",$C91,"4 Item Ledger Entry Type",$C$4,"2 Item No.","@@"&amp;$F91,"3 Posting Date",O$9)-NL("Sum","5802 Value Entry","43 Cost Amount (Actual)","41 Source Type",$C$5,"5 Source no.",$C91,"4 Item Ledger Entry Type",$C$4,"2 Item No.","@@"&amp;$F91,"3 Posting Date",O$9)</t>
  </si>
  <si>
    <t>=O91-Q91</t>
  </si>
  <si>
    <t>=IF(O91&lt;&gt;0,R91/O91,"")</t>
  </si>
  <si>
    <t>=C91</t>
  </si>
  <si>
    <t>=NL("Sum","5802 Value Entry","150 Sales Amount (Expected)","41 Source Type",$C$5,"5 Source No.",$C92,"4 Item Ledger Entry Type",$C$4,"2 Item No.","@@"&amp;$F92,"3 Posting Date",J$9)+NL("Sum","5802 Value Entry","17 Sales Amount (Actual)","41 Source Type",$C$5,"5 Source no.",$C92,"4 Item Ledger Entry Type",$C$4,"2 Item No.","@@"&amp;$F92,"3 Posting Date",J$9)</t>
  </si>
  <si>
    <t>=-NL("Sum","5802 Value Entry","151 Cost Amount (Expected)","41 Source Type",$C$5,"5 Source No.",$C92,"4 Item Ledger Entry Type",$C$4,"2 Item No.","@@"&amp;$F92,"3 Posting Date",J$9)-NL("Sum","5802 Value Entry","43 Cost Amount (Actual)","41 Source Type",$C$5,"5 Source no.",$C92,"4 Item Ledger Entry Type",$C$4,"2 Item No.","@@"&amp;$F92,"3 Posting Date",J$9)</t>
  </si>
  <si>
    <t>=J92-L92</t>
  </si>
  <si>
    <t>=IF(J92&lt;&gt;0,M92/J92,"")</t>
  </si>
  <si>
    <t>=NL("Sum","5802 Value Entry","150 Sales Amount (Expected)","41 Source Type",$C$5,"5 Source No.",$C92,"4 Item Ledger Entry Type",$C$4,"2 Item No.","@@"&amp;$F92,"3 Posting Date",O$9)+NL("Sum","5802 Value Entry","17 Sales Amount (Actual)","41 Source Type",$C$5,"5 Source no.",$C92,"4 Item Ledger Entry Type",$C$4,"2 Item No.","@@"&amp;$F92,"3 Posting Date",O$9)</t>
  </si>
  <si>
    <t>=-NL("Sum","5802 Value Entry","151 Cost Amount (Expected)","41 Source Type",$C$5,"5 Source No.",$C92,"4 Item Ledger Entry Type",$C$4,"2 Item No.","@@"&amp;$F92,"3 Posting Date",O$9)-NL("Sum","5802 Value Entry","43 Cost Amount (Actual)","41 Source Type",$C$5,"5 Source no.",$C92,"4 Item Ledger Entry Type",$C$4,"2 Item No.","@@"&amp;$F92,"3 Posting Date",O$9)</t>
  </si>
  <si>
    <t>=O92-Q92</t>
  </si>
  <si>
    <t>=IF(O92&lt;&gt;0,R92/O92,"")</t>
  </si>
  <si>
    <t>=NL("Sum","5802 Value Entry","150 Sales Amount (Expected)","41 Source Type",$C$5,"5 Source No.",$C93,"4 Item Ledger Entry Type",$C$4,"2 Item No.","@@"&amp;$F93,"3 Posting Date",J$9)+NL("Sum","5802 Value Entry","17 Sales Amount (Actual)","41 Source Type",$C$5,"5 Source no.",$C93,"4 Item Ledger Entry Type",$C$4,"2 Item No.","@@"&amp;$F93,"3 Posting Date",J$9)</t>
  </si>
  <si>
    <t>=-NL("Sum","5802 Value Entry","151 Cost Amount (Expected)","41 Source Type",$C$5,"5 Source No.",$C93,"4 Item Ledger Entry Type",$C$4,"2 Item No.","@@"&amp;$F93,"3 Posting Date",J$9)-NL("Sum","5802 Value Entry","43 Cost Amount (Actual)","41 Source Type",$C$5,"5 Source no.",$C93,"4 Item Ledger Entry Type",$C$4,"2 Item No.","@@"&amp;$F93,"3 Posting Date",J$9)</t>
  </si>
  <si>
    <t>=J93-L93</t>
  </si>
  <si>
    <t>=IF(J93&lt;&gt;0,M93/J93,"")</t>
  </si>
  <si>
    <t>=NL("Sum","5802 Value Entry","150 Sales Amount (Expected)","41 Source Type",$C$5,"5 Source No.",$C93,"4 Item Ledger Entry Type",$C$4,"2 Item No.","@@"&amp;$F93,"3 Posting Date",O$9)+NL("Sum","5802 Value Entry","17 Sales Amount (Actual)","41 Source Type",$C$5,"5 Source no.",$C93,"4 Item Ledger Entry Type",$C$4,"2 Item No.","@@"&amp;$F93,"3 Posting Date",O$9)</t>
  </si>
  <si>
    <t>=-NL("Sum","5802 Value Entry","151 Cost Amount (Expected)","41 Source Type",$C$5,"5 Source No.",$C93,"4 Item Ledger Entry Type",$C$4,"2 Item No.","@@"&amp;$F93,"3 Posting Date",O$9)-NL("Sum","5802 Value Entry","43 Cost Amount (Actual)","41 Source Type",$C$5,"5 Source no.",$C93,"4 Item Ledger Entry Type",$C$4,"2 Item No.","@@"&amp;$F93,"3 Posting Date",O$9)</t>
  </si>
  <si>
    <t>=O93-Q93</t>
  </si>
  <si>
    <t>=IF(O93&lt;&gt;0,R93/O93,"")</t>
  </si>
  <si>
    <t>=NL("Sum","5802 Value Entry","150 Sales Amount (Expected)","41 Source Type",$C$5,"5 Source No.",$C94,"4 Item Ledger Entry Type",$C$4,"2 Item No.","@@"&amp;$F94,"3 Posting Date",J$9)+NL("Sum","5802 Value Entry","17 Sales Amount (Actual)","41 Source Type",$C$5,"5 Source no.",$C94,"4 Item Ledger Entry Type",$C$4,"2 Item No.","@@"&amp;$F94,"3 Posting Date",J$9)</t>
  </si>
  <si>
    <t>=-NL("Sum","5802 Value Entry","151 Cost Amount (Expected)","41 Source Type",$C$5,"5 Source No.",$C94,"4 Item Ledger Entry Type",$C$4,"2 Item No.","@@"&amp;$F94,"3 Posting Date",J$9)-NL("Sum","5802 Value Entry","43 Cost Amount (Actual)","41 Source Type",$C$5,"5 Source no.",$C94,"4 Item Ledger Entry Type",$C$4,"2 Item No.","@@"&amp;$F94,"3 Posting Date",J$9)</t>
  </si>
  <si>
    <t>=NL("Sum","5802 Value Entry","150 Sales Amount (Expected)","41 Source Type",$C$5,"5 Source No.",$C94,"4 Item Ledger Entry Type",$C$4,"2 Item No.","@@"&amp;$F94,"3 Posting Date",O$9)+NL("Sum","5802 Value Entry","17 Sales Amount (Actual)","41 Source Type",$C$5,"5 Source no.",$C94,"4 Item Ledger Entry Type",$C$4,"2 Item No.","@@"&amp;$F94,"3 Posting Date",O$9)</t>
  </si>
  <si>
    <t>=-NL("Sum","5802 Value Entry","151 Cost Amount (Expected)","41 Source Type",$C$5,"5 Source No.",$C94,"4 Item Ledger Entry Type",$C$4,"2 Item No.","@@"&amp;$F94,"3 Posting Date",O$9)-NL("Sum","5802 Value Entry","43 Cost Amount (Actual)","41 Source Type",$C$5,"5 Source no.",$C94,"4 Item Ledger Entry Type",$C$4,"2 Item No.","@@"&amp;$F94,"3 Posting Date",O$9)</t>
  </si>
  <si>
    <t>=NL("Sum","5802 Value Entry","150 Sales Amount (Expected)","41 Source Type",$C$5,"5 Source No.",$C95,"4 Item Ledger Entry Type",$C$4,"2 Item No.","@@"&amp;$F95,"3 Posting Date",J$9)+NL("Sum","5802 Value Entry","17 Sales Amount (Actual)","41 Source Type",$C$5,"5 Source no.",$C95,"4 Item Ledger Entry Type",$C$4,"2 Item No.","@@"&amp;$F95,"3 Posting Date",J$9)</t>
  </si>
  <si>
    <t>=-NL("Sum","5802 Value Entry","151 Cost Amount (Expected)","41 Source Type",$C$5,"5 Source No.",$C95,"4 Item Ledger Entry Type",$C$4,"2 Item No.","@@"&amp;$F95,"3 Posting Date",J$9)-NL("Sum","5802 Value Entry","43 Cost Amount (Actual)","41 Source Type",$C$5,"5 Source no.",$C95,"4 Item Ledger Entry Type",$C$4,"2 Item No.","@@"&amp;$F95,"3 Posting Date",J$9)</t>
  </si>
  <si>
    <t>=J95-L95</t>
  </si>
  <si>
    <t>=IF(J95&lt;&gt;0,M95/J95,"")</t>
  </si>
  <si>
    <t>=NL("Sum","5802 Value Entry","150 Sales Amount (Expected)","41 Source Type",$C$5,"5 Source No.",$C95,"4 Item Ledger Entry Type",$C$4,"2 Item No.","@@"&amp;$F95,"3 Posting Date",O$9)+NL("Sum","5802 Value Entry","17 Sales Amount (Actual)","41 Source Type",$C$5,"5 Source no.",$C95,"4 Item Ledger Entry Type",$C$4,"2 Item No.","@@"&amp;$F95,"3 Posting Date",O$9)</t>
  </si>
  <si>
    <t>=-NL("Sum","5802 Value Entry","151 Cost Amount (Expected)","41 Source Type",$C$5,"5 Source No.",$C95,"4 Item Ledger Entry Type",$C$4,"2 Item No.","@@"&amp;$F95,"3 Posting Date",O$9)-NL("Sum","5802 Value Entry","43 Cost Amount (Actual)","41 Source Type",$C$5,"5 Source no.",$C95,"4 Item Ledger Entry Type",$C$4,"2 Item No.","@@"&amp;$F95,"3 Posting Date",O$9)</t>
  </si>
  <si>
    <t>=O95-Q95</t>
  </si>
  <si>
    <t>=IF(O95&lt;&gt;0,R95/O95,"")</t>
  </si>
  <si>
    <t>=NL("Sum","5802 Value Entry","150 Sales Amount (Expected)","41 Source Type",$C$5,"5 Source No.",$C96,"4 Item Ledger Entry Type",$C$4,"2 Item No.","@@"&amp;$F96,"3 Posting Date",J$9)+NL("Sum","5802 Value Entry","17 Sales Amount (Actual)","41 Source Type",$C$5,"5 Source no.",$C96,"4 Item Ledger Entry Type",$C$4,"2 Item No.","@@"&amp;$F96,"3 Posting Date",J$9)</t>
  </si>
  <si>
    <t>=-NL("Sum","5802 Value Entry","151 Cost Amount (Expected)","41 Source Type",$C$5,"5 Source No.",$C96,"4 Item Ledger Entry Type",$C$4,"2 Item No.","@@"&amp;$F96,"3 Posting Date",J$9)-NL("Sum","5802 Value Entry","43 Cost Amount (Actual)","41 Source Type",$C$5,"5 Source no.",$C96,"4 Item Ledger Entry Type",$C$4,"2 Item No.","@@"&amp;$F96,"3 Posting Date",J$9)</t>
  </si>
  <si>
    <t>=NL("Sum","5802 Value Entry","150 Sales Amount (Expected)","41 Source Type",$C$5,"5 Source No.",$C96,"4 Item Ledger Entry Type",$C$4,"2 Item No.","@@"&amp;$F96,"3 Posting Date",O$9)+NL("Sum","5802 Value Entry","17 Sales Amount (Actual)","41 Source Type",$C$5,"5 Source no.",$C96,"4 Item Ledger Entry Type",$C$4,"2 Item No.","@@"&amp;$F96,"3 Posting Date",O$9)</t>
  </si>
  <si>
    <t>=-NL("Sum","5802 Value Entry","151 Cost Amount (Expected)","41 Source Type",$C$5,"5 Source No.",$C96,"4 Item Ledger Entry Type",$C$4,"2 Item No.","@@"&amp;$F96,"3 Posting Date",O$9)-NL("Sum","5802 Value Entry","43 Cost Amount (Actual)","41 Source Type",$C$5,"5 Source no.",$C96,"4 Item Ledger Entry Type",$C$4,"2 Item No.","@@"&amp;$F96,"3 Posting Date",O$9)</t>
  </si>
  <si>
    <t>=C96</t>
  </si>
  <si>
    <t>=NL("Sum","5802 Value Entry","150 Sales Amount (Expected)","41 Source Type",$C$5,"5 Source No.",$C97,"4 Item Ledger Entry Type",$C$4,"2 Item No.","@@"&amp;$F97,"3 Posting Date",J$9)+NL("Sum","5802 Value Entry","17 Sales Amount (Actual)","41 Source Type",$C$5,"5 Source no.",$C97,"4 Item Ledger Entry Type",$C$4,"2 Item No.","@@"&amp;$F97,"3 Posting Date",J$9)</t>
  </si>
  <si>
    <t>=-NL("Sum","5802 Value Entry","151 Cost Amount (Expected)","41 Source Type",$C$5,"5 Source No.",$C97,"4 Item Ledger Entry Type",$C$4,"2 Item No.","@@"&amp;$F97,"3 Posting Date",J$9)-NL("Sum","5802 Value Entry","43 Cost Amount (Actual)","41 Source Type",$C$5,"5 Source no.",$C97,"4 Item Ledger Entry Type",$C$4,"2 Item No.","@@"&amp;$F97,"3 Posting Date",J$9)</t>
  </si>
  <si>
    <t>=J97-L97</t>
  </si>
  <si>
    <t>=IF(J97&lt;&gt;0,M97/J97,"")</t>
  </si>
  <si>
    <t>=NL("Sum","5802 Value Entry","150 Sales Amount (Expected)","41 Source Type",$C$5,"5 Source No.",$C97,"4 Item Ledger Entry Type",$C$4,"2 Item No.","@@"&amp;$F97,"3 Posting Date",O$9)+NL("Sum","5802 Value Entry","17 Sales Amount (Actual)","41 Source Type",$C$5,"5 Source no.",$C97,"4 Item Ledger Entry Type",$C$4,"2 Item No.","@@"&amp;$F97,"3 Posting Date",O$9)</t>
  </si>
  <si>
    <t>=-NL("Sum","5802 Value Entry","151 Cost Amount (Expected)","41 Source Type",$C$5,"5 Source No.",$C97,"4 Item Ledger Entry Type",$C$4,"2 Item No.","@@"&amp;$F97,"3 Posting Date",O$9)-NL("Sum","5802 Value Entry","43 Cost Amount (Actual)","41 Source Type",$C$5,"5 Source no.",$C97,"4 Item Ledger Entry Type",$C$4,"2 Item No.","@@"&amp;$F97,"3 Posting Date",O$9)</t>
  </si>
  <si>
    <t>=O97-Q97</t>
  </si>
  <si>
    <t>=IF(O97&lt;&gt;0,R97/O97,"")</t>
  </si>
  <si>
    <t>=C97</t>
  </si>
  <si>
    <t>=NL("Sum","5802 Value Entry","150 Sales Amount (Expected)","41 Source Type",$C$5,"5 Source No.",$C98,"4 Item Ledger Entry Type",$C$4,"2 Item No.","@@"&amp;$F98,"3 Posting Date",J$9)+NL("Sum","5802 Value Entry","17 Sales Amount (Actual)","41 Source Type",$C$5,"5 Source no.",$C98,"4 Item Ledger Entry Type",$C$4,"2 Item No.","@@"&amp;$F98,"3 Posting Date",J$9)</t>
  </si>
  <si>
    <t>=-NL("Sum","5802 Value Entry","151 Cost Amount (Expected)","41 Source Type",$C$5,"5 Source No.",$C98,"4 Item Ledger Entry Type",$C$4,"2 Item No.","@@"&amp;$F98,"3 Posting Date",J$9)-NL("Sum","5802 Value Entry","43 Cost Amount (Actual)","41 Source Type",$C$5,"5 Source no.",$C98,"4 Item Ledger Entry Type",$C$4,"2 Item No.","@@"&amp;$F98,"3 Posting Date",J$9)</t>
  </si>
  <si>
    <t>=J98-L98</t>
  </si>
  <si>
    <t>=IF(J98&lt;&gt;0,M98/J98,"")</t>
  </si>
  <si>
    <t>=NL("Sum","5802 Value Entry","150 Sales Amount (Expected)","41 Source Type",$C$5,"5 Source No.",$C98,"4 Item Ledger Entry Type",$C$4,"2 Item No.","@@"&amp;$F98,"3 Posting Date",O$9)+NL("Sum","5802 Value Entry","17 Sales Amount (Actual)","41 Source Type",$C$5,"5 Source no.",$C98,"4 Item Ledger Entry Type",$C$4,"2 Item No.","@@"&amp;$F98,"3 Posting Date",O$9)</t>
  </si>
  <si>
    <t>=-NL("Sum","5802 Value Entry","151 Cost Amount (Expected)","41 Source Type",$C$5,"5 Source No.",$C98,"4 Item Ledger Entry Type",$C$4,"2 Item No.","@@"&amp;$F98,"3 Posting Date",O$9)-NL("Sum","5802 Value Entry","43 Cost Amount (Actual)","41 Source Type",$C$5,"5 Source no.",$C98,"4 Item Ledger Entry Type",$C$4,"2 Item No.","@@"&amp;$F98,"3 Posting Date",O$9)</t>
  </si>
  <si>
    <t>=O98-Q98</t>
  </si>
  <si>
    <t>=IF(O98&lt;&gt;0,R98/O98,"")</t>
  </si>
  <si>
    <t>="S100004"</t>
  </si>
  <si>
    <t>=NL("Sum","5802 Value Entry","150 Sales Amount (Expected)","41 Source Type",$C$5,"5 Source No.",$C99,"4 Item Ledger Entry Type",$C$4,"2 Item No.","@@"&amp;$F99,"3 Posting Date",J$9)+NL("Sum","5802 Value Entry","17 Sales Amount (Actual)","41 Source Type",$C$5,"5 Source no.",$C99,"4 Item Ledger Entry Type",$C$4,"2 Item No.","@@"&amp;$F99,"3 Posting Date",J$9)</t>
  </si>
  <si>
    <t>=-NL("Sum","5802 Value Entry","151 Cost Amount (Expected)","41 Source Type",$C$5,"5 Source No.",$C99,"4 Item Ledger Entry Type",$C$4,"2 Item No.","@@"&amp;$F99,"3 Posting Date",J$9)-NL("Sum","5802 Value Entry","43 Cost Amount (Actual)","41 Source Type",$C$5,"5 Source no.",$C99,"4 Item Ledger Entry Type",$C$4,"2 Item No.","@@"&amp;$F99,"3 Posting Date",J$9)</t>
  </si>
  <si>
    <t>=J99-L99</t>
  </si>
  <si>
    <t>=IF(J99&lt;&gt;0,M99/J99,"")</t>
  </si>
  <si>
    <t>=NL("Sum","5802 Value Entry","150 Sales Amount (Expected)","41 Source Type",$C$5,"5 Source No.",$C99,"4 Item Ledger Entry Type",$C$4,"2 Item No.","@@"&amp;$F99,"3 Posting Date",O$9)+NL("Sum","5802 Value Entry","17 Sales Amount (Actual)","41 Source Type",$C$5,"5 Source no.",$C99,"4 Item Ledger Entry Type",$C$4,"2 Item No.","@@"&amp;$F99,"3 Posting Date",O$9)</t>
  </si>
  <si>
    <t>=-NL("Sum","5802 Value Entry","151 Cost Amount (Expected)","41 Source Type",$C$5,"5 Source No.",$C99,"4 Item Ledger Entry Type",$C$4,"2 Item No.","@@"&amp;$F99,"3 Posting Date",O$9)-NL("Sum","5802 Value Entry","43 Cost Amount (Actual)","41 Source Type",$C$5,"5 Source no.",$C99,"4 Item Ledger Entry Type",$C$4,"2 Item No.","@@"&amp;$F99,"3 Posting Date",O$9)</t>
  </si>
  <si>
    <t>=O99-Q99</t>
  </si>
  <si>
    <t>=IF(O99&lt;&gt;0,R99/O99,"")</t>
  </si>
  <si>
    <t>=NL("Sum","5802 Value Entry","150 Sales Amount (Expected)","41 Source Type",$C$5,"5 Source No.",$C100,"4 Item Ledger Entry Type",$C$4,"2 Item No.","@@"&amp;$F100,"3 Posting Date",J$9)+NL("Sum","5802 Value Entry","17 Sales Amount (Actual)","41 Source Type",$C$5,"5 Source no.",$C100,"4 Item Ledger Entry Type",$C$4,"2 Item No.","@@"&amp;$F100,"3 Posting Date",J$9)</t>
  </si>
  <si>
    <t>=-NL("Sum","5802 Value Entry","151 Cost Amount (Expected)","41 Source Type",$C$5,"5 Source No.",$C100,"4 Item Ledger Entry Type",$C$4,"2 Item No.","@@"&amp;$F100,"3 Posting Date",J$9)-NL("Sum","5802 Value Entry","43 Cost Amount (Actual)","41 Source Type",$C$5,"5 Source no.",$C100,"4 Item Ledger Entry Type",$C$4,"2 Item No.","@@"&amp;$F100,"3 Posting Date",J$9)</t>
  </si>
  <si>
    <t>=NL("Sum","5802 Value Entry","150 Sales Amount (Expected)","41 Source Type",$C$5,"5 Source No.",$C100,"4 Item Ledger Entry Type",$C$4,"2 Item No.","@@"&amp;$F100,"3 Posting Date",O$9)+NL("Sum","5802 Value Entry","17 Sales Amount (Actual)","41 Source Type",$C$5,"5 Source no.",$C100,"4 Item Ledger Entry Type",$C$4,"2 Item No.","@@"&amp;$F100,"3 Posting Date",O$9)</t>
  </si>
  <si>
    <t>=-NL("Sum","5802 Value Entry","151 Cost Amount (Expected)","41 Source Type",$C$5,"5 Source No.",$C100,"4 Item Ledger Entry Type",$C$4,"2 Item No.","@@"&amp;$F100,"3 Posting Date",O$9)-NL("Sum","5802 Value Entry","43 Cost Amount (Actual)","41 Source Type",$C$5,"5 Source no.",$C100,"4 Item Ledger Entry Type",$C$4,"2 Item No.","@@"&amp;$F100,"3 Posting Date",O$9)</t>
  </si>
  <si>
    <t>=NL("Sum","5802 Value Entry","150 Sales Amount (Expected)","41 Source Type",$C$5,"5 Source No.",$C101,"4 Item Ledger Entry Type",$C$4,"2 Item No.","@@"&amp;$F101,"3 Posting Date",J$9)+NL("Sum","5802 Value Entry","17 Sales Amount (Actual)","41 Source Type",$C$5,"5 Source no.",$C101,"4 Item Ledger Entry Type",$C$4,"2 Item No.","@@"&amp;$F101,"3 Posting Date",J$9)</t>
  </si>
  <si>
    <t>=-NL("Sum","5802 Value Entry","151 Cost Amount (Expected)","41 Source Type",$C$5,"5 Source No.",$C101,"4 Item Ledger Entry Type",$C$4,"2 Item No.","@@"&amp;$F101,"3 Posting Date",J$9)-NL("Sum","5802 Value Entry","43 Cost Amount (Actual)","41 Source Type",$C$5,"5 Source no.",$C101,"4 Item Ledger Entry Type",$C$4,"2 Item No.","@@"&amp;$F101,"3 Posting Date",J$9)</t>
  </si>
  <si>
    <t>=J101-L101</t>
  </si>
  <si>
    <t>=IF(J101&lt;&gt;0,M101/J101,"")</t>
  </si>
  <si>
    <t>=NL("Sum","5802 Value Entry","150 Sales Amount (Expected)","41 Source Type",$C$5,"5 Source No.",$C101,"4 Item Ledger Entry Type",$C$4,"2 Item No.","@@"&amp;$F101,"3 Posting Date",O$9)+NL("Sum","5802 Value Entry","17 Sales Amount (Actual)","41 Source Type",$C$5,"5 Source no.",$C101,"4 Item Ledger Entry Type",$C$4,"2 Item No.","@@"&amp;$F101,"3 Posting Date",O$9)</t>
  </si>
  <si>
    <t>=-NL("Sum","5802 Value Entry","151 Cost Amount (Expected)","41 Source Type",$C$5,"5 Source No.",$C101,"4 Item Ledger Entry Type",$C$4,"2 Item No.","@@"&amp;$F101,"3 Posting Date",O$9)-NL("Sum","5802 Value Entry","43 Cost Amount (Actual)","41 Source Type",$C$5,"5 Source no.",$C101,"4 Item Ledger Entry Type",$C$4,"2 Item No.","@@"&amp;$F101,"3 Posting Date",O$9)</t>
  </si>
  <si>
    <t>=O101-Q101</t>
  </si>
  <si>
    <t>=IF(O101&lt;&gt;0,R101/O101,"")</t>
  </si>
  <si>
    <t>=NL("Sum","5802 Value Entry","150 Sales Amount (Expected)","41 Source Type",$C$5,"5 Source No.",$C102,"4 Item Ledger Entry Type",$C$4,"2 Item No.","@@"&amp;$F102,"3 Posting Date",J$9)+NL("Sum","5802 Value Entry","17 Sales Amount (Actual)","41 Source Type",$C$5,"5 Source no.",$C102,"4 Item Ledger Entry Type",$C$4,"2 Item No.","@@"&amp;$F102,"3 Posting Date",J$9)</t>
  </si>
  <si>
    <t>=-NL("Sum","5802 Value Entry","151 Cost Amount (Expected)","41 Source Type",$C$5,"5 Source No.",$C102,"4 Item Ledger Entry Type",$C$4,"2 Item No.","@@"&amp;$F102,"3 Posting Date",J$9)-NL("Sum","5802 Value Entry","43 Cost Amount (Actual)","41 Source Type",$C$5,"5 Source no.",$C102,"4 Item Ledger Entry Type",$C$4,"2 Item No.","@@"&amp;$F102,"3 Posting Date",J$9)</t>
  </si>
  <si>
    <t>=NL("Sum","5802 Value Entry","150 Sales Amount (Expected)","41 Source Type",$C$5,"5 Source No.",$C102,"4 Item Ledger Entry Type",$C$4,"2 Item No.","@@"&amp;$F102,"3 Posting Date",O$9)+NL("Sum","5802 Value Entry","17 Sales Amount (Actual)","41 Source Type",$C$5,"5 Source no.",$C102,"4 Item Ledger Entry Type",$C$4,"2 Item No.","@@"&amp;$F102,"3 Posting Date",O$9)</t>
  </si>
  <si>
    <t>=-NL("Sum","5802 Value Entry","151 Cost Amount (Expected)","41 Source Type",$C$5,"5 Source No.",$C102,"4 Item Ledger Entry Type",$C$4,"2 Item No.","@@"&amp;$F102,"3 Posting Date",O$9)-NL("Sum","5802 Value Entry","43 Cost Amount (Actual)","41 Source Type",$C$5,"5 Source no.",$C102,"4 Item Ledger Entry Type",$C$4,"2 Item No.","@@"&amp;$F102,"3 Posting Date",O$9)</t>
  </si>
  <si>
    <t>=C102</t>
  </si>
  <si>
    <t>=NL("Sum","5802 Value Entry","150 Sales Amount (Expected)","41 Source Type",$C$5,"5 Source No.",$C103,"4 Item Ledger Entry Type",$C$4,"2 Item No.","@@"&amp;$F103,"3 Posting Date",J$9)+NL("Sum","5802 Value Entry","17 Sales Amount (Actual)","41 Source Type",$C$5,"5 Source no.",$C103,"4 Item Ledger Entry Type",$C$4,"2 Item No.","@@"&amp;$F103,"3 Posting Date",J$9)</t>
  </si>
  <si>
    <t>=-NL("Sum","5802 Value Entry","151 Cost Amount (Expected)","41 Source Type",$C$5,"5 Source No.",$C103,"4 Item Ledger Entry Type",$C$4,"2 Item No.","@@"&amp;$F103,"3 Posting Date",J$9)-NL("Sum","5802 Value Entry","43 Cost Amount (Actual)","41 Source Type",$C$5,"5 Source no.",$C103,"4 Item Ledger Entry Type",$C$4,"2 Item No.","@@"&amp;$F103,"3 Posting Date",J$9)</t>
  </si>
  <si>
    <t>=J103-L103</t>
  </si>
  <si>
    <t>=IF(J103&lt;&gt;0,M103/J103,"")</t>
  </si>
  <si>
    <t>=NL("Sum","5802 Value Entry","150 Sales Amount (Expected)","41 Source Type",$C$5,"5 Source No.",$C103,"4 Item Ledger Entry Type",$C$4,"2 Item No.","@@"&amp;$F103,"3 Posting Date",O$9)+NL("Sum","5802 Value Entry","17 Sales Amount (Actual)","41 Source Type",$C$5,"5 Source no.",$C103,"4 Item Ledger Entry Type",$C$4,"2 Item No.","@@"&amp;$F103,"3 Posting Date",O$9)</t>
  </si>
  <si>
    <t>=-NL("Sum","5802 Value Entry","151 Cost Amount (Expected)","41 Source Type",$C$5,"5 Source No.",$C103,"4 Item Ledger Entry Type",$C$4,"2 Item No.","@@"&amp;$F103,"3 Posting Date",O$9)-NL("Sum","5802 Value Entry","43 Cost Amount (Actual)","41 Source Type",$C$5,"5 Source no.",$C103,"4 Item Ledger Entry Type",$C$4,"2 Item No.","@@"&amp;$F103,"3 Posting Date",O$9)</t>
  </si>
  <si>
    <t>=O103-Q103</t>
  </si>
  <si>
    <t>=IF(O103&lt;&gt;0,R103/O103,"")</t>
  </si>
  <si>
    <t>=C103</t>
  </si>
  <si>
    <t>=NL("Sum","5802 Value Entry","150 Sales Amount (Expected)","41 Source Type",$C$5,"5 Source No.",$C104,"4 Item Ledger Entry Type",$C$4,"2 Item No.","@@"&amp;$F104,"3 Posting Date",J$9)+NL("Sum","5802 Value Entry","17 Sales Amount (Actual)","41 Source Type",$C$5,"5 Source no.",$C104,"4 Item Ledger Entry Type",$C$4,"2 Item No.","@@"&amp;$F104,"3 Posting Date",J$9)</t>
  </si>
  <si>
    <t>=-NL("Sum","5802 Value Entry","151 Cost Amount (Expected)","41 Source Type",$C$5,"5 Source No.",$C104,"4 Item Ledger Entry Type",$C$4,"2 Item No.","@@"&amp;$F104,"3 Posting Date",J$9)-NL("Sum","5802 Value Entry","43 Cost Amount (Actual)","41 Source Type",$C$5,"5 Source no.",$C104,"4 Item Ledger Entry Type",$C$4,"2 Item No.","@@"&amp;$F104,"3 Posting Date",J$9)</t>
  </si>
  <si>
    <t>=J104-L104</t>
  </si>
  <si>
    <t>=IF(J104&lt;&gt;0,M104/J104,"")</t>
  </si>
  <si>
    <t>=NL("Sum","5802 Value Entry","150 Sales Amount (Expected)","41 Source Type",$C$5,"5 Source No.",$C104,"4 Item Ledger Entry Type",$C$4,"2 Item No.","@@"&amp;$F104,"3 Posting Date",O$9)+NL("Sum","5802 Value Entry","17 Sales Amount (Actual)","41 Source Type",$C$5,"5 Source no.",$C104,"4 Item Ledger Entry Type",$C$4,"2 Item No.","@@"&amp;$F104,"3 Posting Date",O$9)</t>
  </si>
  <si>
    <t>=-NL("Sum","5802 Value Entry","151 Cost Amount (Expected)","41 Source Type",$C$5,"5 Source No.",$C104,"4 Item Ledger Entry Type",$C$4,"2 Item No.","@@"&amp;$F104,"3 Posting Date",O$9)-NL("Sum","5802 Value Entry","43 Cost Amount (Actual)","41 Source Type",$C$5,"5 Source no.",$C104,"4 Item Ledger Entry Type",$C$4,"2 Item No.","@@"&amp;$F104,"3 Posting Date",O$9)</t>
  </si>
  <si>
    <t>=O104-Q104</t>
  </si>
  <si>
    <t>=IF(O104&lt;&gt;0,R104/O104,"")</t>
  </si>
  <si>
    <t>=NL("Sum","5802 Value Entry","150 Sales Amount (Expected)","41 Source Type",$C$5,"5 Source No.",$C105,"4 Item Ledger Entry Type",$C$4,"2 Item No.","@@"&amp;$F105,"3 Posting Date",J$9)+NL("Sum","5802 Value Entry","17 Sales Amount (Actual)","41 Source Type",$C$5,"5 Source no.",$C105,"4 Item Ledger Entry Type",$C$4,"2 Item No.","@@"&amp;$F105,"3 Posting Date",J$9)</t>
  </si>
  <si>
    <t>=-NL("Sum","5802 Value Entry","151 Cost Amount (Expected)","41 Source Type",$C$5,"5 Source No.",$C105,"4 Item Ledger Entry Type",$C$4,"2 Item No.","@@"&amp;$F105,"3 Posting Date",J$9)-NL("Sum","5802 Value Entry","43 Cost Amount (Actual)","41 Source Type",$C$5,"5 Source no.",$C105,"4 Item Ledger Entry Type",$C$4,"2 Item No.","@@"&amp;$F105,"3 Posting Date",J$9)</t>
  </si>
  <si>
    <t>=J105-L105</t>
  </si>
  <si>
    <t>=IF(J105&lt;&gt;0,M105/J105,"")</t>
  </si>
  <si>
    <t>=NL("Sum","5802 Value Entry","150 Sales Amount (Expected)","41 Source Type",$C$5,"5 Source No.",$C105,"4 Item Ledger Entry Type",$C$4,"2 Item No.","@@"&amp;$F105,"3 Posting Date",O$9)+NL("Sum","5802 Value Entry","17 Sales Amount (Actual)","41 Source Type",$C$5,"5 Source no.",$C105,"4 Item Ledger Entry Type",$C$4,"2 Item No.","@@"&amp;$F105,"3 Posting Date",O$9)</t>
  </si>
  <si>
    <t>=-NL("Sum","5802 Value Entry","151 Cost Amount (Expected)","41 Source Type",$C$5,"5 Source No.",$C105,"4 Item Ledger Entry Type",$C$4,"2 Item No.","@@"&amp;$F105,"3 Posting Date",O$9)-NL("Sum","5802 Value Entry","43 Cost Amount (Actual)","41 Source Type",$C$5,"5 Source no.",$C105,"4 Item Ledger Entry Type",$C$4,"2 Item No.","@@"&amp;$F105,"3 Posting Date",O$9)</t>
  </si>
  <si>
    <t>=O105-Q105</t>
  </si>
  <si>
    <t>=IF(O105&lt;&gt;0,R105/O105,"")</t>
  </si>
  <si>
    <t>=J107-L107</t>
  </si>
  <si>
    <t>=IF(J107&lt;&gt;0,M107/J107,"")</t>
  </si>
  <si>
    <t>=O107-Q107</t>
  </si>
  <si>
    <t>=IF(O107&lt;&gt;0,R107/O107,"")</t>
  </si>
  <si>
    <t>="S100015"</t>
  </si>
  <si>
    <t>="S100020"</t>
  </si>
  <si>
    <t>=J111-L111</t>
  </si>
  <si>
    <t>=IF(J111&lt;&gt;0,M111/J111,"")</t>
  </si>
  <si>
    <t>=O111-Q111</t>
  </si>
  <si>
    <t>=IF(O111&lt;&gt;0,R111/O111,"")</t>
  </si>
  <si>
    <t>=NL("Sum","5802 Value Entry","150 Sales Amount (Expected)","41 Source Type",$C$5,"5 Source No.",$C118,"4 Item Ledger Entry Type",$C$4,"2 Item No.","@@"&amp;$F118,"3 Posting Date",J$9)+NL("Sum","5802 Value Entry","17 Sales Amount (Actual)","41 Source Type",$C$5,"5 Source no.",$C118,"4 Item Ledger Entry Type",$C$4,"2 Item No.","@@"&amp;$F118,"3 Posting Date",J$9)</t>
  </si>
  <si>
    <t>=-NL("Sum","5802 Value Entry","151 Cost Amount (Expected)","41 Source Type",$C$5,"5 Source No.",$C118,"4 Item Ledger Entry Type",$C$4,"2 Item No.","@@"&amp;$F118,"3 Posting Date",J$9)-NL("Sum","5802 Value Entry","43 Cost Amount (Actual)","41 Source Type",$C$5,"5 Source no.",$C118,"4 Item Ledger Entry Type",$C$4,"2 Item No.","@@"&amp;$F118,"3 Posting Date",J$9)</t>
  </si>
  <si>
    <t>=NL("Sum","5802 Value Entry","150 Sales Amount (Expected)","41 Source Type",$C$5,"5 Source No.",$C118,"4 Item Ledger Entry Type",$C$4,"2 Item No.","@@"&amp;$F118,"3 Posting Date",O$9)+NL("Sum","5802 Value Entry","17 Sales Amount (Actual)","41 Source Type",$C$5,"5 Source no.",$C118,"4 Item Ledger Entry Type",$C$4,"2 Item No.","@@"&amp;$F118,"3 Posting Date",O$9)</t>
  </si>
  <si>
    <t>=-NL("Sum","5802 Value Entry","151 Cost Amount (Expected)","41 Source Type",$C$5,"5 Source No.",$C118,"4 Item Ledger Entry Type",$C$4,"2 Item No.","@@"&amp;$F118,"3 Posting Date",O$9)-NL("Sum","5802 Value Entry","43 Cost Amount (Actual)","41 Source Type",$C$5,"5 Source no.",$C118,"4 Item Ledger Entry Type",$C$4,"2 Item No.","@@"&amp;$F118,"3 Posting Date",O$9)</t>
  </si>
  <si>
    <t>=NL("Sum","5802 Value Entry","150 Sales Amount (Expected)","41 Source Type",$C$5,"5 Source No.",$C119,"4 Item Ledger Entry Type",$C$4,"2 Item No.","@@"&amp;$F119,"3 Posting Date",J$9)+NL("Sum","5802 Value Entry","17 Sales Amount (Actual)","41 Source Type",$C$5,"5 Source no.",$C119,"4 Item Ledger Entry Type",$C$4,"2 Item No.","@@"&amp;$F119,"3 Posting Date",J$9)</t>
  </si>
  <si>
    <t>=-NL("Sum","5802 Value Entry","151 Cost Amount (Expected)","41 Source Type",$C$5,"5 Source No.",$C119,"4 Item Ledger Entry Type",$C$4,"2 Item No.","@@"&amp;$F119,"3 Posting Date",J$9)-NL("Sum","5802 Value Entry","43 Cost Amount (Actual)","41 Source Type",$C$5,"5 Source no.",$C119,"4 Item Ledger Entry Type",$C$4,"2 Item No.","@@"&amp;$F119,"3 Posting Date",J$9)</t>
  </si>
  <si>
    <t>=J119-L119</t>
  </si>
  <si>
    <t>=IF(J119&lt;&gt;0,M119/J119,"")</t>
  </si>
  <si>
    <t>=NL("Sum","5802 Value Entry","150 Sales Amount (Expected)","41 Source Type",$C$5,"5 Source No.",$C119,"4 Item Ledger Entry Type",$C$4,"2 Item No.","@@"&amp;$F119,"3 Posting Date",O$9)+NL("Sum","5802 Value Entry","17 Sales Amount (Actual)","41 Source Type",$C$5,"5 Source no.",$C119,"4 Item Ledger Entry Type",$C$4,"2 Item No.","@@"&amp;$F119,"3 Posting Date",O$9)</t>
  </si>
  <si>
    <t>=-NL("Sum","5802 Value Entry","151 Cost Amount (Expected)","41 Source Type",$C$5,"5 Source No.",$C119,"4 Item Ledger Entry Type",$C$4,"2 Item No.","@@"&amp;$F119,"3 Posting Date",O$9)-NL("Sum","5802 Value Entry","43 Cost Amount (Actual)","41 Source Type",$C$5,"5 Source no.",$C119,"4 Item Ledger Entry Type",$C$4,"2 Item No.","@@"&amp;$F119,"3 Posting Date",O$9)</t>
  </si>
  <si>
    <t>=O119-Q119</t>
  </si>
  <si>
    <t>=IF(O119&lt;&gt;0,R119/O119,"")</t>
  </si>
  <si>
    <t>=NL("Sum","5802 Value Entry","150 Sales Amount (Expected)","41 Source Type",$C$5,"5 Source No.",$C120,"4 Item Ledger Entry Type",$C$4,"2 Item No.","@@"&amp;$F120,"3 Posting Date",J$9)+NL("Sum","5802 Value Entry","17 Sales Amount (Actual)","41 Source Type",$C$5,"5 Source no.",$C120,"4 Item Ledger Entry Type",$C$4,"2 Item No.","@@"&amp;$F120,"3 Posting Date",J$9)</t>
  </si>
  <si>
    <t>=-NL("Sum","5802 Value Entry","151 Cost Amount (Expected)","41 Source Type",$C$5,"5 Source No.",$C120,"4 Item Ledger Entry Type",$C$4,"2 Item No.","@@"&amp;$F120,"3 Posting Date",J$9)-NL("Sum","5802 Value Entry","43 Cost Amount (Actual)","41 Source Type",$C$5,"5 Source no.",$C120,"4 Item Ledger Entry Type",$C$4,"2 Item No.","@@"&amp;$F120,"3 Posting Date",J$9)</t>
  </si>
  <si>
    <t>=NL("Sum","5802 Value Entry","150 Sales Amount (Expected)","41 Source Type",$C$5,"5 Source No.",$C120,"4 Item Ledger Entry Type",$C$4,"2 Item No.","@@"&amp;$F120,"3 Posting Date",O$9)+NL("Sum","5802 Value Entry","17 Sales Amount (Actual)","41 Source Type",$C$5,"5 Source no.",$C120,"4 Item Ledger Entry Type",$C$4,"2 Item No.","@@"&amp;$F120,"3 Posting Date",O$9)</t>
  </si>
  <si>
    <t>=-NL("Sum","5802 Value Entry","151 Cost Amount (Expected)","41 Source Type",$C$5,"5 Source No.",$C120,"4 Item Ledger Entry Type",$C$4,"2 Item No.","@@"&amp;$F120,"3 Posting Date",O$9)-NL("Sum","5802 Value Entry","43 Cost Amount (Actual)","41 Source Type",$C$5,"5 Source no.",$C120,"4 Item Ledger Entry Type",$C$4,"2 Item No.","@@"&amp;$F120,"3 Posting Date",O$9)</t>
  </si>
  <si>
    <t>=C120</t>
  </si>
  <si>
    <t>=NL("Sum","5802 Value Entry","150 Sales Amount (Expected)","41 Source Type",$C$5,"5 Source No.",$C121,"4 Item Ledger Entry Type",$C$4,"2 Item No.","@@"&amp;$F121,"3 Posting Date",J$9)+NL("Sum","5802 Value Entry","17 Sales Amount (Actual)","41 Source Type",$C$5,"5 Source no.",$C121,"4 Item Ledger Entry Type",$C$4,"2 Item No.","@@"&amp;$F121,"3 Posting Date",J$9)</t>
  </si>
  <si>
    <t>=-NL("Sum","5802 Value Entry","151 Cost Amount (Expected)","41 Source Type",$C$5,"5 Source No.",$C121,"4 Item Ledger Entry Type",$C$4,"2 Item No.","@@"&amp;$F121,"3 Posting Date",J$9)-NL("Sum","5802 Value Entry","43 Cost Amount (Actual)","41 Source Type",$C$5,"5 Source no.",$C121,"4 Item Ledger Entry Type",$C$4,"2 Item No.","@@"&amp;$F121,"3 Posting Date",J$9)</t>
  </si>
  <si>
    <t>=J121-L121</t>
  </si>
  <si>
    <t>=IF(J121&lt;&gt;0,M121/J121,"")</t>
  </si>
  <si>
    <t>=NL("Sum","5802 Value Entry","150 Sales Amount (Expected)","41 Source Type",$C$5,"5 Source No.",$C121,"4 Item Ledger Entry Type",$C$4,"2 Item No.","@@"&amp;$F121,"3 Posting Date",O$9)+NL("Sum","5802 Value Entry","17 Sales Amount (Actual)","41 Source Type",$C$5,"5 Source no.",$C121,"4 Item Ledger Entry Type",$C$4,"2 Item No.","@@"&amp;$F121,"3 Posting Date",O$9)</t>
  </si>
  <si>
    <t>=-NL("Sum","5802 Value Entry","151 Cost Amount (Expected)","41 Source Type",$C$5,"5 Source No.",$C121,"4 Item Ledger Entry Type",$C$4,"2 Item No.","@@"&amp;$F121,"3 Posting Date",O$9)-NL("Sum","5802 Value Entry","43 Cost Amount (Actual)","41 Source Type",$C$5,"5 Source no.",$C121,"4 Item Ledger Entry Type",$C$4,"2 Item No.","@@"&amp;$F121,"3 Posting Date",O$9)</t>
  </si>
  <si>
    <t>=O121-Q121</t>
  </si>
  <si>
    <t>=IF(O121&lt;&gt;0,R121/O121,"")</t>
  </si>
  <si>
    <t>=C121</t>
  </si>
  <si>
    <t>=NL("Sum","5802 Value Entry","150 Sales Amount (Expected)","41 Source Type",$C$5,"5 Source No.",$C122,"4 Item Ledger Entry Type",$C$4,"2 Item No.","@@"&amp;$F122,"3 Posting Date",J$9)+NL("Sum","5802 Value Entry","17 Sales Amount (Actual)","41 Source Type",$C$5,"5 Source no.",$C122,"4 Item Ledger Entry Type",$C$4,"2 Item No.","@@"&amp;$F122,"3 Posting Date",J$9)</t>
  </si>
  <si>
    <t>=-NL("Sum","5802 Value Entry","151 Cost Amount (Expected)","41 Source Type",$C$5,"5 Source No.",$C122,"4 Item Ledger Entry Type",$C$4,"2 Item No.","@@"&amp;$F122,"3 Posting Date",J$9)-NL("Sum","5802 Value Entry","43 Cost Amount (Actual)","41 Source Type",$C$5,"5 Source no.",$C122,"4 Item Ledger Entry Type",$C$4,"2 Item No.","@@"&amp;$F122,"3 Posting Date",J$9)</t>
  </si>
  <si>
    <t>=J122-L122</t>
  </si>
  <si>
    <t>=IF(J122&lt;&gt;0,M122/J122,"")</t>
  </si>
  <si>
    <t>=NL("Sum","5802 Value Entry","150 Sales Amount (Expected)","41 Source Type",$C$5,"5 Source No.",$C122,"4 Item Ledger Entry Type",$C$4,"2 Item No.","@@"&amp;$F122,"3 Posting Date",O$9)+NL("Sum","5802 Value Entry","17 Sales Amount (Actual)","41 Source Type",$C$5,"5 Source no.",$C122,"4 Item Ledger Entry Type",$C$4,"2 Item No.","@@"&amp;$F122,"3 Posting Date",O$9)</t>
  </si>
  <si>
    <t>=-NL("Sum","5802 Value Entry","151 Cost Amount (Expected)","41 Source Type",$C$5,"5 Source No.",$C122,"4 Item Ledger Entry Type",$C$4,"2 Item No.","@@"&amp;$F122,"3 Posting Date",O$9)-NL("Sum","5802 Value Entry","43 Cost Amount (Actual)","41 Source Type",$C$5,"5 Source no.",$C122,"4 Item Ledger Entry Type",$C$4,"2 Item No.","@@"&amp;$F122,"3 Posting Date",O$9)</t>
  </si>
  <si>
    <t>=O122-Q122</t>
  </si>
  <si>
    <t>=IF(O122&lt;&gt;0,R122/O122,"")</t>
  </si>
  <si>
    <t>=NL("Sum","5802 Value Entry","150 Sales Amount (Expected)","41 Source Type",$C$5,"5 Source No.",$C123,"4 Item Ledger Entry Type",$C$4,"2 Item No.","@@"&amp;$F123,"3 Posting Date",J$9)+NL("Sum","5802 Value Entry","17 Sales Amount (Actual)","41 Source Type",$C$5,"5 Source no.",$C123,"4 Item Ledger Entry Type",$C$4,"2 Item No.","@@"&amp;$F123,"3 Posting Date",J$9)</t>
  </si>
  <si>
    <t>=-NL("Sum","5802 Value Entry","151 Cost Amount (Expected)","41 Source Type",$C$5,"5 Source No.",$C123,"4 Item Ledger Entry Type",$C$4,"2 Item No.","@@"&amp;$F123,"3 Posting Date",J$9)-NL("Sum","5802 Value Entry","43 Cost Amount (Actual)","41 Source Type",$C$5,"5 Source no.",$C123,"4 Item Ledger Entry Type",$C$4,"2 Item No.","@@"&amp;$F123,"3 Posting Date",J$9)</t>
  </si>
  <si>
    <t>=J123-L123</t>
  </si>
  <si>
    <t>=IF(J123&lt;&gt;0,M123/J123,"")</t>
  </si>
  <si>
    <t>=NL("Sum","5802 Value Entry","150 Sales Amount (Expected)","41 Source Type",$C$5,"5 Source No.",$C123,"4 Item Ledger Entry Type",$C$4,"2 Item No.","@@"&amp;$F123,"3 Posting Date",O$9)+NL("Sum","5802 Value Entry","17 Sales Amount (Actual)","41 Source Type",$C$5,"5 Source no.",$C123,"4 Item Ledger Entry Type",$C$4,"2 Item No.","@@"&amp;$F123,"3 Posting Date",O$9)</t>
  </si>
  <si>
    <t>=-NL("Sum","5802 Value Entry","151 Cost Amount (Expected)","41 Source Type",$C$5,"5 Source No.",$C123,"4 Item Ledger Entry Type",$C$4,"2 Item No.","@@"&amp;$F123,"3 Posting Date",O$9)-NL("Sum","5802 Value Entry","43 Cost Amount (Actual)","41 Source Type",$C$5,"5 Source no.",$C123,"4 Item Ledger Entry Type",$C$4,"2 Item No.","@@"&amp;$F123,"3 Posting Date",O$9)</t>
  </si>
  <si>
    <t>=O123-Q123</t>
  </si>
  <si>
    <t>=IF(O123&lt;&gt;0,R123/O123,"")</t>
  </si>
  <si>
    <t>=NL("Sum","5802 Value Entry","150 Sales Amount (Expected)","41 Source Type",$C$5,"5 Source No.",$C124,"4 Item Ledger Entry Type",$C$4,"2 Item No.","@@"&amp;$F124,"3 Posting Date",J$9)+NL("Sum","5802 Value Entry","17 Sales Amount (Actual)","41 Source Type",$C$5,"5 Source no.",$C124,"4 Item Ledger Entry Type",$C$4,"2 Item No.","@@"&amp;$F124,"3 Posting Date",J$9)</t>
  </si>
  <si>
    <t>=-NL("Sum","5802 Value Entry","151 Cost Amount (Expected)","41 Source Type",$C$5,"5 Source No.",$C124,"4 Item Ledger Entry Type",$C$4,"2 Item No.","@@"&amp;$F124,"3 Posting Date",J$9)-NL("Sum","5802 Value Entry","43 Cost Amount (Actual)","41 Source Type",$C$5,"5 Source no.",$C124,"4 Item Ledger Entry Type",$C$4,"2 Item No.","@@"&amp;$F124,"3 Posting Date",J$9)</t>
  </si>
  <si>
    <t>=NL("Sum","5802 Value Entry","150 Sales Amount (Expected)","41 Source Type",$C$5,"5 Source No.",$C124,"4 Item Ledger Entry Type",$C$4,"2 Item No.","@@"&amp;$F124,"3 Posting Date",O$9)+NL("Sum","5802 Value Entry","17 Sales Amount (Actual)","41 Source Type",$C$5,"5 Source no.",$C124,"4 Item Ledger Entry Type",$C$4,"2 Item No.","@@"&amp;$F124,"3 Posting Date",O$9)</t>
  </si>
  <si>
    <t>=-NL("Sum","5802 Value Entry","151 Cost Amount (Expected)","41 Source Type",$C$5,"5 Source No.",$C124,"4 Item Ledger Entry Type",$C$4,"2 Item No.","@@"&amp;$F124,"3 Posting Date",O$9)-NL("Sum","5802 Value Entry","43 Cost Amount (Actual)","41 Source Type",$C$5,"5 Source no.",$C124,"4 Item Ledger Entry Type",$C$4,"2 Item No.","@@"&amp;$F124,"3 Posting Date",O$9)</t>
  </si>
  <si>
    <t>=NL("Sum","5802 Value Entry","150 Sales Amount (Expected)","41 Source Type",$C$5,"5 Source No.",$C125,"4 Item Ledger Entry Type",$C$4,"2 Item No.","@@"&amp;$F125,"3 Posting Date",J$9)+NL("Sum","5802 Value Entry","17 Sales Amount (Actual)","41 Source Type",$C$5,"5 Source no.",$C125,"4 Item Ledger Entry Type",$C$4,"2 Item No.","@@"&amp;$F125,"3 Posting Date",J$9)</t>
  </si>
  <si>
    <t>=-NL("Sum","5802 Value Entry","151 Cost Amount (Expected)","41 Source Type",$C$5,"5 Source No.",$C125,"4 Item Ledger Entry Type",$C$4,"2 Item No.","@@"&amp;$F125,"3 Posting Date",J$9)-NL("Sum","5802 Value Entry","43 Cost Amount (Actual)","41 Source Type",$C$5,"5 Source no.",$C125,"4 Item Ledger Entry Type",$C$4,"2 Item No.","@@"&amp;$F125,"3 Posting Date",J$9)</t>
  </si>
  <si>
    <t>=J125-L125</t>
  </si>
  <si>
    <t>=IF(J125&lt;&gt;0,M125/J125,"")</t>
  </si>
  <si>
    <t>=NL("Sum","5802 Value Entry","150 Sales Amount (Expected)","41 Source Type",$C$5,"5 Source No.",$C125,"4 Item Ledger Entry Type",$C$4,"2 Item No.","@@"&amp;$F125,"3 Posting Date",O$9)+NL("Sum","5802 Value Entry","17 Sales Amount (Actual)","41 Source Type",$C$5,"5 Source no.",$C125,"4 Item Ledger Entry Type",$C$4,"2 Item No.","@@"&amp;$F125,"3 Posting Date",O$9)</t>
  </si>
  <si>
    <t>=-NL("Sum","5802 Value Entry","151 Cost Amount (Expected)","41 Source Type",$C$5,"5 Source No.",$C125,"4 Item Ledger Entry Type",$C$4,"2 Item No.","@@"&amp;$F125,"3 Posting Date",O$9)-NL("Sum","5802 Value Entry","43 Cost Amount (Actual)","41 Source Type",$C$5,"5 Source no.",$C125,"4 Item Ledger Entry Type",$C$4,"2 Item No.","@@"&amp;$F125,"3 Posting Date",O$9)</t>
  </si>
  <si>
    <t>=O125-Q125</t>
  </si>
  <si>
    <t>=IF(O125&lt;&gt;0,R125/O125,"")</t>
  </si>
  <si>
    <t>=NL("Sum","5802 Value Entry","150 Sales Amount (Expected)","41 Source Type",$C$5,"5 Source No.",$C126,"4 Item Ledger Entry Type",$C$4,"2 Item No.","@@"&amp;$F126,"3 Posting Date",J$9)+NL("Sum","5802 Value Entry","17 Sales Amount (Actual)","41 Source Type",$C$5,"5 Source no.",$C126,"4 Item Ledger Entry Type",$C$4,"2 Item No.","@@"&amp;$F126,"3 Posting Date",J$9)</t>
  </si>
  <si>
    <t>=-NL("Sum","5802 Value Entry","151 Cost Amount (Expected)","41 Source Type",$C$5,"5 Source No.",$C126,"4 Item Ledger Entry Type",$C$4,"2 Item No.","@@"&amp;$F126,"3 Posting Date",J$9)-NL("Sum","5802 Value Entry","43 Cost Amount (Actual)","41 Source Type",$C$5,"5 Source no.",$C126,"4 Item Ledger Entry Type",$C$4,"2 Item No.","@@"&amp;$F126,"3 Posting Date",J$9)</t>
  </si>
  <si>
    <t>=NL("Sum","5802 Value Entry","150 Sales Amount (Expected)","41 Source Type",$C$5,"5 Source No.",$C126,"4 Item Ledger Entry Type",$C$4,"2 Item No.","@@"&amp;$F126,"3 Posting Date",O$9)+NL("Sum","5802 Value Entry","17 Sales Amount (Actual)","41 Source Type",$C$5,"5 Source no.",$C126,"4 Item Ledger Entry Type",$C$4,"2 Item No.","@@"&amp;$F126,"3 Posting Date",O$9)</t>
  </si>
  <si>
    <t>=-NL("Sum","5802 Value Entry","151 Cost Amount (Expected)","41 Source Type",$C$5,"5 Source No.",$C126,"4 Item Ledger Entry Type",$C$4,"2 Item No.","@@"&amp;$F126,"3 Posting Date",O$9)-NL("Sum","5802 Value Entry","43 Cost Amount (Actual)","41 Source Type",$C$5,"5 Source no.",$C126,"4 Item Ledger Entry Type",$C$4,"2 Item No.","@@"&amp;$F126,"3 Posting Date",O$9)</t>
  </si>
  <si>
    <t>=C126</t>
  </si>
  <si>
    <t>=NL("Sum","5802 Value Entry","150 Sales Amount (Expected)","41 Source Type",$C$5,"5 Source No.",$C127,"4 Item Ledger Entry Type",$C$4,"2 Item No.","@@"&amp;$F127,"3 Posting Date",J$9)+NL("Sum","5802 Value Entry","17 Sales Amount (Actual)","41 Source Type",$C$5,"5 Source no.",$C127,"4 Item Ledger Entry Type",$C$4,"2 Item No.","@@"&amp;$F127,"3 Posting Date",J$9)</t>
  </si>
  <si>
    <t>=-NL("Sum","5802 Value Entry","151 Cost Amount (Expected)","41 Source Type",$C$5,"5 Source No.",$C127,"4 Item Ledger Entry Type",$C$4,"2 Item No.","@@"&amp;$F127,"3 Posting Date",J$9)-NL("Sum","5802 Value Entry","43 Cost Amount (Actual)","41 Source Type",$C$5,"5 Source no.",$C127,"4 Item Ledger Entry Type",$C$4,"2 Item No.","@@"&amp;$F127,"3 Posting Date",J$9)</t>
  </si>
  <si>
    <t>=J127-L127</t>
  </si>
  <si>
    <t>=IF(J127&lt;&gt;0,M127/J127,"")</t>
  </si>
  <si>
    <t>=NL("Sum","5802 Value Entry","150 Sales Amount (Expected)","41 Source Type",$C$5,"5 Source No.",$C127,"4 Item Ledger Entry Type",$C$4,"2 Item No.","@@"&amp;$F127,"3 Posting Date",O$9)+NL("Sum","5802 Value Entry","17 Sales Amount (Actual)","41 Source Type",$C$5,"5 Source no.",$C127,"4 Item Ledger Entry Type",$C$4,"2 Item No.","@@"&amp;$F127,"3 Posting Date",O$9)</t>
  </si>
  <si>
    <t>=-NL("Sum","5802 Value Entry","151 Cost Amount (Expected)","41 Source Type",$C$5,"5 Source No.",$C127,"4 Item Ledger Entry Type",$C$4,"2 Item No.","@@"&amp;$F127,"3 Posting Date",O$9)-NL("Sum","5802 Value Entry","43 Cost Amount (Actual)","41 Source Type",$C$5,"5 Source no.",$C127,"4 Item Ledger Entry Type",$C$4,"2 Item No.","@@"&amp;$F127,"3 Posting Date",O$9)</t>
  </si>
  <si>
    <t>=O127-Q127</t>
  </si>
  <si>
    <t>=IF(O127&lt;&gt;0,R127/O127,"")</t>
  </si>
  <si>
    <t>=J129-L129</t>
  </si>
  <si>
    <t>=IF(J129&lt;&gt;0,M129/J129,"")</t>
  </si>
  <si>
    <t>=O129-Q129</t>
  </si>
  <si>
    <t>=IF(O129&lt;&gt;0,R129/O129,"")</t>
  </si>
  <si>
    <t>=C132</t>
  </si>
  <si>
    <t>=NL("Sum","5802 Value Entry","150 Sales Amount (Expected)","41 Source Type",$C$5,"5 Source No.",$C133,"4 Item Ledger Entry Type",$C$4,"2 Item No.","@@"&amp;$F133,"3 Posting Date",J$9)+NL("Sum","5802 Value Entry","17 Sales Amount (Actual)","41 Source Type",$C$5,"5 Source no.",$C133,"4 Item Ledger Entry Type",$C$4,"2 Item No.","@@"&amp;$F133,"3 Posting Date",J$9)</t>
  </si>
  <si>
    <t>=-NL("Sum","5802 Value Entry","151 Cost Amount (Expected)","41 Source Type",$C$5,"5 Source No.",$C133,"4 Item Ledger Entry Type",$C$4,"2 Item No.","@@"&amp;$F133,"3 Posting Date",J$9)-NL("Sum","5802 Value Entry","43 Cost Amount (Actual)","41 Source Type",$C$5,"5 Source no.",$C133,"4 Item Ledger Entry Type",$C$4,"2 Item No.","@@"&amp;$F133,"3 Posting Date",J$9)</t>
  </si>
  <si>
    <t>=J133-L133</t>
  </si>
  <si>
    <t>=IF(J133&lt;&gt;0,M133/J133,"")</t>
  </si>
  <si>
    <t>=NL("Sum","5802 Value Entry","150 Sales Amount (Expected)","41 Source Type",$C$5,"5 Source No.",$C133,"4 Item Ledger Entry Type",$C$4,"2 Item No.","@@"&amp;$F133,"3 Posting Date",O$9)+NL("Sum","5802 Value Entry","17 Sales Amount (Actual)","41 Source Type",$C$5,"5 Source no.",$C133,"4 Item Ledger Entry Type",$C$4,"2 Item No.","@@"&amp;$F133,"3 Posting Date",O$9)</t>
  </si>
  <si>
    <t>=-NL("Sum","5802 Value Entry","151 Cost Amount (Expected)","41 Source Type",$C$5,"5 Source No.",$C133,"4 Item Ledger Entry Type",$C$4,"2 Item No.","@@"&amp;$F133,"3 Posting Date",O$9)-NL("Sum","5802 Value Entry","43 Cost Amount (Actual)","41 Source Type",$C$5,"5 Source no.",$C133,"4 Item Ledger Entry Type",$C$4,"2 Item No.","@@"&amp;$F133,"3 Posting Date",O$9)</t>
  </si>
  <si>
    <t>=O133-Q133</t>
  </si>
  <si>
    <t>=IF(O133&lt;&gt;0,R133/O133,"")</t>
  </si>
  <si>
    <t>=C133</t>
  </si>
  <si>
    <t>=NL("Sum","5802 Value Entry","150 Sales Amount (Expected)","41 Source Type",$C$5,"5 Source No.",$C134,"4 Item Ledger Entry Type",$C$4,"2 Item No.","@@"&amp;$F134,"3 Posting Date",J$9)+NL("Sum","5802 Value Entry","17 Sales Amount (Actual)","41 Source Type",$C$5,"5 Source no.",$C134,"4 Item Ledger Entry Type",$C$4,"2 Item No.","@@"&amp;$F134,"3 Posting Date",J$9)</t>
  </si>
  <si>
    <t>=-NL("Sum","5802 Value Entry","151 Cost Amount (Expected)","41 Source Type",$C$5,"5 Source No.",$C134,"4 Item Ledger Entry Type",$C$4,"2 Item No.","@@"&amp;$F134,"3 Posting Date",J$9)-NL("Sum","5802 Value Entry","43 Cost Amount (Actual)","41 Source Type",$C$5,"5 Source no.",$C134,"4 Item Ledger Entry Type",$C$4,"2 Item No.","@@"&amp;$F134,"3 Posting Date",J$9)</t>
  </si>
  <si>
    <t>=J134-L134</t>
  </si>
  <si>
    <t>=IF(J134&lt;&gt;0,M134/J134,"")</t>
  </si>
  <si>
    <t>=NL("Sum","5802 Value Entry","150 Sales Amount (Expected)","41 Source Type",$C$5,"5 Source No.",$C134,"4 Item Ledger Entry Type",$C$4,"2 Item No.","@@"&amp;$F134,"3 Posting Date",O$9)+NL("Sum","5802 Value Entry","17 Sales Amount (Actual)","41 Source Type",$C$5,"5 Source no.",$C134,"4 Item Ledger Entry Type",$C$4,"2 Item No.","@@"&amp;$F134,"3 Posting Date",O$9)</t>
  </si>
  <si>
    <t>=-NL("Sum","5802 Value Entry","151 Cost Amount (Expected)","41 Source Type",$C$5,"5 Source No.",$C134,"4 Item Ledger Entry Type",$C$4,"2 Item No.","@@"&amp;$F134,"3 Posting Date",O$9)-NL("Sum","5802 Value Entry","43 Cost Amount (Actual)","41 Source Type",$C$5,"5 Source no.",$C134,"4 Item Ledger Entry Type",$C$4,"2 Item No.","@@"&amp;$F134,"3 Posting Date",O$9)</t>
  </si>
  <si>
    <t>=O134-Q134</t>
  </si>
  <si>
    <t>=IF(O134&lt;&gt;0,R134/O134,"")</t>
  </si>
  <si>
    <t>=NL("Sum","5802 Value Entry","150 Sales Amount (Expected)","41 Source Type",$C$5,"5 Source No.",$C135,"4 Item Ledger Entry Type",$C$4,"2 Item No.","@@"&amp;$F135,"3 Posting Date",J$9)+NL("Sum","5802 Value Entry","17 Sales Amount (Actual)","41 Source Type",$C$5,"5 Source no.",$C135,"4 Item Ledger Entry Type",$C$4,"2 Item No.","@@"&amp;$F135,"3 Posting Date",J$9)</t>
  </si>
  <si>
    <t>=-NL("Sum","5802 Value Entry","151 Cost Amount (Expected)","41 Source Type",$C$5,"5 Source No.",$C135,"4 Item Ledger Entry Type",$C$4,"2 Item No.","@@"&amp;$F135,"3 Posting Date",J$9)-NL("Sum","5802 Value Entry","43 Cost Amount (Actual)","41 Source Type",$C$5,"5 Source no.",$C135,"4 Item Ledger Entry Type",$C$4,"2 Item No.","@@"&amp;$F135,"3 Posting Date",J$9)</t>
  </si>
  <si>
    <t>=J135-L135</t>
  </si>
  <si>
    <t>=IF(J135&lt;&gt;0,M135/J135,"")</t>
  </si>
  <si>
    <t>=NL("Sum","5802 Value Entry","150 Sales Amount (Expected)","41 Source Type",$C$5,"5 Source No.",$C135,"4 Item Ledger Entry Type",$C$4,"2 Item No.","@@"&amp;$F135,"3 Posting Date",O$9)+NL("Sum","5802 Value Entry","17 Sales Amount (Actual)","41 Source Type",$C$5,"5 Source no.",$C135,"4 Item Ledger Entry Type",$C$4,"2 Item No.","@@"&amp;$F135,"3 Posting Date",O$9)</t>
  </si>
  <si>
    <t>=-NL("Sum","5802 Value Entry","151 Cost Amount (Expected)","41 Source Type",$C$5,"5 Source No.",$C135,"4 Item Ledger Entry Type",$C$4,"2 Item No.","@@"&amp;$F135,"3 Posting Date",O$9)-NL("Sum","5802 Value Entry","43 Cost Amount (Actual)","41 Source Type",$C$5,"5 Source no.",$C135,"4 Item Ledger Entry Type",$C$4,"2 Item No.","@@"&amp;$F135,"3 Posting Date",O$9)</t>
  </si>
  <si>
    <t>=O135-Q135</t>
  </si>
  <si>
    <t>=IF(O135&lt;&gt;0,R135/O135,"")</t>
  </si>
  <si>
    <t>=NL("Sum","5802 Value Entry","150 Sales Amount (Expected)","41 Source Type",$C$5,"5 Source No.",$C136,"4 Item Ledger Entry Type",$C$4,"2 Item No.","@@"&amp;$F136,"3 Posting Date",J$9)+NL("Sum","5802 Value Entry","17 Sales Amount (Actual)","41 Source Type",$C$5,"5 Source no.",$C136,"4 Item Ledger Entry Type",$C$4,"2 Item No.","@@"&amp;$F136,"3 Posting Date",J$9)</t>
  </si>
  <si>
    <t>=-NL("Sum","5802 Value Entry","151 Cost Amount (Expected)","41 Source Type",$C$5,"5 Source No.",$C136,"4 Item Ledger Entry Type",$C$4,"2 Item No.","@@"&amp;$F136,"3 Posting Date",J$9)-NL("Sum","5802 Value Entry","43 Cost Amount (Actual)","41 Source Type",$C$5,"5 Source no.",$C136,"4 Item Ledger Entry Type",$C$4,"2 Item No.","@@"&amp;$F136,"3 Posting Date",J$9)</t>
  </si>
  <si>
    <t>=NL("Sum","5802 Value Entry","150 Sales Amount (Expected)","41 Source Type",$C$5,"5 Source No.",$C136,"4 Item Ledger Entry Type",$C$4,"2 Item No.","@@"&amp;$F136,"3 Posting Date",O$9)+NL("Sum","5802 Value Entry","17 Sales Amount (Actual)","41 Source Type",$C$5,"5 Source no.",$C136,"4 Item Ledger Entry Type",$C$4,"2 Item No.","@@"&amp;$F136,"3 Posting Date",O$9)</t>
  </si>
  <si>
    <t>=-NL("Sum","5802 Value Entry","151 Cost Amount (Expected)","41 Source Type",$C$5,"5 Source No.",$C136,"4 Item Ledger Entry Type",$C$4,"2 Item No.","@@"&amp;$F136,"3 Posting Date",O$9)-NL("Sum","5802 Value Entry","43 Cost Amount (Actual)","41 Source Type",$C$5,"5 Source no.",$C136,"4 Item Ledger Entry Type",$C$4,"2 Item No.","@@"&amp;$F136,"3 Posting Date",O$9)</t>
  </si>
  <si>
    <t>=NL("Sum","5802 Value Entry","150 Sales Amount (Expected)","41 Source Type",$C$5,"5 Source No.",$C142,"4 Item Ledger Entry Type",$C$4,"2 Item No.","@@"&amp;$F142,"3 Posting Date",J$9)+NL("Sum","5802 Value Entry","17 Sales Amount (Actual)","41 Source Type",$C$5,"5 Source no.",$C142,"4 Item Ledger Entry Type",$C$4,"2 Item No.","@@"&amp;$F142,"3 Posting Date",J$9)</t>
  </si>
  <si>
    <t>=-NL("Sum","5802 Value Entry","151 Cost Amount (Expected)","41 Source Type",$C$5,"5 Source No.",$C142,"4 Item Ledger Entry Type",$C$4,"2 Item No.","@@"&amp;$F142,"3 Posting Date",J$9)-NL("Sum","5802 Value Entry","43 Cost Amount (Actual)","41 Source Type",$C$5,"5 Source no.",$C142,"4 Item Ledger Entry Type",$C$4,"2 Item No.","@@"&amp;$F142,"3 Posting Date",J$9)</t>
  </si>
  <si>
    <t>=NL("Sum","5802 Value Entry","150 Sales Amount (Expected)","41 Source Type",$C$5,"5 Source No.",$C142,"4 Item Ledger Entry Type",$C$4,"2 Item No.","@@"&amp;$F142,"3 Posting Date",O$9)+NL("Sum","5802 Value Entry","17 Sales Amount (Actual)","41 Source Type",$C$5,"5 Source no.",$C142,"4 Item Ledger Entry Type",$C$4,"2 Item No.","@@"&amp;$F142,"3 Posting Date",O$9)</t>
  </si>
  <si>
    <t>=-NL("Sum","5802 Value Entry","151 Cost Amount (Expected)","41 Source Type",$C$5,"5 Source No.",$C142,"4 Item Ledger Entry Type",$C$4,"2 Item No.","@@"&amp;$F142,"3 Posting Date",O$9)-NL("Sum","5802 Value Entry","43 Cost Amount (Actual)","41 Source Type",$C$5,"5 Source no.",$C142,"4 Item Ledger Entry Type",$C$4,"2 Item No.","@@"&amp;$F142,"3 Posting Date",O$9)</t>
  </si>
  <si>
    <t>=NL("Sum","5802 Value Entry","150 Sales Amount (Expected)","41 Source Type",$C$5,"5 Source No.",$C143,"4 Item Ledger Entry Type",$C$4,"2 Item No.","@@"&amp;$F143,"3 Posting Date",J$9)+NL("Sum","5802 Value Entry","17 Sales Amount (Actual)","41 Source Type",$C$5,"5 Source no.",$C143,"4 Item Ledger Entry Type",$C$4,"2 Item No.","@@"&amp;$F143,"3 Posting Date",J$9)</t>
  </si>
  <si>
    <t>=-NL("Sum","5802 Value Entry","151 Cost Amount (Expected)","41 Source Type",$C$5,"5 Source No.",$C143,"4 Item Ledger Entry Type",$C$4,"2 Item No.","@@"&amp;$F143,"3 Posting Date",J$9)-NL("Sum","5802 Value Entry","43 Cost Amount (Actual)","41 Source Type",$C$5,"5 Source no.",$C143,"4 Item Ledger Entry Type",$C$4,"2 Item No.","@@"&amp;$F143,"3 Posting Date",J$9)</t>
  </si>
  <si>
    <t>=J143-L143</t>
  </si>
  <si>
    <t>=IF(J143&lt;&gt;0,M143/J143,"")</t>
  </si>
  <si>
    <t>=NL("Sum","5802 Value Entry","150 Sales Amount (Expected)","41 Source Type",$C$5,"5 Source No.",$C143,"4 Item Ledger Entry Type",$C$4,"2 Item No.","@@"&amp;$F143,"3 Posting Date",O$9)+NL("Sum","5802 Value Entry","17 Sales Amount (Actual)","41 Source Type",$C$5,"5 Source no.",$C143,"4 Item Ledger Entry Type",$C$4,"2 Item No.","@@"&amp;$F143,"3 Posting Date",O$9)</t>
  </si>
  <si>
    <t>=-NL("Sum","5802 Value Entry","151 Cost Amount (Expected)","41 Source Type",$C$5,"5 Source No.",$C143,"4 Item Ledger Entry Type",$C$4,"2 Item No.","@@"&amp;$F143,"3 Posting Date",O$9)-NL("Sum","5802 Value Entry","43 Cost Amount (Actual)","41 Source Type",$C$5,"5 Source no.",$C143,"4 Item Ledger Entry Type",$C$4,"2 Item No.","@@"&amp;$F143,"3 Posting Date",O$9)</t>
  </si>
  <si>
    <t>=O143-Q143</t>
  </si>
  <si>
    <t>=IF(O143&lt;&gt;0,R143/O143,"")</t>
  </si>
  <si>
    <t>=C144</t>
  </si>
  <si>
    <t>=J145-L145</t>
  </si>
  <si>
    <t>=IF(J145&lt;&gt;0,M145/J145,"")</t>
  </si>
  <si>
    <t>=O145-Q145</t>
  </si>
  <si>
    <t>=IF(O145&lt;&gt;0,R145/O145,"")</t>
  </si>
  <si>
    <t>=NL("Sum","5802 Value Entry","150 Sales Amount (Expected)","41 Source Type",$C$5,"5 Source No.",$C149,"4 Item Ledger Entry Type",$C$4,"2 Item No.","@@"&amp;$F149,"3 Posting Date",J$9)+NL("Sum","5802 Value Entry","17 Sales Amount (Actual)","41 Source Type",$C$5,"5 Source no.",$C149,"4 Item Ledger Entry Type",$C$4,"2 Item No.","@@"&amp;$F149,"3 Posting Date",J$9)</t>
  </si>
  <si>
    <t>=-NL("Sum","5802 Value Entry","151 Cost Amount (Expected)","41 Source Type",$C$5,"5 Source No.",$C149,"4 Item Ledger Entry Type",$C$4,"2 Item No.","@@"&amp;$F149,"3 Posting Date",J$9)-NL("Sum","5802 Value Entry","43 Cost Amount (Actual)","41 Source Type",$C$5,"5 Source no.",$C149,"4 Item Ledger Entry Type",$C$4,"2 Item No.","@@"&amp;$F149,"3 Posting Date",J$9)</t>
  </si>
  <si>
    <t>=J149-L149</t>
  </si>
  <si>
    <t>=IF(J149&lt;&gt;0,M149/J149,"")</t>
  </si>
  <si>
    <t>=NL("Sum","5802 Value Entry","150 Sales Amount (Expected)","41 Source Type",$C$5,"5 Source No.",$C149,"4 Item Ledger Entry Type",$C$4,"2 Item No.","@@"&amp;$F149,"3 Posting Date",O$9)+NL("Sum","5802 Value Entry","17 Sales Amount (Actual)","41 Source Type",$C$5,"5 Source no.",$C149,"4 Item Ledger Entry Type",$C$4,"2 Item No.","@@"&amp;$F149,"3 Posting Date",O$9)</t>
  </si>
  <si>
    <t>=-NL("Sum","5802 Value Entry","151 Cost Amount (Expected)","41 Source Type",$C$5,"5 Source No.",$C149,"4 Item Ledger Entry Type",$C$4,"2 Item No.","@@"&amp;$F149,"3 Posting Date",O$9)-NL("Sum","5802 Value Entry","43 Cost Amount (Actual)","41 Source Type",$C$5,"5 Source no.",$C149,"4 Item Ledger Entry Type",$C$4,"2 Item No.","@@"&amp;$F149,"3 Posting Date",O$9)</t>
  </si>
  <si>
    <t>=O149-Q149</t>
  </si>
  <si>
    <t>=IF(O149&lt;&gt;0,R149/O149,"")</t>
  </si>
  <si>
    <t>=NL("Sum","5802 Value Entry","150 Sales Amount (Expected)","41 Source Type",$C$5,"5 Source No.",$C150,"4 Item Ledger Entry Type",$C$4,"2 Item No.","@@"&amp;$F150,"3 Posting Date",J$9)+NL("Sum","5802 Value Entry","17 Sales Amount (Actual)","41 Source Type",$C$5,"5 Source no.",$C150,"4 Item Ledger Entry Type",$C$4,"2 Item No.","@@"&amp;$F150,"3 Posting Date",J$9)</t>
  </si>
  <si>
    <t>=-NL("Sum","5802 Value Entry","151 Cost Amount (Expected)","41 Source Type",$C$5,"5 Source No.",$C150,"4 Item Ledger Entry Type",$C$4,"2 Item No.","@@"&amp;$F150,"3 Posting Date",J$9)-NL("Sum","5802 Value Entry","43 Cost Amount (Actual)","41 Source Type",$C$5,"5 Source no.",$C150,"4 Item Ledger Entry Type",$C$4,"2 Item No.","@@"&amp;$F150,"3 Posting Date",J$9)</t>
  </si>
  <si>
    <t>=NL("Sum","5802 Value Entry","150 Sales Amount (Expected)","41 Source Type",$C$5,"5 Source No.",$C150,"4 Item Ledger Entry Type",$C$4,"2 Item No.","@@"&amp;$F150,"3 Posting Date",O$9)+NL("Sum","5802 Value Entry","17 Sales Amount (Actual)","41 Source Type",$C$5,"5 Source no.",$C150,"4 Item Ledger Entry Type",$C$4,"2 Item No.","@@"&amp;$F150,"3 Posting Date",O$9)</t>
  </si>
  <si>
    <t>=-NL("Sum","5802 Value Entry","151 Cost Amount (Expected)","41 Source Type",$C$5,"5 Source No.",$C150,"4 Item Ledger Entry Type",$C$4,"2 Item No.","@@"&amp;$F150,"3 Posting Date",O$9)-NL("Sum","5802 Value Entry","43 Cost Amount (Actual)","41 Source Type",$C$5,"5 Source no.",$C150,"4 Item Ledger Entry Type",$C$4,"2 Item No.","@@"&amp;$F150,"3 Posting Date",O$9)</t>
  </si>
  <si>
    <t>=C151</t>
  </si>
  <si>
    <t>=J152-L152</t>
  </si>
  <si>
    <t>=IF(J152&lt;&gt;0,M152/J152,"")</t>
  </si>
  <si>
    <t>=O152-Q152</t>
  </si>
  <si>
    <t>=IF(O152&lt;&gt;0,R152/O152,"")</t>
  </si>
  <si>
    <t>="C100010"</t>
  </si>
  <si>
    <t>="C100033"</t>
  </si>
  <si>
    <t>=NL("Sum","5802 Value Entry","150 Sales Amount (Expected)","41 Source Type",$C$5,"5 Source No.",$C156,"4 Item Ledger Entry Type",$C$4,"2 Item No.","@@"&amp;$F156,"3 Posting Date",J$9)+NL("Sum","5802 Value Entry","17 Sales Amount (Actual)","41 Source Type",$C$5,"5 Source no.",$C156,"4 Item Ledger Entry Type",$C$4,"2 Item No.","@@"&amp;$F156,"3 Posting Date",J$9)</t>
  </si>
  <si>
    <t>=-NL("Sum","5802 Value Entry","151 Cost Amount (Expected)","41 Source Type",$C$5,"5 Source No.",$C156,"4 Item Ledger Entry Type",$C$4,"2 Item No.","@@"&amp;$F156,"3 Posting Date",J$9)-NL("Sum","5802 Value Entry","43 Cost Amount (Actual)","41 Source Type",$C$5,"5 Source no.",$C156,"4 Item Ledger Entry Type",$C$4,"2 Item No.","@@"&amp;$F156,"3 Posting Date",J$9)</t>
  </si>
  <si>
    <t>=NL("Sum","5802 Value Entry","150 Sales Amount (Expected)","41 Source Type",$C$5,"5 Source No.",$C156,"4 Item Ledger Entry Type",$C$4,"2 Item No.","@@"&amp;$F156,"3 Posting Date",O$9)+NL("Sum","5802 Value Entry","17 Sales Amount (Actual)","41 Source Type",$C$5,"5 Source no.",$C156,"4 Item Ledger Entry Type",$C$4,"2 Item No.","@@"&amp;$F156,"3 Posting Date",O$9)</t>
  </si>
  <si>
    <t>=-NL("Sum","5802 Value Entry","151 Cost Amount (Expected)","41 Source Type",$C$5,"5 Source No.",$C156,"4 Item Ledger Entry Type",$C$4,"2 Item No.","@@"&amp;$F156,"3 Posting Date",O$9)-NL("Sum","5802 Value Entry","43 Cost Amount (Actual)","41 Source Type",$C$5,"5 Source no.",$C156,"4 Item Ledger Entry Type",$C$4,"2 Item No.","@@"&amp;$F156,"3 Posting Date",O$9)</t>
  </si>
  <si>
    <t>=C156</t>
  </si>
  <si>
    <t>=NL("Sum","5802 Value Entry","150 Sales Amount (Expected)","41 Source Type",$C$5,"5 Source No.",$C157,"4 Item Ledger Entry Type",$C$4,"2 Item No.","@@"&amp;$F157,"3 Posting Date",J$9)+NL("Sum","5802 Value Entry","17 Sales Amount (Actual)","41 Source Type",$C$5,"5 Source no.",$C157,"4 Item Ledger Entry Type",$C$4,"2 Item No.","@@"&amp;$F157,"3 Posting Date",J$9)</t>
  </si>
  <si>
    <t>=-NL("Sum","5802 Value Entry","151 Cost Amount (Expected)","41 Source Type",$C$5,"5 Source No.",$C157,"4 Item Ledger Entry Type",$C$4,"2 Item No.","@@"&amp;$F157,"3 Posting Date",J$9)-NL("Sum","5802 Value Entry","43 Cost Amount (Actual)","41 Source Type",$C$5,"5 Source no.",$C157,"4 Item Ledger Entry Type",$C$4,"2 Item No.","@@"&amp;$F157,"3 Posting Date",J$9)</t>
  </si>
  <si>
    <t>=J157-L157</t>
  </si>
  <si>
    <t>=IF(J157&lt;&gt;0,M157/J157,"")</t>
  </si>
  <si>
    <t>=NL("Sum","5802 Value Entry","150 Sales Amount (Expected)","41 Source Type",$C$5,"5 Source No.",$C157,"4 Item Ledger Entry Type",$C$4,"2 Item No.","@@"&amp;$F157,"3 Posting Date",O$9)+NL("Sum","5802 Value Entry","17 Sales Amount (Actual)","41 Source Type",$C$5,"5 Source no.",$C157,"4 Item Ledger Entry Type",$C$4,"2 Item No.","@@"&amp;$F157,"3 Posting Date",O$9)</t>
  </si>
  <si>
    <t>=-NL("Sum","5802 Value Entry","151 Cost Amount (Expected)","41 Source Type",$C$5,"5 Source No.",$C157,"4 Item Ledger Entry Type",$C$4,"2 Item No.","@@"&amp;$F157,"3 Posting Date",O$9)-NL("Sum","5802 Value Entry","43 Cost Amount (Actual)","41 Source Type",$C$5,"5 Source no.",$C157,"4 Item Ledger Entry Type",$C$4,"2 Item No.","@@"&amp;$F157,"3 Posting Date",O$9)</t>
  </si>
  <si>
    <t>=O157-Q157</t>
  </si>
  <si>
    <t>=IF(O157&lt;&gt;0,R157/O157,"")</t>
  </si>
  <si>
    <t>=C157</t>
  </si>
  <si>
    <t>="C100037"</t>
  </si>
  <si>
    <t>=NL("Sum","5802 Value Entry","150 Sales Amount (Expected)","41 Source Type",$C$5,"5 Source No.",$C158,"4 Item Ledger Entry Type",$C$4,"2 Item No.","@@"&amp;$F158,"3 Posting Date",J$9)+NL("Sum","5802 Value Entry","17 Sales Amount (Actual)","41 Source Type",$C$5,"5 Source no.",$C158,"4 Item Ledger Entry Type",$C$4,"2 Item No.","@@"&amp;$F158,"3 Posting Date",J$9)</t>
  </si>
  <si>
    <t>=-NL("Sum","5802 Value Entry","151 Cost Amount (Expected)","41 Source Type",$C$5,"5 Source No.",$C158,"4 Item Ledger Entry Type",$C$4,"2 Item No.","@@"&amp;$F158,"3 Posting Date",J$9)-NL("Sum","5802 Value Entry","43 Cost Amount (Actual)","41 Source Type",$C$5,"5 Source no.",$C158,"4 Item Ledger Entry Type",$C$4,"2 Item No.","@@"&amp;$F158,"3 Posting Date",J$9)</t>
  </si>
  <si>
    <t>=J158-L158</t>
  </si>
  <si>
    <t>=IF(J158&lt;&gt;0,M158/J158,"")</t>
  </si>
  <si>
    <t>=NL("Sum","5802 Value Entry","150 Sales Amount (Expected)","41 Source Type",$C$5,"5 Source No.",$C158,"4 Item Ledger Entry Type",$C$4,"2 Item No.","@@"&amp;$F158,"3 Posting Date",O$9)+NL("Sum","5802 Value Entry","17 Sales Amount (Actual)","41 Source Type",$C$5,"5 Source no.",$C158,"4 Item Ledger Entry Type",$C$4,"2 Item No.","@@"&amp;$F158,"3 Posting Date",O$9)</t>
  </si>
  <si>
    <t>=-NL("Sum","5802 Value Entry","151 Cost Amount (Expected)","41 Source Type",$C$5,"5 Source No.",$C158,"4 Item Ledger Entry Type",$C$4,"2 Item No.","@@"&amp;$F158,"3 Posting Date",O$9)-NL("Sum","5802 Value Entry","43 Cost Amount (Actual)","41 Source Type",$C$5,"5 Source no.",$C158,"4 Item Ledger Entry Type",$C$4,"2 Item No.","@@"&amp;$F158,"3 Posting Date",O$9)</t>
  </si>
  <si>
    <t>=O158-Q158</t>
  </si>
  <si>
    <t>=IF(O158&lt;&gt;0,R158/O158,"")</t>
  </si>
  <si>
    <t>=NL("Sum","5802 Value Entry","150 Sales Amount (Expected)","41 Source Type",$C$5,"5 Source No.",$C159,"4 Item Ledger Entry Type",$C$4,"2 Item No.","@@"&amp;$F159,"3 Posting Date",J$9)+NL("Sum","5802 Value Entry","17 Sales Amount (Actual)","41 Source Type",$C$5,"5 Source no.",$C159,"4 Item Ledger Entry Type",$C$4,"2 Item No.","@@"&amp;$F159,"3 Posting Date",J$9)</t>
  </si>
  <si>
    <t>=-NL("Sum","5802 Value Entry","151 Cost Amount (Expected)","41 Source Type",$C$5,"5 Source No.",$C159,"4 Item Ledger Entry Type",$C$4,"2 Item No.","@@"&amp;$F159,"3 Posting Date",J$9)-NL("Sum","5802 Value Entry","43 Cost Amount (Actual)","41 Source Type",$C$5,"5 Source no.",$C159,"4 Item Ledger Entry Type",$C$4,"2 Item No.","@@"&amp;$F159,"3 Posting Date",J$9)</t>
  </si>
  <si>
    <t>=J159-L159</t>
  </si>
  <si>
    <t>=IF(J159&lt;&gt;0,M159/J159,"")</t>
  </si>
  <si>
    <t>=NL("Sum","5802 Value Entry","150 Sales Amount (Expected)","41 Source Type",$C$5,"5 Source No.",$C159,"4 Item Ledger Entry Type",$C$4,"2 Item No.","@@"&amp;$F159,"3 Posting Date",O$9)+NL("Sum","5802 Value Entry","17 Sales Amount (Actual)","41 Source Type",$C$5,"5 Source no.",$C159,"4 Item Ledger Entry Type",$C$4,"2 Item No.","@@"&amp;$F159,"3 Posting Date",O$9)</t>
  </si>
  <si>
    <t>=-NL("Sum","5802 Value Entry","151 Cost Amount (Expected)","41 Source Type",$C$5,"5 Source No.",$C159,"4 Item Ledger Entry Type",$C$4,"2 Item No.","@@"&amp;$F159,"3 Posting Date",O$9)-NL("Sum","5802 Value Entry","43 Cost Amount (Actual)","41 Source Type",$C$5,"5 Source no.",$C159,"4 Item Ledger Entry Type",$C$4,"2 Item No.","@@"&amp;$F159,"3 Posting Date",O$9)</t>
  </si>
  <si>
    <t>=O159-Q159</t>
  </si>
  <si>
    <t>=IF(O159&lt;&gt;0,R159/O159,"")</t>
  </si>
  <si>
    <t>=NL("Sum","5802 Value Entry","150 Sales Amount (Expected)","41 Source Type",$C$5,"5 Source No.",$C160,"4 Item Ledger Entry Type",$C$4,"2 Item No.","@@"&amp;$F160,"3 Posting Date",J$9)+NL("Sum","5802 Value Entry","17 Sales Amount (Actual)","41 Source Type",$C$5,"5 Source no.",$C160,"4 Item Ledger Entry Type",$C$4,"2 Item No.","@@"&amp;$F160,"3 Posting Date",J$9)</t>
  </si>
  <si>
    <t>=-NL("Sum","5802 Value Entry","151 Cost Amount (Expected)","41 Source Type",$C$5,"5 Source No.",$C160,"4 Item Ledger Entry Type",$C$4,"2 Item No.","@@"&amp;$F160,"3 Posting Date",J$9)-NL("Sum","5802 Value Entry","43 Cost Amount (Actual)","41 Source Type",$C$5,"5 Source no.",$C160,"4 Item Ledger Entry Type",$C$4,"2 Item No.","@@"&amp;$F160,"3 Posting Date",J$9)</t>
  </si>
  <si>
    <t>=NL("Sum","5802 Value Entry","150 Sales Amount (Expected)","41 Source Type",$C$5,"5 Source No.",$C160,"4 Item Ledger Entry Type",$C$4,"2 Item No.","@@"&amp;$F160,"3 Posting Date",O$9)+NL("Sum","5802 Value Entry","17 Sales Amount (Actual)","41 Source Type",$C$5,"5 Source no.",$C160,"4 Item Ledger Entry Type",$C$4,"2 Item No.","@@"&amp;$F160,"3 Posting Date",O$9)</t>
  </si>
  <si>
    <t>=-NL("Sum","5802 Value Entry","151 Cost Amount (Expected)","41 Source Type",$C$5,"5 Source No.",$C160,"4 Item Ledger Entry Type",$C$4,"2 Item No.","@@"&amp;$F160,"3 Posting Date",O$9)-NL("Sum","5802 Value Entry","43 Cost Amount (Actual)","41 Source Type",$C$5,"5 Source no.",$C160,"4 Item Ledger Entry Type",$C$4,"2 Item No.","@@"&amp;$F160,"3 Posting Date",O$9)</t>
  </si>
  <si>
    <t>=NL("Sum","5802 Value Entry","150 Sales Amount (Expected)","41 Source Type",$C$5,"5 Source No.",$C161,"4 Item Ledger Entry Type",$C$4,"2 Item No.","@@"&amp;$F161,"3 Posting Date",J$9)+NL("Sum","5802 Value Entry","17 Sales Amount (Actual)","41 Source Type",$C$5,"5 Source no.",$C161,"4 Item Ledger Entry Type",$C$4,"2 Item No.","@@"&amp;$F161,"3 Posting Date",J$9)</t>
  </si>
  <si>
    <t>=-NL("Sum","5802 Value Entry","151 Cost Amount (Expected)","41 Source Type",$C$5,"5 Source No.",$C161,"4 Item Ledger Entry Type",$C$4,"2 Item No.","@@"&amp;$F161,"3 Posting Date",J$9)-NL("Sum","5802 Value Entry","43 Cost Amount (Actual)","41 Source Type",$C$5,"5 Source no.",$C161,"4 Item Ledger Entry Type",$C$4,"2 Item No.","@@"&amp;$F161,"3 Posting Date",J$9)</t>
  </si>
  <si>
    <t>=J161-L161</t>
  </si>
  <si>
    <t>=IF(J161&lt;&gt;0,M161/J161,"")</t>
  </si>
  <si>
    <t>=NL("Sum","5802 Value Entry","150 Sales Amount (Expected)","41 Source Type",$C$5,"5 Source No.",$C161,"4 Item Ledger Entry Type",$C$4,"2 Item No.","@@"&amp;$F161,"3 Posting Date",O$9)+NL("Sum","5802 Value Entry","17 Sales Amount (Actual)","41 Source Type",$C$5,"5 Source no.",$C161,"4 Item Ledger Entry Type",$C$4,"2 Item No.","@@"&amp;$F161,"3 Posting Date",O$9)</t>
  </si>
  <si>
    <t>=-NL("Sum","5802 Value Entry","151 Cost Amount (Expected)","41 Source Type",$C$5,"5 Source No.",$C161,"4 Item Ledger Entry Type",$C$4,"2 Item No.","@@"&amp;$F161,"3 Posting Date",O$9)-NL("Sum","5802 Value Entry","43 Cost Amount (Actual)","41 Source Type",$C$5,"5 Source no.",$C161,"4 Item Ledger Entry Type",$C$4,"2 Item No.","@@"&amp;$F161,"3 Posting Date",O$9)</t>
  </si>
  <si>
    <t>=O161-Q161</t>
  </si>
  <si>
    <t>=IF(O161&lt;&gt;0,R161/O161,"")</t>
  </si>
  <si>
    <t>="C100044"</t>
  </si>
  <si>
    <t>=C162</t>
  </si>
  <si>
    <t>=J163-L163</t>
  </si>
  <si>
    <t>=IF(J163&lt;&gt;0,M163/J163,"")</t>
  </si>
  <si>
    <t>=O163-Q163</t>
  </si>
  <si>
    <t>=IF(O163&lt;&gt;0,R163/O163,"")</t>
  </si>
  <si>
    <t>="C100053"</t>
  </si>
  <si>
    <t>="E100021"</t>
  </si>
  <si>
    <t>=J170-L170</t>
  </si>
  <si>
    <t>=IF(J170&lt;&gt;0,M170/J170,"")</t>
  </si>
  <si>
    <t>=O170-Q170</t>
  </si>
  <si>
    <t>=IF(O170&lt;&gt;0,R170/O170,"")</t>
  </si>
  <si>
    <t>="E100022"</t>
  </si>
  <si>
    <t>="C100043"</t>
  </si>
  <si>
    <t>="C100056"</t>
  </si>
  <si>
    <t>="E100004"</t>
  </si>
  <si>
    <t>="E100005"</t>
  </si>
  <si>
    <t>="E100007"</t>
  </si>
  <si>
    <t>="E100009"</t>
  </si>
  <si>
    <t>="E100010"</t>
  </si>
  <si>
    <t>="E100025"</t>
  </si>
  <si>
    <t>="E100026"</t>
  </si>
  <si>
    <t>="E100031"</t>
  </si>
  <si>
    <t>="E100032"</t>
  </si>
  <si>
    <t>="E100033"</t>
  </si>
  <si>
    <t>="E100038"</t>
  </si>
  <si>
    <t>="S100024"</t>
  </si>
  <si>
    <t>="S200030"</t>
  </si>
  <si>
    <t>="C100062"</t>
  </si>
  <si>
    <t>="E100044"</t>
  </si>
  <si>
    <t>="E100008"</t>
  </si>
  <si>
    <t>="S200022"</t>
  </si>
  <si>
    <t>="S200010"</t>
  </si>
  <si>
    <t>="C100104"</t>
  </si>
  <si>
    <t>="S200004"</t>
  </si>
  <si>
    <t>="C100119"</t>
  </si>
  <si>
    <t>="C100135"</t>
  </si>
  <si>
    <t>="2/1/2019"</t>
  </si>
  <si>
    <t>=C62&amp;" TOTAL:"</t>
  </si>
  <si>
    <t>=E64</t>
  </si>
  <si>
    <t>=NL(,"18 Customer","2 Name","1 No.",$E64)</t>
  </si>
  <si>
    <t>=NL("Rows","5802 Value Entry","2 Item No.","4 Item Ledger Entry Type",$C$4,"41 Source Type",$C$5,"5 Source No.",$C66,"Item No.",$C$7,"3 Posting Date",$C$10)</t>
  </si>
  <si>
    <t>=C67</t>
  </si>
  <si>
    <t>=NL("Sum","5802 Value Entry","150 Sales Amount (Expected)","41 Source Type",$C$5,"5 Source No.",$C68,"4 Item Ledger Entry Type",$C$4,"2 Item No.","@@"&amp;$F68,"3 Posting Date",J$9)+NL("Sum","5802 Value Entry","17 Sales Amount (Actual)","41 Source Type",$C$5,"5 Source no.",$C68,"4 Item Ledger Entry Type",$C$4,"2 Item No.","@@"&amp;$F68,"3 Posting Date",J$9)</t>
  </si>
  <si>
    <t>=-NL("Sum","5802 Value Entry","151 Cost Amount (Expected)","41 Source Type",$C$5,"5 Source No.",$C68,"4 Item Ledger Entry Type",$C$4,"2 Item No.","@@"&amp;$F68,"3 Posting Date",J$9)-NL("Sum","5802 Value Entry","43 Cost Amount (Actual)","41 Source Type",$C$5,"5 Source no.",$C68,"4 Item Ledger Entry Type",$C$4,"2 Item No.","@@"&amp;$F68,"3 Posting Date",J$9)</t>
  </si>
  <si>
    <t>=J68-L68</t>
  </si>
  <si>
    <t>=IF(J68&lt;&gt;0,M68/J68,"")</t>
  </si>
  <si>
    <t>=NL("Sum","5802 Value Entry","150 Sales Amount (Expected)","41 Source Type",$C$5,"5 Source No.",$C68,"4 Item Ledger Entry Type",$C$4,"2 Item No.","@@"&amp;$F68,"3 Posting Date",O$9)+NL("Sum","5802 Value Entry","17 Sales Amount (Actual)","41 Source Type",$C$5,"5 Source no.",$C68,"4 Item Ledger Entry Type",$C$4,"2 Item No.","@@"&amp;$F68,"3 Posting Date",O$9)</t>
  </si>
  <si>
    <t>=-NL("Sum","5802 Value Entry","151 Cost Amount (Expected)","41 Source Type",$C$5,"5 Source No.",$C68,"4 Item Ledger Entry Type",$C$4,"2 Item No.","@@"&amp;$F68,"3 Posting Date",O$9)-NL("Sum","5802 Value Entry","43 Cost Amount (Actual)","41 Source Type",$C$5,"5 Source no.",$C68,"4 Item Ledger Entry Type",$C$4,"2 Item No.","@@"&amp;$F68,"3 Posting Date",O$9)</t>
  </si>
  <si>
    <t>=O68-Q68</t>
  </si>
  <si>
    <t>=IF(O68&lt;&gt;0,R68/O68,"")</t>
  </si>
  <si>
    <t>=NL("Sum","5802 Value Entry","150 Sales Amount (Expected)","41 Source Type",$C$5,"5 Source No.",$C69,"4 Item Ledger Entry Type",$C$4,"2 Item No.","@@"&amp;$F69,"3 Posting Date",J$9)+NL("Sum","5802 Value Entry","17 Sales Amount (Actual)","41 Source Type",$C$5,"5 Source no.",$C69,"4 Item Ledger Entry Type",$C$4,"2 Item No.","@@"&amp;$F69,"3 Posting Date",J$9)</t>
  </si>
  <si>
    <t>=-NL("Sum","5802 Value Entry","151 Cost Amount (Expected)","41 Source Type",$C$5,"5 Source No.",$C69,"4 Item Ledger Entry Type",$C$4,"2 Item No.","@@"&amp;$F69,"3 Posting Date",J$9)-NL("Sum","5802 Value Entry","43 Cost Amount (Actual)","41 Source Type",$C$5,"5 Source no.",$C69,"4 Item Ledger Entry Type",$C$4,"2 Item No.","@@"&amp;$F69,"3 Posting Date",J$9)</t>
  </si>
  <si>
    <t>=NL("Sum","5802 Value Entry","150 Sales Amount (Expected)","41 Source Type",$C$5,"5 Source No.",$C69,"4 Item Ledger Entry Type",$C$4,"2 Item No.","@@"&amp;$F69,"3 Posting Date",O$9)+NL("Sum","5802 Value Entry","17 Sales Amount (Actual)","41 Source Type",$C$5,"5 Source no.",$C69,"4 Item Ledger Entry Type",$C$4,"2 Item No.","@@"&amp;$F69,"3 Posting Date",O$9)</t>
  </si>
  <si>
    <t>=-NL("Sum","5802 Value Entry","151 Cost Amount (Expected)","41 Source Type",$C$5,"5 Source No.",$C69,"4 Item Ledger Entry Type",$C$4,"2 Item No.","@@"&amp;$F69,"3 Posting Date",O$9)-NL("Sum","5802 Value Entry","43 Cost Amount (Actual)","41 Source Type",$C$5,"5 Source no.",$C69,"4 Item Ledger Entry Type",$C$4,"2 Item No.","@@"&amp;$F69,"3 Posting Date",O$9)</t>
  </si>
  <si>
    <t>=C69</t>
  </si>
  <si>
    <t>=NL("Sum","5802 Value Entry","150 Sales Amount (Expected)","41 Source Type",$C$5,"5 Source No.",$C70,"4 Item Ledger Entry Type",$C$4,"2 Item No.","@@"&amp;$F70,"3 Posting Date",J$9)+NL("Sum","5802 Value Entry","17 Sales Amount (Actual)","41 Source Type",$C$5,"5 Source no.",$C70,"4 Item Ledger Entry Type",$C$4,"2 Item No.","@@"&amp;$F70,"3 Posting Date",J$9)</t>
  </si>
  <si>
    <t>=-NL("Sum","5802 Value Entry","151 Cost Amount (Expected)","41 Source Type",$C$5,"5 Source No.",$C70,"4 Item Ledger Entry Type",$C$4,"2 Item No.","@@"&amp;$F70,"3 Posting Date",J$9)-NL("Sum","5802 Value Entry","43 Cost Amount (Actual)","41 Source Type",$C$5,"5 Source no.",$C70,"4 Item Ledger Entry Type",$C$4,"2 Item No.","@@"&amp;$F70,"3 Posting Date",J$9)</t>
  </si>
  <si>
    <t>=J70-L70</t>
  </si>
  <si>
    <t>=IF(J70&lt;&gt;0,M70/J70,"")</t>
  </si>
  <si>
    <t>=NL("Sum","5802 Value Entry","150 Sales Amount (Expected)","41 Source Type",$C$5,"5 Source No.",$C70,"4 Item Ledger Entry Type",$C$4,"2 Item No.","@@"&amp;$F70,"3 Posting Date",O$9)+NL("Sum","5802 Value Entry","17 Sales Amount (Actual)","41 Source Type",$C$5,"5 Source no.",$C70,"4 Item Ledger Entry Type",$C$4,"2 Item No.","@@"&amp;$F70,"3 Posting Date",O$9)</t>
  </si>
  <si>
    <t>=-NL("Sum","5802 Value Entry","151 Cost Amount (Expected)","41 Source Type",$C$5,"5 Source No.",$C70,"4 Item Ledger Entry Type",$C$4,"2 Item No.","@@"&amp;$F70,"3 Posting Date",O$9)-NL("Sum","5802 Value Entry","43 Cost Amount (Actual)","41 Source Type",$C$5,"5 Source no.",$C70,"4 Item Ledger Entry Type",$C$4,"2 Item No.","@@"&amp;$F70,"3 Posting Date",O$9)</t>
  </si>
  <si>
    <t>=O70-Q70</t>
  </si>
  <si>
    <t>=IF(O70&lt;&gt;0,R70/O70,"")</t>
  </si>
  <si>
    <t>=C70</t>
  </si>
  <si>
    <t>=NL("Sum","5802 Value Entry","150 Sales Amount (Expected)","41 Source Type",$C$5,"5 Source No.",$C71,"4 Item Ledger Entry Type",$C$4,"2 Item No.","@@"&amp;$F71,"3 Posting Date",J$9)+NL("Sum","5802 Value Entry","17 Sales Amount (Actual)","41 Source Type",$C$5,"5 Source no.",$C71,"4 Item Ledger Entry Type",$C$4,"2 Item No.","@@"&amp;$F71,"3 Posting Date",J$9)</t>
  </si>
  <si>
    <t>=-NL("Sum","5802 Value Entry","151 Cost Amount (Expected)","41 Source Type",$C$5,"5 Source No.",$C71,"4 Item Ledger Entry Type",$C$4,"2 Item No.","@@"&amp;$F71,"3 Posting Date",J$9)-NL("Sum","5802 Value Entry","43 Cost Amount (Actual)","41 Source Type",$C$5,"5 Source no.",$C71,"4 Item Ledger Entry Type",$C$4,"2 Item No.","@@"&amp;$F71,"3 Posting Date",J$9)</t>
  </si>
  <si>
    <t>=J71-L71</t>
  </si>
  <si>
    <t>=IF(J71&lt;&gt;0,M71/J71,"")</t>
  </si>
  <si>
    <t>=NL("Sum","5802 Value Entry","150 Sales Amount (Expected)","41 Source Type",$C$5,"5 Source No.",$C71,"4 Item Ledger Entry Type",$C$4,"2 Item No.","@@"&amp;$F71,"3 Posting Date",O$9)+NL("Sum","5802 Value Entry","17 Sales Amount (Actual)","41 Source Type",$C$5,"5 Source no.",$C71,"4 Item Ledger Entry Type",$C$4,"2 Item No.","@@"&amp;$F71,"3 Posting Date",O$9)</t>
  </si>
  <si>
    <t>=-NL("Sum","5802 Value Entry","151 Cost Amount (Expected)","41 Source Type",$C$5,"5 Source No.",$C71,"4 Item Ledger Entry Type",$C$4,"2 Item No.","@@"&amp;$F71,"3 Posting Date",O$9)-NL("Sum","5802 Value Entry","43 Cost Amount (Actual)","41 Source Type",$C$5,"5 Source no.",$C71,"4 Item Ledger Entry Type",$C$4,"2 Item No.","@@"&amp;$F71,"3 Posting Date",O$9)</t>
  </si>
  <si>
    <t>=O71-Q71</t>
  </si>
  <si>
    <t>=IF(O71&lt;&gt;0,R71/O71,"")</t>
  </si>
  <si>
    <t>=NL("Sum","5802 Value Entry","150 Sales Amount (Expected)","41 Source Type",$C$5,"5 Source No.",$C72,"4 Item Ledger Entry Type",$C$4,"2 Item No.","@@"&amp;$F72,"3 Posting Date",J$9)+NL("Sum","5802 Value Entry","17 Sales Amount (Actual)","41 Source Type",$C$5,"5 Source no.",$C72,"4 Item Ledger Entry Type",$C$4,"2 Item No.","@@"&amp;$F72,"3 Posting Date",J$9)</t>
  </si>
  <si>
    <t>=-NL("Sum","5802 Value Entry","151 Cost Amount (Expected)","41 Source Type",$C$5,"5 Source No.",$C72,"4 Item Ledger Entry Type",$C$4,"2 Item No.","@@"&amp;$F72,"3 Posting Date",J$9)-NL("Sum","5802 Value Entry","43 Cost Amount (Actual)","41 Source Type",$C$5,"5 Source no.",$C72,"4 Item Ledger Entry Type",$C$4,"2 Item No.","@@"&amp;$F72,"3 Posting Date",J$9)</t>
  </si>
  <si>
    <t>=J72-L72</t>
  </si>
  <si>
    <t>=IF(J72&lt;&gt;0,M72/J72,"")</t>
  </si>
  <si>
    <t>=NL("Sum","5802 Value Entry","150 Sales Amount (Expected)","41 Source Type",$C$5,"5 Source No.",$C72,"4 Item Ledger Entry Type",$C$4,"2 Item No.","@@"&amp;$F72,"3 Posting Date",O$9)+NL("Sum","5802 Value Entry","17 Sales Amount (Actual)","41 Source Type",$C$5,"5 Source no.",$C72,"4 Item Ledger Entry Type",$C$4,"2 Item No.","@@"&amp;$F72,"3 Posting Date",O$9)</t>
  </si>
  <si>
    <t>=-NL("Sum","5802 Value Entry","151 Cost Amount (Expected)","41 Source Type",$C$5,"5 Source No.",$C72,"4 Item Ledger Entry Type",$C$4,"2 Item No.","@@"&amp;$F72,"3 Posting Date",O$9)-NL("Sum","5802 Value Entry","43 Cost Amount (Actual)","41 Source Type",$C$5,"5 Source no.",$C72,"4 Item Ledger Entry Type",$C$4,"2 Item No.","@@"&amp;$F72,"3 Posting Date",O$9)</t>
  </si>
  <si>
    <t>=O72-Q72</t>
  </si>
  <si>
    <t>=IF(O72&lt;&gt;0,R72/O72,"")</t>
  </si>
  <si>
    <t>=C114</t>
  </si>
  <si>
    <t>=NL("Sum","5802 Value Entry","150 Sales Amount (Expected)","41 Source Type",$C$5,"5 Source No.",$C115,"4 Item Ledger Entry Type",$C$4,"2 Item No.","@@"&amp;$F115,"3 Posting Date",J$9)+NL("Sum","5802 Value Entry","17 Sales Amount (Actual)","41 Source Type",$C$5,"5 Source no.",$C115,"4 Item Ledger Entry Type",$C$4,"2 Item No.","@@"&amp;$F115,"3 Posting Date",J$9)</t>
  </si>
  <si>
    <t>=-NL("Sum","5802 Value Entry","151 Cost Amount (Expected)","41 Source Type",$C$5,"5 Source No.",$C115,"4 Item Ledger Entry Type",$C$4,"2 Item No.","@@"&amp;$F115,"3 Posting Date",J$9)-NL("Sum","5802 Value Entry","43 Cost Amount (Actual)","41 Source Type",$C$5,"5 Source no.",$C115,"4 Item Ledger Entry Type",$C$4,"2 Item No.","@@"&amp;$F115,"3 Posting Date",J$9)</t>
  </si>
  <si>
    <t>=J115-L115</t>
  </si>
  <si>
    <t>=IF(J115&lt;&gt;0,M115/J115,"")</t>
  </si>
  <si>
    <t>=NL("Sum","5802 Value Entry","150 Sales Amount (Expected)","41 Source Type",$C$5,"5 Source No.",$C115,"4 Item Ledger Entry Type",$C$4,"2 Item No.","@@"&amp;$F115,"3 Posting Date",O$9)+NL("Sum","5802 Value Entry","17 Sales Amount (Actual)","41 Source Type",$C$5,"5 Source no.",$C115,"4 Item Ledger Entry Type",$C$4,"2 Item No.","@@"&amp;$F115,"3 Posting Date",O$9)</t>
  </si>
  <si>
    <t>=-NL("Sum","5802 Value Entry","151 Cost Amount (Expected)","41 Source Type",$C$5,"5 Source No.",$C115,"4 Item Ledger Entry Type",$C$4,"2 Item No.","@@"&amp;$F115,"3 Posting Date",O$9)-NL("Sum","5802 Value Entry","43 Cost Amount (Actual)","41 Source Type",$C$5,"5 Source no.",$C115,"4 Item Ledger Entry Type",$C$4,"2 Item No.","@@"&amp;$F115,"3 Posting Date",O$9)</t>
  </si>
  <si>
    <t>=O115-Q115</t>
  </si>
  <si>
    <t>=IF(O115&lt;&gt;0,R115/O115,"")</t>
  </si>
  <si>
    <t>=C115</t>
  </si>
  <si>
    <t>=NL("Sum","5802 Value Entry","150 Sales Amount (Expected)","41 Source Type",$C$5,"5 Source No.",$C116,"4 Item Ledger Entry Type",$C$4,"2 Item No.","@@"&amp;$F116,"3 Posting Date",J$9)+NL("Sum","5802 Value Entry","17 Sales Amount (Actual)","41 Source Type",$C$5,"5 Source no.",$C116,"4 Item Ledger Entry Type",$C$4,"2 Item No.","@@"&amp;$F116,"3 Posting Date",J$9)</t>
  </si>
  <si>
    <t>=-NL("Sum","5802 Value Entry","151 Cost Amount (Expected)","41 Source Type",$C$5,"5 Source No.",$C116,"4 Item Ledger Entry Type",$C$4,"2 Item No.","@@"&amp;$F116,"3 Posting Date",J$9)-NL("Sum","5802 Value Entry","43 Cost Amount (Actual)","41 Source Type",$C$5,"5 Source no.",$C116,"4 Item Ledger Entry Type",$C$4,"2 Item No.","@@"&amp;$F116,"3 Posting Date",J$9)</t>
  </si>
  <si>
    <t>=J116-L116</t>
  </si>
  <si>
    <t>=IF(J116&lt;&gt;0,M116/J116,"")</t>
  </si>
  <si>
    <t>=NL("Sum","5802 Value Entry","150 Sales Amount (Expected)","41 Source Type",$C$5,"5 Source No.",$C116,"4 Item Ledger Entry Type",$C$4,"2 Item No.","@@"&amp;$F116,"3 Posting Date",O$9)+NL("Sum","5802 Value Entry","17 Sales Amount (Actual)","41 Source Type",$C$5,"5 Source no.",$C116,"4 Item Ledger Entry Type",$C$4,"2 Item No.","@@"&amp;$F116,"3 Posting Date",O$9)</t>
  </si>
  <si>
    <t>=-NL("Sum","5802 Value Entry","151 Cost Amount (Expected)","41 Source Type",$C$5,"5 Source No.",$C116,"4 Item Ledger Entry Type",$C$4,"2 Item No.","@@"&amp;$F116,"3 Posting Date",O$9)-NL("Sum","5802 Value Entry","43 Cost Amount (Actual)","41 Source Type",$C$5,"5 Source no.",$C116,"4 Item Ledger Entry Type",$C$4,"2 Item No.","@@"&amp;$F116,"3 Posting Date",O$9)</t>
  </si>
  <si>
    <t>=O116-Q116</t>
  </si>
  <si>
    <t>=IF(O116&lt;&gt;0,R116/O116,"")</t>
  </si>
  <si>
    <t>=NL("Sum","5802 Value Entry","150 Sales Amount (Expected)","41 Source Type",$C$5,"5 Source No.",$C117,"4 Item Ledger Entry Type",$C$4,"2 Item No.","@@"&amp;$F117,"3 Posting Date",J$9)+NL("Sum","5802 Value Entry","17 Sales Amount (Actual)","41 Source Type",$C$5,"5 Source no.",$C117,"4 Item Ledger Entry Type",$C$4,"2 Item No.","@@"&amp;$F117,"3 Posting Date",J$9)</t>
  </si>
  <si>
    <t>=-NL("Sum","5802 Value Entry","151 Cost Amount (Expected)","41 Source Type",$C$5,"5 Source No.",$C117,"4 Item Ledger Entry Type",$C$4,"2 Item No.","@@"&amp;$F117,"3 Posting Date",J$9)-NL("Sum","5802 Value Entry","43 Cost Amount (Actual)","41 Source Type",$C$5,"5 Source no.",$C117,"4 Item Ledger Entry Type",$C$4,"2 Item No.","@@"&amp;$F117,"3 Posting Date",J$9)</t>
  </si>
  <si>
    <t>=J117-L117</t>
  </si>
  <si>
    <t>=IF(J117&lt;&gt;0,M117/J117,"")</t>
  </si>
  <si>
    <t>=NL("Sum","5802 Value Entry","150 Sales Amount (Expected)","41 Source Type",$C$5,"5 Source No.",$C117,"4 Item Ledger Entry Type",$C$4,"2 Item No.","@@"&amp;$F117,"3 Posting Date",O$9)+NL("Sum","5802 Value Entry","17 Sales Amount (Actual)","41 Source Type",$C$5,"5 Source no.",$C117,"4 Item Ledger Entry Type",$C$4,"2 Item No.","@@"&amp;$F117,"3 Posting Date",O$9)</t>
  </si>
  <si>
    <t>=-NL("Sum","5802 Value Entry","151 Cost Amount (Expected)","41 Source Type",$C$5,"5 Source No.",$C117,"4 Item Ledger Entry Type",$C$4,"2 Item No.","@@"&amp;$F117,"3 Posting Date",O$9)-NL("Sum","5802 Value Entry","43 Cost Amount (Actual)","41 Source Type",$C$5,"5 Source no.",$C117,"4 Item Ledger Entry Type",$C$4,"2 Item No.","@@"&amp;$F117,"3 Posting Date",O$9)</t>
  </si>
  <si>
    <t>=O117-Q117</t>
  </si>
  <si>
    <t>=IF(O117&lt;&gt;0,R117/O117,"")</t>
  </si>
  <si>
    <t>=C143</t>
  </si>
  <si>
    <t>=NL("Sum","5802 Value Entry","150 Sales Amount (Expected)","41 Source Type",$C$5,"5 Source No.",$C144,"4 Item Ledger Entry Type",$C$4,"2 Item No.","@@"&amp;$F144,"3 Posting Date",J$9)+NL("Sum","5802 Value Entry","17 Sales Amount (Actual)","41 Source Type",$C$5,"5 Source no.",$C144,"4 Item Ledger Entry Type",$C$4,"2 Item No.","@@"&amp;$F144,"3 Posting Date",J$9)</t>
  </si>
  <si>
    <t>=-NL("Sum","5802 Value Entry","151 Cost Amount (Expected)","41 Source Type",$C$5,"5 Source No.",$C144,"4 Item Ledger Entry Type",$C$4,"2 Item No.","@@"&amp;$F144,"3 Posting Date",J$9)-NL("Sum","5802 Value Entry","43 Cost Amount (Actual)","41 Source Type",$C$5,"5 Source no.",$C144,"4 Item Ledger Entry Type",$C$4,"2 Item No.","@@"&amp;$F144,"3 Posting Date",J$9)</t>
  </si>
  <si>
    <t>=J144-L144</t>
  </si>
  <si>
    <t>=IF(J144&lt;&gt;0,M144/J144,"")</t>
  </si>
  <si>
    <t>=NL("Sum","5802 Value Entry","150 Sales Amount (Expected)","41 Source Type",$C$5,"5 Source No.",$C144,"4 Item Ledger Entry Type",$C$4,"2 Item No.","@@"&amp;$F144,"3 Posting Date",O$9)+NL("Sum","5802 Value Entry","17 Sales Amount (Actual)","41 Source Type",$C$5,"5 Source no.",$C144,"4 Item Ledger Entry Type",$C$4,"2 Item No.","@@"&amp;$F144,"3 Posting Date",O$9)</t>
  </si>
  <si>
    <t>=-NL("Sum","5802 Value Entry","151 Cost Amount (Expected)","41 Source Type",$C$5,"5 Source No.",$C144,"4 Item Ledger Entry Type",$C$4,"2 Item No.","@@"&amp;$F144,"3 Posting Date",O$9)-NL("Sum","5802 Value Entry","43 Cost Amount (Actual)","41 Source Type",$C$5,"5 Source no.",$C144,"4 Item Ledger Entry Type",$C$4,"2 Item No.","@@"&amp;$F144,"3 Posting Date",O$9)</t>
  </si>
  <si>
    <t>=O144-Q144</t>
  </si>
  <si>
    <t>=IF(O144&lt;&gt;0,R144/O144,"")</t>
  </si>
  <si>
    <t>=NL("Sum","5802 Value Entry","150 Sales Amount (Expected)","41 Source Type",$C$5,"5 Source No.",$C145,"4 Item Ledger Entry Type",$C$4,"2 Item No.","@@"&amp;$F145,"3 Posting Date",J$9)+NL("Sum","5802 Value Entry","17 Sales Amount (Actual)","41 Source Type",$C$5,"5 Source no.",$C145,"4 Item Ledger Entry Type",$C$4,"2 Item No.","@@"&amp;$F145,"3 Posting Date",J$9)</t>
  </si>
  <si>
    <t>=-NL("Sum","5802 Value Entry","151 Cost Amount (Expected)","41 Source Type",$C$5,"5 Source No.",$C145,"4 Item Ledger Entry Type",$C$4,"2 Item No.","@@"&amp;$F145,"3 Posting Date",J$9)-NL("Sum","5802 Value Entry","43 Cost Amount (Actual)","41 Source Type",$C$5,"5 Source no.",$C145,"4 Item Ledger Entry Type",$C$4,"2 Item No.","@@"&amp;$F145,"3 Posting Date",J$9)</t>
  </si>
  <si>
    <t>=NL("Sum","5802 Value Entry","150 Sales Amount (Expected)","41 Source Type",$C$5,"5 Source No.",$C145,"4 Item Ledger Entry Type",$C$4,"2 Item No.","@@"&amp;$F145,"3 Posting Date",O$9)+NL("Sum","5802 Value Entry","17 Sales Amount (Actual)","41 Source Type",$C$5,"5 Source no.",$C145,"4 Item Ledger Entry Type",$C$4,"2 Item No.","@@"&amp;$F145,"3 Posting Date",O$9)</t>
  </si>
  <si>
    <t>=-NL("Sum","5802 Value Entry","151 Cost Amount (Expected)","41 Source Type",$C$5,"5 Source No.",$C145,"4 Item Ledger Entry Type",$C$4,"2 Item No.","@@"&amp;$F145,"3 Posting Date",O$9)-NL("Sum","5802 Value Entry","43 Cost Amount (Actual)","41 Source Type",$C$5,"5 Source no.",$C145,"4 Item Ledger Entry Type",$C$4,"2 Item No.","@@"&amp;$F145,"3 Posting Date",O$9)</t>
  </si>
  <si>
    <t>=C145</t>
  </si>
  <si>
    <t>=NL("Sum","5802 Value Entry","150 Sales Amount (Expected)","41 Source Type",$C$5,"5 Source No.",$C146,"4 Item Ledger Entry Type",$C$4,"2 Item No.","@@"&amp;$F146,"3 Posting Date",J$9)+NL("Sum","5802 Value Entry","17 Sales Amount (Actual)","41 Source Type",$C$5,"5 Source no.",$C146,"4 Item Ledger Entry Type",$C$4,"2 Item No.","@@"&amp;$F146,"3 Posting Date",J$9)</t>
  </si>
  <si>
    <t>=-NL("Sum","5802 Value Entry","151 Cost Amount (Expected)","41 Source Type",$C$5,"5 Source No.",$C146,"4 Item Ledger Entry Type",$C$4,"2 Item No.","@@"&amp;$F146,"3 Posting Date",J$9)-NL("Sum","5802 Value Entry","43 Cost Amount (Actual)","41 Source Type",$C$5,"5 Source no.",$C146,"4 Item Ledger Entry Type",$C$4,"2 Item No.","@@"&amp;$F146,"3 Posting Date",J$9)</t>
  </si>
  <si>
    <t>=J146-L146</t>
  </si>
  <si>
    <t>=IF(J146&lt;&gt;0,M146/J146,"")</t>
  </si>
  <si>
    <t>=NL("Sum","5802 Value Entry","150 Sales Amount (Expected)","41 Source Type",$C$5,"5 Source No.",$C146,"4 Item Ledger Entry Type",$C$4,"2 Item No.","@@"&amp;$F146,"3 Posting Date",O$9)+NL("Sum","5802 Value Entry","17 Sales Amount (Actual)","41 Source Type",$C$5,"5 Source no.",$C146,"4 Item Ledger Entry Type",$C$4,"2 Item No.","@@"&amp;$F146,"3 Posting Date",O$9)</t>
  </si>
  <si>
    <t>=-NL("Sum","5802 Value Entry","151 Cost Amount (Expected)","41 Source Type",$C$5,"5 Source No.",$C146,"4 Item Ledger Entry Type",$C$4,"2 Item No.","@@"&amp;$F146,"3 Posting Date",O$9)-NL("Sum","5802 Value Entry","43 Cost Amount (Actual)","41 Source Type",$C$5,"5 Source no.",$C146,"4 Item Ledger Entry Type",$C$4,"2 Item No.","@@"&amp;$F146,"3 Posting Date",O$9)</t>
  </si>
  <si>
    <t>=O146-Q146</t>
  </si>
  <si>
    <t>=IF(O146&lt;&gt;0,R146/O146,"")</t>
  </si>
  <si>
    <t>=C146</t>
  </si>
  <si>
    <t>=NL("Sum","5802 Value Entry","150 Sales Amount (Expected)","41 Source Type",$C$5,"5 Source No.",$C147,"4 Item Ledger Entry Type",$C$4,"2 Item No.","@@"&amp;$F147,"3 Posting Date",J$9)+NL("Sum","5802 Value Entry","17 Sales Amount (Actual)","41 Source Type",$C$5,"5 Source no.",$C147,"4 Item Ledger Entry Type",$C$4,"2 Item No.","@@"&amp;$F147,"3 Posting Date",J$9)</t>
  </si>
  <si>
    <t>=-NL("Sum","5802 Value Entry","151 Cost Amount (Expected)","41 Source Type",$C$5,"5 Source No.",$C147,"4 Item Ledger Entry Type",$C$4,"2 Item No.","@@"&amp;$F147,"3 Posting Date",J$9)-NL("Sum","5802 Value Entry","43 Cost Amount (Actual)","41 Source Type",$C$5,"5 Source no.",$C147,"4 Item Ledger Entry Type",$C$4,"2 Item No.","@@"&amp;$F147,"3 Posting Date",J$9)</t>
  </si>
  <si>
    <t>=J147-L147</t>
  </si>
  <si>
    <t>=IF(J147&lt;&gt;0,M147/J147,"")</t>
  </si>
  <si>
    <t>=NL("Sum","5802 Value Entry","150 Sales Amount (Expected)","41 Source Type",$C$5,"5 Source No.",$C147,"4 Item Ledger Entry Type",$C$4,"2 Item No.","@@"&amp;$F147,"3 Posting Date",O$9)+NL("Sum","5802 Value Entry","17 Sales Amount (Actual)","41 Source Type",$C$5,"5 Source no.",$C147,"4 Item Ledger Entry Type",$C$4,"2 Item No.","@@"&amp;$F147,"3 Posting Date",O$9)</t>
  </si>
  <si>
    <t>=-NL("Sum","5802 Value Entry","151 Cost Amount (Expected)","41 Source Type",$C$5,"5 Source No.",$C147,"4 Item Ledger Entry Type",$C$4,"2 Item No.","@@"&amp;$F147,"3 Posting Date",O$9)-NL("Sum","5802 Value Entry","43 Cost Amount (Actual)","41 Source Type",$C$5,"5 Source no.",$C147,"4 Item Ledger Entry Type",$C$4,"2 Item No.","@@"&amp;$F147,"3 Posting Date",O$9)</t>
  </si>
  <si>
    <t>=O147-Q147</t>
  </si>
  <si>
    <t>=IF(O147&lt;&gt;0,R147/O147,"")</t>
  </si>
  <si>
    <t>=NL("Sum","5802 Value Entry","150 Sales Amount (Expected)","41 Source Type",$C$5,"5 Source No.",$C148,"4 Item Ledger Entry Type",$C$4,"2 Item No.","@@"&amp;$F148,"3 Posting Date",J$9)+NL("Sum","5802 Value Entry","17 Sales Amount (Actual)","41 Source Type",$C$5,"5 Source no.",$C148,"4 Item Ledger Entry Type",$C$4,"2 Item No.","@@"&amp;$F148,"3 Posting Date",J$9)</t>
  </si>
  <si>
    <t>=-NL("Sum","5802 Value Entry","151 Cost Amount (Expected)","41 Source Type",$C$5,"5 Source No.",$C148,"4 Item Ledger Entry Type",$C$4,"2 Item No.","@@"&amp;$F148,"3 Posting Date",J$9)-NL("Sum","5802 Value Entry","43 Cost Amount (Actual)","41 Source Type",$C$5,"5 Source no.",$C148,"4 Item Ledger Entry Type",$C$4,"2 Item No.","@@"&amp;$F148,"3 Posting Date",J$9)</t>
  </si>
  <si>
    <t>=J148-L148</t>
  </si>
  <si>
    <t>=IF(J148&lt;&gt;0,M148/J148,"")</t>
  </si>
  <si>
    <t>=NL("Sum","5802 Value Entry","150 Sales Amount (Expected)","41 Source Type",$C$5,"5 Source No.",$C148,"4 Item Ledger Entry Type",$C$4,"2 Item No.","@@"&amp;$F148,"3 Posting Date",O$9)+NL("Sum","5802 Value Entry","17 Sales Amount (Actual)","41 Source Type",$C$5,"5 Source no.",$C148,"4 Item Ledger Entry Type",$C$4,"2 Item No.","@@"&amp;$F148,"3 Posting Date",O$9)</t>
  </si>
  <si>
    <t>=-NL("Sum","5802 Value Entry","151 Cost Amount (Expected)","41 Source Type",$C$5,"5 Source No.",$C148,"4 Item Ledger Entry Type",$C$4,"2 Item No.","@@"&amp;$F148,"3 Posting Date",O$9)-NL("Sum","5802 Value Entry","43 Cost Amount (Actual)","41 Source Type",$C$5,"5 Source no.",$C148,"4 Item Ledger Entry Type",$C$4,"2 Item No.","@@"&amp;$F148,"3 Posting Date",O$9)</t>
  </si>
  <si>
    <t>=O148-Q148</t>
  </si>
  <si>
    <t>=IF(O148&lt;&gt;0,R148/O148,"")</t>
  </si>
  <si>
    <t>=NL(,"27 Item","3 Description","1 No.","@@"&amp;F23)</t>
  </si>
  <si>
    <t>=NL(,"27 Item","3 Description","1 No.","@@"&amp;F24)</t>
  </si>
  <si>
    <t>=NL(,"27 Item","3 Description","1 No.","@@"&amp;F25)</t>
  </si>
  <si>
    <t>=NL(,"27 Item","3 Description","1 No.","@@"&amp;F26)</t>
  </si>
  <si>
    <t>=NL(,"27 Item","3 Description","1 No.","@@"&amp;F27)</t>
  </si>
  <si>
    <t>=NL(,"27 Item","3 Description","1 No.","@@"&amp;F28)</t>
  </si>
  <si>
    <t>=NL(,"27 Item","3 Description","1 No.","@@"&amp;F29)</t>
  </si>
  <si>
    <t>=NL(,"27 Item","3 Description","1 No.","@@"&amp;F30)</t>
  </si>
  <si>
    <t>=NL(,"27 Item","3 Description","1 No.","@@"&amp;F31)</t>
  </si>
  <si>
    <t>=NL(,"27 Item","3 Description","1 No.","@@"&amp;F32)</t>
  </si>
  <si>
    <t>=NL(,"27 Item","3 Description","1 No.","@@"&amp;F33)</t>
  </si>
  <si>
    <t>=NL(,"27 Item","3 Description","1 No.","@@"&amp;F34)</t>
  </si>
  <si>
    <t>=NL(,"27 Item","3 Description","1 No.","@@"&amp;F35)</t>
  </si>
  <si>
    <t>=NL(,"27 Item","3 Description","1 No.","@@"&amp;F36)</t>
  </si>
  <si>
    <t>=NL(,"27 Item","3 Description","1 No.","@@"&amp;F37)</t>
  </si>
  <si>
    <t>=NL(,"27 Item","3 Description","1 No.","@@"&amp;F38)</t>
  </si>
  <si>
    <t>=NL(,"27 Item","3 Description","1 No.","@@"&amp;F44)</t>
  </si>
  <si>
    <t>=NL(,"27 Item","3 Description","1 No.","@@"&amp;F50)</t>
  </si>
  <si>
    <t>=NL(,"27 Item","3 Description","1 No.","@@"&amp;F51)</t>
  </si>
  <si>
    <t>=NL(,"27 Item","3 Description","1 No.","@@"&amp;F52)</t>
  </si>
  <si>
    <t>=NL(,"27 Item","3 Description","1 No.","@@"&amp;F53)</t>
  </si>
  <si>
    <t>=NL(,"27 Item","3 Description","1 No.","@@"&amp;F54)</t>
  </si>
  <si>
    <t>=NL(,"27 Item","3 Description","1 No.","@@"&amp;F55)</t>
  </si>
  <si>
    <t>=NL(,"27 Item","3 Description","1 No.","@@"&amp;F56)</t>
  </si>
  <si>
    <t>=NL(,"27 Item","3 Description","1 No.","@@"&amp;F57)</t>
  </si>
  <si>
    <t>=NL(,"27 Item","3 Description","1 No.","@@"&amp;F58)</t>
  </si>
  <si>
    <t>=NL(,"27 Item","3 Description","1 No.","@@"&amp;F59)</t>
  </si>
  <si>
    <t>=NL(,"27 Item","3 Description","1 No.","@@"&amp;F60)</t>
  </si>
  <si>
    <t>=-NL("Sum","32 Item Ledger Entry","12 Quantity","5 Source no.",$C23,"3 Posting Date",J$9,"4 Entry Type",$C$4,"2 Item No.","@@"&amp;$F23)</t>
  </si>
  <si>
    <t>=-NL("Sum","32 Item Ledger Entry","12 Quantity","5 Source no.",$C24,"3 Posting Date",J$9,"4 Entry Type",$C$4,"2 Item No.","@@"&amp;$F24)</t>
  </si>
  <si>
    <t>=-NL("Sum","32 Item Ledger Entry","12 Quantity","5 Source no.",$C25,"3 Posting Date",J$9,"4 Entry Type",$C$4,"2 Item No.","@@"&amp;$F25)</t>
  </si>
  <si>
    <t>=-NL("Sum","32 Item Ledger Entry","12 Quantity","5 Source no.",$C26,"3 Posting Date",J$9,"4 Entry Type",$C$4,"2 Item No.","@@"&amp;$F26)</t>
  </si>
  <si>
    <t>=-NL("Sum","32 Item Ledger Entry","12 Quantity","5 Source no.",$C27,"3 Posting Date",J$9,"4 Entry Type",$C$4,"2 Item No.","@@"&amp;$F27)</t>
  </si>
  <si>
    <t>=-NL("Sum","32 Item Ledger Entry","12 Quantity","5 Source no.",$C28,"3 Posting Date",J$9,"4 Entry Type",$C$4,"2 Item No.","@@"&amp;$F28)</t>
  </si>
  <si>
    <t>=-NL("Sum","32 Item Ledger Entry","12 Quantity","5 Source no.",$C29,"3 Posting Date",J$9,"4 Entry Type",$C$4,"2 Item No.","@@"&amp;$F29)</t>
  </si>
  <si>
    <t>=-NL("Sum","32 Item Ledger Entry","12 Quantity","5 Source no.",$C30,"3 Posting Date",J$9,"4 Entry Type",$C$4,"2 Item No.","@@"&amp;$F30)</t>
  </si>
  <si>
    <t>=-NL("Sum","32 Item Ledger Entry","12 Quantity","5 Source no.",$C31,"3 Posting Date",J$9,"4 Entry Type",$C$4,"2 Item No.","@@"&amp;$F31)</t>
  </si>
  <si>
    <t>=-NL("Sum","32 Item Ledger Entry","12 Quantity","5 Source no.",$C32,"3 Posting Date",J$9,"4 Entry Type",$C$4,"2 Item No.","@@"&amp;$F32)</t>
  </si>
  <si>
    <t>=-NL("Sum","32 Item Ledger Entry","12 Quantity","5 Source no.",$C33,"3 Posting Date",J$9,"4 Entry Type",$C$4,"2 Item No.","@@"&amp;$F33)</t>
  </si>
  <si>
    <t>=-NL("Sum","32 Item Ledger Entry","12 Quantity","5 Source no.",$C34,"3 Posting Date",J$9,"4 Entry Type",$C$4,"2 Item No.","@@"&amp;$F34)</t>
  </si>
  <si>
    <t>=-NL("Sum","32 Item Ledger Entry","12 Quantity","5 Source no.",$C35,"3 Posting Date",J$9,"4 Entry Type",$C$4,"2 Item No.","@@"&amp;$F35)</t>
  </si>
  <si>
    <t>=-NL("Sum","32 Item Ledger Entry","12 Quantity","5 Source no.",$C36,"3 Posting Date",J$9,"4 Entry Type",$C$4,"2 Item No.","@@"&amp;$F36)</t>
  </si>
  <si>
    <t>=-NL("Sum","32 Item Ledger Entry","12 Quantity","5 Source no.",$C37,"3 Posting Date",J$9,"4 Entry Type",$C$4,"2 Item No.","@@"&amp;$F37)</t>
  </si>
  <si>
    <t>=-NL("Sum","32 Item Ledger Entry","12 Quantity","5 Source no.",$C38,"3 Posting Date",J$9,"4 Entry Type",$C$4,"2 Item No.","@@"&amp;$F38)</t>
  </si>
  <si>
    <t>=-NL("Sum","32 Item Ledger Entry","12 Quantity","5 Source no.",$C44,"3 Posting Date",J$9,"4 Entry Type",$C$4,"2 Item No.","@@"&amp;$F44)</t>
  </si>
  <si>
    <t>=-NL("Sum","32 Item Ledger Entry","12 Quantity","5 Source no.",$C50,"3 Posting Date",J$9,"4 Entry Type",$C$4,"2 Item No.","@@"&amp;$F50)</t>
  </si>
  <si>
    <t>=-NL("Sum","32 Item Ledger Entry","12 Quantity","5 Source no.",$C51,"3 Posting Date",J$9,"4 Entry Type",$C$4,"2 Item No.","@@"&amp;$F51)</t>
  </si>
  <si>
    <t>=-NL("Sum","32 Item Ledger Entry","12 Quantity","5 Source no.",$C52,"3 Posting Date",J$9,"4 Entry Type",$C$4,"2 Item No.","@@"&amp;$F52)</t>
  </si>
  <si>
    <t>=-NL("Sum","32 Item Ledger Entry","12 Quantity","5 Source no.",$C53,"3 Posting Date",J$9,"4 Entry Type",$C$4,"2 Item No.","@@"&amp;$F53)</t>
  </si>
  <si>
    <t>=-NL("Sum","32 Item Ledger Entry","12 Quantity","5 Source no.",$C54,"3 Posting Date",J$9,"4 Entry Type",$C$4,"2 Item No.","@@"&amp;$F54)</t>
  </si>
  <si>
    <t>=-NL("Sum","32 Item Ledger Entry","12 Quantity","5 Source no.",$C55,"3 Posting Date",J$9,"4 Entry Type",$C$4,"2 Item No.","@@"&amp;$F55)</t>
  </si>
  <si>
    <t>=-NL("Sum","32 Item Ledger Entry","12 Quantity","5 Source no.",$C56,"3 Posting Date",J$9,"4 Entry Type",$C$4,"2 Item No.","@@"&amp;$F56)</t>
  </si>
  <si>
    <t>=-NL("Sum","32 Item Ledger Entry","12 Quantity","5 Source no.",$C57,"3 Posting Date",J$9,"4 Entry Type",$C$4,"2 Item No.","@@"&amp;$F57)</t>
  </si>
  <si>
    <t>=-NL("Sum","32 Item Ledger Entry","12 Quantity","5 Source no.",$C58,"3 Posting Date",J$9,"4 Entry Type",$C$4,"2 Item No.","@@"&amp;$F58)</t>
  </si>
  <si>
    <t>=-NL("Sum","32 Item Ledger Entry","12 Quantity","5 Source no.",$C59,"3 Posting Date",J$9,"4 Entry Type",$C$4,"2 Item No.","@@"&amp;$F59)</t>
  </si>
  <si>
    <t>=-NL("Sum","32 Item Ledger Entry","12 Quantity","5 Source no.",$C60,"3 Posting Date",J$9,"4 Entry Type",$C$4,"2 Item No.","@@"&amp;$F60)</t>
  </si>
  <si>
    <t>=-NL("Sum","32 Item Ledger Entry","12 Quantity","5 Source no.",$C23,"3 Posting Date",O$9,"4 Entry Type",$C$4,"2 Item No.","@@"&amp;$F23)</t>
  </si>
  <si>
    <t>=-NL("Sum","32 Item Ledger Entry","12 Quantity","5 Source no.",$C24,"3 Posting Date",O$9,"4 Entry Type",$C$4,"2 Item No.","@@"&amp;$F24)</t>
  </si>
  <si>
    <t>=-NL("Sum","32 Item Ledger Entry","12 Quantity","5 Source no.",$C25,"3 Posting Date",O$9,"4 Entry Type",$C$4,"2 Item No.","@@"&amp;$F25)</t>
  </si>
  <si>
    <t>=-NL("Sum","32 Item Ledger Entry","12 Quantity","5 Source no.",$C26,"3 Posting Date",O$9,"4 Entry Type",$C$4,"2 Item No.","@@"&amp;$F26)</t>
  </si>
  <si>
    <t>=-NL("Sum","32 Item Ledger Entry","12 Quantity","5 Source no.",$C27,"3 Posting Date",O$9,"4 Entry Type",$C$4,"2 Item No.","@@"&amp;$F27)</t>
  </si>
  <si>
    <t>=-NL("Sum","32 Item Ledger Entry","12 Quantity","5 Source no.",$C28,"3 Posting Date",O$9,"4 Entry Type",$C$4,"2 Item No.","@@"&amp;$F28)</t>
  </si>
  <si>
    <t>=-NL("Sum","32 Item Ledger Entry","12 Quantity","5 Source no.",$C29,"3 Posting Date",O$9,"4 Entry Type",$C$4,"2 Item No.","@@"&amp;$F29)</t>
  </si>
  <si>
    <t>=-NL("Sum","32 Item Ledger Entry","12 Quantity","5 Source no.",$C30,"3 Posting Date",O$9,"4 Entry Type",$C$4,"2 Item No.","@@"&amp;$F30)</t>
  </si>
  <si>
    <t>=-NL("Sum","32 Item Ledger Entry","12 Quantity","5 Source no.",$C31,"3 Posting Date",O$9,"4 Entry Type",$C$4,"2 Item No.","@@"&amp;$F31)</t>
  </si>
  <si>
    <t>=-NL("Sum","32 Item Ledger Entry","12 Quantity","5 Source no.",$C32,"3 Posting Date",O$9,"4 Entry Type",$C$4,"2 Item No.","@@"&amp;$F32)</t>
  </si>
  <si>
    <t>=-NL("Sum","32 Item Ledger Entry","12 Quantity","5 Source no.",$C33,"3 Posting Date",O$9,"4 Entry Type",$C$4,"2 Item No.","@@"&amp;$F33)</t>
  </si>
  <si>
    <t>=-NL("Sum","32 Item Ledger Entry","12 Quantity","5 Source no.",$C34,"3 Posting Date",O$9,"4 Entry Type",$C$4,"2 Item No.","@@"&amp;$F34)</t>
  </si>
  <si>
    <t>=-NL("Sum","32 Item Ledger Entry","12 Quantity","5 Source no.",$C35,"3 Posting Date",O$9,"4 Entry Type",$C$4,"2 Item No.","@@"&amp;$F35)</t>
  </si>
  <si>
    <t>=-NL("Sum","32 Item Ledger Entry","12 Quantity","5 Source no.",$C36,"3 Posting Date",O$9,"4 Entry Type",$C$4,"2 Item No.","@@"&amp;$F36)</t>
  </si>
  <si>
    <t>=-NL("Sum","32 Item Ledger Entry","12 Quantity","5 Source no.",$C37,"3 Posting Date",O$9,"4 Entry Type",$C$4,"2 Item No.","@@"&amp;$F37)</t>
  </si>
  <si>
    <t>=-NL("Sum","32 Item Ledger Entry","12 Quantity","5 Source no.",$C38,"3 Posting Date",O$9,"4 Entry Type",$C$4,"2 Item No.","@@"&amp;$F38)</t>
  </si>
  <si>
    <t>=-NL("Sum","32 Item Ledger Entry","12 Quantity","5 Source no.",$C44,"3 Posting Date",O$9,"4 Entry Type",$C$4,"2 Item No.","@@"&amp;$F44)</t>
  </si>
  <si>
    <t>=-NL("Sum","32 Item Ledger Entry","12 Quantity","5 Source no.",$C50,"3 Posting Date",O$9,"4 Entry Type",$C$4,"2 Item No.","@@"&amp;$F50)</t>
  </si>
  <si>
    <t>=-NL("Sum","32 Item Ledger Entry","12 Quantity","5 Source no.",$C51,"3 Posting Date",O$9,"4 Entry Type",$C$4,"2 Item No.","@@"&amp;$F51)</t>
  </si>
  <si>
    <t>=-NL("Sum","32 Item Ledger Entry","12 Quantity","5 Source no.",$C52,"3 Posting Date",O$9,"4 Entry Type",$C$4,"2 Item No.","@@"&amp;$F52)</t>
  </si>
  <si>
    <t>=-NL("Sum","32 Item Ledger Entry","12 Quantity","5 Source no.",$C53,"3 Posting Date",O$9,"4 Entry Type",$C$4,"2 Item No.","@@"&amp;$F53)</t>
  </si>
  <si>
    <t>=-NL("Sum","32 Item Ledger Entry","12 Quantity","5 Source no.",$C54,"3 Posting Date",O$9,"4 Entry Type",$C$4,"2 Item No.","@@"&amp;$F54)</t>
  </si>
  <si>
    <t>=-NL("Sum","32 Item Ledger Entry","12 Quantity","5 Source no.",$C55,"3 Posting Date",O$9,"4 Entry Type",$C$4,"2 Item No.","@@"&amp;$F55)</t>
  </si>
  <si>
    <t>=-NL("Sum","32 Item Ledger Entry","12 Quantity","5 Source no.",$C56,"3 Posting Date",O$9,"4 Entry Type",$C$4,"2 Item No.","@@"&amp;$F56)</t>
  </si>
  <si>
    <t>=-NL("Sum","32 Item Ledger Entry","12 Quantity","5 Source no.",$C57,"3 Posting Date",O$9,"4 Entry Type",$C$4,"2 Item No.","@@"&amp;$F57)</t>
  </si>
  <si>
    <t>=-NL("Sum","32 Item Ledger Entry","12 Quantity","5 Source no.",$C58,"3 Posting Date",O$9,"4 Entry Type",$C$4,"2 Item No.","@@"&amp;$F58)</t>
  </si>
  <si>
    <t>=-NL("Sum","32 Item Ledger Entry","12 Quantity","5 Source no.",$C59,"3 Posting Date",O$9,"4 Entry Type",$C$4,"2 Item No.","@@"&amp;$F59)</t>
  </si>
  <si>
    <t>=-NL("Sum","32 Item Ledger Entry","12 Quantity","5 Source no.",$C60,"3 Posting Date",O$9,"4 Entry Type",$C$4,"2 Item No.","@@"&amp;$F60)</t>
  </si>
  <si>
    <t>=NL(,"27 Item","3 Description","1 No.","@@"&amp;F142)</t>
  </si>
  <si>
    <t>=NL(,"27 Item","3 Description","1 No.","@@"&amp;F143)</t>
  </si>
  <si>
    <t>=NL(,"27 Item","3 Description","1 No.","@@"&amp;F144)</t>
  </si>
  <si>
    <t>=NL(,"27 Item","3 Description","1 No.","@@"&amp;F145)</t>
  </si>
  <si>
    <t>=NL(,"27 Item","3 Description","1 No.","@@"&amp;F146)</t>
  </si>
  <si>
    <t>=NL(,"27 Item","3 Description","1 No.","@@"&amp;F147)</t>
  </si>
  <si>
    <t>=NL(,"27 Item","3 Description","1 No.","@@"&amp;F148)</t>
  </si>
  <si>
    <t>=NL(,"27 Item","3 Description","1 No.","@@"&amp;F149)</t>
  </si>
  <si>
    <t>=NL(,"27 Item","3 Description","1 No.","@@"&amp;F150)</t>
  </si>
  <si>
    <t>=NL(,"27 Item","3 Description","1 No.","@@"&amp;F156)</t>
  </si>
  <si>
    <t>=NL(,"27 Item","3 Description","1 No.","@@"&amp;F157)</t>
  </si>
  <si>
    <t>=NL(,"27 Item","3 Description","1 No.","@@"&amp;F158)</t>
  </si>
  <si>
    <t>=NL(,"27 Item","3 Description","1 No.","@@"&amp;F159)</t>
  </si>
  <si>
    <t>=NL(,"27 Item","3 Description","1 No.","@@"&amp;F160)</t>
  </si>
  <si>
    <t>=NL(,"27 Item","3 Description","1 No.","@@"&amp;F161)</t>
  </si>
  <si>
    <t>=-NL("Sum","32 Item Ledger Entry","12 Quantity","5 Source no.",$C142,"3 Posting Date",J$9,"4 Entry Type",$C$4,"2 Item No.","@@"&amp;$F142)</t>
  </si>
  <si>
    <t>=-NL("Sum","32 Item Ledger Entry","12 Quantity","5 Source no.",$C143,"3 Posting Date",J$9,"4 Entry Type",$C$4,"2 Item No.","@@"&amp;$F143)</t>
  </si>
  <si>
    <t>=-NL("Sum","32 Item Ledger Entry","12 Quantity","5 Source no.",$C144,"3 Posting Date",J$9,"4 Entry Type",$C$4,"2 Item No.","@@"&amp;$F144)</t>
  </si>
  <si>
    <t>=-NL("Sum","32 Item Ledger Entry","12 Quantity","5 Source no.",$C145,"3 Posting Date",J$9,"4 Entry Type",$C$4,"2 Item No.","@@"&amp;$F145)</t>
  </si>
  <si>
    <t>=-NL("Sum","32 Item Ledger Entry","12 Quantity","5 Source no.",$C146,"3 Posting Date",J$9,"4 Entry Type",$C$4,"2 Item No.","@@"&amp;$F146)</t>
  </si>
  <si>
    <t>=-NL("Sum","32 Item Ledger Entry","12 Quantity","5 Source no.",$C147,"3 Posting Date",J$9,"4 Entry Type",$C$4,"2 Item No.","@@"&amp;$F147)</t>
  </si>
  <si>
    <t>=-NL("Sum","32 Item Ledger Entry","12 Quantity","5 Source no.",$C148,"3 Posting Date",J$9,"4 Entry Type",$C$4,"2 Item No.","@@"&amp;$F148)</t>
  </si>
  <si>
    <t>=-NL("Sum","32 Item Ledger Entry","12 Quantity","5 Source no.",$C149,"3 Posting Date",J$9,"4 Entry Type",$C$4,"2 Item No.","@@"&amp;$F149)</t>
  </si>
  <si>
    <t>=-NL("Sum","32 Item Ledger Entry","12 Quantity","5 Source no.",$C150,"3 Posting Date",J$9,"4 Entry Type",$C$4,"2 Item No.","@@"&amp;$F150)</t>
  </si>
  <si>
    <t>=-NL("Sum","32 Item Ledger Entry","12 Quantity","5 Source no.",$C156,"3 Posting Date",J$9,"4 Entry Type",$C$4,"2 Item No.","@@"&amp;$F156)</t>
  </si>
  <si>
    <t>=-NL("Sum","32 Item Ledger Entry","12 Quantity","5 Source no.",$C157,"3 Posting Date",J$9,"4 Entry Type",$C$4,"2 Item No.","@@"&amp;$F157)</t>
  </si>
  <si>
    <t>=-NL("Sum","32 Item Ledger Entry","12 Quantity","5 Source no.",$C158,"3 Posting Date",J$9,"4 Entry Type",$C$4,"2 Item No.","@@"&amp;$F158)</t>
  </si>
  <si>
    <t>=-NL("Sum","32 Item Ledger Entry","12 Quantity","5 Source no.",$C159,"3 Posting Date",J$9,"4 Entry Type",$C$4,"2 Item No.","@@"&amp;$F159)</t>
  </si>
  <si>
    <t>=-NL("Sum","32 Item Ledger Entry","12 Quantity","5 Source no.",$C160,"3 Posting Date",J$9,"4 Entry Type",$C$4,"2 Item No.","@@"&amp;$F160)</t>
  </si>
  <si>
    <t>=-NL("Sum","32 Item Ledger Entry","12 Quantity","5 Source no.",$C161,"3 Posting Date",J$9,"4 Entry Type",$C$4,"2 Item No.","@@"&amp;$F161)</t>
  </si>
  <si>
    <t>=-NL("Sum","32 Item Ledger Entry","12 Quantity","5 Source no.",$C142,"3 Posting Date",O$9,"4 Entry Type",$C$4,"2 Item No.","@@"&amp;$F142)</t>
  </si>
  <si>
    <t>=-NL("Sum","32 Item Ledger Entry","12 Quantity","5 Source no.",$C143,"3 Posting Date",O$9,"4 Entry Type",$C$4,"2 Item No.","@@"&amp;$F143)</t>
  </si>
  <si>
    <t>=-NL("Sum","32 Item Ledger Entry","12 Quantity","5 Source no.",$C144,"3 Posting Date",O$9,"4 Entry Type",$C$4,"2 Item No.","@@"&amp;$F144)</t>
  </si>
  <si>
    <t>=-NL("Sum","32 Item Ledger Entry","12 Quantity","5 Source no.",$C145,"3 Posting Date",O$9,"4 Entry Type",$C$4,"2 Item No.","@@"&amp;$F145)</t>
  </si>
  <si>
    <t>=-NL("Sum","32 Item Ledger Entry","12 Quantity","5 Source no.",$C146,"3 Posting Date",O$9,"4 Entry Type",$C$4,"2 Item No.","@@"&amp;$F146)</t>
  </si>
  <si>
    <t>=-NL("Sum","32 Item Ledger Entry","12 Quantity","5 Source no.",$C147,"3 Posting Date",O$9,"4 Entry Type",$C$4,"2 Item No.","@@"&amp;$F147)</t>
  </si>
  <si>
    <t>=-NL("Sum","32 Item Ledger Entry","12 Quantity","5 Source no.",$C148,"3 Posting Date",O$9,"4 Entry Type",$C$4,"2 Item No.","@@"&amp;$F148)</t>
  </si>
  <si>
    <t>=-NL("Sum","32 Item Ledger Entry","12 Quantity","5 Source no.",$C149,"3 Posting Date",O$9,"4 Entry Type",$C$4,"2 Item No.","@@"&amp;$F149)</t>
  </si>
  <si>
    <t>=-NL("Sum","32 Item Ledger Entry","12 Quantity","5 Source no.",$C150,"3 Posting Date",O$9,"4 Entry Type",$C$4,"2 Item No.","@@"&amp;$F150)</t>
  </si>
  <si>
    <t>=-NL("Sum","32 Item Ledger Entry","12 Quantity","5 Source no.",$C156,"3 Posting Date",O$9,"4 Entry Type",$C$4,"2 Item No.","@@"&amp;$F156)</t>
  </si>
  <si>
    <t>=-NL("Sum","32 Item Ledger Entry","12 Quantity","5 Source no.",$C157,"3 Posting Date",O$9,"4 Entry Type",$C$4,"2 Item No.","@@"&amp;$F157)</t>
  </si>
  <si>
    <t>=-NL("Sum","32 Item Ledger Entry","12 Quantity","5 Source no.",$C158,"3 Posting Date",O$9,"4 Entry Type",$C$4,"2 Item No.","@@"&amp;$F158)</t>
  </si>
  <si>
    <t>=-NL("Sum","32 Item Ledger Entry","12 Quantity","5 Source no.",$C159,"3 Posting Date",O$9,"4 Entry Type",$C$4,"2 Item No.","@@"&amp;$F159)</t>
  </si>
  <si>
    <t>=-NL("Sum","32 Item Ledger Entry","12 Quantity","5 Source no.",$C160,"3 Posting Date",O$9,"4 Entry Type",$C$4,"2 Item No.","@@"&amp;$F160)</t>
  </si>
  <si>
    <t>=-NL("Sum","32 Item Ledger Entry","12 Quantity","5 Source no.",$C161,"3 Posting Date",O$9,"4 Entry Type",$C$4,"2 Item No.","@@"&amp;$F161)</t>
  </si>
  <si>
    <t>=NL(,"27 Item","3 Description","1 No.","@@"&amp;F115)</t>
  </si>
  <si>
    <t>=NL(,"27 Item","3 Description","1 No.","@@"&amp;F116)</t>
  </si>
  <si>
    <t>=NL(,"27 Item","3 Description","1 No.","@@"&amp;F117)</t>
  </si>
  <si>
    <t>=NL(,"27 Item","3 Description","1 No.","@@"&amp;F118)</t>
  </si>
  <si>
    <t>=NL(,"27 Item","3 Description","1 No.","@@"&amp;F119)</t>
  </si>
  <si>
    <t>=NL(,"27 Item","3 Description","1 No.","@@"&amp;F120)</t>
  </si>
  <si>
    <t>=NL(,"27 Item","3 Description","1 No.","@@"&amp;F121)</t>
  </si>
  <si>
    <t>=NL(,"27 Item","3 Description","1 No.","@@"&amp;F122)</t>
  </si>
  <si>
    <t>=NL(,"27 Item","3 Description","1 No.","@@"&amp;F123)</t>
  </si>
  <si>
    <t>=NL(,"27 Item","3 Description","1 No.","@@"&amp;F124)</t>
  </si>
  <si>
    <t>=NL(,"27 Item","3 Description","1 No.","@@"&amp;F125)</t>
  </si>
  <si>
    <t>=NL(,"27 Item","3 Description","1 No.","@@"&amp;F126)</t>
  </si>
  <si>
    <t>=NL(,"27 Item","3 Description","1 No.","@@"&amp;F127)</t>
  </si>
  <si>
    <t>=NL(,"27 Item","3 Description","1 No.","@@"&amp;F133)</t>
  </si>
  <si>
    <t>=NL(,"27 Item","3 Description","1 No.","@@"&amp;F134)</t>
  </si>
  <si>
    <t>=NL(,"27 Item","3 Description","1 No.","@@"&amp;F135)</t>
  </si>
  <si>
    <t>=NL(,"27 Item","3 Description","1 No.","@@"&amp;F136)</t>
  </si>
  <si>
    <t>=-NL("Sum","32 Item Ledger Entry","12 Quantity","5 Source no.",$C115,"3 Posting Date",J$9,"4 Entry Type",$C$4,"2 Item No.","@@"&amp;$F115)</t>
  </si>
  <si>
    <t>=-NL("Sum","32 Item Ledger Entry","12 Quantity","5 Source no.",$C116,"3 Posting Date",J$9,"4 Entry Type",$C$4,"2 Item No.","@@"&amp;$F116)</t>
  </si>
  <si>
    <t>=-NL("Sum","32 Item Ledger Entry","12 Quantity","5 Source no.",$C117,"3 Posting Date",J$9,"4 Entry Type",$C$4,"2 Item No.","@@"&amp;$F117)</t>
  </si>
  <si>
    <t>=-NL("Sum","32 Item Ledger Entry","12 Quantity","5 Source no.",$C118,"3 Posting Date",J$9,"4 Entry Type",$C$4,"2 Item No.","@@"&amp;$F118)</t>
  </si>
  <si>
    <t>=-NL("Sum","32 Item Ledger Entry","12 Quantity","5 Source no.",$C119,"3 Posting Date",J$9,"4 Entry Type",$C$4,"2 Item No.","@@"&amp;$F119)</t>
  </si>
  <si>
    <t>=-NL("Sum","32 Item Ledger Entry","12 Quantity","5 Source no.",$C120,"3 Posting Date",J$9,"4 Entry Type",$C$4,"2 Item No.","@@"&amp;$F120)</t>
  </si>
  <si>
    <t>=-NL("Sum","32 Item Ledger Entry","12 Quantity","5 Source no.",$C121,"3 Posting Date",J$9,"4 Entry Type",$C$4,"2 Item No.","@@"&amp;$F121)</t>
  </si>
  <si>
    <t>=-NL("Sum","32 Item Ledger Entry","12 Quantity","5 Source no.",$C122,"3 Posting Date",J$9,"4 Entry Type",$C$4,"2 Item No.","@@"&amp;$F122)</t>
  </si>
  <si>
    <t>=-NL("Sum","32 Item Ledger Entry","12 Quantity","5 Source no.",$C123,"3 Posting Date",J$9,"4 Entry Type",$C$4,"2 Item No.","@@"&amp;$F123)</t>
  </si>
  <si>
    <t>=-NL("Sum","32 Item Ledger Entry","12 Quantity","5 Source no.",$C124,"3 Posting Date",J$9,"4 Entry Type",$C$4,"2 Item No.","@@"&amp;$F124)</t>
  </si>
  <si>
    <t>=-NL("Sum","32 Item Ledger Entry","12 Quantity","5 Source no.",$C125,"3 Posting Date",J$9,"4 Entry Type",$C$4,"2 Item No.","@@"&amp;$F125)</t>
  </si>
  <si>
    <t>=-NL("Sum","32 Item Ledger Entry","12 Quantity","5 Source no.",$C126,"3 Posting Date",J$9,"4 Entry Type",$C$4,"2 Item No.","@@"&amp;$F126)</t>
  </si>
  <si>
    <t>=-NL("Sum","32 Item Ledger Entry","12 Quantity","5 Source no.",$C127,"3 Posting Date",J$9,"4 Entry Type",$C$4,"2 Item No.","@@"&amp;$F127)</t>
  </si>
  <si>
    <t>=-NL("Sum","32 Item Ledger Entry","12 Quantity","5 Source no.",$C133,"3 Posting Date",J$9,"4 Entry Type",$C$4,"2 Item No.","@@"&amp;$F133)</t>
  </si>
  <si>
    <t>=-NL("Sum","32 Item Ledger Entry","12 Quantity","5 Source no.",$C134,"3 Posting Date",J$9,"4 Entry Type",$C$4,"2 Item No.","@@"&amp;$F134)</t>
  </si>
  <si>
    <t>=-NL("Sum","32 Item Ledger Entry","12 Quantity","5 Source no.",$C135,"3 Posting Date",J$9,"4 Entry Type",$C$4,"2 Item No.","@@"&amp;$F135)</t>
  </si>
  <si>
    <t>=-NL("Sum","32 Item Ledger Entry","12 Quantity","5 Source no.",$C136,"3 Posting Date",J$9,"4 Entry Type",$C$4,"2 Item No.","@@"&amp;$F136)</t>
  </si>
  <si>
    <t>=-NL("Sum","32 Item Ledger Entry","12 Quantity","5 Source no.",$C115,"3 Posting Date",O$9,"4 Entry Type",$C$4,"2 Item No.","@@"&amp;$F115)</t>
  </si>
  <si>
    <t>=-NL("Sum","32 Item Ledger Entry","12 Quantity","5 Source no.",$C116,"3 Posting Date",O$9,"4 Entry Type",$C$4,"2 Item No.","@@"&amp;$F116)</t>
  </si>
  <si>
    <t>=-NL("Sum","32 Item Ledger Entry","12 Quantity","5 Source no.",$C117,"3 Posting Date",O$9,"4 Entry Type",$C$4,"2 Item No.","@@"&amp;$F117)</t>
  </si>
  <si>
    <t>=-NL("Sum","32 Item Ledger Entry","12 Quantity","5 Source no.",$C118,"3 Posting Date",O$9,"4 Entry Type",$C$4,"2 Item No.","@@"&amp;$F118)</t>
  </si>
  <si>
    <t>=-NL("Sum","32 Item Ledger Entry","12 Quantity","5 Source no.",$C119,"3 Posting Date",O$9,"4 Entry Type",$C$4,"2 Item No.","@@"&amp;$F119)</t>
  </si>
  <si>
    <t>=-NL("Sum","32 Item Ledger Entry","12 Quantity","5 Source no.",$C120,"3 Posting Date",O$9,"4 Entry Type",$C$4,"2 Item No.","@@"&amp;$F120)</t>
  </si>
  <si>
    <t>=-NL("Sum","32 Item Ledger Entry","12 Quantity","5 Source no.",$C121,"3 Posting Date",O$9,"4 Entry Type",$C$4,"2 Item No.","@@"&amp;$F121)</t>
  </si>
  <si>
    <t>=-NL("Sum","32 Item Ledger Entry","12 Quantity","5 Source no.",$C122,"3 Posting Date",O$9,"4 Entry Type",$C$4,"2 Item No.","@@"&amp;$F122)</t>
  </si>
  <si>
    <t>=-NL("Sum","32 Item Ledger Entry","12 Quantity","5 Source no.",$C123,"3 Posting Date",O$9,"4 Entry Type",$C$4,"2 Item No.","@@"&amp;$F123)</t>
  </si>
  <si>
    <t>=-NL("Sum","32 Item Ledger Entry","12 Quantity","5 Source no.",$C124,"3 Posting Date",O$9,"4 Entry Type",$C$4,"2 Item No.","@@"&amp;$F124)</t>
  </si>
  <si>
    <t>=-NL("Sum","32 Item Ledger Entry","12 Quantity","5 Source no.",$C125,"3 Posting Date",O$9,"4 Entry Type",$C$4,"2 Item No.","@@"&amp;$F125)</t>
  </si>
  <si>
    <t>=-NL("Sum","32 Item Ledger Entry","12 Quantity","5 Source no.",$C126,"3 Posting Date",O$9,"4 Entry Type",$C$4,"2 Item No.","@@"&amp;$F126)</t>
  </si>
  <si>
    <t>=-NL("Sum","32 Item Ledger Entry","12 Quantity","5 Source no.",$C127,"3 Posting Date",O$9,"4 Entry Type",$C$4,"2 Item No.","@@"&amp;$F127)</t>
  </si>
  <si>
    <t>=-NL("Sum","32 Item Ledger Entry","12 Quantity","5 Source no.",$C133,"3 Posting Date",O$9,"4 Entry Type",$C$4,"2 Item No.","@@"&amp;$F133)</t>
  </si>
  <si>
    <t>=-NL("Sum","32 Item Ledger Entry","12 Quantity","5 Source no.",$C134,"3 Posting Date",O$9,"4 Entry Type",$C$4,"2 Item No.","@@"&amp;$F134)</t>
  </si>
  <si>
    <t>=-NL("Sum","32 Item Ledger Entry","12 Quantity","5 Source no.",$C135,"3 Posting Date",O$9,"4 Entry Type",$C$4,"2 Item No.","@@"&amp;$F135)</t>
  </si>
  <si>
    <t>=-NL("Sum","32 Item Ledger Entry","12 Quantity","5 Source no.",$C136,"3 Posting Date",O$9,"4 Entry Type",$C$4,"2 Item No.","@@"&amp;$F136)</t>
  </si>
  <si>
    <t>=NL(,"27 Item","3 Description","1 No.","@@"&amp;F66)</t>
  </si>
  <si>
    <t>=NL(,"27 Item","3 Description","1 No.","@@"&amp;F67)</t>
  </si>
  <si>
    <t>=NL(,"27 Item","3 Description","1 No.","@@"&amp;F68)</t>
  </si>
  <si>
    <t>=NL(,"27 Item","3 Description","1 No.","@@"&amp;F69)</t>
  </si>
  <si>
    <t>=NL(,"27 Item","3 Description","1 No.","@@"&amp;F70)</t>
  </si>
  <si>
    <t>=NL(,"27 Item","3 Description","1 No.","@@"&amp;F71)</t>
  </si>
  <si>
    <t>=NL(,"27 Item","3 Description","1 No.","@@"&amp;F72)</t>
  </si>
  <si>
    <t>=NL(,"27 Item","3 Description","1 No.","@@"&amp;F73)</t>
  </si>
  <si>
    <t>=NL(,"27 Item","3 Description","1 No.","@@"&amp;F74)</t>
  </si>
  <si>
    <t>=NL(,"27 Item","3 Description","1 No.","@@"&amp;F75)</t>
  </si>
  <si>
    <t>=NL(,"27 Item","3 Description","1 No.","@@"&amp;F76)</t>
  </si>
  <si>
    <t>=NL(,"27 Item","3 Description","1 No.","@@"&amp;F77)</t>
  </si>
  <si>
    <t>=NL(,"27 Item","3 Description","1 No.","@@"&amp;F78)</t>
  </si>
  <si>
    <t>=NL(,"27 Item","3 Description","1 No.","@@"&amp;F79)</t>
  </si>
  <si>
    <t>=NL(,"27 Item","3 Description","1 No.","@@"&amp;F80)</t>
  </si>
  <si>
    <t>=NL(,"27 Item","3 Description","1 No.","@@"&amp;F81)</t>
  </si>
  <si>
    <t>=NL(,"27 Item","3 Description","1 No.","@@"&amp;F87)</t>
  </si>
  <si>
    <t>=NL(,"27 Item","3 Description","1 No.","@@"&amp;F88)</t>
  </si>
  <si>
    <t>=NL(,"27 Item","3 Description","1 No.","@@"&amp;F89)</t>
  </si>
  <si>
    <t>=NL(,"27 Item","3 Description","1 No.","@@"&amp;F90)</t>
  </si>
  <si>
    <t>=NL(,"27 Item","3 Description","1 No.","@@"&amp;F91)</t>
  </si>
  <si>
    <t>=NL(,"27 Item","3 Description","1 No.","@@"&amp;F92)</t>
  </si>
  <si>
    <t>=NL(,"27 Item","3 Description","1 No.","@@"&amp;F93)</t>
  </si>
  <si>
    <t>=NL(,"27 Item","3 Description","1 No.","@@"&amp;F94)</t>
  </si>
  <si>
    <t>=NL(,"27 Item","3 Description","1 No.","@@"&amp;F95)</t>
  </si>
  <si>
    <t>=NL(,"27 Item","3 Description","1 No.","@@"&amp;F96)</t>
  </si>
  <si>
    <t>=NL(,"27 Item","3 Description","1 No.","@@"&amp;F97)</t>
  </si>
  <si>
    <t>=NL(,"27 Item","3 Description","1 No.","@@"&amp;F98)</t>
  </si>
  <si>
    <t>=NL(,"27 Item","3 Description","1 No.","@@"&amp;F99)</t>
  </si>
  <si>
    <t>=NL(,"27 Item","3 Description","1 No.","@@"&amp;F100)</t>
  </si>
  <si>
    <t>=NL(,"27 Item","3 Description","1 No.","@@"&amp;F101)</t>
  </si>
  <si>
    <t>=NL(,"27 Item","3 Description","1 No.","@@"&amp;F102)</t>
  </si>
  <si>
    <t>=NL(,"27 Item","3 Description","1 No.","@@"&amp;F103)</t>
  </si>
  <si>
    <t>=NL(,"27 Item","3 Description","1 No.","@@"&amp;F104)</t>
  </si>
  <si>
    <t>=NL(,"27 Item","3 Description","1 No.","@@"&amp;F105)</t>
  </si>
  <si>
    <t>=-NL("Sum","32 Item Ledger Entry","12 Quantity","5 Source no.",$C66,"3 Posting Date",J$9,"4 Entry Type",$C$4,"2 Item No.","@@"&amp;$F66)</t>
  </si>
  <si>
    <t>=-NL("Sum","32 Item Ledger Entry","12 Quantity","5 Source no.",$C67,"3 Posting Date",J$9,"4 Entry Type",$C$4,"2 Item No.","@@"&amp;$F67)</t>
  </si>
  <si>
    <t>=-NL("Sum","32 Item Ledger Entry","12 Quantity","5 Source no.",$C68,"3 Posting Date",J$9,"4 Entry Type",$C$4,"2 Item No.","@@"&amp;$F68)</t>
  </si>
  <si>
    <t>=-NL("Sum","32 Item Ledger Entry","12 Quantity","5 Source no.",$C69,"3 Posting Date",J$9,"4 Entry Type",$C$4,"2 Item No.","@@"&amp;$F69)</t>
  </si>
  <si>
    <t>=-NL("Sum","32 Item Ledger Entry","12 Quantity","5 Source no.",$C70,"3 Posting Date",J$9,"4 Entry Type",$C$4,"2 Item No.","@@"&amp;$F70)</t>
  </si>
  <si>
    <t>=-NL("Sum","32 Item Ledger Entry","12 Quantity","5 Source no.",$C71,"3 Posting Date",J$9,"4 Entry Type",$C$4,"2 Item No.","@@"&amp;$F71)</t>
  </si>
  <si>
    <t>=-NL("Sum","32 Item Ledger Entry","12 Quantity","5 Source no.",$C72,"3 Posting Date",J$9,"4 Entry Type",$C$4,"2 Item No.","@@"&amp;$F72)</t>
  </si>
  <si>
    <t>=-NL("Sum","32 Item Ledger Entry","12 Quantity","5 Source no.",$C73,"3 Posting Date",J$9,"4 Entry Type",$C$4,"2 Item No.","@@"&amp;$F73)</t>
  </si>
  <si>
    <t>=-NL("Sum","32 Item Ledger Entry","12 Quantity","5 Source no.",$C74,"3 Posting Date",J$9,"4 Entry Type",$C$4,"2 Item No.","@@"&amp;$F74)</t>
  </si>
  <si>
    <t>=-NL("Sum","32 Item Ledger Entry","12 Quantity","5 Source no.",$C75,"3 Posting Date",J$9,"4 Entry Type",$C$4,"2 Item No.","@@"&amp;$F75)</t>
  </si>
  <si>
    <t>=-NL("Sum","32 Item Ledger Entry","12 Quantity","5 Source no.",$C76,"3 Posting Date",J$9,"4 Entry Type",$C$4,"2 Item No.","@@"&amp;$F76)</t>
  </si>
  <si>
    <t>=-NL("Sum","32 Item Ledger Entry","12 Quantity","5 Source no.",$C77,"3 Posting Date",J$9,"4 Entry Type",$C$4,"2 Item No.","@@"&amp;$F77)</t>
  </si>
  <si>
    <t>=-NL("Sum","32 Item Ledger Entry","12 Quantity","5 Source no.",$C78,"3 Posting Date",J$9,"4 Entry Type",$C$4,"2 Item No.","@@"&amp;$F78)</t>
  </si>
  <si>
    <t>=-NL("Sum","32 Item Ledger Entry","12 Quantity","5 Source no.",$C79,"3 Posting Date",J$9,"4 Entry Type",$C$4,"2 Item No.","@@"&amp;$F79)</t>
  </si>
  <si>
    <t>=-NL("Sum","32 Item Ledger Entry","12 Quantity","5 Source no.",$C80,"3 Posting Date",J$9,"4 Entry Type",$C$4,"2 Item No.","@@"&amp;$F80)</t>
  </si>
  <si>
    <t>=-NL("Sum","32 Item Ledger Entry","12 Quantity","5 Source no.",$C81,"3 Posting Date",J$9,"4 Entry Type",$C$4,"2 Item No.","@@"&amp;$F81)</t>
  </si>
  <si>
    <t>=-NL("Sum","32 Item Ledger Entry","12 Quantity","5 Source no.",$C87,"3 Posting Date",J$9,"4 Entry Type",$C$4,"2 Item No.","@@"&amp;$F87)</t>
  </si>
  <si>
    <t>=-NL("Sum","32 Item Ledger Entry","12 Quantity","5 Source no.",$C88,"3 Posting Date",J$9,"4 Entry Type",$C$4,"2 Item No.","@@"&amp;$F88)</t>
  </si>
  <si>
    <t>=-NL("Sum","32 Item Ledger Entry","12 Quantity","5 Source no.",$C89,"3 Posting Date",J$9,"4 Entry Type",$C$4,"2 Item No.","@@"&amp;$F89)</t>
  </si>
  <si>
    <t>=-NL("Sum","32 Item Ledger Entry","12 Quantity","5 Source no.",$C90,"3 Posting Date",J$9,"4 Entry Type",$C$4,"2 Item No.","@@"&amp;$F90)</t>
  </si>
  <si>
    <t>=-NL("Sum","32 Item Ledger Entry","12 Quantity","5 Source no.",$C91,"3 Posting Date",J$9,"4 Entry Type",$C$4,"2 Item No.","@@"&amp;$F91)</t>
  </si>
  <si>
    <t>=-NL("Sum","32 Item Ledger Entry","12 Quantity","5 Source no.",$C92,"3 Posting Date",J$9,"4 Entry Type",$C$4,"2 Item No.","@@"&amp;$F92)</t>
  </si>
  <si>
    <t>=-NL("Sum","32 Item Ledger Entry","12 Quantity","5 Source no.",$C93,"3 Posting Date",J$9,"4 Entry Type",$C$4,"2 Item No.","@@"&amp;$F93)</t>
  </si>
  <si>
    <t>=-NL("Sum","32 Item Ledger Entry","12 Quantity","5 Source no.",$C94,"3 Posting Date",J$9,"4 Entry Type",$C$4,"2 Item No.","@@"&amp;$F94)</t>
  </si>
  <si>
    <t>=-NL("Sum","32 Item Ledger Entry","12 Quantity","5 Source no.",$C95,"3 Posting Date",J$9,"4 Entry Type",$C$4,"2 Item No.","@@"&amp;$F95)</t>
  </si>
  <si>
    <t>=-NL("Sum","32 Item Ledger Entry","12 Quantity","5 Source no.",$C96,"3 Posting Date",J$9,"4 Entry Type",$C$4,"2 Item No.","@@"&amp;$F96)</t>
  </si>
  <si>
    <t>=-NL("Sum","32 Item Ledger Entry","12 Quantity","5 Source no.",$C97,"3 Posting Date",J$9,"4 Entry Type",$C$4,"2 Item No.","@@"&amp;$F97)</t>
  </si>
  <si>
    <t>=-NL("Sum","32 Item Ledger Entry","12 Quantity","5 Source no.",$C98,"3 Posting Date",J$9,"4 Entry Type",$C$4,"2 Item No.","@@"&amp;$F98)</t>
  </si>
  <si>
    <t>=-NL("Sum","32 Item Ledger Entry","12 Quantity","5 Source no.",$C99,"3 Posting Date",J$9,"4 Entry Type",$C$4,"2 Item No.","@@"&amp;$F99)</t>
  </si>
  <si>
    <t>=-NL("Sum","32 Item Ledger Entry","12 Quantity","5 Source no.",$C100,"3 Posting Date",J$9,"4 Entry Type",$C$4,"2 Item No.","@@"&amp;$F100)</t>
  </si>
  <si>
    <t>=-NL("Sum","32 Item Ledger Entry","12 Quantity","5 Source no.",$C101,"3 Posting Date",J$9,"4 Entry Type",$C$4,"2 Item No.","@@"&amp;$F101)</t>
  </si>
  <si>
    <t>=-NL("Sum","32 Item Ledger Entry","12 Quantity","5 Source no.",$C102,"3 Posting Date",J$9,"4 Entry Type",$C$4,"2 Item No.","@@"&amp;$F102)</t>
  </si>
  <si>
    <t>=-NL("Sum","32 Item Ledger Entry","12 Quantity","5 Source no.",$C103,"3 Posting Date",J$9,"4 Entry Type",$C$4,"2 Item No.","@@"&amp;$F103)</t>
  </si>
  <si>
    <t>=-NL("Sum","32 Item Ledger Entry","12 Quantity","5 Source no.",$C104,"3 Posting Date",J$9,"4 Entry Type",$C$4,"2 Item No.","@@"&amp;$F104)</t>
  </si>
  <si>
    <t>=-NL("Sum","32 Item Ledger Entry","12 Quantity","5 Source no.",$C105,"3 Posting Date",J$9,"4 Entry Type",$C$4,"2 Item No.","@@"&amp;$F105)</t>
  </si>
  <si>
    <t>=-NL("Sum","32 Item Ledger Entry","12 Quantity","5 Source no.",$C66,"3 Posting Date",O$9,"4 Entry Type",$C$4,"2 Item No.","@@"&amp;$F66)</t>
  </si>
  <si>
    <t>=-NL("Sum","32 Item Ledger Entry","12 Quantity","5 Source no.",$C67,"3 Posting Date",O$9,"4 Entry Type",$C$4,"2 Item No.","@@"&amp;$F67)</t>
  </si>
  <si>
    <t>=-NL("Sum","32 Item Ledger Entry","12 Quantity","5 Source no.",$C68,"3 Posting Date",O$9,"4 Entry Type",$C$4,"2 Item No.","@@"&amp;$F68)</t>
  </si>
  <si>
    <t>=-NL("Sum","32 Item Ledger Entry","12 Quantity","5 Source no.",$C69,"3 Posting Date",O$9,"4 Entry Type",$C$4,"2 Item No.","@@"&amp;$F69)</t>
  </si>
  <si>
    <t>=-NL("Sum","32 Item Ledger Entry","12 Quantity","5 Source no.",$C70,"3 Posting Date",O$9,"4 Entry Type",$C$4,"2 Item No.","@@"&amp;$F70)</t>
  </si>
  <si>
    <t>=-NL("Sum","32 Item Ledger Entry","12 Quantity","5 Source no.",$C71,"3 Posting Date",O$9,"4 Entry Type",$C$4,"2 Item No.","@@"&amp;$F71)</t>
  </si>
  <si>
    <t>=-NL("Sum","32 Item Ledger Entry","12 Quantity","5 Source no.",$C72,"3 Posting Date",O$9,"4 Entry Type",$C$4,"2 Item No.","@@"&amp;$F72)</t>
  </si>
  <si>
    <t>=-NL("Sum","32 Item Ledger Entry","12 Quantity","5 Source no.",$C73,"3 Posting Date",O$9,"4 Entry Type",$C$4,"2 Item No.","@@"&amp;$F73)</t>
  </si>
  <si>
    <t>=-NL("Sum","32 Item Ledger Entry","12 Quantity","5 Source no.",$C74,"3 Posting Date",O$9,"4 Entry Type",$C$4,"2 Item No.","@@"&amp;$F74)</t>
  </si>
  <si>
    <t>=-NL("Sum","32 Item Ledger Entry","12 Quantity","5 Source no.",$C75,"3 Posting Date",O$9,"4 Entry Type",$C$4,"2 Item No.","@@"&amp;$F75)</t>
  </si>
  <si>
    <t>=-NL("Sum","32 Item Ledger Entry","12 Quantity","5 Source no.",$C76,"3 Posting Date",O$9,"4 Entry Type",$C$4,"2 Item No.","@@"&amp;$F76)</t>
  </si>
  <si>
    <t>=-NL("Sum","32 Item Ledger Entry","12 Quantity","5 Source no.",$C77,"3 Posting Date",O$9,"4 Entry Type",$C$4,"2 Item No.","@@"&amp;$F77)</t>
  </si>
  <si>
    <t>=-NL("Sum","32 Item Ledger Entry","12 Quantity","5 Source no.",$C78,"3 Posting Date",O$9,"4 Entry Type",$C$4,"2 Item No.","@@"&amp;$F78)</t>
  </si>
  <si>
    <t>=-NL("Sum","32 Item Ledger Entry","12 Quantity","5 Source no.",$C79,"3 Posting Date",O$9,"4 Entry Type",$C$4,"2 Item No.","@@"&amp;$F79)</t>
  </si>
  <si>
    <t>=-NL("Sum","32 Item Ledger Entry","12 Quantity","5 Source no.",$C80,"3 Posting Date",O$9,"4 Entry Type",$C$4,"2 Item No.","@@"&amp;$F80)</t>
  </si>
  <si>
    <t>=-NL("Sum","32 Item Ledger Entry","12 Quantity","5 Source no.",$C81,"3 Posting Date",O$9,"4 Entry Type",$C$4,"2 Item No.","@@"&amp;$F81)</t>
  </si>
  <si>
    <t>=-NL("Sum","32 Item Ledger Entry","12 Quantity","5 Source no.",$C87,"3 Posting Date",O$9,"4 Entry Type",$C$4,"2 Item No.","@@"&amp;$F87)</t>
  </si>
  <si>
    <t>=-NL("Sum","32 Item Ledger Entry","12 Quantity","5 Source no.",$C88,"3 Posting Date",O$9,"4 Entry Type",$C$4,"2 Item No.","@@"&amp;$F88)</t>
  </si>
  <si>
    <t>=-NL("Sum","32 Item Ledger Entry","12 Quantity","5 Source no.",$C89,"3 Posting Date",O$9,"4 Entry Type",$C$4,"2 Item No.","@@"&amp;$F89)</t>
  </si>
  <si>
    <t>=-NL("Sum","32 Item Ledger Entry","12 Quantity","5 Source no.",$C90,"3 Posting Date",O$9,"4 Entry Type",$C$4,"2 Item No.","@@"&amp;$F90)</t>
  </si>
  <si>
    <t>=-NL("Sum","32 Item Ledger Entry","12 Quantity","5 Source no.",$C91,"3 Posting Date",O$9,"4 Entry Type",$C$4,"2 Item No.","@@"&amp;$F91)</t>
  </si>
  <si>
    <t>=-NL("Sum","32 Item Ledger Entry","12 Quantity","5 Source no.",$C92,"3 Posting Date",O$9,"4 Entry Type",$C$4,"2 Item No.","@@"&amp;$F92)</t>
  </si>
  <si>
    <t>=-NL("Sum","32 Item Ledger Entry","12 Quantity","5 Source no.",$C93,"3 Posting Date",O$9,"4 Entry Type",$C$4,"2 Item No.","@@"&amp;$F93)</t>
  </si>
  <si>
    <t>=-NL("Sum","32 Item Ledger Entry","12 Quantity","5 Source no.",$C94,"3 Posting Date",O$9,"4 Entry Type",$C$4,"2 Item No.","@@"&amp;$F94)</t>
  </si>
  <si>
    <t>=-NL("Sum","32 Item Ledger Entry","12 Quantity","5 Source no.",$C95,"3 Posting Date",O$9,"4 Entry Type",$C$4,"2 Item No.","@@"&amp;$F95)</t>
  </si>
  <si>
    <t>=-NL("Sum","32 Item Ledger Entry","12 Quantity","5 Source no.",$C96,"3 Posting Date",O$9,"4 Entry Type",$C$4,"2 Item No.","@@"&amp;$F96)</t>
  </si>
  <si>
    <t>=-NL("Sum","32 Item Ledger Entry","12 Quantity","5 Source no.",$C97,"3 Posting Date",O$9,"4 Entry Type",$C$4,"2 Item No.","@@"&amp;$F97)</t>
  </si>
  <si>
    <t>=-NL("Sum","32 Item Ledger Entry","12 Quantity","5 Source no.",$C98,"3 Posting Date",O$9,"4 Entry Type",$C$4,"2 Item No.","@@"&amp;$F98)</t>
  </si>
  <si>
    <t>=-NL("Sum","32 Item Ledger Entry","12 Quantity","5 Source no.",$C99,"3 Posting Date",O$9,"4 Entry Type",$C$4,"2 Item No.","@@"&amp;$F99)</t>
  </si>
  <si>
    <t>=-NL("Sum","32 Item Ledger Entry","12 Quantity","5 Source no.",$C100,"3 Posting Date",O$9,"4 Entry Type",$C$4,"2 Item No.","@@"&amp;$F100)</t>
  </si>
  <si>
    <t>=-NL("Sum","32 Item Ledger Entry","12 Quantity","5 Source no.",$C101,"3 Posting Date",O$9,"4 Entry Type",$C$4,"2 Item No.","@@"&amp;$F101)</t>
  </si>
  <si>
    <t>=-NL("Sum","32 Item Ledger Entry","12 Quantity","5 Source no.",$C102,"3 Posting Date",O$9,"4 Entry Type",$C$4,"2 Item No.","@@"&amp;$F102)</t>
  </si>
  <si>
    <t>=-NL("Sum","32 Item Ledger Entry","12 Quantity","5 Source no.",$C103,"3 Posting Date",O$9,"4 Entry Type",$C$4,"2 Item No.","@@"&amp;$F103)</t>
  </si>
  <si>
    <t>=-NL("Sum","32 Item Ledger Entry","12 Quantity","5 Source no.",$C104,"3 Posting Date",O$9,"4 Entry Type",$C$4,"2 Item No.","@@"&amp;$F104)</t>
  </si>
  <si>
    <t>=-NL("Sum","32 Item Ledger Entry","12 Quantity","5 Source no.",$C105,"3 Posting Date",O$9,"4 Entry Type",$C$4,"2 Item No.","@@"&amp;$F105)</t>
  </si>
  <si>
    <t>=NP("DateFilter",DATE(YEAR(StartDate)-1,MONTH(StartDate),DAY(StartDate)),DATE(YEAR(EndDate)-1,MONTH(EndDate),DAY(EndDate)))</t>
  </si>
  <si>
    <t>Auto+Hide+Hidesheet+Formulas=Sheet1,Sheet2+FormulasOnly</t>
  </si>
  <si>
    <t>=NP("DateFilter",J7,J8)</t>
  </si>
  <si>
    <t>=NP("DateFilter",O$7,O$8)</t>
  </si>
  <si>
    <t>Auto+Hide+Values+Formulas=Sheet3,Sheet4+FormulasOnly</t>
  </si>
  <si>
    <t>Auto+Hide+Hidesheet+Formulas=Sheet5,Sheet1,Sheet2</t>
  </si>
  <si>
    <t>Auto+Hide+Hidesheet+Formulas=Sheet5,Sheet1,Sheet2+FormulasOnly</t>
  </si>
  <si>
    <t>Auto+Hide+Values+Formulas=Sheet6,Sheet3,Sheet4</t>
  </si>
  <si>
    <t>Auto+Hide+Values+Formulas=Sheet6,Sheet3,Sheet4+FormulasOnly</t>
  </si>
  <si>
    <t>="Month"</t>
  </si>
  <si>
    <t>=C40&amp;" TOTAL:"</t>
  </si>
  <si>
    <t>=SUBTOTAL(9,J21:J39)</t>
  </si>
  <si>
    <t>=SUBTOTAL(9,K21:K39)</t>
  </si>
  <si>
    <t>=SUBTOTAL(9,L21:L39)</t>
  </si>
  <si>
    <t>=SUBTOTAL(9,O21:O39)</t>
  </si>
  <si>
    <t>=SUBTOTAL(9,P21:P39)</t>
  </si>
  <si>
    <t>=SUBTOTAL(9,Q21:Q39)</t>
  </si>
  <si>
    <t>=E42</t>
  </si>
  <si>
    <t>=NL(,"18 Customer","2 Name","1 No.",$E42)</t>
  </si>
  <si>
    <t>=NL("Rows","5802 Value Entry","2 Item No.","4 Item Ledger Entry Type",$C$4,"41 Source Type",$C$5,"5 Source No.",$C44,"Item No.",$C$7,"3 Posting Date",$C$10)</t>
  </si>
  <si>
    <t>=C46&amp;" TOTAL:"</t>
  </si>
  <si>
    <t>=SUBTOTAL(9,J43:J45)</t>
  </si>
  <si>
    <t>=SUBTOTAL(9,K43:K45)</t>
  </si>
  <si>
    <t>=SUBTOTAL(9,L43:L45)</t>
  </si>
  <si>
    <t>=SUBTOTAL(9,O43:O45)</t>
  </si>
  <si>
    <t>=SUBTOTAL(9,P43:P45)</t>
  </si>
  <si>
    <t>=SUBTOTAL(9,Q43:Q45)</t>
  </si>
  <si>
    <t>=E48</t>
  </si>
  <si>
    <t>=NL(,"18 Customer","2 Name","1 No.",$E48)</t>
  </si>
  <si>
    <t>=NL("Rows","5802 Value Entry","2 Item No.","4 Item Ledger Entry Type",$C$4,"41 Source Type",$C$5,"5 Source No.",$C50,"Item No.",$C$7,"3 Posting Date",$C$10)</t>
  </si>
  <si>
    <t>=SUBTOTAL(9,J49:J61)</t>
  </si>
  <si>
    <t>=SUBTOTAL(9,K49:K61)</t>
  </si>
  <si>
    <t>=SUBTOTAL(9,L49:L61)</t>
  </si>
  <si>
    <t>=SUBTOTAL(9,O49:O61)</t>
  </si>
  <si>
    <t>=SUBTOTAL(9,P49:P61)</t>
  </si>
  <si>
    <t>=SUBTOTAL(9,Q49:Q61)</t>
  </si>
  <si>
    <t>=C83&amp;" TOTAL:"</t>
  </si>
  <si>
    <t>=SUBTOTAL(9,J65:J82)</t>
  </si>
  <si>
    <t>=SUBTOTAL(9,K65:K82)</t>
  </si>
  <si>
    <t>=SUBTOTAL(9,L65:L82)</t>
  </si>
  <si>
    <t>=SUBTOTAL(9,O65:O82)</t>
  </si>
  <si>
    <t>=SUBTOTAL(9,P65:P82)</t>
  </si>
  <si>
    <t>=SUBTOTAL(9,Q65:Q82)</t>
  </si>
  <si>
    <t>=E85</t>
  </si>
  <si>
    <t>=NL(,"18 Customer","2 Name","1 No.",$E85)</t>
  </si>
  <si>
    <t>=NL("Rows","5802 Value Entry","2 Item No.","4 Item Ledger Entry Type",$C$4,"41 Source Type",$C$5,"5 Source No.",$C87,"Item No.",$C$7,"3 Posting Date",$C$10)</t>
  </si>
  <si>
    <t>=C105</t>
  </si>
  <si>
    <t>=NL("Sum","5802 Value Entry","150 Sales Amount (Expected)","41 Source Type",$C$5,"5 Source No.",$C106,"4 Item Ledger Entry Type",$C$4,"2 Item No.","@@"&amp;$F106,"3 Posting Date",J$9)+NL("Sum","5802 Value Entry","17 Sales Amount (Actual)","41 Source Type",$C$5,"5 Source no.",$C106,"4 Item Ledger Entry Type",$C$4,"2 Item No.","@@"&amp;$F106,"3 Posting Date",J$9)</t>
  </si>
  <si>
    <t>=-NL("Sum","5802 Value Entry","151 Cost Amount (Expected)","41 Source Type",$C$5,"5 Source No.",$C106,"4 Item Ledger Entry Type",$C$4,"2 Item No.","@@"&amp;$F106,"3 Posting Date",J$9)-NL("Sum","5802 Value Entry","43 Cost Amount (Actual)","41 Source Type",$C$5,"5 Source no.",$C106,"4 Item Ledger Entry Type",$C$4,"2 Item No.","@@"&amp;$F106,"3 Posting Date",J$9)</t>
  </si>
  <si>
    <t>=J106-L106</t>
  </si>
  <si>
    <t>=IF(J106&lt;&gt;0,M106/J106,"")</t>
  </si>
  <si>
    <t>=NL("Sum","5802 Value Entry","150 Sales Amount (Expected)","41 Source Type",$C$5,"5 Source No.",$C106,"4 Item Ledger Entry Type",$C$4,"2 Item No.","@@"&amp;$F106,"3 Posting Date",O$9)+NL("Sum","5802 Value Entry","17 Sales Amount (Actual)","41 Source Type",$C$5,"5 Source no.",$C106,"4 Item Ledger Entry Type",$C$4,"2 Item No.","@@"&amp;$F106,"3 Posting Date",O$9)</t>
  </si>
  <si>
    <t>=-NL("Sum","5802 Value Entry","151 Cost Amount (Expected)","41 Source Type",$C$5,"5 Source No.",$C106,"4 Item Ledger Entry Type",$C$4,"2 Item No.","@@"&amp;$F106,"3 Posting Date",O$9)-NL("Sum","5802 Value Entry","43 Cost Amount (Actual)","41 Source Type",$C$5,"5 Source no.",$C106,"4 Item Ledger Entry Type",$C$4,"2 Item No.","@@"&amp;$F106,"3 Posting Date",O$9)</t>
  </si>
  <si>
    <t>=O106-Q106</t>
  </si>
  <si>
    <t>=IF(O106&lt;&gt;0,R106/O106,"")</t>
  </si>
  <si>
    <t>=NL("Sum","5802 Value Entry","150 Sales Amount (Expected)","41 Source Type",$C$5,"5 Source No.",$C107,"4 Item Ledger Entry Type",$C$4,"2 Item No.","@@"&amp;$F107,"3 Posting Date",J$9)+NL("Sum","5802 Value Entry","17 Sales Amount (Actual)","41 Source Type",$C$5,"5 Source no.",$C107,"4 Item Ledger Entry Type",$C$4,"2 Item No.","@@"&amp;$F107,"3 Posting Date",J$9)</t>
  </si>
  <si>
    <t>=-NL("Sum","5802 Value Entry","151 Cost Amount (Expected)","41 Source Type",$C$5,"5 Source No.",$C107,"4 Item Ledger Entry Type",$C$4,"2 Item No.","@@"&amp;$F107,"3 Posting Date",J$9)-NL("Sum","5802 Value Entry","43 Cost Amount (Actual)","41 Source Type",$C$5,"5 Source no.",$C107,"4 Item Ledger Entry Type",$C$4,"2 Item No.","@@"&amp;$F107,"3 Posting Date",J$9)</t>
  </si>
  <si>
    <t>=NL("Sum","5802 Value Entry","150 Sales Amount (Expected)","41 Source Type",$C$5,"5 Source No.",$C107,"4 Item Ledger Entry Type",$C$4,"2 Item No.","@@"&amp;$F107,"3 Posting Date",O$9)+NL("Sum","5802 Value Entry","17 Sales Amount (Actual)","41 Source Type",$C$5,"5 Source no.",$C107,"4 Item Ledger Entry Type",$C$4,"2 Item No.","@@"&amp;$F107,"3 Posting Date",O$9)</t>
  </si>
  <si>
    <t>=-NL("Sum","5802 Value Entry","151 Cost Amount (Expected)","41 Source Type",$C$5,"5 Source No.",$C107,"4 Item Ledger Entry Type",$C$4,"2 Item No.","@@"&amp;$F107,"3 Posting Date",O$9)-NL("Sum","5802 Value Entry","43 Cost Amount (Actual)","41 Source Type",$C$5,"5 Source no.",$C107,"4 Item Ledger Entry Type",$C$4,"2 Item No.","@@"&amp;$F107,"3 Posting Date",O$9)</t>
  </si>
  <si>
    <t>=C107</t>
  </si>
  <si>
    <t>=NL("Sum","5802 Value Entry","150 Sales Amount (Expected)","41 Source Type",$C$5,"5 Source No.",$C108,"4 Item Ledger Entry Type",$C$4,"2 Item No.","@@"&amp;$F108,"3 Posting Date",J$9)+NL("Sum","5802 Value Entry","17 Sales Amount (Actual)","41 Source Type",$C$5,"5 Source no.",$C108,"4 Item Ledger Entry Type",$C$4,"2 Item No.","@@"&amp;$F108,"3 Posting Date",J$9)</t>
  </si>
  <si>
    <t>=-NL("Sum","5802 Value Entry","151 Cost Amount (Expected)","41 Source Type",$C$5,"5 Source No.",$C108,"4 Item Ledger Entry Type",$C$4,"2 Item No.","@@"&amp;$F108,"3 Posting Date",J$9)-NL("Sum","5802 Value Entry","43 Cost Amount (Actual)","41 Source Type",$C$5,"5 Source no.",$C108,"4 Item Ledger Entry Type",$C$4,"2 Item No.","@@"&amp;$F108,"3 Posting Date",J$9)</t>
  </si>
  <si>
    <t>=J108-L108</t>
  </si>
  <si>
    <t>=IF(J108&lt;&gt;0,M108/J108,"")</t>
  </si>
  <si>
    <t>=NL("Sum","5802 Value Entry","150 Sales Amount (Expected)","41 Source Type",$C$5,"5 Source No.",$C108,"4 Item Ledger Entry Type",$C$4,"2 Item No.","@@"&amp;$F108,"3 Posting Date",O$9)+NL("Sum","5802 Value Entry","17 Sales Amount (Actual)","41 Source Type",$C$5,"5 Source no.",$C108,"4 Item Ledger Entry Type",$C$4,"2 Item No.","@@"&amp;$F108,"3 Posting Date",O$9)</t>
  </si>
  <si>
    <t>=-NL("Sum","5802 Value Entry","151 Cost Amount (Expected)","41 Source Type",$C$5,"5 Source No.",$C108,"4 Item Ledger Entry Type",$C$4,"2 Item No.","@@"&amp;$F108,"3 Posting Date",O$9)-NL("Sum","5802 Value Entry","43 Cost Amount (Actual)","41 Source Type",$C$5,"5 Source no.",$C108,"4 Item Ledger Entry Type",$C$4,"2 Item No.","@@"&amp;$F108,"3 Posting Date",O$9)</t>
  </si>
  <si>
    <t>=O108-Q108</t>
  </si>
  <si>
    <t>=IF(O108&lt;&gt;0,R108/O108,"")</t>
  </si>
  <si>
    <t>=C108</t>
  </si>
  <si>
    <t>=NL("Sum","5802 Value Entry","150 Sales Amount (Expected)","41 Source Type",$C$5,"5 Source No.",$C109,"4 Item Ledger Entry Type",$C$4,"2 Item No.","@@"&amp;$F109,"3 Posting Date",J$9)+NL("Sum","5802 Value Entry","17 Sales Amount (Actual)","41 Source Type",$C$5,"5 Source no.",$C109,"4 Item Ledger Entry Type",$C$4,"2 Item No.","@@"&amp;$F109,"3 Posting Date",J$9)</t>
  </si>
  <si>
    <t>=-NL("Sum","5802 Value Entry","151 Cost Amount (Expected)","41 Source Type",$C$5,"5 Source No.",$C109,"4 Item Ledger Entry Type",$C$4,"2 Item No.","@@"&amp;$F109,"3 Posting Date",J$9)-NL("Sum","5802 Value Entry","43 Cost Amount (Actual)","41 Source Type",$C$5,"5 Source no.",$C109,"4 Item Ledger Entry Type",$C$4,"2 Item No.","@@"&amp;$F109,"3 Posting Date",J$9)</t>
  </si>
  <si>
    <t>=J109-L109</t>
  </si>
  <si>
    <t>=IF(J109&lt;&gt;0,M109/J109,"")</t>
  </si>
  <si>
    <t>=NL("Sum","5802 Value Entry","150 Sales Amount (Expected)","41 Source Type",$C$5,"5 Source No.",$C109,"4 Item Ledger Entry Type",$C$4,"2 Item No.","@@"&amp;$F109,"3 Posting Date",O$9)+NL("Sum","5802 Value Entry","17 Sales Amount (Actual)","41 Source Type",$C$5,"5 Source no.",$C109,"4 Item Ledger Entry Type",$C$4,"2 Item No.","@@"&amp;$F109,"3 Posting Date",O$9)</t>
  </si>
  <si>
    <t>=-NL("Sum","5802 Value Entry","151 Cost Amount (Expected)","41 Source Type",$C$5,"5 Source No.",$C109,"4 Item Ledger Entry Type",$C$4,"2 Item No.","@@"&amp;$F109,"3 Posting Date",O$9)-NL("Sum","5802 Value Entry","43 Cost Amount (Actual)","41 Source Type",$C$5,"5 Source no.",$C109,"4 Item Ledger Entry Type",$C$4,"2 Item No.","@@"&amp;$F109,"3 Posting Date",O$9)</t>
  </si>
  <si>
    <t>=O109-Q109</t>
  </si>
  <si>
    <t>=IF(O109&lt;&gt;0,R109/O109,"")</t>
  </si>
  <si>
    <t>=C111&amp;" TOTAL:"</t>
  </si>
  <si>
    <t>=SUBTOTAL(9,J86:J110)</t>
  </si>
  <si>
    <t>=SUBTOTAL(9,K86:K110)</t>
  </si>
  <si>
    <t>=SUBTOTAL(9,L86:L110)</t>
  </si>
  <si>
    <t>=SUBTOTAL(9,O86:O110)</t>
  </si>
  <si>
    <t>=SUBTOTAL(9,P86:P110)</t>
  </si>
  <si>
    <t>=SUBTOTAL(9,Q86:Q110)</t>
  </si>
  <si>
    <t>=E113</t>
  </si>
  <si>
    <t>=NL(,"18 Customer","2 Name","1 No.",$E113)</t>
  </si>
  <si>
    <t>=NL("Rows","5802 Value Entry","2 Item No.","4 Item Ledger Entry Type",$C$4,"41 Source Type",$C$5,"5 Source No.",$C115,"Item No.",$C$7,"3 Posting Date",$C$10)</t>
  </si>
  <si>
    <t>=C129&amp;" TOTAL:"</t>
  </si>
  <si>
    <t>=SUBTOTAL(9,J114:J128)</t>
  </si>
  <si>
    <t>=SUBTOTAL(9,K114:K128)</t>
  </si>
  <si>
    <t>=SUBTOTAL(9,L114:L128)</t>
  </si>
  <si>
    <t>=SUBTOTAL(9,O114:O128)</t>
  </si>
  <si>
    <t>=SUBTOTAL(9,P114:P128)</t>
  </si>
  <si>
    <t>=SUBTOTAL(9,Q114:Q128)</t>
  </si>
  <si>
    <t>=E131</t>
  </si>
  <si>
    <t>=NL(,"18 Customer","2 Name","1 No.",$E131)</t>
  </si>
  <si>
    <t>=NL("Rows","5802 Value Entry","2 Item No.","4 Item Ledger Entry Type",$C$4,"41 Source Type",$C$5,"5 Source No.",$C133,"Item No.",$C$7,"3 Posting Date",$C$10)</t>
  </si>
  <si>
    <t>=C136</t>
  </si>
  <si>
    <t>=NL("Sum","5802 Value Entry","150 Sales Amount (Expected)","41 Source Type",$C$5,"5 Source No.",$C137,"4 Item Ledger Entry Type",$C$4,"2 Item No.","@@"&amp;$F137,"3 Posting Date",J$9)+NL("Sum","5802 Value Entry","17 Sales Amount (Actual)","41 Source Type",$C$5,"5 Source no.",$C137,"4 Item Ledger Entry Type",$C$4,"2 Item No.","@@"&amp;$F137,"3 Posting Date",J$9)</t>
  </si>
  <si>
    <t>=-NL("Sum","5802 Value Entry","151 Cost Amount (Expected)","41 Source Type",$C$5,"5 Source No.",$C137,"4 Item Ledger Entry Type",$C$4,"2 Item No.","@@"&amp;$F137,"3 Posting Date",J$9)-NL("Sum","5802 Value Entry","43 Cost Amount (Actual)","41 Source Type",$C$5,"5 Source no.",$C137,"4 Item Ledger Entry Type",$C$4,"2 Item No.","@@"&amp;$F137,"3 Posting Date",J$9)</t>
  </si>
  <si>
    <t>=J137-L137</t>
  </si>
  <si>
    <t>=IF(J137&lt;&gt;0,M137/J137,"")</t>
  </si>
  <si>
    <t>=NL("Sum","5802 Value Entry","150 Sales Amount (Expected)","41 Source Type",$C$5,"5 Source No.",$C137,"4 Item Ledger Entry Type",$C$4,"2 Item No.","@@"&amp;$F137,"3 Posting Date",O$9)+NL("Sum","5802 Value Entry","17 Sales Amount (Actual)","41 Source Type",$C$5,"5 Source no.",$C137,"4 Item Ledger Entry Type",$C$4,"2 Item No.","@@"&amp;$F137,"3 Posting Date",O$9)</t>
  </si>
  <si>
    <t>=-NL("Sum","5802 Value Entry","151 Cost Amount (Expected)","41 Source Type",$C$5,"5 Source No.",$C137,"4 Item Ledger Entry Type",$C$4,"2 Item No.","@@"&amp;$F137,"3 Posting Date",O$9)-NL("Sum","5802 Value Entry","43 Cost Amount (Actual)","41 Source Type",$C$5,"5 Source no.",$C137,"4 Item Ledger Entry Type",$C$4,"2 Item No.","@@"&amp;$F137,"3 Posting Date",O$9)</t>
  </si>
  <si>
    <t>=O137-Q137</t>
  </si>
  <si>
    <t>=IF(O137&lt;&gt;0,R137/O137,"")</t>
  </si>
  <si>
    <t>=NL("Sum","5802 Value Entry","150 Sales Amount (Expected)","41 Source Type",$C$5,"5 Source No.",$C138,"4 Item Ledger Entry Type",$C$4,"2 Item No.","@@"&amp;$F138,"3 Posting Date",J$9)+NL("Sum","5802 Value Entry","17 Sales Amount (Actual)","41 Source Type",$C$5,"5 Source no.",$C138,"4 Item Ledger Entry Type",$C$4,"2 Item No.","@@"&amp;$F138,"3 Posting Date",J$9)</t>
  </si>
  <si>
    <t>=-NL("Sum","5802 Value Entry","151 Cost Amount (Expected)","41 Source Type",$C$5,"5 Source No.",$C138,"4 Item Ledger Entry Type",$C$4,"2 Item No.","@@"&amp;$F138,"3 Posting Date",J$9)-NL("Sum","5802 Value Entry","43 Cost Amount (Actual)","41 Source Type",$C$5,"5 Source no.",$C138,"4 Item Ledger Entry Type",$C$4,"2 Item No.","@@"&amp;$F138,"3 Posting Date",J$9)</t>
  </si>
  <si>
    <t>=NL("Sum","5802 Value Entry","150 Sales Amount (Expected)","41 Source Type",$C$5,"5 Source No.",$C138,"4 Item Ledger Entry Type",$C$4,"2 Item No.","@@"&amp;$F138,"3 Posting Date",O$9)+NL("Sum","5802 Value Entry","17 Sales Amount (Actual)","41 Source Type",$C$5,"5 Source no.",$C138,"4 Item Ledger Entry Type",$C$4,"2 Item No.","@@"&amp;$F138,"3 Posting Date",O$9)</t>
  </si>
  <si>
    <t>=-NL("Sum","5802 Value Entry","151 Cost Amount (Expected)","41 Source Type",$C$5,"5 Source No.",$C138,"4 Item Ledger Entry Type",$C$4,"2 Item No.","@@"&amp;$F138,"3 Posting Date",O$9)-NL("Sum","5802 Value Entry","43 Cost Amount (Actual)","41 Source Type",$C$5,"5 Source no.",$C138,"4 Item Ledger Entry Type",$C$4,"2 Item No.","@@"&amp;$F138,"3 Posting Date",O$9)</t>
  </si>
  <si>
    <t>=C138</t>
  </si>
  <si>
    <t>=NL("Sum","5802 Value Entry","150 Sales Amount (Expected)","41 Source Type",$C$5,"5 Source No.",$C139,"4 Item Ledger Entry Type",$C$4,"2 Item No.","@@"&amp;$F139,"3 Posting Date",J$9)+NL("Sum","5802 Value Entry","17 Sales Amount (Actual)","41 Source Type",$C$5,"5 Source no.",$C139,"4 Item Ledger Entry Type",$C$4,"2 Item No.","@@"&amp;$F139,"3 Posting Date",J$9)</t>
  </si>
  <si>
    <t>=-NL("Sum","5802 Value Entry","151 Cost Amount (Expected)","41 Source Type",$C$5,"5 Source No.",$C139,"4 Item Ledger Entry Type",$C$4,"2 Item No.","@@"&amp;$F139,"3 Posting Date",J$9)-NL("Sum","5802 Value Entry","43 Cost Amount (Actual)","41 Source Type",$C$5,"5 Source no.",$C139,"4 Item Ledger Entry Type",$C$4,"2 Item No.","@@"&amp;$F139,"3 Posting Date",J$9)</t>
  </si>
  <si>
    <t>=J139-L139</t>
  </si>
  <si>
    <t>=IF(J139&lt;&gt;0,M139/J139,"")</t>
  </si>
  <si>
    <t>=NL("Sum","5802 Value Entry","150 Sales Amount (Expected)","41 Source Type",$C$5,"5 Source No.",$C139,"4 Item Ledger Entry Type",$C$4,"2 Item No.","@@"&amp;$F139,"3 Posting Date",O$9)+NL("Sum","5802 Value Entry","17 Sales Amount (Actual)","41 Source Type",$C$5,"5 Source no.",$C139,"4 Item Ledger Entry Type",$C$4,"2 Item No.","@@"&amp;$F139,"3 Posting Date",O$9)</t>
  </si>
  <si>
    <t>=-NL("Sum","5802 Value Entry","151 Cost Amount (Expected)","41 Source Type",$C$5,"5 Source No.",$C139,"4 Item Ledger Entry Type",$C$4,"2 Item No.","@@"&amp;$F139,"3 Posting Date",O$9)-NL("Sum","5802 Value Entry","43 Cost Amount (Actual)","41 Source Type",$C$5,"5 Source no.",$C139,"4 Item Ledger Entry Type",$C$4,"2 Item No.","@@"&amp;$F139,"3 Posting Date",O$9)</t>
  </si>
  <si>
    <t>=O139-Q139</t>
  </si>
  <si>
    <t>=IF(O139&lt;&gt;0,R139/O139,"")</t>
  </si>
  <si>
    <t>=C139</t>
  </si>
  <si>
    <t>=NL("Sum","5802 Value Entry","150 Sales Amount (Expected)","41 Source Type",$C$5,"5 Source No.",$C140,"4 Item Ledger Entry Type",$C$4,"2 Item No.","@@"&amp;$F140,"3 Posting Date",J$9)+NL("Sum","5802 Value Entry","17 Sales Amount (Actual)","41 Source Type",$C$5,"5 Source no.",$C140,"4 Item Ledger Entry Type",$C$4,"2 Item No.","@@"&amp;$F140,"3 Posting Date",J$9)</t>
  </si>
  <si>
    <t>=-NL("Sum","5802 Value Entry","151 Cost Amount (Expected)","41 Source Type",$C$5,"5 Source No.",$C140,"4 Item Ledger Entry Type",$C$4,"2 Item No.","@@"&amp;$F140,"3 Posting Date",J$9)-NL("Sum","5802 Value Entry","43 Cost Amount (Actual)","41 Source Type",$C$5,"5 Source no.",$C140,"4 Item Ledger Entry Type",$C$4,"2 Item No.","@@"&amp;$F140,"3 Posting Date",J$9)</t>
  </si>
  <si>
    <t>=J140-L140</t>
  </si>
  <si>
    <t>=IF(J140&lt;&gt;0,M140/J140,"")</t>
  </si>
  <si>
    <t>=NL("Sum","5802 Value Entry","150 Sales Amount (Expected)","41 Source Type",$C$5,"5 Source No.",$C140,"4 Item Ledger Entry Type",$C$4,"2 Item No.","@@"&amp;$F140,"3 Posting Date",O$9)+NL("Sum","5802 Value Entry","17 Sales Amount (Actual)","41 Source Type",$C$5,"5 Source no.",$C140,"4 Item Ledger Entry Type",$C$4,"2 Item No.","@@"&amp;$F140,"3 Posting Date",O$9)</t>
  </si>
  <si>
    <t>=-NL("Sum","5802 Value Entry","151 Cost Amount (Expected)","41 Source Type",$C$5,"5 Source No.",$C140,"4 Item Ledger Entry Type",$C$4,"2 Item No.","@@"&amp;$F140,"3 Posting Date",O$9)-NL("Sum","5802 Value Entry","43 Cost Amount (Actual)","41 Source Type",$C$5,"5 Source no.",$C140,"4 Item Ledger Entry Type",$C$4,"2 Item No.","@@"&amp;$F140,"3 Posting Date",O$9)</t>
  </si>
  <si>
    <t>=O140-Q140</t>
  </si>
  <si>
    <t>=IF(O140&lt;&gt;0,R140/O140,"")</t>
  </si>
  <si>
    <t>=NL("Sum","5802 Value Entry","150 Sales Amount (Expected)","41 Source Type",$C$5,"5 Source No.",$C141,"4 Item Ledger Entry Type",$C$4,"2 Item No.","@@"&amp;$F141,"3 Posting Date",J$9)+NL("Sum","5802 Value Entry","17 Sales Amount (Actual)","41 Source Type",$C$5,"5 Source no.",$C141,"4 Item Ledger Entry Type",$C$4,"2 Item No.","@@"&amp;$F141,"3 Posting Date",J$9)</t>
  </si>
  <si>
    <t>=-NL("Sum","5802 Value Entry","151 Cost Amount (Expected)","41 Source Type",$C$5,"5 Source No.",$C141,"4 Item Ledger Entry Type",$C$4,"2 Item No.","@@"&amp;$F141,"3 Posting Date",J$9)-NL("Sum","5802 Value Entry","43 Cost Amount (Actual)","41 Source Type",$C$5,"5 Source no.",$C141,"4 Item Ledger Entry Type",$C$4,"2 Item No.","@@"&amp;$F141,"3 Posting Date",J$9)</t>
  </si>
  <si>
    <t>=J141-L141</t>
  </si>
  <si>
    <t>=IF(J141&lt;&gt;0,M141/J141,"")</t>
  </si>
  <si>
    <t>=NL("Sum","5802 Value Entry","150 Sales Amount (Expected)","41 Source Type",$C$5,"5 Source No.",$C141,"4 Item Ledger Entry Type",$C$4,"2 Item No.","@@"&amp;$F141,"3 Posting Date",O$9)+NL("Sum","5802 Value Entry","17 Sales Amount (Actual)","41 Source Type",$C$5,"5 Source no.",$C141,"4 Item Ledger Entry Type",$C$4,"2 Item No.","@@"&amp;$F141,"3 Posting Date",O$9)</t>
  </si>
  <si>
    <t>=-NL("Sum","5802 Value Entry","151 Cost Amount (Expected)","41 Source Type",$C$5,"5 Source No.",$C141,"4 Item Ledger Entry Type",$C$4,"2 Item No.","@@"&amp;$F141,"3 Posting Date",O$9)-NL("Sum","5802 Value Entry","43 Cost Amount (Actual)","41 Source Type",$C$5,"5 Source no.",$C141,"4 Item Ledger Entry Type",$C$4,"2 Item No.","@@"&amp;$F141,"3 Posting Date",O$9)</t>
  </si>
  <si>
    <t>=O141-Q141</t>
  </si>
  <si>
    <t>=IF(O141&lt;&gt;0,R141/O141,"")</t>
  </si>
  <si>
    <t>=C152&amp;" TOTAL:"</t>
  </si>
  <si>
    <t>=SUBTOTAL(9,J132:J151)</t>
  </si>
  <si>
    <t>=SUBTOTAL(9,K132:K151)</t>
  </si>
  <si>
    <t>=SUBTOTAL(9,L132:L151)</t>
  </si>
  <si>
    <t>=SUBTOTAL(9,O132:O151)</t>
  </si>
  <si>
    <t>=SUBTOTAL(9,P132:P151)</t>
  </si>
  <si>
    <t>=SUBTOTAL(9,Q132:Q151)</t>
  </si>
  <si>
    <t>=E154</t>
  </si>
  <si>
    <t>=NL(,"18 Customer","2 Name","1 No.",$E154)</t>
  </si>
  <si>
    <t>=NL("Rows","5802 Value Entry","2 Item No.","4 Item Ledger Entry Type",$C$4,"41 Source Type",$C$5,"5 Source No.",$C156,"Item No.",$C$7,"3 Posting Date",$C$10)</t>
  </si>
  <si>
    <t>=C161</t>
  </si>
  <si>
    <t>=NL("Sum","5802 Value Entry","150 Sales Amount (Expected)","41 Source Type",$C$5,"5 Source No.",$C162,"4 Item Ledger Entry Type",$C$4,"2 Item No.","@@"&amp;$F162,"3 Posting Date",J$9)+NL("Sum","5802 Value Entry","17 Sales Amount (Actual)","41 Source Type",$C$5,"5 Source no.",$C162,"4 Item Ledger Entry Type",$C$4,"2 Item No.","@@"&amp;$F162,"3 Posting Date",J$9)</t>
  </si>
  <si>
    <t>=-NL("Sum","5802 Value Entry","151 Cost Amount (Expected)","41 Source Type",$C$5,"5 Source No.",$C162,"4 Item Ledger Entry Type",$C$4,"2 Item No.","@@"&amp;$F162,"3 Posting Date",J$9)-NL("Sum","5802 Value Entry","43 Cost Amount (Actual)","41 Source Type",$C$5,"5 Source no.",$C162,"4 Item Ledger Entry Type",$C$4,"2 Item No.","@@"&amp;$F162,"3 Posting Date",J$9)</t>
  </si>
  <si>
    <t>=J162-L162</t>
  </si>
  <si>
    <t>=IF(J162&lt;&gt;0,M162/J162,"")</t>
  </si>
  <si>
    <t>=NL("Sum","5802 Value Entry","150 Sales Amount (Expected)","41 Source Type",$C$5,"5 Source No.",$C162,"4 Item Ledger Entry Type",$C$4,"2 Item No.","@@"&amp;$F162,"3 Posting Date",O$9)+NL("Sum","5802 Value Entry","17 Sales Amount (Actual)","41 Source Type",$C$5,"5 Source no.",$C162,"4 Item Ledger Entry Type",$C$4,"2 Item No.","@@"&amp;$F162,"3 Posting Date",O$9)</t>
  </si>
  <si>
    <t>=-NL("Sum","5802 Value Entry","151 Cost Amount (Expected)","41 Source Type",$C$5,"5 Source No.",$C162,"4 Item Ledger Entry Type",$C$4,"2 Item No.","@@"&amp;$F162,"3 Posting Date",O$9)-NL("Sum","5802 Value Entry","43 Cost Amount (Actual)","41 Source Type",$C$5,"5 Source no.",$C162,"4 Item Ledger Entry Type",$C$4,"2 Item No.","@@"&amp;$F162,"3 Posting Date",O$9)</t>
  </si>
  <si>
    <t>=O162-Q162</t>
  </si>
  <si>
    <t>=IF(O162&lt;&gt;0,R162/O162,"")</t>
  </si>
  <si>
    <t>=NL("Sum","5802 Value Entry","150 Sales Amount (Expected)","41 Source Type",$C$5,"5 Source No.",$C163,"4 Item Ledger Entry Type",$C$4,"2 Item No.","@@"&amp;$F163,"3 Posting Date",J$9)+NL("Sum","5802 Value Entry","17 Sales Amount (Actual)","41 Source Type",$C$5,"5 Source no.",$C163,"4 Item Ledger Entry Type",$C$4,"2 Item No.","@@"&amp;$F163,"3 Posting Date",J$9)</t>
  </si>
  <si>
    <t>=-NL("Sum","5802 Value Entry","151 Cost Amount (Expected)","41 Source Type",$C$5,"5 Source No.",$C163,"4 Item Ledger Entry Type",$C$4,"2 Item No.","@@"&amp;$F163,"3 Posting Date",J$9)-NL("Sum","5802 Value Entry","43 Cost Amount (Actual)","41 Source Type",$C$5,"5 Source no.",$C163,"4 Item Ledger Entry Type",$C$4,"2 Item No.","@@"&amp;$F163,"3 Posting Date",J$9)</t>
  </si>
  <si>
    <t>=NL("Sum","5802 Value Entry","150 Sales Amount (Expected)","41 Source Type",$C$5,"5 Source No.",$C163,"4 Item Ledger Entry Type",$C$4,"2 Item No.","@@"&amp;$F163,"3 Posting Date",O$9)+NL("Sum","5802 Value Entry","17 Sales Amount (Actual)","41 Source Type",$C$5,"5 Source no.",$C163,"4 Item Ledger Entry Type",$C$4,"2 Item No.","@@"&amp;$F163,"3 Posting Date",O$9)</t>
  </si>
  <si>
    <t>=-NL("Sum","5802 Value Entry","151 Cost Amount (Expected)","41 Source Type",$C$5,"5 Source No.",$C163,"4 Item Ledger Entry Type",$C$4,"2 Item No.","@@"&amp;$F163,"3 Posting Date",O$9)-NL("Sum","5802 Value Entry","43 Cost Amount (Actual)","41 Source Type",$C$5,"5 Source no.",$C163,"4 Item Ledger Entry Type",$C$4,"2 Item No.","@@"&amp;$F163,"3 Posting Date",O$9)</t>
  </si>
  <si>
    <t>=C163</t>
  </si>
  <si>
    <t>=NL("Sum","5802 Value Entry","150 Sales Amount (Expected)","41 Source Type",$C$5,"5 Source No.",$C164,"4 Item Ledger Entry Type",$C$4,"2 Item No.","@@"&amp;$F164,"3 Posting Date",J$9)+NL("Sum","5802 Value Entry","17 Sales Amount (Actual)","41 Source Type",$C$5,"5 Source no.",$C164,"4 Item Ledger Entry Type",$C$4,"2 Item No.","@@"&amp;$F164,"3 Posting Date",J$9)</t>
  </si>
  <si>
    <t>=-NL("Sum","5802 Value Entry","151 Cost Amount (Expected)","41 Source Type",$C$5,"5 Source No.",$C164,"4 Item Ledger Entry Type",$C$4,"2 Item No.","@@"&amp;$F164,"3 Posting Date",J$9)-NL("Sum","5802 Value Entry","43 Cost Amount (Actual)","41 Source Type",$C$5,"5 Source no.",$C164,"4 Item Ledger Entry Type",$C$4,"2 Item No.","@@"&amp;$F164,"3 Posting Date",J$9)</t>
  </si>
  <si>
    <t>=J164-L164</t>
  </si>
  <si>
    <t>=IF(J164&lt;&gt;0,M164/J164,"")</t>
  </si>
  <si>
    <t>=NL("Sum","5802 Value Entry","150 Sales Amount (Expected)","41 Source Type",$C$5,"5 Source No.",$C164,"4 Item Ledger Entry Type",$C$4,"2 Item No.","@@"&amp;$F164,"3 Posting Date",O$9)+NL("Sum","5802 Value Entry","17 Sales Amount (Actual)","41 Source Type",$C$5,"5 Source no.",$C164,"4 Item Ledger Entry Type",$C$4,"2 Item No.","@@"&amp;$F164,"3 Posting Date",O$9)</t>
  </si>
  <si>
    <t>=-NL("Sum","5802 Value Entry","151 Cost Amount (Expected)","41 Source Type",$C$5,"5 Source No.",$C164,"4 Item Ledger Entry Type",$C$4,"2 Item No.","@@"&amp;$F164,"3 Posting Date",O$9)-NL("Sum","5802 Value Entry","43 Cost Amount (Actual)","41 Source Type",$C$5,"5 Source no.",$C164,"4 Item Ledger Entry Type",$C$4,"2 Item No.","@@"&amp;$F164,"3 Posting Date",O$9)</t>
  </si>
  <si>
    <t>=O164-Q164</t>
  </si>
  <si>
    <t>=IF(O164&lt;&gt;0,R164/O164,"")</t>
  </si>
  <si>
    <t>=C164</t>
  </si>
  <si>
    <t>=NL("Sum","5802 Value Entry","150 Sales Amount (Expected)","41 Source Type",$C$5,"5 Source No.",$C165,"4 Item Ledger Entry Type",$C$4,"2 Item No.","@@"&amp;$F165,"3 Posting Date",J$9)+NL("Sum","5802 Value Entry","17 Sales Amount (Actual)","41 Source Type",$C$5,"5 Source no.",$C165,"4 Item Ledger Entry Type",$C$4,"2 Item No.","@@"&amp;$F165,"3 Posting Date",J$9)</t>
  </si>
  <si>
    <t>=-NL("Sum","5802 Value Entry","151 Cost Amount (Expected)","41 Source Type",$C$5,"5 Source No.",$C165,"4 Item Ledger Entry Type",$C$4,"2 Item No.","@@"&amp;$F165,"3 Posting Date",J$9)-NL("Sum","5802 Value Entry","43 Cost Amount (Actual)","41 Source Type",$C$5,"5 Source no.",$C165,"4 Item Ledger Entry Type",$C$4,"2 Item No.","@@"&amp;$F165,"3 Posting Date",J$9)</t>
  </si>
  <si>
    <t>=J165-L165</t>
  </si>
  <si>
    <t>=IF(J165&lt;&gt;0,M165/J165,"")</t>
  </si>
  <si>
    <t>=NL("Sum","5802 Value Entry","150 Sales Amount (Expected)","41 Source Type",$C$5,"5 Source No.",$C165,"4 Item Ledger Entry Type",$C$4,"2 Item No.","@@"&amp;$F165,"3 Posting Date",O$9)+NL("Sum","5802 Value Entry","17 Sales Amount (Actual)","41 Source Type",$C$5,"5 Source no.",$C165,"4 Item Ledger Entry Type",$C$4,"2 Item No.","@@"&amp;$F165,"3 Posting Date",O$9)</t>
  </si>
  <si>
    <t>=-NL("Sum","5802 Value Entry","151 Cost Amount (Expected)","41 Source Type",$C$5,"5 Source No.",$C165,"4 Item Ledger Entry Type",$C$4,"2 Item No.","@@"&amp;$F165,"3 Posting Date",O$9)-NL("Sum","5802 Value Entry","43 Cost Amount (Actual)","41 Source Type",$C$5,"5 Source no.",$C165,"4 Item Ledger Entry Type",$C$4,"2 Item No.","@@"&amp;$F165,"3 Posting Date",O$9)</t>
  </si>
  <si>
    <t>=O165-Q165</t>
  </si>
  <si>
    <t>=IF(O165&lt;&gt;0,R165/O165,"")</t>
  </si>
  <si>
    <t>=NL("Sum","5802 Value Entry","150 Sales Amount (Expected)","41 Source Type",$C$5,"5 Source No.",$C166,"4 Item Ledger Entry Type",$C$4,"2 Item No.","@@"&amp;$F166,"3 Posting Date",J$9)+NL("Sum","5802 Value Entry","17 Sales Amount (Actual)","41 Source Type",$C$5,"5 Source no.",$C166,"4 Item Ledger Entry Type",$C$4,"2 Item No.","@@"&amp;$F166,"3 Posting Date",J$9)</t>
  </si>
  <si>
    <t>=-NL("Sum","5802 Value Entry","151 Cost Amount (Expected)","41 Source Type",$C$5,"5 Source No.",$C166,"4 Item Ledger Entry Type",$C$4,"2 Item No.","@@"&amp;$F166,"3 Posting Date",J$9)-NL("Sum","5802 Value Entry","43 Cost Amount (Actual)","41 Source Type",$C$5,"5 Source no.",$C166,"4 Item Ledger Entry Type",$C$4,"2 Item No.","@@"&amp;$F166,"3 Posting Date",J$9)</t>
  </si>
  <si>
    <t>=J166-L166</t>
  </si>
  <si>
    <t>=IF(J166&lt;&gt;0,M166/J166,"")</t>
  </si>
  <si>
    <t>=NL("Sum","5802 Value Entry","150 Sales Amount (Expected)","41 Source Type",$C$5,"5 Source No.",$C166,"4 Item Ledger Entry Type",$C$4,"2 Item No.","@@"&amp;$F166,"3 Posting Date",O$9)+NL("Sum","5802 Value Entry","17 Sales Amount (Actual)","41 Source Type",$C$5,"5 Source no.",$C166,"4 Item Ledger Entry Type",$C$4,"2 Item No.","@@"&amp;$F166,"3 Posting Date",O$9)</t>
  </si>
  <si>
    <t>=-NL("Sum","5802 Value Entry","151 Cost Amount (Expected)","41 Source Type",$C$5,"5 Source No.",$C166,"4 Item Ledger Entry Type",$C$4,"2 Item No.","@@"&amp;$F166,"3 Posting Date",O$9)-NL("Sum","5802 Value Entry","43 Cost Amount (Actual)","41 Source Type",$C$5,"5 Source no.",$C166,"4 Item Ledger Entry Type",$C$4,"2 Item No.","@@"&amp;$F166,"3 Posting Date",O$9)</t>
  </si>
  <si>
    <t>=O166-Q166</t>
  </si>
  <si>
    <t>=IF(O166&lt;&gt;0,R166/O166,"")</t>
  </si>
  <si>
    <t>=C168&amp;" TOTAL:"</t>
  </si>
  <si>
    <t>=SUBTOTAL(9,J155:J167)</t>
  </si>
  <si>
    <t>=SUBTOTAL(9,K155:K167)</t>
  </si>
  <si>
    <t>=SUBTOTAL(9,L155:L167)</t>
  </si>
  <si>
    <t>=SUBTOTAL(9,O155:O167)</t>
  </si>
  <si>
    <t>=SUBTOTAL(9,P155:P167)</t>
  </si>
  <si>
    <t>=SUBTOTAL(9,Q155:Q167)</t>
  </si>
  <si>
    <t>=SUBTOTAL(9,J20:J41)</t>
  </si>
  <si>
    <t>=SUBTOTAL(9,L20:L41)</t>
  </si>
  <si>
    <t>=SUBTOTAL(9,O20:O41)</t>
  </si>
  <si>
    <t>=SUBTOTAL(9,Q20:Q41)</t>
  </si>
  <si>
    <t>=NL(,"27 Item","3 Description","1 No.","@@"&amp;F162)</t>
  </si>
  <si>
    <t>=NL(,"27 Item","3 Description","1 No.","@@"&amp;F163)</t>
  </si>
  <si>
    <t>=NL(,"27 Item","3 Description","1 No.","@@"&amp;F164)</t>
  </si>
  <si>
    <t>=NL(,"27 Item","3 Description","1 No.","@@"&amp;F165)</t>
  </si>
  <si>
    <t>=NL(,"27 Item","3 Description","1 No.","@@"&amp;F166)</t>
  </si>
  <si>
    <t>=-NL("Sum","32 Item Ledger Entry","12 Quantity","5 Source no.",$C162,"3 Posting Date",J$9,"4 Entry Type",$C$4,"2 Item No.","@@"&amp;$F162)</t>
  </si>
  <si>
    <t>=-NL("Sum","32 Item Ledger Entry","12 Quantity","5 Source no.",$C163,"3 Posting Date",J$9,"4 Entry Type",$C$4,"2 Item No.","@@"&amp;$F163)</t>
  </si>
  <si>
    <t>=-NL("Sum","32 Item Ledger Entry","12 Quantity","5 Source no.",$C164,"3 Posting Date",J$9,"4 Entry Type",$C$4,"2 Item No.","@@"&amp;$F164)</t>
  </si>
  <si>
    <t>=-NL("Sum","32 Item Ledger Entry","12 Quantity","5 Source no.",$C165,"3 Posting Date",J$9,"4 Entry Type",$C$4,"2 Item No.","@@"&amp;$F165)</t>
  </si>
  <si>
    <t>=-NL("Sum","32 Item Ledger Entry","12 Quantity","5 Source no.",$C166,"3 Posting Date",J$9,"4 Entry Type",$C$4,"2 Item No.","@@"&amp;$F166)</t>
  </si>
  <si>
    <t>=-NL("Sum","32 Item Ledger Entry","12 Quantity","5 Source no.",$C162,"3 Posting Date",O$9,"4 Entry Type",$C$4,"2 Item No.","@@"&amp;$F162)</t>
  </si>
  <si>
    <t>=-NL("Sum","32 Item Ledger Entry","12 Quantity","5 Source no.",$C163,"3 Posting Date",O$9,"4 Entry Type",$C$4,"2 Item No.","@@"&amp;$F163)</t>
  </si>
  <si>
    <t>=-NL("Sum","32 Item Ledger Entry","12 Quantity","5 Source no.",$C164,"3 Posting Date",O$9,"4 Entry Type",$C$4,"2 Item No.","@@"&amp;$F164)</t>
  </si>
  <si>
    <t>=-NL("Sum","32 Item Ledger Entry","12 Quantity","5 Source no.",$C165,"3 Posting Date",O$9,"4 Entry Type",$C$4,"2 Item No.","@@"&amp;$F165)</t>
  </si>
  <si>
    <t>=-NL("Sum","32 Item Ledger Entry","12 Quantity","5 Source no.",$C166,"3 Posting Date",O$9,"4 Entry Type",$C$4,"2 Item No.","@@"&amp;$F166)</t>
  </si>
  <si>
    <t>=NL(,"27 Item","3 Description","1 No.","@@"&amp;F137)</t>
  </si>
  <si>
    <t>=NL(,"27 Item","3 Description","1 No.","@@"&amp;F138)</t>
  </si>
  <si>
    <t>=NL(,"27 Item","3 Description","1 No.","@@"&amp;F139)</t>
  </si>
  <si>
    <t>=NL(,"27 Item","3 Description","1 No.","@@"&amp;F140)</t>
  </si>
  <si>
    <t>=NL(,"27 Item","3 Description","1 No.","@@"&amp;F141)</t>
  </si>
  <si>
    <t>=-NL("Sum","32 Item Ledger Entry","12 Quantity","5 Source no.",$C137,"3 Posting Date",J$9,"4 Entry Type",$C$4,"2 Item No.","@@"&amp;$F137)</t>
  </si>
  <si>
    <t>=-NL("Sum","32 Item Ledger Entry","12 Quantity","5 Source no.",$C138,"3 Posting Date",J$9,"4 Entry Type",$C$4,"2 Item No.","@@"&amp;$F138)</t>
  </si>
  <si>
    <t>=-NL("Sum","32 Item Ledger Entry","12 Quantity","5 Source no.",$C139,"3 Posting Date",J$9,"4 Entry Type",$C$4,"2 Item No.","@@"&amp;$F139)</t>
  </si>
  <si>
    <t>=-NL("Sum","32 Item Ledger Entry","12 Quantity","5 Source no.",$C140,"3 Posting Date",J$9,"4 Entry Type",$C$4,"2 Item No.","@@"&amp;$F140)</t>
  </si>
  <si>
    <t>=-NL("Sum","32 Item Ledger Entry","12 Quantity","5 Source no.",$C141,"3 Posting Date",J$9,"4 Entry Type",$C$4,"2 Item No.","@@"&amp;$F141)</t>
  </si>
  <si>
    <t>=-NL("Sum","32 Item Ledger Entry","12 Quantity","5 Source no.",$C137,"3 Posting Date",O$9,"4 Entry Type",$C$4,"2 Item No.","@@"&amp;$F137)</t>
  </si>
  <si>
    <t>=-NL("Sum","32 Item Ledger Entry","12 Quantity","5 Source no.",$C138,"3 Posting Date",O$9,"4 Entry Type",$C$4,"2 Item No.","@@"&amp;$F138)</t>
  </si>
  <si>
    <t>=-NL("Sum","32 Item Ledger Entry","12 Quantity","5 Source no.",$C139,"3 Posting Date",O$9,"4 Entry Type",$C$4,"2 Item No.","@@"&amp;$F139)</t>
  </si>
  <si>
    <t>=-NL("Sum","32 Item Ledger Entry","12 Quantity","5 Source no.",$C140,"3 Posting Date",O$9,"4 Entry Type",$C$4,"2 Item No.","@@"&amp;$F140)</t>
  </si>
  <si>
    <t>=-NL("Sum","32 Item Ledger Entry","12 Quantity","5 Source no.",$C141,"3 Posting Date",O$9,"4 Entry Type",$C$4,"2 Item No.","@@"&amp;$F141)</t>
  </si>
  <si>
    <t>=NL(,"27 Item","3 Description","1 No.","@@"&amp;F106)</t>
  </si>
  <si>
    <t>=NL(,"27 Item","3 Description","1 No.","@@"&amp;F107)</t>
  </si>
  <si>
    <t>=NL(,"27 Item","3 Description","1 No.","@@"&amp;F108)</t>
  </si>
  <si>
    <t>=NL(,"27 Item","3 Description","1 No.","@@"&amp;F109)</t>
  </si>
  <si>
    <t>=-NL("Sum","32 Item Ledger Entry","12 Quantity","5 Source no.",$C106,"3 Posting Date",J$9,"4 Entry Type",$C$4,"2 Item No.","@@"&amp;$F106)</t>
  </si>
  <si>
    <t>=-NL("Sum","32 Item Ledger Entry","12 Quantity","5 Source no.",$C107,"3 Posting Date",J$9,"4 Entry Type",$C$4,"2 Item No.","@@"&amp;$F107)</t>
  </si>
  <si>
    <t>=-NL("Sum","32 Item Ledger Entry","12 Quantity","5 Source no.",$C108,"3 Posting Date",J$9,"4 Entry Type",$C$4,"2 Item No.","@@"&amp;$F108)</t>
  </si>
  <si>
    <t>=-NL("Sum","32 Item Ledger Entry","12 Quantity","5 Source no.",$C109,"3 Posting Date",J$9,"4 Entry Type",$C$4,"2 Item No.","@@"&amp;$F109)</t>
  </si>
  <si>
    <t>=-NL("Sum","32 Item Ledger Entry","12 Quantity","5 Source no.",$C106,"3 Posting Date",O$9,"4 Entry Type",$C$4,"2 Item No.","@@"&amp;$F106)</t>
  </si>
  <si>
    <t>=-NL("Sum","32 Item Ledger Entry","12 Quantity","5 Source no.",$C107,"3 Posting Date",O$9,"4 Entry Type",$C$4,"2 Item No.","@@"&amp;$F107)</t>
  </si>
  <si>
    <t>=-NL("Sum","32 Item Ledger Entry","12 Quantity","5 Source no.",$C108,"3 Posting Date",O$9,"4 Entry Type",$C$4,"2 Item No.","@@"&amp;$F108)</t>
  </si>
  <si>
    <t>=-NL("Sum","32 Item Ledger Entry","12 Quantity","5 Source no.",$C109,"3 Posting Date",O$9,"4 Entry Type",$C$4,"2 Item No.","@@"&amp;$F109)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</si>
</sst>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[$-409]d\-mmm\-yy;@"/>
    <numFmt numFmtId="166" formatCode="0.0%"/>
    <numFmt numFmtId="167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sz val="12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theme="0" tint="-0.34998626667073579"/>
      <name val="Arial"/>
      <family val="2"/>
    </font>
    <font>
      <i/>
      <sz val="10"/>
      <color theme="0" tint="-0.34998626667073579"/>
      <name val="Arial"/>
      <family val="2"/>
    </font>
    <font>
      <sz val="11"/>
      <name val="Calibri"/>
      <family val="2"/>
      <scheme val="minor"/>
    </font>
    <font>
      <sz val="14"/>
      <color theme="3"/>
      <name val="Arial"/>
      <family val="2"/>
    </font>
    <font>
      <sz val="11"/>
      <color theme="3"/>
      <name val="Arial"/>
      <family val="2"/>
    </font>
    <font>
      <sz val="1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5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0" fillId="3" borderId="0" xfId="0" applyFill="1"/>
    <xf numFmtId="0" fontId="4" fillId="3" borderId="0" xfId="0" applyFont="1" applyFill="1"/>
    <xf numFmtId="0" fontId="6" fillId="3" borderId="0" xfId="0" applyFont="1" applyFill="1" applyAlignment="1">
      <alignment horizontal="center"/>
    </xf>
    <xf numFmtId="0" fontId="3" fillId="3" borderId="0" xfId="0" applyFont="1" applyFill="1"/>
    <xf numFmtId="14" fontId="6" fillId="3" borderId="0" xfId="0" applyNumberFormat="1" applyFont="1" applyFill="1" applyAlignment="1">
      <alignment horizontal="center"/>
    </xf>
    <xf numFmtId="0" fontId="0" fillId="2" borderId="0" xfId="0" applyFill="1"/>
    <xf numFmtId="0" fontId="4" fillId="2" borderId="9" xfId="0" applyFont="1" applyFill="1" applyBorder="1"/>
    <xf numFmtId="0" fontId="0" fillId="3" borderId="10" xfId="0" applyFill="1" applyBorder="1"/>
    <xf numFmtId="0" fontId="0" fillId="3" borderId="14" xfId="0" applyFill="1" applyBorder="1"/>
    <xf numFmtId="0" fontId="0" fillId="3" borderId="4" xfId="0" applyFill="1" applyBorder="1"/>
    <xf numFmtId="0" fontId="0" fillId="3" borderId="5" xfId="0" applyFill="1" applyBorder="1"/>
    <xf numFmtId="0" fontId="7" fillId="3" borderId="0" xfId="0" applyFont="1" applyFill="1"/>
    <xf numFmtId="0" fontId="8" fillId="3" borderId="0" xfId="0" applyFont="1" applyFill="1"/>
    <xf numFmtId="0" fontId="9" fillId="3" borderId="0" xfId="0" applyFont="1" applyFill="1"/>
    <xf numFmtId="0" fontId="8" fillId="2" borderId="0" xfId="0" applyFont="1" applyFill="1"/>
    <xf numFmtId="0" fontId="2" fillId="3" borderId="16" xfId="0" applyFont="1" applyFill="1" applyBorder="1"/>
    <xf numFmtId="0" fontId="0" fillId="3" borderId="0" xfId="0" applyFill="1" applyAlignment="1">
      <alignment horizontal="left"/>
    </xf>
    <xf numFmtId="0" fontId="11" fillId="3" borderId="0" xfId="0" applyFont="1" applyFill="1" applyAlignment="1">
      <alignment horizontal="left"/>
    </xf>
    <xf numFmtId="0" fontId="8" fillId="3" borderId="0" xfId="0" applyFont="1" applyFill="1" applyAlignment="1">
      <alignment horizontal="left"/>
    </xf>
    <xf numFmtId="0" fontId="10" fillId="3" borderId="0" xfId="0" applyFont="1" applyFill="1" applyAlignment="1">
      <alignment horizontal="left"/>
    </xf>
    <xf numFmtId="167" fontId="0" fillId="3" borderId="15" xfId="1" applyNumberFormat="1" applyFont="1" applyFill="1" applyBorder="1"/>
    <xf numFmtId="167" fontId="0" fillId="3" borderId="10" xfId="1" applyNumberFormat="1" applyFont="1" applyFill="1" applyBorder="1"/>
    <xf numFmtId="167" fontId="0" fillId="3" borderId="10" xfId="1" applyNumberFormat="1" applyFont="1" applyFill="1" applyBorder="1" applyAlignment="1">
      <alignment horizontal="center"/>
    </xf>
    <xf numFmtId="165" fontId="8" fillId="3" borderId="0" xfId="0" applyNumberFormat="1" applyFont="1" applyFill="1" applyAlignment="1">
      <alignment horizontal="left"/>
    </xf>
    <xf numFmtId="0" fontId="3" fillId="2" borderId="9" xfId="0" applyFont="1" applyFill="1" applyBorder="1" applyAlignment="1">
      <alignment horizontal="left" wrapText="1"/>
    </xf>
    <xf numFmtId="0" fontId="3" fillId="2" borderId="9" xfId="0" applyFont="1" applyFill="1" applyBorder="1"/>
    <xf numFmtId="0" fontId="3" fillId="4" borderId="6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167" fontId="1" fillId="4" borderId="11" xfId="1" applyNumberFormat="1" applyFont="1" applyFill="1" applyBorder="1"/>
    <xf numFmtId="167" fontId="1" fillId="4" borderId="12" xfId="1" applyNumberFormat="1" applyFont="1" applyFill="1" applyBorder="1" applyAlignment="1">
      <alignment horizontal="center"/>
    </xf>
    <xf numFmtId="167" fontId="1" fillId="4" borderId="12" xfId="1" applyNumberFormat="1" applyFont="1" applyFill="1" applyBorder="1"/>
    <xf numFmtId="166" fontId="1" fillId="4" borderId="13" xfId="2" applyNumberFormat="1" applyFont="1" applyFill="1" applyBorder="1"/>
    <xf numFmtId="0" fontId="3" fillId="5" borderId="6" xfId="0" applyFont="1" applyFill="1" applyBorder="1" applyAlignment="1">
      <alignment horizontal="center" wrapText="1"/>
    </xf>
    <xf numFmtId="0" fontId="3" fillId="5" borderId="7" xfId="0" applyFont="1" applyFill="1" applyBorder="1" applyAlignment="1">
      <alignment horizontal="center" wrapText="1"/>
    </xf>
    <xf numFmtId="0" fontId="3" fillId="5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167" fontId="11" fillId="5" borderId="11" xfId="1" applyNumberFormat="1" applyFont="1" applyFill="1" applyBorder="1"/>
    <xf numFmtId="167" fontId="11" fillId="5" borderId="12" xfId="1" applyNumberFormat="1" applyFont="1" applyFill="1" applyBorder="1" applyAlignment="1">
      <alignment horizontal="center"/>
    </xf>
    <xf numFmtId="167" fontId="11" fillId="5" borderId="12" xfId="1" applyNumberFormat="1" applyFont="1" applyFill="1" applyBorder="1"/>
    <xf numFmtId="0" fontId="3" fillId="2" borderId="0" xfId="0" applyFont="1" applyFill="1"/>
    <xf numFmtId="0" fontId="0" fillId="3" borderId="19" xfId="0" applyFill="1" applyBorder="1"/>
    <xf numFmtId="0" fontId="0" fillId="4" borderId="20" xfId="0" applyFill="1" applyBorder="1"/>
    <xf numFmtId="0" fontId="11" fillId="5" borderId="20" xfId="0" applyFont="1" applyFill="1" applyBorder="1"/>
    <xf numFmtId="0" fontId="0" fillId="4" borderId="21" xfId="0" applyFill="1" applyBorder="1"/>
    <xf numFmtId="0" fontId="11" fillId="5" borderId="21" xfId="0" applyFont="1" applyFill="1" applyBorder="1"/>
    <xf numFmtId="166" fontId="11" fillId="5" borderId="13" xfId="2" applyNumberFormat="1" applyFont="1" applyFill="1" applyBorder="1"/>
    <xf numFmtId="166" fontId="0" fillId="3" borderId="14" xfId="2" applyNumberFormat="1" applyFont="1" applyFill="1" applyBorder="1"/>
    <xf numFmtId="14" fontId="0" fillId="3" borderId="0" xfId="0" applyNumberFormat="1" applyFill="1"/>
    <xf numFmtId="0" fontId="11" fillId="3" borderId="0" xfId="0" applyFont="1" applyFill="1"/>
    <xf numFmtId="0" fontId="0" fillId="0" borderId="0" xfId="0" quotePrefix="1"/>
    <xf numFmtId="0" fontId="12" fillId="0" borderId="17" xfId="0" applyFont="1" applyBorder="1" applyAlignment="1">
      <alignment horizontal="left"/>
    </xf>
    <xf numFmtId="0" fontId="13" fillId="0" borderId="18" xfId="0" applyFont="1" applyBorder="1" applyAlignment="1">
      <alignment horizontal="left"/>
    </xf>
    <xf numFmtId="0" fontId="8" fillId="3" borderId="0" xfId="0" applyFont="1" applyFill="1"/>
    <xf numFmtId="165" fontId="8" fillId="3" borderId="0" xfId="0" applyNumberFormat="1" applyFont="1" applyFill="1" applyAlignment="1">
      <alignment horizontal="left"/>
    </xf>
    <xf numFmtId="0" fontId="0" fillId="0" borderId="0" xfId="0"/>
    <xf numFmtId="0" fontId="8" fillId="3" borderId="0" xfId="0" applyFont="1" applyFill="1" applyAlignment="1">
      <alignment horizontal="left"/>
    </xf>
    <xf numFmtId="0" fontId="14" fillId="4" borderId="1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4" borderId="3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2" xfId="0" applyFont="1" applyFill="1" applyBorder="1" applyAlignment="1">
      <alignment horizontal="center"/>
    </xf>
    <xf numFmtId="0" fontId="14" fillId="5" borderId="3" xfId="0" applyFont="1" applyFill="1" applyBorder="1" applyAlignment="1">
      <alignment horizontal="center"/>
    </xf>
  </cellXfs>
  <cellStyles count="7">
    <cellStyle name="Comma" xfId="1" builtinId="3"/>
    <cellStyle name="Hyperlink 3" xfId="6" xr:uid="{00000000-0005-0000-0000-000002000000}"/>
    <cellStyle name="Normal" xfId="0" builtinId="0"/>
    <cellStyle name="Normal 2" xfId="3" xr:uid="{00000000-0005-0000-0000-000004000000}"/>
    <cellStyle name="Normal 2 4" xfId="5" xr:uid="{00000000-0005-0000-0000-000005000000}"/>
    <cellStyle name="Normal 3" xfId="4" xr:uid="{00000000-0005-0000-0000-000006000000}"/>
    <cellStyle name="Percent" xfId="2" builtinId="5"/>
  </cellStyles>
  <dxfs count="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mruColors>
      <color rgb="FF0074AB"/>
      <color rgb="FFBFC5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H17"/>
  <sheetViews>
    <sheetView zoomScaleNormal="100" workbookViewId="0"/>
  </sheetViews>
  <sheetFormatPr defaultColWidth="9.140625" defaultRowHeight="15" x14ac:dyDescent="0.25"/>
  <cols>
    <col min="1" max="1" width="9.140625" style="13" hidden="1" customWidth="1"/>
    <col min="2" max="2" width="9.140625" style="1"/>
    <col min="3" max="3" width="22.140625" style="1" bestFit="1" customWidth="1"/>
    <col min="4" max="5" width="26.28515625" style="1" customWidth="1"/>
    <col min="6" max="16384" width="9.140625" style="1"/>
  </cols>
  <sheetData>
    <row r="1" spans="1:7" s="13" customFormat="1" hidden="1" x14ac:dyDescent="0.25">
      <c r="A1" s="13" t="s">
        <v>1384</v>
      </c>
      <c r="C1" s="13" t="s">
        <v>8</v>
      </c>
      <c r="D1" s="13" t="s">
        <v>9</v>
      </c>
      <c r="E1" s="13" t="s">
        <v>10</v>
      </c>
      <c r="F1" s="13" t="s">
        <v>35</v>
      </c>
    </row>
    <row r="3" spans="1:7" x14ac:dyDescent="0.25">
      <c r="A3" s="13" t="s">
        <v>7</v>
      </c>
      <c r="C3" s="2" t="s">
        <v>1</v>
      </c>
      <c r="D3" s="3" t="str">
        <f>"Month"</f>
        <v>Month</v>
      </c>
      <c r="E3" s="4" t="str">
        <f>"Lookup"</f>
        <v>Lookup</v>
      </c>
    </row>
    <row r="4" spans="1:7" x14ac:dyDescent="0.25">
      <c r="A4" s="13" t="s">
        <v>7</v>
      </c>
      <c r="C4" s="2" t="s">
        <v>5</v>
      </c>
      <c r="D4" s="5" t="str">
        <f>"1/1/2019"</f>
        <v>1/1/2019</v>
      </c>
      <c r="E4" s="4"/>
      <c r="F4" s="1" t="s">
        <v>36</v>
      </c>
    </row>
    <row r="5" spans="1:7" x14ac:dyDescent="0.25">
      <c r="A5" s="13" t="s">
        <v>7</v>
      </c>
      <c r="C5" s="2" t="s">
        <v>6</v>
      </c>
      <c r="D5" s="5" t="str">
        <f>"2/1/2019"</f>
        <v>2/1/2019</v>
      </c>
      <c r="E5" s="4"/>
      <c r="F5" s="1" t="s">
        <v>36</v>
      </c>
    </row>
    <row r="6" spans="1:7" x14ac:dyDescent="0.25">
      <c r="A6" s="13" t="s">
        <v>7</v>
      </c>
      <c r="C6" s="2" t="s">
        <v>22</v>
      </c>
      <c r="D6" s="3" t="str">
        <f>"*"</f>
        <v>*</v>
      </c>
      <c r="E6" s="4" t="str">
        <f>"Lookup"</f>
        <v>Lookup</v>
      </c>
    </row>
    <row r="7" spans="1:7" x14ac:dyDescent="0.25">
      <c r="A7" s="13" t="s">
        <v>7</v>
      </c>
      <c r="C7" s="2" t="s">
        <v>4</v>
      </c>
      <c r="D7" s="3" t="str">
        <f>"*"</f>
        <v>*</v>
      </c>
      <c r="E7" s="4" t="str">
        <f>"Lookup"</f>
        <v>Lookup</v>
      </c>
    </row>
    <row r="10" spans="1:7" x14ac:dyDescent="0.25">
      <c r="C10" s="16" t="s">
        <v>23</v>
      </c>
      <c r="D10" s="16" t="s">
        <v>9</v>
      </c>
    </row>
    <row r="11" spans="1:7" x14ac:dyDescent="0.25">
      <c r="C11" s="1" t="s">
        <v>24</v>
      </c>
      <c r="D11" s="17" t="str">
        <f>"01/01/2019..02/01/2019"</f>
        <v>01/01/2019..02/01/2019</v>
      </c>
    </row>
    <row r="12" spans="1:7" x14ac:dyDescent="0.25">
      <c r="C12" s="1" t="s">
        <v>25</v>
      </c>
      <c r="D12" s="18" t="str">
        <f>"01/01/2018..02/01/2018"</f>
        <v>01/01/2018..02/01/2018</v>
      </c>
    </row>
    <row r="13" spans="1:7" x14ac:dyDescent="0.25">
      <c r="C13" s="1" t="s">
        <v>26</v>
      </c>
      <c r="D13" s="17" t="str">
        <f>D12&amp;"|"&amp;D11</f>
        <v>01/01/2018..02/01/2018|01/01/2019..02/01/2019</v>
      </c>
    </row>
    <row r="14" spans="1:7" x14ac:dyDescent="0.25">
      <c r="C14" s="1" t="s">
        <v>27</v>
      </c>
      <c r="D14" s="17">
        <v>1</v>
      </c>
      <c r="E14" s="1" t="s">
        <v>2</v>
      </c>
    </row>
    <row r="15" spans="1:7" x14ac:dyDescent="0.25">
      <c r="C15" s="1" t="s">
        <v>28</v>
      </c>
      <c r="D15" s="17">
        <v>1</v>
      </c>
      <c r="E15" s="1" t="s">
        <v>3</v>
      </c>
    </row>
    <row r="16" spans="1:7" x14ac:dyDescent="0.25">
      <c r="G16" s="50"/>
    </row>
    <row r="17" spans="8:8" x14ac:dyDescent="0.25">
      <c r="H17" s="5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V172"/>
  <sheetViews>
    <sheetView tabSelected="1" zoomScaleNormal="100" workbookViewId="0">
      <pane xSplit="9" ySplit="15" topLeftCell="J16" activePane="bottomRight" state="frozen"/>
      <selection pane="topRight" activeCell="J1" sqref="J1"/>
      <selection pane="bottomLeft" activeCell="A16" sqref="A16"/>
      <selection pane="bottomRight"/>
    </sheetView>
  </sheetViews>
  <sheetFormatPr defaultColWidth="9.140625" defaultRowHeight="15" x14ac:dyDescent="0.25"/>
  <cols>
    <col min="1" max="1" width="6" style="13" hidden="1" customWidth="1"/>
    <col min="2" max="2" width="21.42578125" style="13" hidden="1" customWidth="1"/>
    <col min="3" max="3" width="5.140625" style="19" hidden="1" customWidth="1"/>
    <col min="4" max="4" width="9.140625" style="13"/>
    <col min="5" max="5" width="9.5703125" style="1" bestFit="1" customWidth="1"/>
    <col min="6" max="6" width="8.28515625" style="1" bestFit="1" customWidth="1"/>
    <col min="7" max="7" width="30.28515625" style="1" customWidth="1"/>
    <col min="8" max="8" width="6.28515625" style="1" customWidth="1"/>
    <col min="9" max="9" width="3.7109375" style="1" customWidth="1"/>
    <col min="10" max="10" width="10.42578125" style="1" customWidth="1"/>
    <col min="11" max="11" width="8.85546875" style="1" bestFit="1" customWidth="1"/>
    <col min="12" max="12" width="10" style="1" customWidth="1"/>
    <col min="13" max="13" width="8" style="1" bestFit="1" customWidth="1"/>
    <col min="14" max="14" width="9.5703125" style="1" customWidth="1"/>
    <col min="15" max="15" width="8.85546875" style="1" customWidth="1"/>
    <col min="16" max="16" width="8.85546875" style="1" bestFit="1" customWidth="1"/>
    <col min="17" max="17" width="10.5703125" style="1" customWidth="1"/>
    <col min="18" max="18" width="7.7109375" style="1" bestFit="1" customWidth="1"/>
    <col min="19" max="19" width="8.28515625" style="1" bestFit="1" customWidth="1"/>
    <col min="20" max="20" width="1" style="1" customWidth="1"/>
    <col min="21" max="16384" width="9.140625" style="1"/>
  </cols>
  <sheetData>
    <row r="1" spans="1:19" s="13" customFormat="1" hidden="1" x14ac:dyDescent="0.25">
      <c r="A1" s="13" t="s">
        <v>1386</v>
      </c>
      <c r="B1" s="13" t="s">
        <v>11</v>
      </c>
      <c r="C1" s="19" t="s">
        <v>11</v>
      </c>
      <c r="E1" s="13" t="s">
        <v>20</v>
      </c>
      <c r="F1" s="13" t="s">
        <v>20</v>
      </c>
      <c r="G1" s="13" t="s">
        <v>20</v>
      </c>
      <c r="J1" s="13" t="s">
        <v>20</v>
      </c>
      <c r="K1" s="13" t="s">
        <v>20</v>
      </c>
      <c r="L1" s="13" t="s">
        <v>20</v>
      </c>
      <c r="M1" s="13" t="s">
        <v>20</v>
      </c>
      <c r="N1" s="13" t="s">
        <v>20</v>
      </c>
      <c r="O1" s="13" t="s">
        <v>21</v>
      </c>
      <c r="P1" s="13" t="s">
        <v>20</v>
      </c>
      <c r="Q1" s="13" t="s">
        <v>20</v>
      </c>
      <c r="R1" s="13" t="s">
        <v>20</v>
      </c>
      <c r="S1" s="13" t="s">
        <v>20</v>
      </c>
    </row>
    <row r="2" spans="1:19" s="13" customFormat="1" x14ac:dyDescent="0.25">
      <c r="C2" s="19"/>
    </row>
    <row r="3" spans="1:19" s="13" customFormat="1" hidden="1" x14ac:dyDescent="0.25">
      <c r="A3" s="13" t="s">
        <v>11</v>
      </c>
      <c r="B3" s="14" t="s">
        <v>12</v>
      </c>
      <c r="C3" s="20" t="str">
        <f>PeriodType</f>
        <v>Month</v>
      </c>
    </row>
    <row r="4" spans="1:19" s="13" customFormat="1" hidden="1" x14ac:dyDescent="0.25">
      <c r="A4" s="13" t="s">
        <v>11</v>
      </c>
      <c r="B4" s="13" t="s">
        <v>27</v>
      </c>
      <c r="C4" s="20">
        <f>SaleEntryType</f>
        <v>1</v>
      </c>
    </row>
    <row r="5" spans="1:19" s="13" customFormat="1" hidden="1" x14ac:dyDescent="0.25">
      <c r="A5" s="13" t="s">
        <v>11</v>
      </c>
      <c r="B5" s="13" t="s">
        <v>29</v>
      </c>
      <c r="C5" s="20">
        <f>CustomerSourceType</f>
        <v>1</v>
      </c>
    </row>
    <row r="6" spans="1:19" s="13" customFormat="1" ht="15" hidden="1" customHeight="1" x14ac:dyDescent="0.25">
      <c r="A6" s="13" t="s">
        <v>11</v>
      </c>
      <c r="B6" s="14" t="s">
        <v>32</v>
      </c>
      <c r="C6" s="20" t="str">
        <f>CustomerFilter</f>
        <v>*</v>
      </c>
      <c r="J6" s="24" t="str">
        <f>"""NAV"",""CRONUS JetCorp USA"",""2000000007"",""1"",""Month"",""2"",""01/01/2019"""</f>
        <v>"NAV","CRONUS JetCorp USA","2000000007","1","Month","2","01/01/2019"</v>
      </c>
      <c r="K6"/>
      <c r="L6"/>
      <c r="M6"/>
      <c r="N6"/>
      <c r="O6" s="56"/>
      <c r="P6" s="57"/>
      <c r="Q6" s="57"/>
      <c r="R6" s="57"/>
      <c r="S6" s="57"/>
    </row>
    <row r="7" spans="1:19" s="13" customFormat="1" ht="15" hidden="1" customHeight="1" x14ac:dyDescent="0.25">
      <c r="A7" s="13" t="s">
        <v>11</v>
      </c>
      <c r="B7" s="14" t="s">
        <v>31</v>
      </c>
      <c r="C7" s="20" t="str">
        <f>ItemFilter</f>
        <v>*</v>
      </c>
      <c r="E7" s="15"/>
      <c r="J7" s="56">
        <v>43466</v>
      </c>
      <c r="K7" s="57"/>
      <c r="L7" s="57"/>
      <c r="M7" s="57"/>
      <c r="N7" s="57"/>
      <c r="O7" s="56">
        <f>J7-365</f>
        <v>43101</v>
      </c>
      <c r="P7" s="57"/>
      <c r="Q7" s="57"/>
      <c r="R7" s="57"/>
      <c r="S7" s="57"/>
    </row>
    <row r="8" spans="1:19" s="13" customFormat="1" ht="15" hidden="1" customHeight="1" x14ac:dyDescent="0.25">
      <c r="A8" s="13" t="s">
        <v>11</v>
      </c>
      <c r="B8" s="14" t="s">
        <v>24</v>
      </c>
      <c r="C8" s="20" t="str">
        <f>CurrentYrDateFilter</f>
        <v>01/01/2019..02/01/2019</v>
      </c>
      <c r="E8" s="15"/>
      <c r="J8" s="56">
        <v>43496</v>
      </c>
      <c r="K8" s="57"/>
      <c r="L8" s="57"/>
      <c r="M8" s="57"/>
      <c r="N8" s="57"/>
      <c r="O8" s="56">
        <f>J8-365</f>
        <v>43131</v>
      </c>
      <c r="P8" s="57"/>
      <c r="Q8" s="57"/>
      <c r="R8" s="57"/>
      <c r="S8" s="57"/>
    </row>
    <row r="9" spans="1:19" s="13" customFormat="1" ht="15" hidden="1" customHeight="1" x14ac:dyDescent="0.25">
      <c r="A9" s="13" t="s">
        <v>11</v>
      </c>
      <c r="B9" s="13" t="s">
        <v>25</v>
      </c>
      <c r="C9" s="20" t="str">
        <f>PriorYrDateFilter</f>
        <v>01/01/2018..02/01/2018</v>
      </c>
      <c r="J9" s="58" t="str">
        <f>"01/01/2019..31/01/2019"</f>
        <v>01/01/2019..31/01/2019</v>
      </c>
      <c r="K9" s="57"/>
      <c r="L9" s="57"/>
      <c r="M9" s="57"/>
      <c r="N9" s="57"/>
      <c r="O9" s="58" t="str">
        <f>"01/01/2018..31/01/2018"</f>
        <v>01/01/2018..31/01/2018</v>
      </c>
      <c r="P9" s="57"/>
      <c r="Q9" s="57"/>
      <c r="R9" s="57"/>
      <c r="S9" s="57"/>
    </row>
    <row r="10" spans="1:19" s="13" customFormat="1" hidden="1" x14ac:dyDescent="0.25">
      <c r="A10" s="13" t="s">
        <v>11</v>
      </c>
      <c r="B10" s="13" t="s">
        <v>30</v>
      </c>
      <c r="C10" s="20" t="str">
        <f>TwoYrDateFilter</f>
        <v>01/01/2018..02/01/2018|01/01/2019..02/01/2019</v>
      </c>
    </row>
    <row r="11" spans="1:19" s="13" customFormat="1" ht="15.75" x14ac:dyDescent="0.25">
      <c r="C11" s="20"/>
      <c r="I11" s="12"/>
    </row>
    <row r="12" spans="1:19" s="13" customFormat="1" ht="18.75" thickBot="1" x14ac:dyDescent="0.3">
      <c r="C12" s="20"/>
      <c r="E12" s="53" t="s">
        <v>13</v>
      </c>
      <c r="F12" s="53"/>
      <c r="G12" s="53"/>
    </row>
    <row r="13" spans="1:19" s="13" customFormat="1" x14ac:dyDescent="0.25">
      <c r="C13" s="20"/>
      <c r="E13" s="54" t="s">
        <v>34</v>
      </c>
      <c r="F13" s="54"/>
      <c r="G13" s="54"/>
    </row>
    <row r="14" spans="1:19" s="13" customFormat="1" x14ac:dyDescent="0.25">
      <c r="C14" s="20"/>
      <c r="E14" s="55" t="s">
        <v>32</v>
      </c>
      <c r="F14" s="55"/>
      <c r="G14" s="13" t="str">
        <f>C6</f>
        <v>*</v>
      </c>
    </row>
    <row r="15" spans="1:19" s="13" customFormat="1" x14ac:dyDescent="0.25">
      <c r="C15" s="20"/>
      <c r="E15" s="55" t="s">
        <v>31</v>
      </c>
      <c r="F15" s="55"/>
      <c r="G15" s="13" t="str">
        <f>C7</f>
        <v>*</v>
      </c>
    </row>
    <row r="16" spans="1:19" ht="15.75" thickBot="1" x14ac:dyDescent="0.3"/>
    <row r="17" spans="1:20" ht="15.75" x14ac:dyDescent="0.25">
      <c r="E17" s="6"/>
      <c r="F17" s="6"/>
      <c r="G17" s="6"/>
      <c r="H17" s="6"/>
      <c r="I17" s="6"/>
      <c r="J17" s="59" t="str">
        <f>TEXT(J7,"MMM-DD-YY")</f>
        <v>Jan-01-19</v>
      </c>
      <c r="K17" s="60"/>
      <c r="L17" s="60"/>
      <c r="M17" s="60"/>
      <c r="N17" s="61"/>
      <c r="O17" s="62" t="str">
        <f>TEXT(O7,"MMM-DD-YY")</f>
        <v>Jan-01-18</v>
      </c>
      <c r="P17" s="63"/>
      <c r="Q17" s="63"/>
      <c r="R17" s="63"/>
      <c r="S17" s="64"/>
    </row>
    <row r="18" spans="1:20" ht="15.75" thickBot="1" x14ac:dyDescent="0.3">
      <c r="E18" s="25" t="s">
        <v>14</v>
      </c>
      <c r="F18" s="7"/>
      <c r="G18" s="26" t="s">
        <v>15</v>
      </c>
      <c r="H18" s="42"/>
      <c r="I18" s="42"/>
      <c r="J18" s="27" t="s">
        <v>0</v>
      </c>
      <c r="K18" s="28" t="s">
        <v>16</v>
      </c>
      <c r="L18" s="28" t="s">
        <v>33</v>
      </c>
      <c r="M18" s="29" t="s">
        <v>17</v>
      </c>
      <c r="N18" s="30" t="s">
        <v>18</v>
      </c>
      <c r="O18" s="35" t="s">
        <v>0</v>
      </c>
      <c r="P18" s="36" t="s">
        <v>16</v>
      </c>
      <c r="Q18" s="36" t="s">
        <v>33</v>
      </c>
      <c r="R18" s="37" t="s">
        <v>17</v>
      </c>
      <c r="S18" s="38" t="s">
        <v>18</v>
      </c>
    </row>
    <row r="19" spans="1:20" ht="6.6" customHeight="1" x14ac:dyDescent="0.25">
      <c r="J19" s="10"/>
      <c r="N19" s="11"/>
      <c r="O19" s="10"/>
      <c r="S19" s="11"/>
    </row>
    <row r="20" spans="1:20" ht="15.75" x14ac:dyDescent="0.25">
      <c r="C20" s="19" t="str">
        <f>E20</f>
        <v>C100040</v>
      </c>
      <c r="E20" s="12" t="str">
        <f>"C100040"</f>
        <v>C100040</v>
      </c>
      <c r="F20" s="12"/>
      <c r="G20" s="12" t="str">
        <f>"Guildford Water Department"</f>
        <v>Guildford Water Department</v>
      </c>
      <c r="H20" s="12"/>
      <c r="I20" s="12"/>
      <c r="J20" s="10"/>
      <c r="N20" s="11"/>
      <c r="O20" s="10"/>
      <c r="S20" s="11"/>
    </row>
    <row r="21" spans="1:20" ht="6.6" customHeight="1" x14ac:dyDescent="0.25">
      <c r="C21" s="51" t="str">
        <f>C20</f>
        <v>C100040</v>
      </c>
      <c r="J21" s="10"/>
      <c r="N21" s="11"/>
      <c r="O21" s="10"/>
      <c r="S21" s="11"/>
    </row>
    <row r="22" spans="1:20" x14ac:dyDescent="0.25">
      <c r="C22" s="51" t="str">
        <f>C21</f>
        <v>C100040</v>
      </c>
      <c r="F22" s="8" t="str">
        <f>"C100018"</f>
        <v>C100018</v>
      </c>
      <c r="G22" s="9" t="str">
        <f>"Action Sport Duffel"</f>
        <v>Action Sport Duffel</v>
      </c>
      <c r="H22" s="43"/>
      <c r="I22" s="43"/>
      <c r="J22" s="21">
        <v>2485.1200000000003</v>
      </c>
      <c r="K22" s="23">
        <v>144</v>
      </c>
      <c r="L22" s="22">
        <v>1231.21</v>
      </c>
      <c r="M22" s="22">
        <f>J22-L22</f>
        <v>1253.9100000000003</v>
      </c>
      <c r="N22" s="49">
        <f>IF(J22&lt;&gt;0,M22/J22,"")</f>
        <v>0.50456718387844457</v>
      </c>
      <c r="O22" s="21">
        <v>0</v>
      </c>
      <c r="P22" s="23">
        <v>0</v>
      </c>
      <c r="Q22" s="22">
        <v>0</v>
      </c>
      <c r="R22" s="22">
        <f>O22-Q22</f>
        <v>0</v>
      </c>
      <c r="S22" s="49" t="str">
        <f>IF(O22&lt;&gt;0,R22/O22,"")</f>
        <v/>
      </c>
      <c r="T22" s="10"/>
    </row>
    <row r="23" spans="1:20" x14ac:dyDescent="0.25">
      <c r="A23" s="13" t="s">
        <v>79</v>
      </c>
      <c r="C23" s="51" t="str">
        <f t="shared" ref="C23:C38" si="0">C22</f>
        <v>C100040</v>
      </c>
      <c r="F23" s="8" t="str">
        <f>"C100019"</f>
        <v>C100019</v>
      </c>
      <c r="G23" s="9" t="str">
        <f>"Black Duffel Bag"</f>
        <v>Black Duffel Bag</v>
      </c>
      <c r="H23" s="43"/>
      <c r="I23" s="43"/>
      <c r="J23" s="21">
        <v>13263.4</v>
      </c>
      <c r="K23" s="23">
        <v>192</v>
      </c>
      <c r="L23" s="22">
        <v>8202.27</v>
      </c>
      <c r="M23" s="22">
        <f>J23-L23</f>
        <v>5061.1299999999992</v>
      </c>
      <c r="N23" s="49">
        <f>IF(J23&lt;&gt;0,M23/J23,"")</f>
        <v>0.38158616945881141</v>
      </c>
      <c r="O23" s="21">
        <v>0</v>
      </c>
      <c r="P23" s="23">
        <v>0</v>
      </c>
      <c r="Q23" s="22">
        <v>0</v>
      </c>
      <c r="R23" s="22">
        <f t="shared" ref="R23:R38" si="1">O23-Q23</f>
        <v>0</v>
      </c>
      <c r="S23" s="49" t="str">
        <f t="shared" ref="S23:S38" si="2">IF(O23&lt;&gt;0,R23/O23,"")</f>
        <v/>
      </c>
      <c r="T23" s="10"/>
    </row>
    <row r="24" spans="1:20" x14ac:dyDescent="0.25">
      <c r="A24" s="13" t="s">
        <v>79</v>
      </c>
      <c r="C24" s="51" t="str">
        <f t="shared" si="0"/>
        <v>C100040</v>
      </c>
      <c r="F24" s="8" t="str">
        <f>"C100021"</f>
        <v>C100021</v>
      </c>
      <c r="G24" s="9" t="str">
        <f>"Canvas Boat Bag"</f>
        <v>Canvas Boat Bag</v>
      </c>
      <c r="H24" s="43"/>
      <c r="I24" s="43"/>
      <c r="J24" s="21">
        <v>1466.47</v>
      </c>
      <c r="K24" s="23">
        <v>145</v>
      </c>
      <c r="L24" s="22">
        <v>997.58999999999992</v>
      </c>
      <c r="M24" s="22">
        <f>J24-L24</f>
        <v>468.88000000000011</v>
      </c>
      <c r="N24" s="49">
        <f>IF(J24&lt;&gt;0,M24/J24,"")</f>
        <v>0.3197337824844696</v>
      </c>
      <c r="O24" s="21">
        <v>1456.36</v>
      </c>
      <c r="P24" s="23">
        <v>144</v>
      </c>
      <c r="Q24" s="22">
        <v>990.71</v>
      </c>
      <c r="R24" s="22">
        <f t="shared" si="1"/>
        <v>465.64999999999986</v>
      </c>
      <c r="S24" s="49">
        <f t="shared" si="2"/>
        <v>0.31973550495756536</v>
      </c>
      <c r="T24" s="10"/>
    </row>
    <row r="25" spans="1:20" x14ac:dyDescent="0.25">
      <c r="A25" s="13" t="s">
        <v>79</v>
      </c>
      <c r="C25" s="51" t="str">
        <f t="shared" si="0"/>
        <v>C100040</v>
      </c>
      <c r="F25" s="8" t="str">
        <f>"C100022"</f>
        <v>C100022</v>
      </c>
      <c r="G25" s="9" t="str">
        <f>"Two-Toned Cap"</f>
        <v>Two-Toned Cap</v>
      </c>
      <c r="H25" s="43"/>
      <c r="I25" s="43"/>
      <c r="J25" s="21">
        <v>454.72</v>
      </c>
      <c r="K25" s="23">
        <v>145</v>
      </c>
      <c r="L25" s="22">
        <v>233.44</v>
      </c>
      <c r="M25" s="22">
        <f>J25-L25</f>
        <v>221.28000000000003</v>
      </c>
      <c r="N25" s="49">
        <f>IF(J25&lt;&gt;0,M25/J25,"")</f>
        <v>0.4866291344123857</v>
      </c>
      <c r="O25" s="21">
        <v>451.58000000000004</v>
      </c>
      <c r="P25" s="23">
        <v>144</v>
      </c>
      <c r="Q25" s="22">
        <v>231.82999999999998</v>
      </c>
      <c r="R25" s="22">
        <f t="shared" si="1"/>
        <v>219.75000000000006</v>
      </c>
      <c r="S25" s="49">
        <f t="shared" si="2"/>
        <v>0.4866247398024714</v>
      </c>
      <c r="T25" s="10"/>
    </row>
    <row r="26" spans="1:20" x14ac:dyDescent="0.25">
      <c r="A26" s="13" t="s">
        <v>79</v>
      </c>
      <c r="C26" s="51" t="str">
        <f t="shared" si="0"/>
        <v>C100040</v>
      </c>
      <c r="F26" s="8" t="str">
        <f>"C100023"</f>
        <v>C100023</v>
      </c>
      <c r="G26" s="9" t="str">
        <f>"Two-Toned Knit Hat"</f>
        <v>Two-Toned Knit Hat</v>
      </c>
      <c r="H26" s="43"/>
      <c r="I26" s="43"/>
      <c r="J26" s="21">
        <v>378.2</v>
      </c>
      <c r="K26" s="23">
        <v>144</v>
      </c>
      <c r="L26" s="22">
        <v>181.43</v>
      </c>
      <c r="M26" s="22">
        <f>J26-L26</f>
        <v>196.76999999999998</v>
      </c>
      <c r="N26" s="49">
        <f>IF(J26&lt;&gt;0,M26/J26,"")</f>
        <v>0.52028027498677942</v>
      </c>
      <c r="O26" s="21">
        <v>0</v>
      </c>
      <c r="P26" s="23">
        <v>0</v>
      </c>
      <c r="Q26" s="22">
        <v>0</v>
      </c>
      <c r="R26" s="22">
        <f t="shared" si="1"/>
        <v>0</v>
      </c>
      <c r="S26" s="49" t="str">
        <f t="shared" si="2"/>
        <v/>
      </c>
      <c r="T26" s="10"/>
    </row>
    <row r="27" spans="1:20" x14ac:dyDescent="0.25">
      <c r="A27" s="13" t="s">
        <v>79</v>
      </c>
      <c r="C27" s="51" t="str">
        <f t="shared" si="0"/>
        <v>C100040</v>
      </c>
      <c r="F27" s="8" t="str">
        <f>"C100026"</f>
        <v>C100026</v>
      </c>
      <c r="G27" s="9" t="str">
        <f>"Fleece Beanie"</f>
        <v>Fleece Beanie</v>
      </c>
      <c r="H27" s="43"/>
      <c r="I27" s="43"/>
      <c r="J27" s="21">
        <v>440.29</v>
      </c>
      <c r="K27" s="23">
        <v>144</v>
      </c>
      <c r="L27" s="22">
        <v>287.99</v>
      </c>
      <c r="M27" s="22">
        <f>J27-L27</f>
        <v>152.30000000000001</v>
      </c>
      <c r="N27" s="49">
        <f>IF(J27&lt;&gt;0,M27/J27,"")</f>
        <v>0.34590837856867068</v>
      </c>
      <c r="O27" s="21">
        <v>440.29</v>
      </c>
      <c r="P27" s="23">
        <v>144</v>
      </c>
      <c r="Q27" s="22">
        <v>287.99</v>
      </c>
      <c r="R27" s="22">
        <f t="shared" si="1"/>
        <v>152.30000000000001</v>
      </c>
      <c r="S27" s="49">
        <f t="shared" si="2"/>
        <v>0.34590837856867068</v>
      </c>
      <c r="T27" s="10"/>
    </row>
    <row r="28" spans="1:20" x14ac:dyDescent="0.25">
      <c r="A28" s="13" t="s">
        <v>79</v>
      </c>
      <c r="C28" s="51" t="str">
        <f t="shared" si="0"/>
        <v>C100040</v>
      </c>
      <c r="F28" s="8" t="str">
        <f>"C100029"</f>
        <v>C100029</v>
      </c>
      <c r="G28" s="9" t="str">
        <f>"Distressed Twill Visor"</f>
        <v>Distressed Twill Visor</v>
      </c>
      <c r="H28" s="43"/>
      <c r="I28" s="43"/>
      <c r="J28" s="21">
        <v>482.62999999999994</v>
      </c>
      <c r="K28" s="23">
        <v>144</v>
      </c>
      <c r="L28" s="22">
        <v>298.09000000000003</v>
      </c>
      <c r="M28" s="22">
        <f>J28-L28</f>
        <v>184.53999999999991</v>
      </c>
      <c r="N28" s="49">
        <f>IF(J28&lt;&gt;0,M28/J28,"")</f>
        <v>0.38236330107950173</v>
      </c>
      <c r="O28" s="21">
        <v>0</v>
      </c>
      <c r="P28" s="23">
        <v>0</v>
      </c>
      <c r="Q28" s="22">
        <v>0</v>
      </c>
      <c r="R28" s="22">
        <f t="shared" si="1"/>
        <v>0</v>
      </c>
      <c r="S28" s="49" t="str">
        <f t="shared" si="2"/>
        <v/>
      </c>
      <c r="T28" s="10"/>
    </row>
    <row r="29" spans="1:20" x14ac:dyDescent="0.25">
      <c r="A29" s="13" t="s">
        <v>79</v>
      </c>
      <c r="C29" s="51" t="str">
        <f t="shared" si="0"/>
        <v>C100040</v>
      </c>
      <c r="F29" s="8" t="str">
        <f>"C100031"</f>
        <v>C100031</v>
      </c>
      <c r="G29" s="9" t="str">
        <f>"Carabiner Watch"</f>
        <v>Carabiner Watch</v>
      </c>
      <c r="H29" s="43"/>
      <c r="I29" s="43"/>
      <c r="J29" s="21">
        <v>222.03</v>
      </c>
      <c r="K29" s="23">
        <v>12</v>
      </c>
      <c r="L29" s="22">
        <v>102.96</v>
      </c>
      <c r="M29" s="22">
        <f>J29-L29</f>
        <v>119.07000000000001</v>
      </c>
      <c r="N29" s="49">
        <f>IF(J29&lt;&gt;0,M29/J29,"")</f>
        <v>0.53627888123226597</v>
      </c>
      <c r="O29" s="21">
        <v>111.01</v>
      </c>
      <c r="P29" s="23">
        <v>6</v>
      </c>
      <c r="Q29" s="22">
        <v>51.48</v>
      </c>
      <c r="R29" s="22">
        <f t="shared" si="1"/>
        <v>59.530000000000008</v>
      </c>
      <c r="S29" s="49">
        <f t="shared" si="2"/>
        <v>0.53625799477524549</v>
      </c>
      <c r="T29" s="10"/>
    </row>
    <row r="30" spans="1:20" x14ac:dyDescent="0.25">
      <c r="A30" s="13" t="s">
        <v>79</v>
      </c>
      <c r="C30" s="51" t="str">
        <f t="shared" si="0"/>
        <v>C100040</v>
      </c>
      <c r="F30" s="8" t="str">
        <f>"E100016"</f>
        <v>E100016</v>
      </c>
      <c r="G30" s="9" t="str">
        <f>"4 Function Rotating Carabiner Watch"</f>
        <v>4 Function Rotating Carabiner Watch</v>
      </c>
      <c r="H30" s="43"/>
      <c r="I30" s="43"/>
      <c r="J30" s="21">
        <v>429.00000000000006</v>
      </c>
      <c r="K30" s="23">
        <v>144</v>
      </c>
      <c r="L30" s="22">
        <v>198.73000000000002</v>
      </c>
      <c r="M30" s="22">
        <f>J30-L30</f>
        <v>230.27000000000004</v>
      </c>
      <c r="N30" s="49">
        <f>IF(J30&lt;&gt;0,M30/J30,"")</f>
        <v>0.53675990675990681</v>
      </c>
      <c r="O30" s="21">
        <v>0</v>
      </c>
      <c r="P30" s="23">
        <v>0</v>
      </c>
      <c r="Q30" s="22">
        <v>0</v>
      </c>
      <c r="R30" s="22">
        <f t="shared" si="1"/>
        <v>0</v>
      </c>
      <c r="S30" s="49" t="str">
        <f t="shared" si="2"/>
        <v/>
      </c>
      <c r="T30" s="10"/>
    </row>
    <row r="31" spans="1:20" x14ac:dyDescent="0.25">
      <c r="A31" s="13" t="s">
        <v>79</v>
      </c>
      <c r="C31" s="51" t="str">
        <f t="shared" si="0"/>
        <v>C100040</v>
      </c>
      <c r="F31" s="8" t="str">
        <f>"S100003"</f>
        <v>S100003</v>
      </c>
      <c r="G31" s="9" t="str">
        <f>"Soccer #1 Pin"</f>
        <v>Soccer #1 Pin</v>
      </c>
      <c r="H31" s="43"/>
      <c r="I31" s="43"/>
      <c r="J31" s="21">
        <v>213.15</v>
      </c>
      <c r="K31" s="23">
        <v>145</v>
      </c>
      <c r="L31" s="22">
        <v>130.5</v>
      </c>
      <c r="M31" s="22">
        <f>J31-L31</f>
        <v>82.65</v>
      </c>
      <c r="N31" s="49">
        <f>IF(J31&lt;&gt;0,M31/J31,"")</f>
        <v>0.38775510204081637</v>
      </c>
      <c r="O31" s="21">
        <v>0</v>
      </c>
      <c r="P31" s="23">
        <v>0</v>
      </c>
      <c r="Q31" s="22">
        <v>0</v>
      </c>
      <c r="R31" s="22">
        <f t="shared" si="1"/>
        <v>0</v>
      </c>
      <c r="S31" s="49" t="str">
        <f t="shared" si="2"/>
        <v/>
      </c>
      <c r="T31" s="10"/>
    </row>
    <row r="32" spans="1:20" x14ac:dyDescent="0.25">
      <c r="A32" s="13" t="s">
        <v>79</v>
      </c>
      <c r="C32" s="51" t="str">
        <f t="shared" si="0"/>
        <v>C100040</v>
      </c>
      <c r="F32" s="8" t="str">
        <f>"S100007"</f>
        <v>S100007</v>
      </c>
      <c r="G32" s="9" t="str">
        <f>"Baseball Figure Trophy"</f>
        <v>Baseball Figure Trophy</v>
      </c>
      <c r="H32" s="43"/>
      <c r="I32" s="43"/>
      <c r="J32" s="21">
        <v>340.85</v>
      </c>
      <c r="K32" s="23">
        <v>47</v>
      </c>
      <c r="L32" s="22">
        <v>172.96</v>
      </c>
      <c r="M32" s="22">
        <f>J32-L32</f>
        <v>167.89000000000001</v>
      </c>
      <c r="N32" s="49">
        <f>IF(J32&lt;&gt;0,M32/J32,"")</f>
        <v>0.49256271086988412</v>
      </c>
      <c r="O32" s="21">
        <v>0</v>
      </c>
      <c r="P32" s="23">
        <v>0</v>
      </c>
      <c r="Q32" s="22">
        <v>0</v>
      </c>
      <c r="R32" s="22">
        <f t="shared" si="1"/>
        <v>0</v>
      </c>
      <c r="S32" s="49" t="str">
        <f t="shared" si="2"/>
        <v/>
      </c>
      <c r="T32" s="10"/>
    </row>
    <row r="33" spans="1:20" x14ac:dyDescent="0.25">
      <c r="A33" s="13" t="s">
        <v>79</v>
      </c>
      <c r="C33" s="51" t="str">
        <f t="shared" si="0"/>
        <v>C100040</v>
      </c>
      <c r="F33" s="8" t="str">
        <f>"S100010"</f>
        <v>S100010</v>
      </c>
      <c r="G33" s="9" t="str">
        <f>"Golf Relaxed Cap"</f>
        <v>Golf Relaxed Cap</v>
      </c>
      <c r="H33" s="43"/>
      <c r="I33" s="43"/>
      <c r="J33" s="21">
        <v>3388.2900000000004</v>
      </c>
      <c r="K33" s="23">
        <v>336</v>
      </c>
      <c r="L33" s="22">
        <v>2046.2700000000002</v>
      </c>
      <c r="M33" s="22">
        <f>J33-L33</f>
        <v>1342.0200000000002</v>
      </c>
      <c r="N33" s="49">
        <f>IF(J33&lt;&gt;0,M33/J33,"")</f>
        <v>0.39607589669125137</v>
      </c>
      <c r="O33" s="21">
        <v>0</v>
      </c>
      <c r="P33" s="23">
        <v>0</v>
      </c>
      <c r="Q33" s="22">
        <v>0</v>
      </c>
      <c r="R33" s="22">
        <f t="shared" si="1"/>
        <v>0</v>
      </c>
      <c r="S33" s="49" t="str">
        <f t="shared" si="2"/>
        <v/>
      </c>
      <c r="T33" s="10"/>
    </row>
    <row r="34" spans="1:20" x14ac:dyDescent="0.25">
      <c r="A34" s="13" t="s">
        <v>79</v>
      </c>
      <c r="C34" s="51" t="str">
        <f t="shared" si="0"/>
        <v>C100040</v>
      </c>
      <c r="F34" s="8" t="str">
        <f>"S100013"</f>
        <v>S100013</v>
      </c>
      <c r="G34" s="9" t="str">
        <f>"Mesh BALL CAP"</f>
        <v>Mesh BALL CAP</v>
      </c>
      <c r="H34" s="43"/>
      <c r="I34" s="43"/>
      <c r="J34" s="21">
        <v>6.47</v>
      </c>
      <c r="K34" s="23">
        <v>1</v>
      </c>
      <c r="L34" s="22">
        <v>3.44</v>
      </c>
      <c r="M34" s="22">
        <f>J34-L34</f>
        <v>3.03</v>
      </c>
      <c r="N34" s="49">
        <f>IF(J34&lt;&gt;0,M34/J34,"")</f>
        <v>0.46831530139103555</v>
      </c>
      <c r="O34" s="21">
        <v>931.38999999999987</v>
      </c>
      <c r="P34" s="23">
        <v>144</v>
      </c>
      <c r="Q34" s="22">
        <v>495.37</v>
      </c>
      <c r="R34" s="22">
        <f t="shared" si="1"/>
        <v>436.01999999999987</v>
      </c>
      <c r="S34" s="49">
        <f t="shared" si="2"/>
        <v>0.46813901802682006</v>
      </c>
      <c r="T34" s="10"/>
    </row>
    <row r="35" spans="1:20" x14ac:dyDescent="0.25">
      <c r="A35" s="13" t="s">
        <v>79</v>
      </c>
      <c r="C35" s="51" t="str">
        <f t="shared" si="0"/>
        <v>C100040</v>
      </c>
      <c r="F35" s="8" t="str">
        <f>"S100014"</f>
        <v>S100014</v>
      </c>
      <c r="G35" s="9" t="str">
        <f>"Chunky Knit Hat"</f>
        <v>Chunky Knit Hat</v>
      </c>
      <c r="H35" s="43"/>
      <c r="I35" s="43"/>
      <c r="J35" s="21">
        <v>115.25000000000001</v>
      </c>
      <c r="K35" s="23">
        <v>12</v>
      </c>
      <c r="L35" s="22">
        <v>61.92</v>
      </c>
      <c r="M35" s="22">
        <f>J35-L35</f>
        <v>53.330000000000013</v>
      </c>
      <c r="N35" s="49">
        <f>IF(J35&lt;&gt;0,M35/J35,"")</f>
        <v>0.4627331887201736</v>
      </c>
      <c r="O35" s="21">
        <v>2765.95</v>
      </c>
      <c r="P35" s="23">
        <v>288</v>
      </c>
      <c r="Q35" s="22">
        <v>1486.05</v>
      </c>
      <c r="R35" s="22">
        <f t="shared" si="1"/>
        <v>1279.8999999999999</v>
      </c>
      <c r="S35" s="49">
        <f t="shared" si="2"/>
        <v>0.46273432274625353</v>
      </c>
      <c r="T35" s="10"/>
    </row>
    <row r="36" spans="1:20" x14ac:dyDescent="0.25">
      <c r="A36" s="13" t="s">
        <v>79</v>
      </c>
      <c r="C36" s="51" t="str">
        <f t="shared" si="0"/>
        <v>C100040</v>
      </c>
      <c r="F36" s="8" t="str">
        <f>"S100018"</f>
        <v>S100018</v>
      </c>
      <c r="G36" s="9" t="str">
        <f>"Crusher Bucket Hat"</f>
        <v>Crusher Bucket Hat</v>
      </c>
      <c r="H36" s="43"/>
      <c r="I36" s="43"/>
      <c r="J36" s="21">
        <v>1047.1100000000001</v>
      </c>
      <c r="K36" s="23">
        <v>144</v>
      </c>
      <c r="L36" s="22">
        <v>504</v>
      </c>
      <c r="M36" s="22">
        <f>J36-L36</f>
        <v>543.11000000000013</v>
      </c>
      <c r="N36" s="49">
        <f>IF(J36&lt;&gt;0,M36/J36,"")</f>
        <v>0.51867521081834767</v>
      </c>
      <c r="O36" s="21">
        <v>1047.1100000000001</v>
      </c>
      <c r="P36" s="23">
        <v>144</v>
      </c>
      <c r="Q36" s="22">
        <v>504</v>
      </c>
      <c r="R36" s="22">
        <f t="shared" si="1"/>
        <v>543.11000000000013</v>
      </c>
      <c r="S36" s="49">
        <f t="shared" si="2"/>
        <v>0.51867521081834767</v>
      </c>
      <c r="T36" s="10"/>
    </row>
    <row r="37" spans="1:20" x14ac:dyDescent="0.25">
      <c r="A37" s="13" t="s">
        <v>79</v>
      </c>
      <c r="C37" s="51" t="str">
        <f t="shared" si="0"/>
        <v>C100040</v>
      </c>
      <c r="F37" s="8" t="str">
        <f>"S100019"</f>
        <v>S100019</v>
      </c>
      <c r="G37" s="9" t="str">
        <f>"Sportsman Bucket Hat"</f>
        <v>Sportsman Bucket Hat</v>
      </c>
      <c r="H37" s="43"/>
      <c r="I37" s="43"/>
      <c r="J37" s="21">
        <v>647.74</v>
      </c>
      <c r="K37" s="23">
        <v>144</v>
      </c>
      <c r="L37" s="22">
        <v>349.93</v>
      </c>
      <c r="M37" s="22">
        <f>J37-L37</f>
        <v>297.81</v>
      </c>
      <c r="N37" s="49">
        <f>IF(J37&lt;&gt;0,M37/J37,"")</f>
        <v>0.45976780807113965</v>
      </c>
      <c r="O37" s="21">
        <v>0</v>
      </c>
      <c r="P37" s="23">
        <v>0</v>
      </c>
      <c r="Q37" s="22">
        <v>0</v>
      </c>
      <c r="R37" s="22">
        <f t="shared" si="1"/>
        <v>0</v>
      </c>
      <c r="S37" s="49" t="str">
        <f t="shared" si="2"/>
        <v/>
      </c>
      <c r="T37" s="10"/>
    </row>
    <row r="38" spans="1:20" x14ac:dyDescent="0.25">
      <c r="A38" s="13" t="s">
        <v>79</v>
      </c>
      <c r="C38" s="51" t="str">
        <f t="shared" si="0"/>
        <v>C100040</v>
      </c>
      <c r="F38" s="8" t="str">
        <f>"S100020"</f>
        <v>S100020</v>
      </c>
      <c r="G38" s="9" t="str">
        <f>"Super Sport Stopwatch"</f>
        <v>Super Sport Stopwatch</v>
      </c>
      <c r="H38" s="43"/>
      <c r="I38" s="43"/>
      <c r="J38" s="21">
        <v>27.78</v>
      </c>
      <c r="K38" s="23">
        <v>13</v>
      </c>
      <c r="L38" s="22">
        <v>13.65</v>
      </c>
      <c r="M38" s="22">
        <f>J38-L38</f>
        <v>14.13</v>
      </c>
      <c r="N38" s="49">
        <f>IF(J38&lt;&gt;0,M38/J38,"")</f>
        <v>0.50863930885529163</v>
      </c>
      <c r="O38" s="21">
        <v>0</v>
      </c>
      <c r="P38" s="23">
        <v>0</v>
      </c>
      <c r="Q38" s="22">
        <v>0</v>
      </c>
      <c r="R38" s="22">
        <f t="shared" si="1"/>
        <v>0</v>
      </c>
      <c r="S38" s="49" t="str">
        <f t="shared" si="2"/>
        <v/>
      </c>
      <c r="T38" s="10"/>
    </row>
    <row r="39" spans="1:20" ht="15.75" thickBot="1" x14ac:dyDescent="0.3">
      <c r="C39" s="51" t="str">
        <f>C22</f>
        <v>C100040</v>
      </c>
      <c r="J39" s="10"/>
      <c r="N39" s="11"/>
      <c r="O39" s="10"/>
      <c r="S39" s="11"/>
    </row>
    <row r="40" spans="1:20" ht="15.75" thickBot="1" x14ac:dyDescent="0.3">
      <c r="C40" s="51" t="str">
        <f>C39</f>
        <v>C100040</v>
      </c>
      <c r="G40" s="44" t="str">
        <f>C40&amp;" TOTAL:"</f>
        <v>C100040 TOTAL:</v>
      </c>
      <c r="H40" s="46"/>
      <c r="I40" s="46"/>
      <c r="J40" s="31">
        <f>SUBTOTAL(9,J21:J39)</f>
        <v>25408.500000000007</v>
      </c>
      <c r="K40" s="32">
        <f>SUBTOTAL(9,K21:K39)</f>
        <v>2056</v>
      </c>
      <c r="L40" s="33">
        <f>SUBTOTAL(9,L21:L39)</f>
        <v>15016.38</v>
      </c>
      <c r="M40" s="33">
        <f>J40-L40</f>
        <v>10392.120000000008</v>
      </c>
      <c r="N40" s="34">
        <f>IF(J40&lt;&gt;0,M40/J40,"")</f>
        <v>0.40900171202550345</v>
      </c>
      <c r="O40" s="31">
        <f>SUBTOTAL(9,O21:O39)</f>
        <v>7203.6900000000005</v>
      </c>
      <c r="P40" s="32">
        <f>SUBTOTAL(9,P21:P39)</f>
        <v>1014</v>
      </c>
      <c r="Q40" s="33">
        <f>SUBTOTAL(9,Q21:Q39)</f>
        <v>4047.4300000000003</v>
      </c>
      <c r="R40" s="33">
        <f>O40-Q40</f>
        <v>3156.26</v>
      </c>
      <c r="S40" s="34">
        <f>IF(O40&lt;&gt;0,R40/O40,"")</f>
        <v>0.4381448951856618</v>
      </c>
    </row>
    <row r="41" spans="1:20" x14ac:dyDescent="0.25">
      <c r="J41" s="10"/>
      <c r="N41" s="11"/>
      <c r="O41" s="10"/>
      <c r="S41" s="11"/>
    </row>
    <row r="42" spans="1:20" ht="15.75" x14ac:dyDescent="0.25">
      <c r="A42" s="13" t="s">
        <v>79</v>
      </c>
      <c r="C42" s="19" t="str">
        <f t="shared" ref="C42" si="3">E42</f>
        <v>C100064</v>
      </c>
      <c r="E42" s="12" t="str">
        <f>"C100064"</f>
        <v>C100064</v>
      </c>
      <c r="F42" s="12"/>
      <c r="G42" s="12" t="str">
        <f>"Möbel Siegfried"</f>
        <v>Möbel Siegfried</v>
      </c>
      <c r="H42" s="12"/>
      <c r="I42" s="12"/>
      <c r="J42" s="10"/>
      <c r="N42" s="11"/>
      <c r="O42" s="10"/>
      <c r="S42" s="11"/>
    </row>
    <row r="43" spans="1:20" ht="6.6" customHeight="1" x14ac:dyDescent="0.25">
      <c r="A43" s="13" t="s">
        <v>79</v>
      </c>
      <c r="C43" s="51" t="str">
        <f t="shared" ref="C43:C46" si="4">C42</f>
        <v>C100064</v>
      </c>
      <c r="J43" s="10"/>
      <c r="N43" s="11"/>
      <c r="O43" s="10"/>
      <c r="S43" s="11"/>
    </row>
    <row r="44" spans="1:20" x14ac:dyDescent="0.25">
      <c r="A44" s="13" t="s">
        <v>79</v>
      </c>
      <c r="C44" s="51" t="str">
        <f t="shared" si="4"/>
        <v>C100064</v>
      </c>
      <c r="F44" s="8" t="str">
        <f>""</f>
        <v/>
      </c>
      <c r="G44" s="9" t="str">
        <f>""</f>
        <v/>
      </c>
      <c r="H44" s="43"/>
      <c r="I44" s="43"/>
      <c r="J44" s="21">
        <v>0</v>
      </c>
      <c r="K44" s="23">
        <v>0</v>
      </c>
      <c r="L44" s="22">
        <v>0</v>
      </c>
      <c r="M44" s="22">
        <f>J44-L44</f>
        <v>0</v>
      </c>
      <c r="N44" s="49" t="str">
        <f>IF(J44&lt;&gt;0,M44/J44,"")</f>
        <v/>
      </c>
      <c r="O44" s="21">
        <v>0</v>
      </c>
      <c r="P44" s="23">
        <v>0</v>
      </c>
      <c r="Q44" s="22">
        <v>0</v>
      </c>
      <c r="R44" s="22">
        <f t="shared" ref="R44" si="5">O44-Q44</f>
        <v>0</v>
      </c>
      <c r="S44" s="49" t="str">
        <f t="shared" ref="S44" si="6">IF(O44&lt;&gt;0,R44/O44,"")</f>
        <v/>
      </c>
      <c r="T44" s="10"/>
    </row>
    <row r="45" spans="1:20" ht="15.75" thickBot="1" x14ac:dyDescent="0.3">
      <c r="A45" s="13" t="s">
        <v>79</v>
      </c>
      <c r="C45" s="51" t="str">
        <f t="shared" si="4"/>
        <v>C100064</v>
      </c>
      <c r="J45" s="10"/>
      <c r="N45" s="11"/>
      <c r="O45" s="10"/>
      <c r="S45" s="11"/>
    </row>
    <row r="46" spans="1:20" ht="15.75" thickBot="1" x14ac:dyDescent="0.3">
      <c r="A46" s="13" t="s">
        <v>79</v>
      </c>
      <c r="C46" s="51" t="str">
        <f t="shared" si="4"/>
        <v>C100064</v>
      </c>
      <c r="G46" s="44" t="str">
        <f>C46&amp;" TOTAL:"</f>
        <v>C100064 TOTAL:</v>
      </c>
      <c r="H46" s="46"/>
      <c r="I46" s="46"/>
      <c r="J46" s="31">
        <f>SUBTOTAL(9,J43:J45)</f>
        <v>0</v>
      </c>
      <c r="K46" s="32">
        <f>SUBTOTAL(9,K43:K45)</f>
        <v>0</v>
      </c>
      <c r="L46" s="33">
        <f>SUBTOTAL(9,L43:L45)</f>
        <v>0</v>
      </c>
      <c r="M46" s="33">
        <f>J46-L46</f>
        <v>0</v>
      </c>
      <c r="N46" s="34" t="str">
        <f>IF(J46&lt;&gt;0,M46/J46,"")</f>
        <v/>
      </c>
      <c r="O46" s="31">
        <f>SUBTOTAL(9,O43:O45)</f>
        <v>0</v>
      </c>
      <c r="P46" s="32">
        <f>SUBTOTAL(9,P43:P45)</f>
        <v>0</v>
      </c>
      <c r="Q46" s="33">
        <f>SUBTOTAL(9,Q43:Q45)</f>
        <v>0</v>
      </c>
      <c r="R46" s="33">
        <f t="shared" ref="R46" si="7">O46-Q46</f>
        <v>0</v>
      </c>
      <c r="S46" s="34" t="str">
        <f t="shared" ref="S46" si="8">IF(O46&lt;&gt;0,R46/O46,"")</f>
        <v/>
      </c>
    </row>
    <row r="47" spans="1:20" x14ac:dyDescent="0.25">
      <c r="A47" s="13" t="s">
        <v>79</v>
      </c>
      <c r="J47" s="10"/>
      <c r="N47" s="11"/>
      <c r="O47" s="10"/>
      <c r="S47" s="11"/>
    </row>
    <row r="48" spans="1:20" ht="15.75" x14ac:dyDescent="0.25">
      <c r="A48" s="13" t="s">
        <v>79</v>
      </c>
      <c r="C48" s="19" t="str">
        <f t="shared" ref="C48" si="9">E48</f>
        <v>C100099</v>
      </c>
      <c r="E48" s="12" t="str">
        <f>"C100099"</f>
        <v>C100099</v>
      </c>
      <c r="F48" s="12"/>
      <c r="G48" s="12" t="str">
        <f>"Voltive Systems"</f>
        <v>Voltive Systems</v>
      </c>
      <c r="H48" s="12"/>
      <c r="I48" s="12"/>
      <c r="J48" s="10"/>
      <c r="N48" s="11"/>
      <c r="O48" s="10"/>
      <c r="S48" s="11"/>
    </row>
    <row r="49" spans="1:20" ht="6.6" customHeight="1" x14ac:dyDescent="0.25">
      <c r="A49" s="13" t="s">
        <v>79</v>
      </c>
      <c r="C49" s="51" t="str">
        <f t="shared" ref="C49:C62" si="10">C48</f>
        <v>C100099</v>
      </c>
      <c r="J49" s="10"/>
      <c r="N49" s="11"/>
      <c r="O49" s="10"/>
      <c r="S49" s="11"/>
    </row>
    <row r="50" spans="1:20" x14ac:dyDescent="0.25">
      <c r="A50" s="13" t="s">
        <v>79</v>
      </c>
      <c r="C50" s="51" t="str">
        <f t="shared" si="10"/>
        <v>C100099</v>
      </c>
      <c r="F50" s="8" t="str">
        <f>"C100007"</f>
        <v>C100007</v>
      </c>
      <c r="G50" s="9" t="str">
        <f>"7.5'' Bud Vase"</f>
        <v>7.5'' Bud Vase</v>
      </c>
      <c r="H50" s="43"/>
      <c r="I50" s="43"/>
      <c r="J50" s="21">
        <v>279.69</v>
      </c>
      <c r="K50" s="23">
        <v>168</v>
      </c>
      <c r="L50" s="22">
        <v>171.37</v>
      </c>
      <c r="M50" s="22">
        <f>J50-L50</f>
        <v>108.32</v>
      </c>
      <c r="N50" s="49">
        <f>IF(J50&lt;&gt;0,M50/J50,"")</f>
        <v>0.38728592370124065</v>
      </c>
      <c r="O50" s="21">
        <v>645.35</v>
      </c>
      <c r="P50" s="23">
        <v>390</v>
      </c>
      <c r="Q50" s="22">
        <v>397.82000000000005</v>
      </c>
      <c r="R50" s="22">
        <f t="shared" ref="R50" si="11">O50-Q50</f>
        <v>247.52999999999997</v>
      </c>
      <c r="S50" s="49">
        <f t="shared" ref="S50" si="12">IF(O50&lt;&gt;0,R50/O50,"")</f>
        <v>0.38355930890214607</v>
      </c>
      <c r="T50" s="10"/>
    </row>
    <row r="51" spans="1:20" x14ac:dyDescent="0.25">
      <c r="A51" s="13" t="s">
        <v>79</v>
      </c>
      <c r="C51" s="51" t="str">
        <f t="shared" ref="C51:C60" si="13">C50</f>
        <v>C100099</v>
      </c>
      <c r="F51" s="8" t="str">
        <f>"C100010"</f>
        <v>C100010</v>
      </c>
      <c r="G51" s="9" t="str">
        <f>"Wisper-Cut Vase"</f>
        <v>Wisper-Cut Vase</v>
      </c>
      <c r="H51" s="43"/>
      <c r="I51" s="43"/>
      <c r="J51" s="21">
        <v>3957.0000000000005</v>
      </c>
      <c r="K51" s="23">
        <v>48</v>
      </c>
      <c r="L51" s="22">
        <v>1931.99</v>
      </c>
      <c r="M51" s="22">
        <f>J51-L51</f>
        <v>2025.0100000000004</v>
      </c>
      <c r="N51" s="49">
        <f>IF(J51&lt;&gt;0,M51/J51,"")</f>
        <v>0.51175385392974482</v>
      </c>
      <c r="O51" s="21">
        <v>0</v>
      </c>
      <c r="P51" s="23">
        <v>0</v>
      </c>
      <c r="Q51" s="22">
        <v>0</v>
      </c>
      <c r="R51" s="22">
        <f t="shared" ref="R51:R60" si="14">O51-Q51</f>
        <v>0</v>
      </c>
      <c r="S51" s="49" t="str">
        <f t="shared" ref="S51:S60" si="15">IF(O51&lt;&gt;0,R51/O51,"")</f>
        <v/>
      </c>
      <c r="T51" s="10"/>
    </row>
    <row r="52" spans="1:20" x14ac:dyDescent="0.25">
      <c r="A52" s="13" t="s">
        <v>79</v>
      </c>
      <c r="C52" s="51" t="str">
        <f t="shared" si="13"/>
        <v>C100099</v>
      </c>
      <c r="F52" s="8" t="str">
        <f>"C100035"</f>
        <v>C100035</v>
      </c>
      <c r="G52" s="9" t="str">
        <f>"Calculator &amp; World Time Clock"</f>
        <v>Calculator &amp; World Time Clock</v>
      </c>
      <c r="H52" s="43"/>
      <c r="I52" s="43"/>
      <c r="J52" s="21">
        <v>420.32000000000005</v>
      </c>
      <c r="K52" s="23">
        <v>146</v>
      </c>
      <c r="L52" s="22">
        <v>286.15999999999997</v>
      </c>
      <c r="M52" s="22">
        <f>J52-L52</f>
        <v>134.16000000000008</v>
      </c>
      <c r="N52" s="49">
        <f>IF(J52&lt;&gt;0,M52/J52,"")</f>
        <v>0.31918538256566442</v>
      </c>
      <c r="O52" s="21">
        <v>163.60999999999999</v>
      </c>
      <c r="P52" s="23">
        <v>57</v>
      </c>
      <c r="Q52" s="22">
        <v>111.71999999999998</v>
      </c>
      <c r="R52" s="22">
        <f t="shared" si="14"/>
        <v>51.89</v>
      </c>
      <c r="S52" s="49">
        <f t="shared" si="15"/>
        <v>0.31715665301631935</v>
      </c>
      <c r="T52" s="10"/>
    </row>
    <row r="53" spans="1:20" x14ac:dyDescent="0.25">
      <c r="A53" s="13" t="s">
        <v>79</v>
      </c>
      <c r="C53" s="51" t="str">
        <f t="shared" si="13"/>
        <v>C100099</v>
      </c>
      <c r="F53" s="8" t="str">
        <f>"C100037"</f>
        <v>C100037</v>
      </c>
      <c r="G53" s="9" t="str">
        <f>"World Time Travel Alarm"</f>
        <v>World Time Travel Alarm</v>
      </c>
      <c r="H53" s="43"/>
      <c r="I53" s="43"/>
      <c r="J53" s="21">
        <v>2607.41</v>
      </c>
      <c r="K53" s="23">
        <v>301</v>
      </c>
      <c r="L53" s="22">
        <v>1625.4199999999998</v>
      </c>
      <c r="M53" s="22">
        <f>J53-L53</f>
        <v>981.99</v>
      </c>
      <c r="N53" s="49">
        <f>IF(J53&lt;&gt;0,M53/J53,"")</f>
        <v>0.37661510847929558</v>
      </c>
      <c r="O53" s="21">
        <v>0</v>
      </c>
      <c r="P53" s="23">
        <v>0</v>
      </c>
      <c r="Q53" s="22">
        <v>0</v>
      </c>
      <c r="R53" s="22">
        <f t="shared" si="14"/>
        <v>0</v>
      </c>
      <c r="S53" s="49" t="str">
        <f t="shared" si="15"/>
        <v/>
      </c>
      <c r="T53" s="10"/>
    </row>
    <row r="54" spans="1:20" x14ac:dyDescent="0.25">
      <c r="A54" s="13" t="s">
        <v>79</v>
      </c>
      <c r="C54" s="51" t="str">
        <f t="shared" si="13"/>
        <v>C100099</v>
      </c>
      <c r="F54" s="8" t="str">
        <f>"C100040"</f>
        <v>C100040</v>
      </c>
      <c r="G54" s="9" t="str">
        <f>"Channel Speaker System"</f>
        <v>Channel Speaker System</v>
      </c>
      <c r="H54" s="43"/>
      <c r="I54" s="43"/>
      <c r="J54" s="21">
        <v>13756.16</v>
      </c>
      <c r="K54" s="23">
        <v>336</v>
      </c>
      <c r="L54" s="22">
        <v>6978.65</v>
      </c>
      <c r="M54" s="22">
        <f>J54-L54</f>
        <v>6777.51</v>
      </c>
      <c r="N54" s="49">
        <f>IF(J54&lt;&gt;0,M54/J54,"")</f>
        <v>0.49268909346794454</v>
      </c>
      <c r="O54" s="21">
        <v>41.12</v>
      </c>
      <c r="P54" s="23">
        <v>1</v>
      </c>
      <c r="Q54" s="22">
        <v>20.77</v>
      </c>
      <c r="R54" s="22">
        <f t="shared" si="14"/>
        <v>20.349999999999998</v>
      </c>
      <c r="S54" s="49">
        <f t="shared" si="15"/>
        <v>0.49489299610894938</v>
      </c>
      <c r="T54" s="10"/>
    </row>
    <row r="55" spans="1:20" x14ac:dyDescent="0.25">
      <c r="A55" s="13" t="s">
        <v>79</v>
      </c>
      <c r="C55" s="51" t="str">
        <f t="shared" si="13"/>
        <v>C100099</v>
      </c>
      <c r="F55" s="8" t="str">
        <f>"C100043"</f>
        <v>C100043</v>
      </c>
      <c r="G55" s="9" t="str">
        <f>"Pro-Travel Technology Set"</f>
        <v>Pro-Travel Technology Set</v>
      </c>
      <c r="H55" s="43"/>
      <c r="I55" s="43"/>
      <c r="J55" s="21">
        <v>4810.82</v>
      </c>
      <c r="K55" s="23">
        <v>156</v>
      </c>
      <c r="L55" s="22">
        <v>2340.08</v>
      </c>
      <c r="M55" s="22">
        <f>J55-L55</f>
        <v>2470.7399999999998</v>
      </c>
      <c r="N55" s="49">
        <f>IF(J55&lt;&gt;0,M55/J55,"")</f>
        <v>0.51357980552171978</v>
      </c>
      <c r="O55" s="21">
        <v>4567.54</v>
      </c>
      <c r="P55" s="23">
        <v>144</v>
      </c>
      <c r="Q55" s="22">
        <v>2160.0699999999997</v>
      </c>
      <c r="R55" s="22">
        <f t="shared" si="14"/>
        <v>2407.4700000000003</v>
      </c>
      <c r="S55" s="49">
        <f t="shared" si="15"/>
        <v>0.5270824119766877</v>
      </c>
      <c r="T55" s="10"/>
    </row>
    <row r="56" spans="1:20" x14ac:dyDescent="0.25">
      <c r="A56" s="13" t="s">
        <v>79</v>
      </c>
      <c r="C56" s="51" t="str">
        <f t="shared" si="13"/>
        <v>C100099</v>
      </c>
      <c r="F56" s="8" t="str">
        <f>"C100044"</f>
        <v>C100044</v>
      </c>
      <c r="G56" s="9" t="str">
        <f>"VOIP Headset with Mic"</f>
        <v>VOIP Headset with Mic</v>
      </c>
      <c r="H56" s="43"/>
      <c r="I56" s="43"/>
      <c r="J56" s="21">
        <v>669.51</v>
      </c>
      <c r="K56" s="23">
        <v>312</v>
      </c>
      <c r="L56" s="22">
        <v>374.51</v>
      </c>
      <c r="M56" s="22">
        <f>J56-L56</f>
        <v>295</v>
      </c>
      <c r="N56" s="49">
        <f>IF(J56&lt;&gt;0,M56/J56,"")</f>
        <v>0.44062075249062749</v>
      </c>
      <c r="O56" s="21">
        <v>931.45</v>
      </c>
      <c r="P56" s="23">
        <v>435</v>
      </c>
      <c r="Q56" s="22">
        <v>522.15</v>
      </c>
      <c r="R56" s="22">
        <f t="shared" si="14"/>
        <v>409.30000000000007</v>
      </c>
      <c r="S56" s="49">
        <f t="shared" si="15"/>
        <v>0.4394224059262441</v>
      </c>
      <c r="T56" s="10"/>
    </row>
    <row r="57" spans="1:20" x14ac:dyDescent="0.25">
      <c r="A57" s="13" t="s">
        <v>79</v>
      </c>
      <c r="C57" s="51" t="str">
        <f t="shared" si="13"/>
        <v>C100099</v>
      </c>
      <c r="F57" s="8" t="str">
        <f>"C100053"</f>
        <v>C100053</v>
      </c>
      <c r="G57" s="9" t="str">
        <f>"Book Style Photo Frame &amp; Clock"</f>
        <v>Book Style Photo Frame &amp; Clock</v>
      </c>
      <c r="H57" s="43"/>
      <c r="I57" s="43"/>
      <c r="J57" s="21">
        <v>1459.76</v>
      </c>
      <c r="K57" s="23">
        <v>72</v>
      </c>
      <c r="L57" s="22">
        <v>866.86</v>
      </c>
      <c r="M57" s="22">
        <f>J57-L57</f>
        <v>592.9</v>
      </c>
      <c r="N57" s="49">
        <f>IF(J57&lt;&gt;0,M57/J57,"")</f>
        <v>0.40616265687510272</v>
      </c>
      <c r="O57" s="21">
        <v>3899.79</v>
      </c>
      <c r="P57" s="23">
        <v>193</v>
      </c>
      <c r="Q57" s="22">
        <v>2323.66</v>
      </c>
      <c r="R57" s="22">
        <f t="shared" si="14"/>
        <v>1576.13</v>
      </c>
      <c r="S57" s="49">
        <f t="shared" si="15"/>
        <v>0.40415765977142359</v>
      </c>
      <c r="T57" s="10"/>
    </row>
    <row r="58" spans="1:20" x14ac:dyDescent="0.25">
      <c r="A58" s="13" t="s">
        <v>79</v>
      </c>
      <c r="C58" s="51" t="str">
        <f t="shared" si="13"/>
        <v>C100099</v>
      </c>
      <c r="F58" s="8" t="str">
        <f>"E100018"</f>
        <v>E100018</v>
      </c>
      <c r="G58" s="9" t="str">
        <f>"Flexi-Clock &amp; Clip"</f>
        <v>Flexi-Clock &amp; Clip</v>
      </c>
      <c r="H58" s="43"/>
      <c r="I58" s="43"/>
      <c r="J58" s="21">
        <v>169.13</v>
      </c>
      <c r="K58" s="23">
        <v>153</v>
      </c>
      <c r="L58" s="22">
        <v>91.79</v>
      </c>
      <c r="M58" s="22">
        <f>J58-L58</f>
        <v>77.339999999999989</v>
      </c>
      <c r="N58" s="49">
        <f>IF(J58&lt;&gt;0,M58/J58,"")</f>
        <v>0.45728138118606981</v>
      </c>
      <c r="O58" s="21">
        <v>176.44</v>
      </c>
      <c r="P58" s="23">
        <v>161</v>
      </c>
      <c r="Q58" s="22">
        <v>96.589999999999989</v>
      </c>
      <c r="R58" s="22">
        <f t="shared" si="14"/>
        <v>79.850000000000009</v>
      </c>
      <c r="S58" s="49">
        <f t="shared" si="15"/>
        <v>0.45256177737474501</v>
      </c>
      <c r="T58" s="10"/>
    </row>
    <row r="59" spans="1:20" x14ac:dyDescent="0.25">
      <c r="A59" s="13" t="s">
        <v>79</v>
      </c>
      <c r="C59" s="51" t="str">
        <f t="shared" si="13"/>
        <v>C100099</v>
      </c>
      <c r="F59" s="8" t="str">
        <f>"E100021"</f>
        <v>E100021</v>
      </c>
      <c r="G59" s="9" t="str">
        <f>"Slim Travel Alarm"</f>
        <v>Slim Travel Alarm</v>
      </c>
      <c r="H59" s="43"/>
      <c r="I59" s="43"/>
      <c r="J59" s="21">
        <v>468.59999999999997</v>
      </c>
      <c r="K59" s="23">
        <v>170</v>
      </c>
      <c r="L59" s="22">
        <v>244.79</v>
      </c>
      <c r="M59" s="22">
        <f>J59-L59</f>
        <v>223.80999999999997</v>
      </c>
      <c r="N59" s="49">
        <f>IF(J59&lt;&gt;0,M59/J59,"")</f>
        <v>0.47761416986769095</v>
      </c>
      <c r="O59" s="21">
        <v>407.92</v>
      </c>
      <c r="P59" s="23">
        <v>146</v>
      </c>
      <c r="Q59" s="22">
        <v>210.23</v>
      </c>
      <c r="R59" s="22">
        <f t="shared" si="14"/>
        <v>197.69000000000003</v>
      </c>
      <c r="S59" s="49">
        <f t="shared" si="15"/>
        <v>0.48462933908609535</v>
      </c>
      <c r="T59" s="10"/>
    </row>
    <row r="60" spans="1:20" x14ac:dyDescent="0.25">
      <c r="A60" s="13" t="s">
        <v>79</v>
      </c>
      <c r="C60" s="51" t="str">
        <f t="shared" si="13"/>
        <v>C100099</v>
      </c>
      <c r="F60" s="8" t="str">
        <f>"E100022"</f>
        <v>E100022</v>
      </c>
      <c r="G60" s="9" t="str">
        <f>"Wide Screen Alarm Clock"</f>
        <v>Wide Screen Alarm Clock</v>
      </c>
      <c r="H60" s="43"/>
      <c r="I60" s="43"/>
      <c r="J60" s="21">
        <v>818.94999999999993</v>
      </c>
      <c r="K60" s="23">
        <v>439</v>
      </c>
      <c r="L60" s="22">
        <v>561.88</v>
      </c>
      <c r="M60" s="22">
        <f>J60-L60</f>
        <v>257.06999999999994</v>
      </c>
      <c r="N60" s="49">
        <f>IF(J60&lt;&gt;0,M60/J60,"")</f>
        <v>0.3139019476158495</v>
      </c>
      <c r="O60" s="21">
        <v>406.25</v>
      </c>
      <c r="P60" s="23">
        <v>217</v>
      </c>
      <c r="Q60" s="22">
        <v>277.74</v>
      </c>
      <c r="R60" s="22">
        <f t="shared" si="14"/>
        <v>128.51</v>
      </c>
      <c r="S60" s="49">
        <f t="shared" si="15"/>
        <v>0.31633230769230769</v>
      </c>
      <c r="T60" s="10"/>
    </row>
    <row r="61" spans="1:20" ht="15.75" thickBot="1" x14ac:dyDescent="0.3">
      <c r="A61" s="13" t="s">
        <v>79</v>
      </c>
      <c r="C61" s="51" t="str">
        <f>C50</f>
        <v>C100099</v>
      </c>
      <c r="J61" s="10"/>
      <c r="N61" s="11"/>
      <c r="O61" s="10"/>
      <c r="S61" s="11"/>
    </row>
    <row r="62" spans="1:20" ht="15.75" thickBot="1" x14ac:dyDescent="0.3">
      <c r="A62" s="13" t="s">
        <v>79</v>
      </c>
      <c r="C62" s="51" t="str">
        <f t="shared" si="10"/>
        <v>C100099</v>
      </c>
      <c r="G62" s="44" t="str">
        <f>C62&amp;" TOTAL:"</f>
        <v>C100099 TOTAL:</v>
      </c>
      <c r="H62" s="46"/>
      <c r="I62" s="46"/>
      <c r="J62" s="31">
        <f>SUBTOTAL(9,J49:J61)</f>
        <v>29417.35</v>
      </c>
      <c r="K62" s="32">
        <f>SUBTOTAL(9,K49:K61)</f>
        <v>2301</v>
      </c>
      <c r="L62" s="33">
        <f>SUBTOTAL(9,L49:L61)</f>
        <v>15473.500000000002</v>
      </c>
      <c r="M62" s="33">
        <f>J62-L62</f>
        <v>13943.849999999997</v>
      </c>
      <c r="N62" s="34">
        <f>IF(J62&lt;&gt;0,M62/J62,"")</f>
        <v>0.47400088723151462</v>
      </c>
      <c r="O62" s="31">
        <f>SUBTOTAL(9,O49:O61)</f>
        <v>11239.470000000001</v>
      </c>
      <c r="P62" s="32">
        <f>SUBTOTAL(9,P49:P61)</f>
        <v>1744</v>
      </c>
      <c r="Q62" s="33">
        <f>SUBTOTAL(9,Q49:Q61)</f>
        <v>6120.7499999999991</v>
      </c>
      <c r="R62" s="33">
        <f t="shared" ref="R62" si="16">O62-Q62</f>
        <v>5118.7200000000021</v>
      </c>
      <c r="S62" s="34">
        <f t="shared" ref="S62" si="17">IF(O62&lt;&gt;0,R62/O62,"")</f>
        <v>0.45542360983213637</v>
      </c>
    </row>
    <row r="63" spans="1:20" x14ac:dyDescent="0.25">
      <c r="A63" s="13" t="s">
        <v>79</v>
      </c>
      <c r="J63" s="10"/>
      <c r="N63" s="11"/>
      <c r="O63" s="10"/>
      <c r="S63" s="11"/>
    </row>
    <row r="64" spans="1:20" ht="15.75" x14ac:dyDescent="0.25">
      <c r="A64" s="13" t="s">
        <v>79</v>
      </c>
      <c r="C64" s="19" t="str">
        <f t="shared" ref="C64" si="18">E64</f>
        <v>C100104</v>
      </c>
      <c r="E64" s="12" t="str">
        <f>"C100104"</f>
        <v>C100104</v>
      </c>
      <c r="F64" s="12"/>
      <c r="G64" s="12" t="str">
        <f>"DenoTech"</f>
        <v>DenoTech</v>
      </c>
      <c r="H64" s="12"/>
      <c r="I64" s="12"/>
      <c r="J64" s="10"/>
      <c r="N64" s="11"/>
      <c r="O64" s="10"/>
      <c r="S64" s="11"/>
    </row>
    <row r="65" spans="1:20" ht="6.6" customHeight="1" x14ac:dyDescent="0.25">
      <c r="A65" s="13" t="s">
        <v>79</v>
      </c>
      <c r="C65" s="51" t="str">
        <f t="shared" ref="C65:C83" si="19">C64</f>
        <v>C100104</v>
      </c>
      <c r="J65" s="10"/>
      <c r="N65" s="11"/>
      <c r="O65" s="10"/>
      <c r="S65" s="11"/>
    </row>
    <row r="66" spans="1:20" x14ac:dyDescent="0.25">
      <c r="A66" s="13" t="s">
        <v>79</v>
      </c>
      <c r="C66" s="51" t="str">
        <f t="shared" si="19"/>
        <v>C100104</v>
      </c>
      <c r="F66" s="8" t="str">
        <f>"C100004"</f>
        <v>C100004</v>
      </c>
      <c r="G66" s="9" t="str">
        <f>"Walnut Medallian Plate"</f>
        <v>Walnut Medallian Plate</v>
      </c>
      <c r="H66" s="43"/>
      <c r="I66" s="43"/>
      <c r="J66" s="21">
        <v>0</v>
      </c>
      <c r="K66" s="23">
        <v>0</v>
      </c>
      <c r="L66" s="22">
        <v>0</v>
      </c>
      <c r="M66" s="22">
        <f>J66-L66</f>
        <v>0</v>
      </c>
      <c r="N66" s="49" t="str">
        <f>IF(J66&lt;&gt;0,M66/J66,"")</f>
        <v/>
      </c>
      <c r="O66" s="21">
        <v>7949.49</v>
      </c>
      <c r="P66" s="23">
        <v>144</v>
      </c>
      <c r="Q66" s="22">
        <v>4406.3899999999994</v>
      </c>
      <c r="R66" s="22">
        <f t="shared" ref="R66" si="20">O66-Q66</f>
        <v>3543.1000000000004</v>
      </c>
      <c r="S66" s="49">
        <f t="shared" ref="S66" si="21">IF(O66&lt;&gt;0,R66/O66,"")</f>
        <v>0.44570154814962976</v>
      </c>
      <c r="T66" s="10"/>
    </row>
    <row r="67" spans="1:20" x14ac:dyDescent="0.25">
      <c r="A67" s="13" t="s">
        <v>79</v>
      </c>
      <c r="C67" s="51" t="str">
        <f t="shared" ref="C67:C81" si="22">C66</f>
        <v>C100104</v>
      </c>
      <c r="F67" s="8" t="str">
        <f>"C100006"</f>
        <v>C100006</v>
      </c>
      <c r="G67" s="9" t="str">
        <f>"Cherry Finished Crystal Award- Large"</f>
        <v>Cherry Finished Crystal Award- Large</v>
      </c>
      <c r="H67" s="43"/>
      <c r="I67" s="43"/>
      <c r="J67" s="21">
        <v>9434.14</v>
      </c>
      <c r="K67" s="23">
        <v>48</v>
      </c>
      <c r="L67" s="22">
        <v>4561.92</v>
      </c>
      <c r="M67" s="22">
        <f>J67-L67</f>
        <v>4872.2199999999993</v>
      </c>
      <c r="N67" s="49">
        <f>IF(J67&lt;&gt;0,M67/J67,"")</f>
        <v>0.51644559016508129</v>
      </c>
      <c r="O67" s="21">
        <v>1166.72</v>
      </c>
      <c r="P67" s="23">
        <v>6</v>
      </c>
      <c r="Q67" s="22">
        <v>570.24</v>
      </c>
      <c r="R67" s="22">
        <f t="shared" ref="R67:R81" si="23">O67-Q67</f>
        <v>596.48</v>
      </c>
      <c r="S67" s="49">
        <f t="shared" ref="S67:S81" si="24">IF(O67&lt;&gt;0,R67/O67,"")</f>
        <v>0.51124520021941855</v>
      </c>
      <c r="T67" s="10"/>
    </row>
    <row r="68" spans="1:20" x14ac:dyDescent="0.25">
      <c r="A68" s="13" t="s">
        <v>79</v>
      </c>
      <c r="C68" s="51" t="str">
        <f t="shared" si="22"/>
        <v>C100104</v>
      </c>
      <c r="F68" s="8" t="str">
        <f>"C100019"</f>
        <v>C100019</v>
      </c>
      <c r="G68" s="9" t="str">
        <f>"Black Duffel Bag"</f>
        <v>Black Duffel Bag</v>
      </c>
      <c r="H68" s="43"/>
      <c r="I68" s="43"/>
      <c r="J68" s="21">
        <v>0</v>
      </c>
      <c r="K68" s="23">
        <v>0</v>
      </c>
      <c r="L68" s="22">
        <v>0</v>
      </c>
      <c r="M68" s="22">
        <f>J68-L68</f>
        <v>0</v>
      </c>
      <c r="N68" s="49" t="str">
        <f>IF(J68&lt;&gt;0,M68/J68,"")</f>
        <v/>
      </c>
      <c r="O68" s="21">
        <v>4889.1899999999996</v>
      </c>
      <c r="P68" s="23">
        <v>72</v>
      </c>
      <c r="Q68" s="22">
        <v>3075.85</v>
      </c>
      <c r="R68" s="22">
        <f t="shared" si="23"/>
        <v>1813.3399999999997</v>
      </c>
      <c r="S68" s="49">
        <f t="shared" si="24"/>
        <v>0.37088761124030767</v>
      </c>
      <c r="T68" s="10"/>
    </row>
    <row r="69" spans="1:20" x14ac:dyDescent="0.25">
      <c r="A69" s="13" t="s">
        <v>79</v>
      </c>
      <c r="C69" s="51" t="str">
        <f t="shared" si="22"/>
        <v>C100104</v>
      </c>
      <c r="F69" s="8" t="str">
        <f>"C100026"</f>
        <v>C100026</v>
      </c>
      <c r="G69" s="9" t="str">
        <f>"Fleece Beanie"</f>
        <v>Fleece Beanie</v>
      </c>
      <c r="H69" s="43"/>
      <c r="I69" s="43"/>
      <c r="J69" s="21">
        <v>0</v>
      </c>
      <c r="K69" s="23">
        <v>0</v>
      </c>
      <c r="L69" s="22">
        <v>0</v>
      </c>
      <c r="M69" s="22">
        <f>J69-L69</f>
        <v>0</v>
      </c>
      <c r="N69" s="49" t="str">
        <f>IF(J69&lt;&gt;0,M69/J69,"")</f>
        <v/>
      </c>
      <c r="O69" s="21">
        <v>2.9</v>
      </c>
      <c r="P69" s="23">
        <v>1</v>
      </c>
      <c r="Q69" s="22">
        <v>2</v>
      </c>
      <c r="R69" s="22">
        <f t="shared" si="23"/>
        <v>0.89999999999999991</v>
      </c>
      <c r="S69" s="49">
        <f t="shared" si="24"/>
        <v>0.31034482758620685</v>
      </c>
      <c r="T69" s="10"/>
    </row>
    <row r="70" spans="1:20" x14ac:dyDescent="0.25">
      <c r="A70" s="13" t="s">
        <v>79</v>
      </c>
      <c r="C70" s="51" t="str">
        <f t="shared" si="22"/>
        <v>C100104</v>
      </c>
      <c r="F70" s="8" t="str">
        <f>"C100030"</f>
        <v>C100030</v>
      </c>
      <c r="G70" s="9" t="str">
        <f>"Fashion Visor"</f>
        <v>Fashion Visor</v>
      </c>
      <c r="H70" s="43"/>
      <c r="I70" s="43"/>
      <c r="J70" s="21">
        <v>49.41</v>
      </c>
      <c r="K70" s="23">
        <v>12</v>
      </c>
      <c r="L70" s="22">
        <v>29.04</v>
      </c>
      <c r="M70" s="22">
        <f>J70-L70</f>
        <v>20.369999999999997</v>
      </c>
      <c r="N70" s="49">
        <f>IF(J70&lt;&gt;0,M70/J70,"")</f>
        <v>0.41226472374013357</v>
      </c>
      <c r="O70" s="21">
        <v>590.82000000000005</v>
      </c>
      <c r="P70" s="23">
        <v>145</v>
      </c>
      <c r="Q70" s="22">
        <v>350.91</v>
      </c>
      <c r="R70" s="22">
        <f t="shared" si="23"/>
        <v>239.91000000000003</v>
      </c>
      <c r="S70" s="49">
        <f t="shared" si="24"/>
        <v>0.40606276023154259</v>
      </c>
      <c r="T70" s="10"/>
    </row>
    <row r="71" spans="1:20" x14ac:dyDescent="0.25">
      <c r="A71" s="13" t="s">
        <v>79</v>
      </c>
      <c r="C71" s="51" t="str">
        <f t="shared" si="22"/>
        <v>C100104</v>
      </c>
      <c r="F71" s="8" t="str">
        <f>"C100031"</f>
        <v>C100031</v>
      </c>
      <c r="G71" s="9" t="str">
        <f>"Carabiner Watch"</f>
        <v>Carabiner Watch</v>
      </c>
      <c r="H71" s="43"/>
      <c r="I71" s="43"/>
      <c r="J71" s="21">
        <v>0</v>
      </c>
      <c r="K71" s="23">
        <v>0</v>
      </c>
      <c r="L71" s="22">
        <v>0</v>
      </c>
      <c r="M71" s="22">
        <f>J71-L71</f>
        <v>0</v>
      </c>
      <c r="N71" s="49" t="str">
        <f>IF(J71&lt;&gt;0,M71/J71,"")</f>
        <v/>
      </c>
      <c r="O71" s="21">
        <v>2638.29</v>
      </c>
      <c r="P71" s="23">
        <v>150</v>
      </c>
      <c r="Q71" s="22">
        <v>1287</v>
      </c>
      <c r="R71" s="22">
        <f t="shared" si="23"/>
        <v>1351.29</v>
      </c>
      <c r="S71" s="49">
        <f t="shared" si="24"/>
        <v>0.51218402829105214</v>
      </c>
      <c r="T71" s="10"/>
    </row>
    <row r="72" spans="1:20" x14ac:dyDescent="0.25">
      <c r="A72" s="13" t="s">
        <v>79</v>
      </c>
      <c r="C72" s="51" t="str">
        <f t="shared" si="22"/>
        <v>C100104</v>
      </c>
      <c r="F72" s="8" t="str">
        <f>"E100001"</f>
        <v>E100001</v>
      </c>
      <c r="G72" s="9" t="str">
        <f>"Sport Bag"</f>
        <v>Sport Bag</v>
      </c>
      <c r="H72" s="43"/>
      <c r="I72" s="43"/>
      <c r="J72" s="21">
        <v>0</v>
      </c>
      <c r="K72" s="23">
        <v>0</v>
      </c>
      <c r="L72" s="22">
        <v>0</v>
      </c>
      <c r="M72" s="22">
        <f>J72-L72</f>
        <v>0</v>
      </c>
      <c r="N72" s="49" t="str">
        <f>IF(J72&lt;&gt;0,M72/J72,"")</f>
        <v/>
      </c>
      <c r="O72" s="21">
        <v>242.4</v>
      </c>
      <c r="P72" s="23">
        <v>144</v>
      </c>
      <c r="Q72" s="22">
        <v>125.28</v>
      </c>
      <c r="R72" s="22">
        <f t="shared" si="23"/>
        <v>117.12</v>
      </c>
      <c r="S72" s="49">
        <f t="shared" si="24"/>
        <v>0.48316831683168315</v>
      </c>
      <c r="T72" s="10"/>
    </row>
    <row r="73" spans="1:20" x14ac:dyDescent="0.25">
      <c r="A73" s="13" t="s">
        <v>79</v>
      </c>
      <c r="C73" s="51" t="str">
        <f t="shared" si="22"/>
        <v>C100104</v>
      </c>
      <c r="F73" s="8" t="str">
        <f>"E100012"</f>
        <v>E100012</v>
      </c>
      <c r="G73" s="9" t="str">
        <f>"Canvas Stopwatch"</f>
        <v>Canvas Stopwatch</v>
      </c>
      <c r="H73" s="43"/>
      <c r="I73" s="43"/>
      <c r="J73" s="21">
        <v>0</v>
      </c>
      <c r="K73" s="23">
        <v>0</v>
      </c>
      <c r="L73" s="22">
        <v>0</v>
      </c>
      <c r="M73" s="22">
        <f>J73-L73</f>
        <v>0</v>
      </c>
      <c r="N73" s="49" t="str">
        <f>IF(J73&lt;&gt;0,M73/J73,"")</f>
        <v/>
      </c>
      <c r="O73" s="21">
        <v>3.44</v>
      </c>
      <c r="P73" s="23">
        <v>1</v>
      </c>
      <c r="Q73" s="22">
        <v>1.96</v>
      </c>
      <c r="R73" s="22">
        <f t="shared" si="23"/>
        <v>1.48</v>
      </c>
      <c r="S73" s="49">
        <f t="shared" si="24"/>
        <v>0.43023255813953487</v>
      </c>
      <c r="T73" s="10"/>
    </row>
    <row r="74" spans="1:20" x14ac:dyDescent="0.25">
      <c r="A74" s="13" t="s">
        <v>79</v>
      </c>
      <c r="C74" s="51" t="str">
        <f t="shared" si="22"/>
        <v>C100104</v>
      </c>
      <c r="F74" s="8" t="str">
        <f>"E100013"</f>
        <v>E100013</v>
      </c>
      <c r="G74" s="9" t="str">
        <f>"Clip-on Stopwatch"</f>
        <v>Clip-on Stopwatch</v>
      </c>
      <c r="H74" s="43"/>
      <c r="I74" s="43"/>
      <c r="J74" s="21">
        <v>0</v>
      </c>
      <c r="K74" s="23">
        <v>0</v>
      </c>
      <c r="L74" s="22">
        <v>0</v>
      </c>
      <c r="M74" s="22">
        <f>J74-L74</f>
        <v>0</v>
      </c>
      <c r="N74" s="49" t="str">
        <f>IF(J74&lt;&gt;0,M74/J74,"")</f>
        <v/>
      </c>
      <c r="O74" s="21">
        <v>739.24</v>
      </c>
      <c r="P74" s="23">
        <v>288</v>
      </c>
      <c r="Q74" s="22">
        <v>414.7</v>
      </c>
      <c r="R74" s="22">
        <f t="shared" si="23"/>
        <v>324.54000000000002</v>
      </c>
      <c r="S74" s="49">
        <f t="shared" si="24"/>
        <v>0.43901845138250095</v>
      </c>
      <c r="T74" s="10"/>
    </row>
    <row r="75" spans="1:20" x14ac:dyDescent="0.25">
      <c r="A75" s="13" t="s">
        <v>79</v>
      </c>
      <c r="C75" s="51" t="str">
        <f t="shared" si="22"/>
        <v>C100104</v>
      </c>
      <c r="F75" s="8" t="str">
        <f>"E100017"</f>
        <v>E100017</v>
      </c>
      <c r="G75" s="9" t="str">
        <f>"Clip-on Clock with Compass"</f>
        <v>Clip-on Clock with Compass</v>
      </c>
      <c r="H75" s="43"/>
      <c r="I75" s="43"/>
      <c r="J75" s="21">
        <v>211.16</v>
      </c>
      <c r="K75" s="23">
        <v>144</v>
      </c>
      <c r="L75" s="22">
        <v>126.72</v>
      </c>
      <c r="M75" s="22">
        <f>J75-L75</f>
        <v>84.44</v>
      </c>
      <c r="N75" s="49">
        <f>IF(J75&lt;&gt;0,M75/J75,"")</f>
        <v>0.39988634211024815</v>
      </c>
      <c r="O75" s="21">
        <v>1.45</v>
      </c>
      <c r="P75" s="23">
        <v>1</v>
      </c>
      <c r="Q75" s="22">
        <v>0.88</v>
      </c>
      <c r="R75" s="22">
        <f t="shared" si="23"/>
        <v>0.56999999999999995</v>
      </c>
      <c r="S75" s="49">
        <f t="shared" si="24"/>
        <v>0.39310344827586202</v>
      </c>
      <c r="T75" s="10"/>
    </row>
    <row r="76" spans="1:20" x14ac:dyDescent="0.25">
      <c r="A76" s="13" t="s">
        <v>79</v>
      </c>
      <c r="C76" s="51" t="str">
        <f t="shared" si="22"/>
        <v>C100104</v>
      </c>
      <c r="F76" s="8" t="str">
        <f>"E100018"</f>
        <v>E100018</v>
      </c>
      <c r="G76" s="9" t="str">
        <f>"Flexi-Clock &amp; Clip"</f>
        <v>Flexi-Clock &amp; Clip</v>
      </c>
      <c r="H76" s="43"/>
      <c r="I76" s="43"/>
      <c r="J76" s="21">
        <v>0</v>
      </c>
      <c r="K76" s="23">
        <v>0</v>
      </c>
      <c r="L76" s="22">
        <v>0</v>
      </c>
      <c r="M76" s="22">
        <f>J76-L76</f>
        <v>0</v>
      </c>
      <c r="N76" s="49" t="str">
        <f>IF(J76&lt;&gt;0,M76/J76,"")</f>
        <v/>
      </c>
      <c r="O76" s="21">
        <v>309.17</v>
      </c>
      <c r="P76" s="23">
        <v>288</v>
      </c>
      <c r="Q76" s="22">
        <v>172.78</v>
      </c>
      <c r="R76" s="22">
        <f t="shared" si="23"/>
        <v>136.39000000000001</v>
      </c>
      <c r="S76" s="49">
        <f t="shared" si="24"/>
        <v>0.44114888249183298</v>
      </c>
      <c r="T76" s="10"/>
    </row>
    <row r="77" spans="1:20" x14ac:dyDescent="0.25">
      <c r="A77" s="13" t="s">
        <v>79</v>
      </c>
      <c r="C77" s="51" t="str">
        <f t="shared" si="22"/>
        <v>C100104</v>
      </c>
      <c r="F77" s="8" t="str">
        <f>"S100001"</f>
        <v>S100001</v>
      </c>
      <c r="G77" s="9" t="str">
        <f>"Basketball Graphic Plaque"</f>
        <v>Basketball Graphic Plaque</v>
      </c>
      <c r="H77" s="43"/>
      <c r="I77" s="43"/>
      <c r="J77" s="21">
        <v>0</v>
      </c>
      <c r="K77" s="23">
        <v>0</v>
      </c>
      <c r="L77" s="22">
        <v>0</v>
      </c>
      <c r="M77" s="22">
        <f>J77-L77</f>
        <v>0</v>
      </c>
      <c r="N77" s="49" t="str">
        <f>IF(J77&lt;&gt;0,M77/J77,"")</f>
        <v/>
      </c>
      <c r="O77" s="21">
        <v>2241.8200000000002</v>
      </c>
      <c r="P77" s="23">
        <v>144</v>
      </c>
      <c r="Q77" s="22">
        <v>1310.4000000000001</v>
      </c>
      <c r="R77" s="22">
        <f t="shared" si="23"/>
        <v>931.42000000000007</v>
      </c>
      <c r="S77" s="49">
        <f t="shared" si="24"/>
        <v>0.41547492662211954</v>
      </c>
      <c r="T77" s="10"/>
    </row>
    <row r="78" spans="1:20" x14ac:dyDescent="0.25">
      <c r="A78" s="13" t="s">
        <v>79</v>
      </c>
      <c r="C78" s="51" t="str">
        <f t="shared" si="22"/>
        <v>C100104</v>
      </c>
      <c r="F78" s="8" t="str">
        <f>"S100003"</f>
        <v>S100003</v>
      </c>
      <c r="G78" s="9" t="str">
        <f>"Soccer #1 Pin"</f>
        <v>Soccer #1 Pin</v>
      </c>
      <c r="H78" s="43"/>
      <c r="I78" s="43"/>
      <c r="J78" s="21">
        <v>0</v>
      </c>
      <c r="K78" s="23">
        <v>0</v>
      </c>
      <c r="L78" s="22">
        <v>0</v>
      </c>
      <c r="M78" s="22">
        <f>J78-L78</f>
        <v>0</v>
      </c>
      <c r="N78" s="49" t="str">
        <f>IF(J78&lt;&gt;0,M78/J78,"")</f>
        <v/>
      </c>
      <c r="O78" s="21">
        <v>412.56</v>
      </c>
      <c r="P78" s="23">
        <v>288</v>
      </c>
      <c r="Q78" s="22">
        <v>259.2</v>
      </c>
      <c r="R78" s="22">
        <f t="shared" si="23"/>
        <v>153.36000000000001</v>
      </c>
      <c r="S78" s="49">
        <f t="shared" si="24"/>
        <v>0.37172774869109948</v>
      </c>
      <c r="T78" s="10"/>
    </row>
    <row r="79" spans="1:20" x14ac:dyDescent="0.25">
      <c r="A79" s="13" t="s">
        <v>79</v>
      </c>
      <c r="C79" s="51" t="str">
        <f t="shared" si="22"/>
        <v>C100104</v>
      </c>
      <c r="F79" s="8" t="str">
        <f>"S100005"</f>
        <v>S100005</v>
      </c>
      <c r="G79" s="9" t="str">
        <f>"Award Medallian - 2.5''"</f>
        <v>Award Medallian - 2.5''</v>
      </c>
      <c r="H79" s="43"/>
      <c r="I79" s="43"/>
      <c r="J79" s="21">
        <v>0</v>
      </c>
      <c r="K79" s="23">
        <v>0</v>
      </c>
      <c r="L79" s="22">
        <v>0</v>
      </c>
      <c r="M79" s="22">
        <f>J79-L79</f>
        <v>0</v>
      </c>
      <c r="N79" s="49" t="str">
        <f>IF(J79&lt;&gt;0,M79/J79,"")</f>
        <v/>
      </c>
      <c r="O79" s="21">
        <v>2384.6</v>
      </c>
      <c r="P79" s="23">
        <v>288</v>
      </c>
      <c r="Q79" s="22">
        <v>1503.38</v>
      </c>
      <c r="R79" s="22">
        <f t="shared" si="23"/>
        <v>881.2199999999998</v>
      </c>
      <c r="S79" s="49">
        <f t="shared" si="24"/>
        <v>0.36954625513712985</v>
      </c>
      <c r="T79" s="10"/>
    </row>
    <row r="80" spans="1:20" x14ac:dyDescent="0.25">
      <c r="A80" s="13" t="s">
        <v>79</v>
      </c>
      <c r="C80" s="51" t="str">
        <f t="shared" si="22"/>
        <v>C100104</v>
      </c>
      <c r="F80" s="8" t="str">
        <f>"S100017"</f>
        <v>S100017</v>
      </c>
      <c r="G80" s="9" t="str">
        <f>"Microfiber Bucket Hat"</f>
        <v>Microfiber Bucket Hat</v>
      </c>
      <c r="H80" s="43"/>
      <c r="I80" s="43"/>
      <c r="J80" s="21">
        <v>6.94</v>
      </c>
      <c r="K80" s="23">
        <v>1</v>
      </c>
      <c r="L80" s="22">
        <v>4.76</v>
      </c>
      <c r="M80" s="22">
        <f>J80-L80</f>
        <v>2.1800000000000006</v>
      </c>
      <c r="N80" s="49">
        <f>IF(J80&lt;&gt;0,M80/J80,"")</f>
        <v>0.31412103746397702</v>
      </c>
      <c r="O80" s="21">
        <v>41.18</v>
      </c>
      <c r="P80" s="23">
        <v>6</v>
      </c>
      <c r="Q80" s="22">
        <v>28.56</v>
      </c>
      <c r="R80" s="22">
        <f t="shared" si="23"/>
        <v>12.620000000000001</v>
      </c>
      <c r="S80" s="49">
        <f t="shared" si="24"/>
        <v>0.30645944633317146</v>
      </c>
      <c r="T80" s="10"/>
    </row>
    <row r="81" spans="1:20" x14ac:dyDescent="0.25">
      <c r="A81" s="13" t="s">
        <v>79</v>
      </c>
      <c r="C81" s="51" t="str">
        <f t="shared" si="22"/>
        <v>C100104</v>
      </c>
      <c r="F81" s="8" t="str">
        <f>"S100020"</f>
        <v>S100020</v>
      </c>
      <c r="G81" s="9" t="str">
        <f>"Super Sport Stopwatch"</f>
        <v>Super Sport Stopwatch</v>
      </c>
      <c r="H81" s="43"/>
      <c r="I81" s="43"/>
      <c r="J81" s="21">
        <v>0</v>
      </c>
      <c r="K81" s="23">
        <v>0</v>
      </c>
      <c r="L81" s="22">
        <v>0</v>
      </c>
      <c r="M81" s="22">
        <f>J81-L81</f>
        <v>0</v>
      </c>
      <c r="N81" s="49" t="str">
        <f>IF(J81&lt;&gt;0,M81/J81,"")</f>
        <v/>
      </c>
      <c r="O81" s="21">
        <v>294.06</v>
      </c>
      <c r="P81" s="23">
        <v>145</v>
      </c>
      <c r="Q81" s="22">
        <v>152.25</v>
      </c>
      <c r="R81" s="22">
        <f t="shared" si="23"/>
        <v>141.81</v>
      </c>
      <c r="S81" s="49">
        <f t="shared" si="24"/>
        <v>0.48224852071005919</v>
      </c>
      <c r="T81" s="10"/>
    </row>
    <row r="82" spans="1:20" ht="15.75" thickBot="1" x14ac:dyDescent="0.3">
      <c r="A82" s="13" t="s">
        <v>79</v>
      </c>
      <c r="C82" s="51" t="str">
        <f>C66</f>
        <v>C100104</v>
      </c>
      <c r="J82" s="10"/>
      <c r="N82" s="11"/>
      <c r="O82" s="10"/>
      <c r="S82" s="11"/>
    </row>
    <row r="83" spans="1:20" ht="15.75" thickBot="1" x14ac:dyDescent="0.3">
      <c r="A83" s="13" t="s">
        <v>79</v>
      </c>
      <c r="C83" s="51" t="str">
        <f t="shared" si="19"/>
        <v>C100104</v>
      </c>
      <c r="G83" s="44" t="str">
        <f>C83&amp;" TOTAL:"</f>
        <v>C100104 TOTAL:</v>
      </c>
      <c r="H83" s="46"/>
      <c r="I83" s="46"/>
      <c r="J83" s="31">
        <f>SUBTOTAL(9,J65:J82)</f>
        <v>9701.65</v>
      </c>
      <c r="K83" s="32">
        <f>SUBTOTAL(9,K65:K82)</f>
        <v>205</v>
      </c>
      <c r="L83" s="33">
        <f>SUBTOTAL(9,L65:L82)</f>
        <v>4722.4400000000005</v>
      </c>
      <c r="M83" s="33">
        <f>J83-L83</f>
        <v>4979.2099999999991</v>
      </c>
      <c r="N83" s="34">
        <f>IF(J83&lt;&gt;0,M83/J83,"")</f>
        <v>0.51323331598233279</v>
      </c>
      <c r="O83" s="31">
        <f>SUBTOTAL(9,O65:O82)</f>
        <v>23907.329999999998</v>
      </c>
      <c r="P83" s="32">
        <f>SUBTOTAL(9,P65:P82)</f>
        <v>2111</v>
      </c>
      <c r="Q83" s="33">
        <f>SUBTOTAL(9,Q65:Q82)</f>
        <v>13661.78</v>
      </c>
      <c r="R83" s="33">
        <f t="shared" ref="R83" si="25">O83-Q83</f>
        <v>10245.549999999997</v>
      </c>
      <c r="S83" s="34">
        <f t="shared" ref="S83" si="26">IF(O83&lt;&gt;0,R83/O83,"")</f>
        <v>0.42855266564689565</v>
      </c>
    </row>
    <row r="84" spans="1:20" x14ac:dyDescent="0.25">
      <c r="A84" s="13" t="s">
        <v>79</v>
      </c>
      <c r="J84" s="10"/>
      <c r="N84" s="11"/>
      <c r="O84" s="10"/>
      <c r="S84" s="11"/>
    </row>
    <row r="85" spans="1:20" ht="15.75" x14ac:dyDescent="0.25">
      <c r="A85" s="13" t="s">
        <v>79</v>
      </c>
      <c r="C85" s="19" t="str">
        <f t="shared" ref="C85" si="27">E85</f>
        <v>C100119</v>
      </c>
      <c r="E85" s="12" t="str">
        <f>"C100119"</f>
        <v>C100119</v>
      </c>
      <c r="F85" s="12"/>
      <c r="G85" s="12" t="str">
        <f>"Inchit, Inc."</f>
        <v>Inchit, Inc.</v>
      </c>
      <c r="H85" s="12"/>
      <c r="I85" s="12"/>
      <c r="J85" s="10"/>
      <c r="N85" s="11"/>
      <c r="O85" s="10"/>
      <c r="S85" s="11"/>
    </row>
    <row r="86" spans="1:20" ht="6.6" customHeight="1" x14ac:dyDescent="0.25">
      <c r="A86" s="13" t="s">
        <v>79</v>
      </c>
      <c r="C86" s="51" t="str">
        <f t="shared" ref="C86:C111" si="28">C85</f>
        <v>C100119</v>
      </c>
      <c r="J86" s="10"/>
      <c r="N86" s="11"/>
      <c r="O86" s="10"/>
      <c r="S86" s="11"/>
    </row>
    <row r="87" spans="1:20" x14ac:dyDescent="0.25">
      <c r="A87" s="13" t="s">
        <v>79</v>
      </c>
      <c r="C87" s="51" t="str">
        <f t="shared" si="28"/>
        <v>C100119</v>
      </c>
      <c r="F87" s="8" t="str">
        <f>"C100025"</f>
        <v>C100025</v>
      </c>
      <c r="G87" s="9" t="str">
        <f>"Striped Knit Hat"</f>
        <v>Striped Knit Hat</v>
      </c>
      <c r="H87" s="43"/>
      <c r="I87" s="43"/>
      <c r="J87" s="21">
        <v>0</v>
      </c>
      <c r="K87" s="23">
        <v>0</v>
      </c>
      <c r="L87" s="22">
        <v>0</v>
      </c>
      <c r="M87" s="22">
        <f>J87-L87</f>
        <v>0</v>
      </c>
      <c r="N87" s="49" t="str">
        <f>IF(J87&lt;&gt;0,M87/J87,"")</f>
        <v/>
      </c>
      <c r="O87" s="21">
        <v>841.08</v>
      </c>
      <c r="P87" s="23">
        <v>288</v>
      </c>
      <c r="Q87" s="22">
        <v>397.45000000000005</v>
      </c>
      <c r="R87" s="22">
        <f t="shared" ref="R87" si="29">O87-Q87</f>
        <v>443.63</v>
      </c>
      <c r="S87" s="49">
        <f t="shared" ref="S87" si="30">IF(O87&lt;&gt;0,R87/O87,"")</f>
        <v>0.52745279878251772</v>
      </c>
      <c r="T87" s="10"/>
    </row>
    <row r="88" spans="1:20" x14ac:dyDescent="0.25">
      <c r="A88" s="13" t="s">
        <v>79</v>
      </c>
      <c r="C88" s="51" t="str">
        <f t="shared" ref="C88:C109" si="31">C87</f>
        <v>C100119</v>
      </c>
      <c r="F88" s="8" t="str">
        <f>"C100033"</f>
        <v>C100033</v>
      </c>
      <c r="G88" s="9" t="str">
        <f>"Frames &amp; Clock"</f>
        <v>Frames &amp; Clock</v>
      </c>
      <c r="H88" s="43"/>
      <c r="I88" s="43"/>
      <c r="J88" s="21">
        <v>0</v>
      </c>
      <c r="K88" s="23">
        <v>0</v>
      </c>
      <c r="L88" s="22">
        <v>0</v>
      </c>
      <c r="M88" s="22">
        <f>J88-L88</f>
        <v>0</v>
      </c>
      <c r="N88" s="49" t="str">
        <f>IF(J88&lt;&gt;0,M88/J88,"")</f>
        <v/>
      </c>
      <c r="O88" s="21">
        <v>683.02</v>
      </c>
      <c r="P88" s="23">
        <v>144</v>
      </c>
      <c r="Q88" s="22">
        <v>414.7</v>
      </c>
      <c r="R88" s="22">
        <f t="shared" ref="R88:R109" si="32">O88-Q88</f>
        <v>268.32</v>
      </c>
      <c r="S88" s="49">
        <f t="shared" ref="S88:S109" si="33">IF(O88&lt;&gt;0,R88/O88,"")</f>
        <v>0.39284354777312525</v>
      </c>
      <c r="T88" s="10"/>
    </row>
    <row r="89" spans="1:20" x14ac:dyDescent="0.25">
      <c r="A89" s="13" t="s">
        <v>79</v>
      </c>
      <c r="C89" s="51" t="str">
        <f t="shared" si="31"/>
        <v>C100119</v>
      </c>
      <c r="F89" s="8" t="str">
        <f>"C100035"</f>
        <v>C100035</v>
      </c>
      <c r="G89" s="9" t="str">
        <f>"Calculator &amp; World Time Clock"</f>
        <v>Calculator &amp; World Time Clock</v>
      </c>
      <c r="H89" s="43"/>
      <c r="I89" s="43"/>
      <c r="J89" s="21">
        <v>0</v>
      </c>
      <c r="K89" s="23">
        <v>0</v>
      </c>
      <c r="L89" s="22">
        <v>0</v>
      </c>
      <c r="M89" s="22">
        <f>J89-L89</f>
        <v>0</v>
      </c>
      <c r="N89" s="49" t="str">
        <f>IF(J89&lt;&gt;0,M89/J89,"")</f>
        <v/>
      </c>
      <c r="O89" s="21">
        <v>414.89</v>
      </c>
      <c r="P89" s="23">
        <v>144</v>
      </c>
      <c r="Q89" s="22">
        <v>282.24</v>
      </c>
      <c r="R89" s="22">
        <f t="shared" si="32"/>
        <v>132.64999999999998</v>
      </c>
      <c r="S89" s="49">
        <f t="shared" si="33"/>
        <v>0.31972330015184741</v>
      </c>
      <c r="T89" s="10"/>
    </row>
    <row r="90" spans="1:20" x14ac:dyDescent="0.25">
      <c r="A90" s="13" t="s">
        <v>79</v>
      </c>
      <c r="C90" s="51" t="str">
        <f t="shared" si="31"/>
        <v>C100119</v>
      </c>
      <c r="F90" s="8" t="str">
        <f>"C100044"</f>
        <v>C100044</v>
      </c>
      <c r="G90" s="9" t="str">
        <f>"VOIP Headset with Mic"</f>
        <v>VOIP Headset with Mic</v>
      </c>
      <c r="H90" s="43"/>
      <c r="I90" s="43"/>
      <c r="J90" s="21">
        <v>0</v>
      </c>
      <c r="K90" s="23">
        <v>0</v>
      </c>
      <c r="L90" s="22">
        <v>0</v>
      </c>
      <c r="M90" s="22">
        <f>J90-L90</f>
        <v>0</v>
      </c>
      <c r="N90" s="49" t="str">
        <f>IF(J90&lt;&gt;0,M90/J90,"")</f>
        <v/>
      </c>
      <c r="O90" s="21">
        <v>310.45999999999998</v>
      </c>
      <c r="P90" s="23">
        <v>144</v>
      </c>
      <c r="Q90" s="22">
        <v>172.85</v>
      </c>
      <c r="R90" s="22">
        <f t="shared" si="32"/>
        <v>137.60999999999999</v>
      </c>
      <c r="S90" s="49">
        <f t="shared" si="33"/>
        <v>0.4432455066675256</v>
      </c>
      <c r="T90" s="10"/>
    </row>
    <row r="91" spans="1:20" x14ac:dyDescent="0.25">
      <c r="A91" s="13" t="s">
        <v>79</v>
      </c>
      <c r="C91" s="51" t="str">
        <f t="shared" si="31"/>
        <v>C100119</v>
      </c>
      <c r="F91" s="8" t="str">
        <f>"C100062"</f>
        <v>C100062</v>
      </c>
      <c r="G91" s="9" t="str">
        <f>"Tall Matte Finish Mug"</f>
        <v>Tall Matte Finish Mug</v>
      </c>
      <c r="H91" s="43"/>
      <c r="I91" s="43"/>
      <c r="J91" s="21">
        <v>0</v>
      </c>
      <c r="K91" s="23">
        <v>0</v>
      </c>
      <c r="L91" s="22">
        <v>0</v>
      </c>
      <c r="M91" s="22">
        <f>J91-L91</f>
        <v>0</v>
      </c>
      <c r="N91" s="49" t="str">
        <f>IF(J91&lt;&gt;0,M91/J91,"")</f>
        <v/>
      </c>
      <c r="O91" s="21">
        <v>173.58</v>
      </c>
      <c r="P91" s="23">
        <v>144</v>
      </c>
      <c r="Q91" s="22">
        <v>97.929999999999993</v>
      </c>
      <c r="R91" s="22">
        <f t="shared" si="32"/>
        <v>75.65000000000002</v>
      </c>
      <c r="S91" s="49">
        <f t="shared" si="33"/>
        <v>0.43582209932019828</v>
      </c>
      <c r="T91" s="10"/>
    </row>
    <row r="92" spans="1:20" x14ac:dyDescent="0.25">
      <c r="A92" s="13" t="s">
        <v>79</v>
      </c>
      <c r="C92" s="51" t="str">
        <f t="shared" si="31"/>
        <v>C100119</v>
      </c>
      <c r="F92" s="8" t="str">
        <f>"E100004"</f>
        <v>E100004</v>
      </c>
      <c r="G92" s="9" t="str">
        <f>"Laminated Tote"</f>
        <v>Laminated Tote</v>
      </c>
      <c r="H92" s="43"/>
      <c r="I92" s="43"/>
      <c r="J92" s="21">
        <v>0</v>
      </c>
      <c r="K92" s="23">
        <v>0</v>
      </c>
      <c r="L92" s="22">
        <v>0</v>
      </c>
      <c r="M92" s="22">
        <f>J92-L92</f>
        <v>0</v>
      </c>
      <c r="N92" s="49" t="str">
        <f>IF(J92&lt;&gt;0,M92/J92,"")</f>
        <v/>
      </c>
      <c r="O92" s="21">
        <v>530.61</v>
      </c>
      <c r="P92" s="23">
        <v>288</v>
      </c>
      <c r="Q92" s="22">
        <v>345.61</v>
      </c>
      <c r="R92" s="22">
        <f t="shared" si="32"/>
        <v>185</v>
      </c>
      <c r="S92" s="49">
        <f t="shared" si="33"/>
        <v>0.34865532123405135</v>
      </c>
      <c r="T92" s="10"/>
    </row>
    <row r="93" spans="1:20" x14ac:dyDescent="0.25">
      <c r="A93" s="13" t="s">
        <v>79</v>
      </c>
      <c r="C93" s="51" t="str">
        <f t="shared" si="31"/>
        <v>C100119</v>
      </c>
      <c r="F93" s="8" t="str">
        <f>"E100005"</f>
        <v>E100005</v>
      </c>
      <c r="G93" s="9" t="str">
        <f>"All Purpose Tote"</f>
        <v>All Purpose Tote</v>
      </c>
      <c r="H93" s="43"/>
      <c r="I93" s="43"/>
      <c r="J93" s="21">
        <v>0</v>
      </c>
      <c r="K93" s="23">
        <v>0</v>
      </c>
      <c r="L93" s="22">
        <v>0</v>
      </c>
      <c r="M93" s="22">
        <f>J93-L93</f>
        <v>0</v>
      </c>
      <c r="N93" s="49" t="str">
        <f>IF(J93&lt;&gt;0,M93/J93,"")</f>
        <v/>
      </c>
      <c r="O93" s="21">
        <v>364.09</v>
      </c>
      <c r="P93" s="23">
        <v>144</v>
      </c>
      <c r="Q93" s="22">
        <v>178.56</v>
      </c>
      <c r="R93" s="22">
        <f t="shared" si="32"/>
        <v>185.52999999999997</v>
      </c>
      <c r="S93" s="49">
        <f t="shared" si="33"/>
        <v>0.50957180916806277</v>
      </c>
      <c r="T93" s="10"/>
    </row>
    <row r="94" spans="1:20" x14ac:dyDescent="0.25">
      <c r="A94" s="13" t="s">
        <v>79</v>
      </c>
      <c r="C94" s="51" t="str">
        <f t="shared" si="31"/>
        <v>C100119</v>
      </c>
      <c r="F94" s="8" t="str">
        <f>"E100007"</f>
        <v>E100007</v>
      </c>
      <c r="G94" s="9" t="str">
        <f>"Plastic Handle Bag"</f>
        <v>Plastic Handle Bag</v>
      </c>
      <c r="H94" s="43"/>
      <c r="I94" s="43"/>
      <c r="J94" s="21">
        <v>0</v>
      </c>
      <c r="K94" s="23">
        <v>0</v>
      </c>
      <c r="L94" s="22">
        <v>0</v>
      </c>
      <c r="M94" s="22">
        <f>J94-L94</f>
        <v>0</v>
      </c>
      <c r="N94" s="49" t="str">
        <f>IF(J94&lt;&gt;0,M94/J94,"")</f>
        <v/>
      </c>
      <c r="O94" s="21">
        <v>46.57</v>
      </c>
      <c r="P94" s="23">
        <v>144</v>
      </c>
      <c r="Q94" s="22">
        <v>25.92</v>
      </c>
      <c r="R94" s="22">
        <f t="shared" si="32"/>
        <v>20.65</v>
      </c>
      <c r="S94" s="49">
        <f t="shared" si="33"/>
        <v>0.44341850977023833</v>
      </c>
      <c r="T94" s="10"/>
    </row>
    <row r="95" spans="1:20" x14ac:dyDescent="0.25">
      <c r="A95" s="13" t="s">
        <v>79</v>
      </c>
      <c r="C95" s="51" t="str">
        <f t="shared" si="31"/>
        <v>C100119</v>
      </c>
      <c r="F95" s="8" t="str">
        <f>"E100008"</f>
        <v>E100008</v>
      </c>
      <c r="G95" s="9" t="str">
        <f>"Super Shopper"</f>
        <v>Super Shopper</v>
      </c>
      <c r="H95" s="43"/>
      <c r="I95" s="43"/>
      <c r="J95" s="21">
        <v>0</v>
      </c>
      <c r="K95" s="23">
        <v>0</v>
      </c>
      <c r="L95" s="22">
        <v>0</v>
      </c>
      <c r="M95" s="22">
        <f>J95-L95</f>
        <v>0</v>
      </c>
      <c r="N95" s="49" t="str">
        <f>IF(J95&lt;&gt;0,M95/J95,"")</f>
        <v/>
      </c>
      <c r="O95" s="21">
        <v>0.45</v>
      </c>
      <c r="P95" s="23">
        <v>2</v>
      </c>
      <c r="Q95" s="22">
        <v>0.24</v>
      </c>
      <c r="R95" s="22">
        <f t="shared" si="32"/>
        <v>0.21000000000000002</v>
      </c>
      <c r="S95" s="49">
        <f t="shared" si="33"/>
        <v>0.46666666666666667</v>
      </c>
      <c r="T95" s="10"/>
    </row>
    <row r="96" spans="1:20" x14ac:dyDescent="0.25">
      <c r="A96" s="13" t="s">
        <v>79</v>
      </c>
      <c r="C96" s="51" t="str">
        <f t="shared" si="31"/>
        <v>C100119</v>
      </c>
      <c r="F96" s="8" t="str">
        <f>"E100010"</f>
        <v>E100010</v>
      </c>
      <c r="G96" s="9" t="str">
        <f>"Vinyl Tote"</f>
        <v>Vinyl Tote</v>
      </c>
      <c r="H96" s="43"/>
      <c r="I96" s="43"/>
      <c r="J96" s="21">
        <v>0</v>
      </c>
      <c r="K96" s="23">
        <v>0</v>
      </c>
      <c r="L96" s="22">
        <v>0</v>
      </c>
      <c r="M96" s="22">
        <f>J96-L96</f>
        <v>0</v>
      </c>
      <c r="N96" s="49" t="str">
        <f>IF(J96&lt;&gt;0,M96/J96,"")</f>
        <v/>
      </c>
      <c r="O96" s="21">
        <v>43.75</v>
      </c>
      <c r="P96" s="23">
        <v>144</v>
      </c>
      <c r="Q96" s="22">
        <v>25.92</v>
      </c>
      <c r="R96" s="22">
        <f t="shared" si="32"/>
        <v>17.829999999999998</v>
      </c>
      <c r="S96" s="49">
        <f t="shared" si="33"/>
        <v>0.4075428571428571</v>
      </c>
      <c r="T96" s="10"/>
    </row>
    <row r="97" spans="1:20" x14ac:dyDescent="0.25">
      <c r="A97" s="13" t="s">
        <v>79</v>
      </c>
      <c r="C97" s="51" t="str">
        <f t="shared" si="31"/>
        <v>C100119</v>
      </c>
      <c r="F97" s="8" t="str">
        <f>"E100011"</f>
        <v>E100011</v>
      </c>
      <c r="G97" s="9" t="str">
        <f>"Plastic Sun Visor"</f>
        <v>Plastic Sun Visor</v>
      </c>
      <c r="H97" s="43"/>
      <c r="I97" s="43"/>
      <c r="J97" s="21">
        <v>0</v>
      </c>
      <c r="K97" s="23">
        <v>0</v>
      </c>
      <c r="L97" s="22">
        <v>0</v>
      </c>
      <c r="M97" s="22">
        <f>J97-L97</f>
        <v>0</v>
      </c>
      <c r="N97" s="49" t="str">
        <f>IF(J97&lt;&gt;0,M97/J97,"")</f>
        <v/>
      </c>
      <c r="O97" s="21">
        <v>114.31</v>
      </c>
      <c r="P97" s="23">
        <v>144</v>
      </c>
      <c r="Q97" s="22">
        <v>60.470000000000006</v>
      </c>
      <c r="R97" s="22">
        <f t="shared" si="32"/>
        <v>53.839999999999996</v>
      </c>
      <c r="S97" s="49">
        <f t="shared" si="33"/>
        <v>0.47099991251858975</v>
      </c>
      <c r="T97" s="10"/>
    </row>
    <row r="98" spans="1:20" x14ac:dyDescent="0.25">
      <c r="A98" s="13" t="s">
        <v>79</v>
      </c>
      <c r="C98" s="51" t="str">
        <f t="shared" si="31"/>
        <v>C100119</v>
      </c>
      <c r="F98" s="8" t="str">
        <f>"E100013"</f>
        <v>E100013</v>
      </c>
      <c r="G98" s="9" t="str">
        <f>"Clip-on Stopwatch"</f>
        <v>Clip-on Stopwatch</v>
      </c>
      <c r="H98" s="43"/>
      <c r="I98" s="43"/>
      <c r="J98" s="21">
        <v>0</v>
      </c>
      <c r="K98" s="23">
        <v>0</v>
      </c>
      <c r="L98" s="22">
        <v>0</v>
      </c>
      <c r="M98" s="22">
        <f>J98-L98</f>
        <v>0</v>
      </c>
      <c r="N98" s="49" t="str">
        <f>IF(J98&lt;&gt;0,M98/J98,"")</f>
        <v/>
      </c>
      <c r="O98" s="21">
        <v>389.49</v>
      </c>
      <c r="P98" s="23">
        <v>144</v>
      </c>
      <c r="Q98" s="22">
        <v>207.35</v>
      </c>
      <c r="R98" s="22">
        <f t="shared" si="32"/>
        <v>182.14000000000001</v>
      </c>
      <c r="S98" s="49">
        <f t="shared" si="33"/>
        <v>0.46763716655113097</v>
      </c>
      <c r="T98" s="10"/>
    </row>
    <row r="99" spans="1:20" x14ac:dyDescent="0.25">
      <c r="A99" s="13" t="s">
        <v>79</v>
      </c>
      <c r="C99" s="51" t="str">
        <f t="shared" si="31"/>
        <v>C100119</v>
      </c>
      <c r="F99" s="8" t="str">
        <f>"E100016"</f>
        <v>E100016</v>
      </c>
      <c r="G99" s="9" t="str">
        <f>"4 Function Rotating Carabiner Watch"</f>
        <v>4 Function Rotating Carabiner Watch</v>
      </c>
      <c r="H99" s="43"/>
      <c r="I99" s="43"/>
      <c r="J99" s="21">
        <v>0</v>
      </c>
      <c r="K99" s="23">
        <v>0</v>
      </c>
      <c r="L99" s="22">
        <v>0</v>
      </c>
      <c r="M99" s="22">
        <f>J99-L99</f>
        <v>0</v>
      </c>
      <c r="N99" s="49" t="str">
        <f>IF(J99&lt;&gt;0,M99/J99,"")</f>
        <v/>
      </c>
      <c r="O99" s="21">
        <v>429.00000000000006</v>
      </c>
      <c r="P99" s="23">
        <v>144</v>
      </c>
      <c r="Q99" s="22">
        <v>198.73000000000002</v>
      </c>
      <c r="R99" s="22">
        <f t="shared" si="32"/>
        <v>230.27000000000004</v>
      </c>
      <c r="S99" s="49">
        <f t="shared" si="33"/>
        <v>0.53675990675990681</v>
      </c>
      <c r="T99" s="10"/>
    </row>
    <row r="100" spans="1:20" x14ac:dyDescent="0.25">
      <c r="A100" s="13" t="s">
        <v>79</v>
      </c>
      <c r="C100" s="51" t="str">
        <f t="shared" si="31"/>
        <v>C100119</v>
      </c>
      <c r="F100" s="8" t="str">
        <f>"E100018"</f>
        <v>E100018</v>
      </c>
      <c r="G100" s="9" t="str">
        <f>"Flexi-Clock &amp; Clip"</f>
        <v>Flexi-Clock &amp; Clip</v>
      </c>
      <c r="H100" s="43"/>
      <c r="I100" s="43"/>
      <c r="J100" s="21">
        <v>0</v>
      </c>
      <c r="K100" s="23">
        <v>0</v>
      </c>
      <c r="L100" s="22">
        <v>0</v>
      </c>
      <c r="M100" s="22">
        <f>J100-L100</f>
        <v>0</v>
      </c>
      <c r="N100" s="49" t="str">
        <f>IF(J100&lt;&gt;0,M100/J100,"")</f>
        <v/>
      </c>
      <c r="O100" s="21">
        <v>637.86</v>
      </c>
      <c r="P100" s="23">
        <v>576</v>
      </c>
      <c r="Q100" s="22">
        <v>345.55</v>
      </c>
      <c r="R100" s="22">
        <f t="shared" si="32"/>
        <v>292.31</v>
      </c>
      <c r="S100" s="49">
        <f t="shared" si="33"/>
        <v>0.45826670429247796</v>
      </c>
      <c r="T100" s="10"/>
    </row>
    <row r="101" spans="1:20" x14ac:dyDescent="0.25">
      <c r="A101" s="13" t="s">
        <v>79</v>
      </c>
      <c r="C101" s="51" t="str">
        <f t="shared" si="31"/>
        <v>C100119</v>
      </c>
      <c r="F101" s="8" t="str">
        <f>"E100025"</f>
        <v>E100025</v>
      </c>
      <c r="G101" s="9" t="str">
        <f>"Calc-U-Note"</f>
        <v>Calc-U-Note</v>
      </c>
      <c r="H101" s="43"/>
      <c r="I101" s="43"/>
      <c r="J101" s="21">
        <v>0</v>
      </c>
      <c r="K101" s="23">
        <v>0</v>
      </c>
      <c r="L101" s="22">
        <v>0</v>
      </c>
      <c r="M101" s="22">
        <f>J101-L101</f>
        <v>0</v>
      </c>
      <c r="N101" s="49" t="str">
        <f>IF(J101&lt;&gt;0,M101/J101,"")</f>
        <v/>
      </c>
      <c r="O101" s="21">
        <v>231.43999999999997</v>
      </c>
      <c r="P101" s="23">
        <v>144</v>
      </c>
      <c r="Q101" s="22">
        <v>146.80000000000001</v>
      </c>
      <c r="R101" s="22">
        <f t="shared" si="32"/>
        <v>84.639999999999958</v>
      </c>
      <c r="S101" s="49">
        <f t="shared" si="33"/>
        <v>0.36571033529208419</v>
      </c>
      <c r="T101" s="10"/>
    </row>
    <row r="102" spans="1:20" x14ac:dyDescent="0.25">
      <c r="A102" s="13" t="s">
        <v>79</v>
      </c>
      <c r="C102" s="51" t="str">
        <f t="shared" si="31"/>
        <v>C100119</v>
      </c>
      <c r="F102" s="8" t="str">
        <f>"E100026"</f>
        <v>E100026</v>
      </c>
      <c r="G102" s="9" t="str">
        <f>"Desk Calculator"</f>
        <v>Desk Calculator</v>
      </c>
      <c r="H102" s="43"/>
      <c r="I102" s="43"/>
      <c r="J102" s="21">
        <v>0</v>
      </c>
      <c r="K102" s="23">
        <v>0</v>
      </c>
      <c r="L102" s="22">
        <v>0</v>
      </c>
      <c r="M102" s="22">
        <f>J102-L102</f>
        <v>0</v>
      </c>
      <c r="N102" s="49" t="str">
        <f>IF(J102&lt;&gt;0,M102/J102,"")</f>
        <v/>
      </c>
      <c r="O102" s="21">
        <v>119.94999999999999</v>
      </c>
      <c r="P102" s="23">
        <v>144</v>
      </c>
      <c r="Q102" s="22">
        <v>69.180000000000007</v>
      </c>
      <c r="R102" s="22">
        <f t="shared" si="32"/>
        <v>50.769999999999982</v>
      </c>
      <c r="S102" s="49">
        <f t="shared" si="33"/>
        <v>0.4232596915381408</v>
      </c>
      <c r="T102" s="10"/>
    </row>
    <row r="103" spans="1:20" x14ac:dyDescent="0.25">
      <c r="A103" s="13" t="s">
        <v>79</v>
      </c>
      <c r="C103" s="51" t="str">
        <f t="shared" si="31"/>
        <v>C100119</v>
      </c>
      <c r="F103" s="8" t="str">
        <f>"E100031"</f>
        <v>E100031</v>
      </c>
      <c r="G103" s="9" t="str">
        <f>"Ad Torch"</f>
        <v>Ad Torch</v>
      </c>
      <c r="H103" s="43"/>
      <c r="I103" s="43"/>
      <c r="J103" s="21">
        <v>0</v>
      </c>
      <c r="K103" s="23">
        <v>0</v>
      </c>
      <c r="L103" s="22">
        <v>0</v>
      </c>
      <c r="M103" s="22">
        <f>J103-L103</f>
        <v>0</v>
      </c>
      <c r="N103" s="49" t="str">
        <f>IF(J103&lt;&gt;0,M103/J103,"")</f>
        <v/>
      </c>
      <c r="O103" s="21">
        <v>396.46</v>
      </c>
      <c r="P103" s="23">
        <v>145</v>
      </c>
      <c r="Q103" s="22">
        <v>200.10999999999999</v>
      </c>
      <c r="R103" s="22">
        <f t="shared" si="32"/>
        <v>196.35</v>
      </c>
      <c r="S103" s="49">
        <f t="shared" si="33"/>
        <v>0.49525803359733644</v>
      </c>
      <c r="T103" s="10"/>
    </row>
    <row r="104" spans="1:20" x14ac:dyDescent="0.25">
      <c r="A104" s="13" t="s">
        <v>79</v>
      </c>
      <c r="C104" s="51" t="str">
        <f t="shared" si="31"/>
        <v>C100119</v>
      </c>
      <c r="F104" s="8" t="str">
        <f>"E100032"</f>
        <v>E100032</v>
      </c>
      <c r="G104" s="9" t="str">
        <f>"Button Key-Light"</f>
        <v>Button Key-Light</v>
      </c>
      <c r="H104" s="43"/>
      <c r="I104" s="43"/>
      <c r="J104" s="21">
        <v>0</v>
      </c>
      <c r="K104" s="23">
        <v>0</v>
      </c>
      <c r="L104" s="22">
        <v>0</v>
      </c>
      <c r="M104" s="22">
        <f>J104-L104</f>
        <v>0</v>
      </c>
      <c r="N104" s="49" t="str">
        <f>IF(J104&lt;&gt;0,M104/J104,"")</f>
        <v/>
      </c>
      <c r="O104" s="21">
        <v>83.97</v>
      </c>
      <c r="P104" s="23">
        <v>168</v>
      </c>
      <c r="Q104" s="22">
        <v>55.449999999999996</v>
      </c>
      <c r="R104" s="22">
        <f t="shared" si="32"/>
        <v>28.520000000000003</v>
      </c>
      <c r="S104" s="49">
        <f t="shared" si="33"/>
        <v>0.33964511134929143</v>
      </c>
      <c r="T104" s="10"/>
    </row>
    <row r="105" spans="1:20" x14ac:dyDescent="0.25">
      <c r="A105" s="13" t="s">
        <v>79</v>
      </c>
      <c r="C105" s="51" t="str">
        <f t="shared" si="31"/>
        <v>C100119</v>
      </c>
      <c r="F105" s="8" t="str">
        <f>"E100033"</f>
        <v>E100033</v>
      </c>
      <c r="G105" s="9" t="str">
        <f>"Dual Source Flashlight"</f>
        <v>Dual Source Flashlight</v>
      </c>
      <c r="H105" s="43"/>
      <c r="I105" s="43"/>
      <c r="J105" s="21">
        <v>0</v>
      </c>
      <c r="K105" s="23">
        <v>0</v>
      </c>
      <c r="L105" s="22">
        <v>0</v>
      </c>
      <c r="M105" s="22">
        <f>J105-L105</f>
        <v>0</v>
      </c>
      <c r="N105" s="49" t="str">
        <f>IF(J105&lt;&gt;0,M105/J105,"")</f>
        <v/>
      </c>
      <c r="O105" s="21">
        <v>925.75</v>
      </c>
      <c r="P105" s="23">
        <v>288</v>
      </c>
      <c r="Q105" s="22">
        <v>449.19</v>
      </c>
      <c r="R105" s="22">
        <f t="shared" si="32"/>
        <v>476.56</v>
      </c>
      <c r="S105" s="49">
        <f t="shared" si="33"/>
        <v>0.51478260869565218</v>
      </c>
      <c r="T105" s="10"/>
    </row>
    <row r="106" spans="1:20" x14ac:dyDescent="0.25">
      <c r="A106" s="13" t="s">
        <v>79</v>
      </c>
      <c r="C106" s="51" t="str">
        <f t="shared" si="31"/>
        <v>C100119</v>
      </c>
      <c r="F106" s="8" t="str">
        <f>"E100044"</f>
        <v>E100044</v>
      </c>
      <c r="G106" s="9" t="str">
        <f>"Juice Glass"</f>
        <v>Juice Glass</v>
      </c>
      <c r="H106" s="43"/>
      <c r="I106" s="43"/>
      <c r="J106" s="21">
        <v>0</v>
      </c>
      <c r="K106" s="23">
        <v>0</v>
      </c>
      <c r="L106" s="22">
        <v>0</v>
      </c>
      <c r="M106" s="22">
        <f>J106-L106</f>
        <v>0</v>
      </c>
      <c r="N106" s="49" t="str">
        <f>IF(J106&lt;&gt;0,M106/J106,"")</f>
        <v/>
      </c>
      <c r="O106" s="21">
        <v>0.56999999999999995</v>
      </c>
      <c r="P106" s="23">
        <v>1</v>
      </c>
      <c r="Q106" s="22">
        <v>0.38</v>
      </c>
      <c r="R106" s="22">
        <f t="shared" si="32"/>
        <v>0.18999999999999995</v>
      </c>
      <c r="S106" s="49">
        <f t="shared" si="33"/>
        <v>0.33333333333333326</v>
      </c>
      <c r="T106" s="10"/>
    </row>
    <row r="107" spans="1:20" x14ac:dyDescent="0.25">
      <c r="A107" s="13" t="s">
        <v>79</v>
      </c>
      <c r="C107" s="51" t="str">
        <f t="shared" si="31"/>
        <v>C100119</v>
      </c>
      <c r="F107" s="8" t="str">
        <f>"S100011"</f>
        <v>S100011</v>
      </c>
      <c r="G107" s="9" t="str">
        <f>"All Star Cap"</f>
        <v>All Star Cap</v>
      </c>
      <c r="H107" s="43"/>
      <c r="I107" s="43"/>
      <c r="J107" s="21">
        <v>0</v>
      </c>
      <c r="K107" s="23">
        <v>0</v>
      </c>
      <c r="L107" s="22">
        <v>0</v>
      </c>
      <c r="M107" s="22">
        <f>J107-L107</f>
        <v>0</v>
      </c>
      <c r="N107" s="49" t="str">
        <f>IF(J107&lt;&gt;0,M107/J107,"")</f>
        <v/>
      </c>
      <c r="O107" s="21">
        <v>204.62</v>
      </c>
      <c r="P107" s="23">
        <v>144</v>
      </c>
      <c r="Q107" s="22">
        <v>122.41</v>
      </c>
      <c r="R107" s="22">
        <f t="shared" si="32"/>
        <v>82.210000000000008</v>
      </c>
      <c r="S107" s="49">
        <f t="shared" si="33"/>
        <v>0.40176913302707462</v>
      </c>
      <c r="T107" s="10"/>
    </row>
    <row r="108" spans="1:20" x14ac:dyDescent="0.25">
      <c r="A108" s="13" t="s">
        <v>79</v>
      </c>
      <c r="C108" s="51" t="str">
        <f t="shared" si="31"/>
        <v>C100119</v>
      </c>
      <c r="F108" s="8" t="str">
        <f>"S100020"</f>
        <v>S100020</v>
      </c>
      <c r="G108" s="9" t="str">
        <f>"Super Sport Stopwatch"</f>
        <v>Super Sport Stopwatch</v>
      </c>
      <c r="H108" s="43"/>
      <c r="I108" s="43"/>
      <c r="J108" s="21">
        <v>0</v>
      </c>
      <c r="K108" s="23">
        <v>0</v>
      </c>
      <c r="L108" s="22">
        <v>0</v>
      </c>
      <c r="M108" s="22">
        <f>J108-L108</f>
        <v>0</v>
      </c>
      <c r="N108" s="49" t="str">
        <f>IF(J108&lt;&gt;0,M108/J108,"")</f>
        <v/>
      </c>
      <c r="O108" s="21">
        <v>615.28</v>
      </c>
      <c r="P108" s="23">
        <v>288</v>
      </c>
      <c r="Q108" s="22">
        <v>302.39999999999998</v>
      </c>
      <c r="R108" s="22">
        <f t="shared" si="32"/>
        <v>312.88</v>
      </c>
      <c r="S108" s="49">
        <f t="shared" si="33"/>
        <v>0.50851644779612537</v>
      </c>
      <c r="T108" s="10"/>
    </row>
    <row r="109" spans="1:20" x14ac:dyDescent="0.25">
      <c r="A109" s="13" t="s">
        <v>79</v>
      </c>
      <c r="C109" s="51" t="str">
        <f t="shared" si="31"/>
        <v>C100119</v>
      </c>
      <c r="F109" s="8" t="str">
        <f>"S100024"</f>
        <v>S100024</v>
      </c>
      <c r="G109" s="9" t="str">
        <f>"Aluminum SPORT BOT"</f>
        <v>Aluminum SPORT BOT</v>
      </c>
      <c r="H109" s="43"/>
      <c r="I109" s="43"/>
      <c r="J109" s="21">
        <v>0</v>
      </c>
      <c r="K109" s="23">
        <v>0</v>
      </c>
      <c r="L109" s="22">
        <v>0</v>
      </c>
      <c r="M109" s="22">
        <f>J109-L109</f>
        <v>0</v>
      </c>
      <c r="N109" s="49" t="str">
        <f>IF(J109&lt;&gt;0,M109/J109,"")</f>
        <v/>
      </c>
      <c r="O109" s="21">
        <v>664.2</v>
      </c>
      <c r="P109" s="23">
        <v>192</v>
      </c>
      <c r="Q109" s="22">
        <v>403.2</v>
      </c>
      <c r="R109" s="22">
        <f t="shared" si="32"/>
        <v>261.00000000000006</v>
      </c>
      <c r="S109" s="49">
        <f t="shared" si="33"/>
        <v>0.39295392953929548</v>
      </c>
      <c r="T109" s="10"/>
    </row>
    <row r="110" spans="1:20" ht="15.75" thickBot="1" x14ac:dyDescent="0.3">
      <c r="A110" s="13" t="s">
        <v>79</v>
      </c>
      <c r="C110" s="51" t="str">
        <f>C87</f>
        <v>C100119</v>
      </c>
      <c r="J110" s="10"/>
      <c r="N110" s="11"/>
      <c r="O110" s="10"/>
      <c r="S110" s="11"/>
    </row>
    <row r="111" spans="1:20" ht="15.75" thickBot="1" x14ac:dyDescent="0.3">
      <c r="A111" s="13" t="s">
        <v>79</v>
      </c>
      <c r="C111" s="51" t="str">
        <f t="shared" si="28"/>
        <v>C100119</v>
      </c>
      <c r="G111" s="44" t="str">
        <f>C111&amp;" TOTAL:"</f>
        <v>C100119 TOTAL:</v>
      </c>
      <c r="H111" s="46"/>
      <c r="I111" s="46"/>
      <c r="J111" s="31">
        <f>SUBTOTAL(9,J86:J110)</f>
        <v>0</v>
      </c>
      <c r="K111" s="32">
        <f>SUBTOTAL(9,K86:K110)</f>
        <v>0</v>
      </c>
      <c r="L111" s="33">
        <f>SUBTOTAL(9,L86:L110)</f>
        <v>0</v>
      </c>
      <c r="M111" s="33">
        <f>J111-L111</f>
        <v>0</v>
      </c>
      <c r="N111" s="34" t="str">
        <f>IF(J111&lt;&gt;0,M111/J111,"")</f>
        <v/>
      </c>
      <c r="O111" s="31">
        <f>SUBTOTAL(9,O86:O110)</f>
        <v>8221.4</v>
      </c>
      <c r="P111" s="32">
        <f>SUBTOTAL(9,P86:P110)</f>
        <v>4108</v>
      </c>
      <c r="Q111" s="33">
        <f>SUBTOTAL(9,Q86:Q110)</f>
        <v>4502.6400000000003</v>
      </c>
      <c r="R111" s="33">
        <f t="shared" ref="R111" si="34">O111-Q111</f>
        <v>3718.7599999999993</v>
      </c>
      <c r="S111" s="34">
        <f t="shared" ref="S111" si="35">IF(O111&lt;&gt;0,R111/O111,"")</f>
        <v>0.45232685430705227</v>
      </c>
    </row>
    <row r="112" spans="1:20" x14ac:dyDescent="0.25">
      <c r="A112" s="13" t="s">
        <v>79</v>
      </c>
      <c r="J112" s="10"/>
      <c r="N112" s="11"/>
      <c r="O112" s="10"/>
      <c r="S112" s="11"/>
    </row>
    <row r="113" spans="1:20" ht="15.75" x14ac:dyDescent="0.25">
      <c r="A113" s="13" t="s">
        <v>79</v>
      </c>
      <c r="C113" s="19" t="str">
        <f t="shared" ref="C113" si="36">E113</f>
        <v>C100135</v>
      </c>
      <c r="E113" s="12" t="str">
        <f>"C100135"</f>
        <v>C100135</v>
      </c>
      <c r="F113" s="12"/>
      <c r="G113" s="12" t="str">
        <f>"Zumi's"</f>
        <v>Zumi's</v>
      </c>
      <c r="H113" s="12"/>
      <c r="I113" s="12"/>
      <c r="J113" s="10"/>
      <c r="N113" s="11"/>
      <c r="O113" s="10"/>
      <c r="S113" s="11"/>
    </row>
    <row r="114" spans="1:20" ht="6.6" customHeight="1" x14ac:dyDescent="0.25">
      <c r="A114" s="13" t="s">
        <v>79</v>
      </c>
      <c r="C114" s="51" t="str">
        <f t="shared" ref="C114:C129" si="37">C113</f>
        <v>C100135</v>
      </c>
      <c r="J114" s="10"/>
      <c r="N114" s="11"/>
      <c r="O114" s="10"/>
      <c r="S114" s="11"/>
    </row>
    <row r="115" spans="1:20" x14ac:dyDescent="0.25">
      <c r="A115" s="13" t="s">
        <v>79</v>
      </c>
      <c r="C115" s="51" t="str">
        <f t="shared" si="37"/>
        <v>C100135</v>
      </c>
      <c r="F115" s="8" t="str">
        <f>"C100028"</f>
        <v>C100028</v>
      </c>
      <c r="G115" s="9" t="str">
        <f>"Twill Visor"</f>
        <v>Twill Visor</v>
      </c>
      <c r="H115" s="43"/>
      <c r="I115" s="43"/>
      <c r="J115" s="21">
        <v>721.12</v>
      </c>
      <c r="K115" s="23">
        <v>144</v>
      </c>
      <c r="L115" s="22">
        <v>345.61</v>
      </c>
      <c r="M115" s="22">
        <f>J115-L115</f>
        <v>375.51</v>
      </c>
      <c r="N115" s="49">
        <f>IF(J115&lt;&gt;0,M115/J115,"")</f>
        <v>0.52073163967162195</v>
      </c>
      <c r="O115" s="21">
        <v>726.13</v>
      </c>
      <c r="P115" s="23">
        <v>145</v>
      </c>
      <c r="Q115" s="22">
        <v>348.01</v>
      </c>
      <c r="R115" s="22">
        <f t="shared" ref="R115" si="38">O115-Q115</f>
        <v>378.12</v>
      </c>
      <c r="S115" s="49">
        <f t="shared" ref="S115" si="39">IF(O115&lt;&gt;0,R115/O115,"")</f>
        <v>0.52073320204371121</v>
      </c>
      <c r="T115" s="10"/>
    </row>
    <row r="116" spans="1:20" x14ac:dyDescent="0.25">
      <c r="A116" s="13" t="s">
        <v>79</v>
      </c>
      <c r="C116" s="51" t="str">
        <f t="shared" ref="C116:C127" si="40">C115</f>
        <v>C100135</v>
      </c>
      <c r="F116" s="8" t="str">
        <f>"C100056"</f>
        <v>C100056</v>
      </c>
      <c r="G116" s="9" t="str">
        <f>"Contemporary Desk Calculator"</f>
        <v>Contemporary Desk Calculator</v>
      </c>
      <c r="H116" s="43"/>
      <c r="I116" s="43"/>
      <c r="J116" s="21">
        <v>0</v>
      </c>
      <c r="K116" s="23">
        <v>0</v>
      </c>
      <c r="L116" s="22">
        <v>0</v>
      </c>
      <c r="M116" s="22">
        <f>J116-L116</f>
        <v>0</v>
      </c>
      <c r="N116" s="49" t="str">
        <f>IF(J116&lt;&gt;0,M116/J116,"")</f>
        <v/>
      </c>
      <c r="O116" s="21">
        <v>31.929999999999996</v>
      </c>
      <c r="P116" s="23">
        <v>6</v>
      </c>
      <c r="Q116" s="22">
        <v>15.96</v>
      </c>
      <c r="R116" s="22">
        <f t="shared" ref="R116:R127" si="41">O116-Q116</f>
        <v>15.969999999999995</v>
      </c>
      <c r="S116" s="49">
        <f t="shared" ref="S116:S127" si="42">IF(O116&lt;&gt;0,R116/O116,"")</f>
        <v>0.50015659254619471</v>
      </c>
      <c r="T116" s="10"/>
    </row>
    <row r="117" spans="1:20" x14ac:dyDescent="0.25">
      <c r="A117" s="13" t="s">
        <v>79</v>
      </c>
      <c r="C117" s="51" t="str">
        <f t="shared" si="40"/>
        <v>C100135</v>
      </c>
      <c r="F117" s="8" t="str">
        <f>"E100007"</f>
        <v>E100007</v>
      </c>
      <c r="G117" s="9" t="str">
        <f>"Plastic Handle Bag"</f>
        <v>Plastic Handle Bag</v>
      </c>
      <c r="H117" s="43"/>
      <c r="I117" s="43"/>
      <c r="J117" s="21">
        <v>0</v>
      </c>
      <c r="K117" s="23">
        <v>0</v>
      </c>
      <c r="L117" s="22">
        <v>0</v>
      </c>
      <c r="M117" s="22">
        <f>J117-L117</f>
        <v>0</v>
      </c>
      <c r="N117" s="49" t="str">
        <f>IF(J117&lt;&gt;0,M117/J117,"")</f>
        <v/>
      </c>
      <c r="O117" s="21">
        <v>0.32</v>
      </c>
      <c r="P117" s="23">
        <v>1</v>
      </c>
      <c r="Q117" s="22">
        <v>0.18</v>
      </c>
      <c r="R117" s="22">
        <f t="shared" si="41"/>
        <v>0.14000000000000001</v>
      </c>
      <c r="S117" s="49">
        <f t="shared" si="42"/>
        <v>0.43750000000000006</v>
      </c>
      <c r="T117" s="10"/>
    </row>
    <row r="118" spans="1:20" x14ac:dyDescent="0.25">
      <c r="A118" s="13" t="s">
        <v>79</v>
      </c>
      <c r="C118" s="51" t="str">
        <f t="shared" si="40"/>
        <v>C100135</v>
      </c>
      <c r="F118" s="8" t="str">
        <f>"E100008"</f>
        <v>E100008</v>
      </c>
      <c r="G118" s="9" t="str">
        <f>"Super Shopper"</f>
        <v>Super Shopper</v>
      </c>
      <c r="H118" s="43"/>
      <c r="I118" s="43"/>
      <c r="J118" s="21">
        <v>0</v>
      </c>
      <c r="K118" s="23">
        <v>0</v>
      </c>
      <c r="L118" s="22">
        <v>0</v>
      </c>
      <c r="M118" s="22">
        <f>J118-L118</f>
        <v>0</v>
      </c>
      <c r="N118" s="49" t="str">
        <f>IF(J118&lt;&gt;0,M118/J118,"")</f>
        <v/>
      </c>
      <c r="O118" s="21">
        <v>5.87</v>
      </c>
      <c r="P118" s="23">
        <v>26</v>
      </c>
      <c r="Q118" s="22">
        <v>3.12</v>
      </c>
      <c r="R118" s="22">
        <f t="shared" si="41"/>
        <v>2.75</v>
      </c>
      <c r="S118" s="49">
        <f t="shared" si="42"/>
        <v>0.4684838160136286</v>
      </c>
      <c r="T118" s="10"/>
    </row>
    <row r="119" spans="1:20" x14ac:dyDescent="0.25">
      <c r="A119" s="13" t="s">
        <v>79</v>
      </c>
      <c r="C119" s="51" t="str">
        <f t="shared" si="40"/>
        <v>C100135</v>
      </c>
      <c r="F119" s="8" t="str">
        <f>"E100009"</f>
        <v>E100009</v>
      </c>
      <c r="G119" s="9" t="str">
        <f>"Die-Cut Tote"</f>
        <v>Die-Cut Tote</v>
      </c>
      <c r="H119" s="43"/>
      <c r="I119" s="43"/>
      <c r="J119" s="21">
        <v>0.23</v>
      </c>
      <c r="K119" s="23">
        <v>1</v>
      </c>
      <c r="L119" s="22">
        <v>0.11</v>
      </c>
      <c r="M119" s="22">
        <f>J119-L119</f>
        <v>0.12000000000000001</v>
      </c>
      <c r="N119" s="49">
        <f>IF(J119&lt;&gt;0,M119/J119,"")</f>
        <v>0.52173913043478259</v>
      </c>
      <c r="O119" s="21">
        <v>32.92</v>
      </c>
      <c r="P119" s="23">
        <v>146</v>
      </c>
      <c r="Q119" s="22">
        <v>16.07</v>
      </c>
      <c r="R119" s="22">
        <f t="shared" si="41"/>
        <v>16.850000000000001</v>
      </c>
      <c r="S119" s="49">
        <f t="shared" si="42"/>
        <v>0.5118469015795869</v>
      </c>
      <c r="T119" s="10"/>
    </row>
    <row r="120" spans="1:20" x14ac:dyDescent="0.25">
      <c r="A120" s="13" t="s">
        <v>79</v>
      </c>
      <c r="C120" s="51" t="str">
        <f t="shared" si="40"/>
        <v>C100135</v>
      </c>
      <c r="F120" s="8" t="str">
        <f>"E100011"</f>
        <v>E100011</v>
      </c>
      <c r="G120" s="9" t="str">
        <f>"Plastic Sun Visor"</f>
        <v>Plastic Sun Visor</v>
      </c>
      <c r="H120" s="43"/>
      <c r="I120" s="43"/>
      <c r="J120" s="21">
        <v>0</v>
      </c>
      <c r="K120" s="23">
        <v>0</v>
      </c>
      <c r="L120" s="22">
        <v>0</v>
      </c>
      <c r="M120" s="22">
        <f>J120-L120</f>
        <v>0</v>
      </c>
      <c r="N120" s="49" t="str">
        <f>IF(J120&lt;&gt;0,M120/J120,"")</f>
        <v/>
      </c>
      <c r="O120" s="21">
        <v>119.86</v>
      </c>
      <c r="P120" s="23">
        <v>151</v>
      </c>
      <c r="Q120" s="22">
        <v>63.41</v>
      </c>
      <c r="R120" s="22">
        <f t="shared" si="41"/>
        <v>56.45</v>
      </c>
      <c r="S120" s="49">
        <f t="shared" si="42"/>
        <v>0.47096612714833974</v>
      </c>
      <c r="T120" s="10"/>
    </row>
    <row r="121" spans="1:20" x14ac:dyDescent="0.25">
      <c r="A121" s="13" t="s">
        <v>79</v>
      </c>
      <c r="C121" s="51" t="str">
        <f t="shared" si="40"/>
        <v>C100135</v>
      </c>
      <c r="F121" s="8" t="str">
        <f>"E100017"</f>
        <v>E100017</v>
      </c>
      <c r="G121" s="9" t="str">
        <f>"Clip-on Clock with Compass"</f>
        <v>Clip-on Clock with Compass</v>
      </c>
      <c r="H121" s="43"/>
      <c r="I121" s="43"/>
      <c r="J121" s="21">
        <v>0</v>
      </c>
      <c r="K121" s="23">
        <v>0</v>
      </c>
      <c r="L121" s="22">
        <v>0</v>
      </c>
      <c r="M121" s="22">
        <f>J121-L121</f>
        <v>0</v>
      </c>
      <c r="N121" s="49" t="str">
        <f>IF(J121&lt;&gt;0,M121/J121,"")</f>
        <v/>
      </c>
      <c r="O121" s="21">
        <v>73.38</v>
      </c>
      <c r="P121" s="23">
        <v>48</v>
      </c>
      <c r="Q121" s="22">
        <v>42.24</v>
      </c>
      <c r="R121" s="22">
        <f t="shared" si="41"/>
        <v>31.139999999999993</v>
      </c>
      <c r="S121" s="49">
        <f t="shared" si="42"/>
        <v>0.42436631234668842</v>
      </c>
      <c r="T121" s="10"/>
    </row>
    <row r="122" spans="1:20" x14ac:dyDescent="0.25">
      <c r="A122" s="13" t="s">
        <v>79</v>
      </c>
      <c r="C122" s="51" t="str">
        <f t="shared" si="40"/>
        <v>C100135</v>
      </c>
      <c r="F122" s="8" t="str">
        <f>"E100038"</f>
        <v>E100038</v>
      </c>
      <c r="G122" s="9" t="str">
        <f>"1GB USB Flash Drive Pen"</f>
        <v>1GB USB Flash Drive Pen</v>
      </c>
      <c r="H122" s="43"/>
      <c r="I122" s="43"/>
      <c r="J122" s="21">
        <v>0</v>
      </c>
      <c r="K122" s="23">
        <v>0</v>
      </c>
      <c r="L122" s="22">
        <v>0</v>
      </c>
      <c r="M122" s="22">
        <f>J122-L122</f>
        <v>0</v>
      </c>
      <c r="N122" s="49" t="str">
        <f>IF(J122&lt;&gt;0,M122/J122,"")</f>
        <v/>
      </c>
      <c r="O122" s="21">
        <v>804.38</v>
      </c>
      <c r="P122" s="23">
        <v>144</v>
      </c>
      <c r="Q122" s="22">
        <v>427.72999999999996</v>
      </c>
      <c r="R122" s="22">
        <f t="shared" si="41"/>
        <v>376.65000000000003</v>
      </c>
      <c r="S122" s="49">
        <f t="shared" si="42"/>
        <v>0.46824883761406305</v>
      </c>
      <c r="T122" s="10"/>
    </row>
    <row r="123" spans="1:20" x14ac:dyDescent="0.25">
      <c r="A123" s="13" t="s">
        <v>79</v>
      </c>
      <c r="C123" s="51" t="str">
        <f t="shared" si="40"/>
        <v>C100135</v>
      </c>
      <c r="F123" s="8" t="str">
        <f>"S100016"</f>
        <v>S100016</v>
      </c>
      <c r="G123" s="9" t="str">
        <f>"Mesh Bucket Hat"</f>
        <v>Mesh Bucket Hat</v>
      </c>
      <c r="H123" s="43"/>
      <c r="I123" s="43"/>
      <c r="J123" s="21">
        <v>702.78</v>
      </c>
      <c r="K123" s="23">
        <v>144</v>
      </c>
      <c r="L123" s="22">
        <v>396.01</v>
      </c>
      <c r="M123" s="22">
        <f>J123-L123</f>
        <v>306.77</v>
      </c>
      <c r="N123" s="49">
        <f>IF(J123&lt;&gt;0,M123/J123,"")</f>
        <v>0.43650929167022395</v>
      </c>
      <c r="O123" s="21">
        <v>702.78</v>
      </c>
      <c r="P123" s="23">
        <v>144</v>
      </c>
      <c r="Q123" s="22">
        <v>396.01</v>
      </c>
      <c r="R123" s="22">
        <f t="shared" si="41"/>
        <v>306.77</v>
      </c>
      <c r="S123" s="49">
        <f t="shared" si="42"/>
        <v>0.43650929167022395</v>
      </c>
      <c r="T123" s="10"/>
    </row>
    <row r="124" spans="1:20" x14ac:dyDescent="0.25">
      <c r="A124" s="13" t="s">
        <v>79</v>
      </c>
      <c r="C124" s="51" t="str">
        <f t="shared" si="40"/>
        <v>C100135</v>
      </c>
      <c r="F124" s="8" t="str">
        <f>"S200004"</f>
        <v>S200004</v>
      </c>
      <c r="G124" s="9" t="str">
        <f>"5"" Female Graduate Trophy"</f>
        <v>5" Female Graduate Trophy</v>
      </c>
      <c r="H124" s="43"/>
      <c r="I124" s="43"/>
      <c r="J124" s="21">
        <v>0</v>
      </c>
      <c r="K124" s="23">
        <v>0</v>
      </c>
      <c r="L124" s="22">
        <v>0</v>
      </c>
      <c r="M124" s="22">
        <f>J124-L124</f>
        <v>0</v>
      </c>
      <c r="N124" s="49" t="str">
        <f>IF(J124&lt;&gt;0,M124/J124,"")</f>
        <v/>
      </c>
      <c r="O124" s="21">
        <v>88.2</v>
      </c>
      <c r="P124" s="23">
        <v>12</v>
      </c>
      <c r="Q124" s="22">
        <v>78.72</v>
      </c>
      <c r="R124" s="22">
        <f t="shared" si="41"/>
        <v>9.480000000000004</v>
      </c>
      <c r="S124" s="49">
        <f t="shared" si="42"/>
        <v>0.10748299319727896</v>
      </c>
      <c r="T124" s="10"/>
    </row>
    <row r="125" spans="1:20" x14ac:dyDescent="0.25">
      <c r="A125" s="13" t="s">
        <v>79</v>
      </c>
      <c r="C125" s="51" t="str">
        <f t="shared" si="40"/>
        <v>C100135</v>
      </c>
      <c r="F125" s="8" t="str">
        <f>"S200010"</f>
        <v>S200010</v>
      </c>
      <c r="G125" s="9" t="str">
        <f>"3.75"" Wrestling Trophy"</f>
        <v>3.75" Wrestling Trophy</v>
      </c>
      <c r="H125" s="43"/>
      <c r="I125" s="43"/>
      <c r="J125" s="21">
        <v>0</v>
      </c>
      <c r="K125" s="23">
        <v>0</v>
      </c>
      <c r="L125" s="22">
        <v>0</v>
      </c>
      <c r="M125" s="22">
        <f>J125-L125</f>
        <v>0</v>
      </c>
      <c r="N125" s="49" t="str">
        <f>IF(J125&lt;&gt;0,M125/J125,"")</f>
        <v/>
      </c>
      <c r="O125" s="21">
        <v>9.8000000000000007</v>
      </c>
      <c r="P125" s="23">
        <v>1</v>
      </c>
      <c r="Q125" s="22">
        <v>7.51</v>
      </c>
      <c r="R125" s="22">
        <f t="shared" si="41"/>
        <v>2.2900000000000009</v>
      </c>
      <c r="S125" s="49">
        <f t="shared" si="42"/>
        <v>0.23367346938775518</v>
      </c>
      <c r="T125" s="10"/>
    </row>
    <row r="126" spans="1:20" x14ac:dyDescent="0.25">
      <c r="A126" s="13" t="s">
        <v>79</v>
      </c>
      <c r="C126" s="51" t="str">
        <f t="shared" si="40"/>
        <v>C100135</v>
      </c>
      <c r="F126" s="8" t="str">
        <f>"S200022"</f>
        <v>S200022</v>
      </c>
      <c r="G126" s="9" t="str">
        <f>"10.75"" Tourch Riser Basketball Trophy"</f>
        <v>10.75" Tourch Riser Basketball Trophy</v>
      </c>
      <c r="H126" s="43"/>
      <c r="I126" s="43"/>
      <c r="J126" s="21">
        <v>0</v>
      </c>
      <c r="K126" s="23">
        <v>0</v>
      </c>
      <c r="L126" s="22">
        <v>0</v>
      </c>
      <c r="M126" s="22">
        <f>J126-L126</f>
        <v>0</v>
      </c>
      <c r="N126" s="49" t="str">
        <f>IF(J126&lt;&gt;0,M126/J126,"")</f>
        <v/>
      </c>
      <c r="O126" s="21">
        <v>588</v>
      </c>
      <c r="P126" s="23">
        <v>48</v>
      </c>
      <c r="Q126" s="22">
        <v>493.44</v>
      </c>
      <c r="R126" s="22">
        <f t="shared" si="41"/>
        <v>94.56</v>
      </c>
      <c r="S126" s="49">
        <f t="shared" si="42"/>
        <v>0.16081632653061226</v>
      </c>
      <c r="T126" s="10"/>
    </row>
    <row r="127" spans="1:20" x14ac:dyDescent="0.25">
      <c r="A127" s="13" t="s">
        <v>79</v>
      </c>
      <c r="C127" s="51" t="str">
        <f t="shared" si="40"/>
        <v>C100135</v>
      </c>
      <c r="F127" s="8" t="str">
        <f>"S200030"</f>
        <v>S200030</v>
      </c>
      <c r="G127" s="9" t="str">
        <f>"10.75"" Column Volleyball Trophy"</f>
        <v>10.75" Column Volleyball Trophy</v>
      </c>
      <c r="H127" s="43"/>
      <c r="I127" s="43"/>
      <c r="J127" s="21">
        <v>0</v>
      </c>
      <c r="K127" s="23">
        <v>0</v>
      </c>
      <c r="L127" s="22">
        <v>0</v>
      </c>
      <c r="M127" s="22">
        <f>J127-L127</f>
        <v>0</v>
      </c>
      <c r="N127" s="49" t="str">
        <f>IF(J127&lt;&gt;0,M127/J127,"")</f>
        <v/>
      </c>
      <c r="O127" s="21">
        <v>2116.8000000000002</v>
      </c>
      <c r="P127" s="23">
        <v>144</v>
      </c>
      <c r="Q127" s="22">
        <v>1547.9999999999998</v>
      </c>
      <c r="R127" s="22">
        <f t="shared" si="41"/>
        <v>568.80000000000041</v>
      </c>
      <c r="S127" s="49">
        <f t="shared" si="42"/>
        <v>0.26870748299319747</v>
      </c>
      <c r="T127" s="10"/>
    </row>
    <row r="128" spans="1:20" ht="15.75" thickBot="1" x14ac:dyDescent="0.3">
      <c r="A128" s="13" t="s">
        <v>79</v>
      </c>
      <c r="C128" s="51" t="str">
        <f>C115</f>
        <v>C100135</v>
      </c>
      <c r="J128" s="10"/>
      <c r="N128" s="11"/>
      <c r="O128" s="10"/>
      <c r="S128" s="11"/>
    </row>
    <row r="129" spans="1:20" ht="15.75" thickBot="1" x14ac:dyDescent="0.3">
      <c r="A129" s="13" t="s">
        <v>79</v>
      </c>
      <c r="C129" s="51" t="str">
        <f t="shared" si="37"/>
        <v>C100135</v>
      </c>
      <c r="G129" s="44" t="str">
        <f>C129&amp;" TOTAL:"</f>
        <v>C100135 TOTAL:</v>
      </c>
      <c r="H129" s="46"/>
      <c r="I129" s="46"/>
      <c r="J129" s="31">
        <f>SUBTOTAL(9,J114:J128)</f>
        <v>1424.13</v>
      </c>
      <c r="K129" s="32">
        <f>SUBTOTAL(9,K114:K128)</f>
        <v>289</v>
      </c>
      <c r="L129" s="33">
        <f>SUBTOTAL(9,L114:L128)</f>
        <v>741.73</v>
      </c>
      <c r="M129" s="33">
        <f>J129-L129</f>
        <v>682.40000000000009</v>
      </c>
      <c r="N129" s="34">
        <f>IF(J129&lt;&gt;0,M129/J129,"")</f>
        <v>0.47916973871767327</v>
      </c>
      <c r="O129" s="31">
        <f>SUBTOTAL(9,O114:O128)</f>
        <v>5300.37</v>
      </c>
      <c r="P129" s="32">
        <f>SUBTOTAL(9,P114:P128)</f>
        <v>1016</v>
      </c>
      <c r="Q129" s="33">
        <f>SUBTOTAL(9,Q114:Q128)</f>
        <v>3440.3999999999996</v>
      </c>
      <c r="R129" s="33">
        <f t="shared" ref="R129" si="43">O129-Q129</f>
        <v>1859.9700000000003</v>
      </c>
      <c r="S129" s="34">
        <f t="shared" ref="S129" si="44">IF(O129&lt;&gt;0,R129/O129,"")</f>
        <v>0.3509132381324323</v>
      </c>
    </row>
    <row r="130" spans="1:20" x14ac:dyDescent="0.25">
      <c r="A130" s="13" t="s">
        <v>79</v>
      </c>
      <c r="J130" s="10"/>
      <c r="N130" s="11"/>
      <c r="O130" s="10"/>
      <c r="S130" s="11"/>
    </row>
    <row r="131" spans="1:20" ht="15.75" x14ac:dyDescent="0.25">
      <c r="A131" s="13" t="s">
        <v>79</v>
      </c>
      <c r="C131" s="19" t="str">
        <f t="shared" ref="C131" si="45">E131</f>
        <v>C100137</v>
      </c>
      <c r="E131" s="12" t="str">
        <f>"C100137"</f>
        <v>C100137</v>
      </c>
      <c r="F131" s="12"/>
      <c r="G131" s="12" t="str">
        <f>"Odessy Sports"</f>
        <v>Odessy Sports</v>
      </c>
      <c r="H131" s="12"/>
      <c r="I131" s="12"/>
      <c r="J131" s="10"/>
      <c r="N131" s="11"/>
      <c r="O131" s="10"/>
      <c r="S131" s="11"/>
    </row>
    <row r="132" spans="1:20" ht="6.6" customHeight="1" x14ac:dyDescent="0.25">
      <c r="A132" s="13" t="s">
        <v>79</v>
      </c>
      <c r="C132" s="51" t="str">
        <f t="shared" ref="C132:C152" si="46">C131</f>
        <v>C100137</v>
      </c>
      <c r="J132" s="10"/>
      <c r="N132" s="11"/>
      <c r="O132" s="10"/>
      <c r="S132" s="11"/>
    </row>
    <row r="133" spans="1:20" x14ac:dyDescent="0.25">
      <c r="A133" s="13" t="s">
        <v>79</v>
      </c>
      <c r="C133" s="51" t="str">
        <f t="shared" si="46"/>
        <v>C100137</v>
      </c>
      <c r="F133" s="8" t="str">
        <f>"C100004"</f>
        <v>C100004</v>
      </c>
      <c r="G133" s="9" t="str">
        <f>"Walnut Medallian Plate"</f>
        <v>Walnut Medallian Plate</v>
      </c>
      <c r="H133" s="43"/>
      <c r="I133" s="43"/>
      <c r="J133" s="21">
        <v>0</v>
      </c>
      <c r="K133" s="23">
        <v>0</v>
      </c>
      <c r="L133" s="22">
        <v>0</v>
      </c>
      <c r="M133" s="22">
        <f>J133-L133</f>
        <v>0</v>
      </c>
      <c r="N133" s="49" t="str">
        <f>IF(J133&lt;&gt;0,M133/J133,"")</f>
        <v/>
      </c>
      <c r="O133" s="21">
        <v>9758.7800000000007</v>
      </c>
      <c r="P133" s="23">
        <v>168</v>
      </c>
      <c r="Q133" s="22">
        <v>5140.79</v>
      </c>
      <c r="R133" s="22">
        <f t="shared" ref="R133" si="47">O133-Q133</f>
        <v>4617.9900000000007</v>
      </c>
      <c r="S133" s="49">
        <f t="shared" ref="S133" si="48">IF(O133&lt;&gt;0,R133/O133,"")</f>
        <v>0.4732138648478601</v>
      </c>
      <c r="T133" s="10"/>
    </row>
    <row r="134" spans="1:20" x14ac:dyDescent="0.25">
      <c r="A134" s="13" t="s">
        <v>79</v>
      </c>
      <c r="C134" s="51" t="str">
        <f t="shared" ref="C134:C150" si="49">C133</f>
        <v>C100137</v>
      </c>
      <c r="F134" s="8" t="str">
        <f>"C100006"</f>
        <v>C100006</v>
      </c>
      <c r="G134" s="9" t="str">
        <f>"Cherry Finished Crystal Award- Large"</f>
        <v>Cherry Finished Crystal Award- Large</v>
      </c>
      <c r="H134" s="43"/>
      <c r="I134" s="43"/>
      <c r="J134" s="21">
        <v>0</v>
      </c>
      <c r="K134" s="23">
        <v>0</v>
      </c>
      <c r="L134" s="22">
        <v>0</v>
      </c>
      <c r="M134" s="22">
        <f>J134-L134</f>
        <v>0</v>
      </c>
      <c r="N134" s="49" t="str">
        <f>IF(J134&lt;&gt;0,M134/J134,"")</f>
        <v/>
      </c>
      <c r="O134" s="21">
        <v>9735.23</v>
      </c>
      <c r="P134" s="23">
        <v>48</v>
      </c>
      <c r="Q134" s="22">
        <v>4561.92</v>
      </c>
      <c r="R134" s="22">
        <f t="shared" ref="R134:R150" si="50">O134-Q134</f>
        <v>5173.3099999999995</v>
      </c>
      <c r="S134" s="49">
        <f t="shared" ref="S134:S150" si="51">IF(O134&lt;&gt;0,R134/O134,"")</f>
        <v>0.5314009016736122</v>
      </c>
      <c r="T134" s="10"/>
    </row>
    <row r="135" spans="1:20" x14ac:dyDescent="0.25">
      <c r="A135" s="13" t="s">
        <v>79</v>
      </c>
      <c r="C135" s="51" t="str">
        <f t="shared" si="49"/>
        <v>C100137</v>
      </c>
      <c r="F135" s="8" t="str">
        <f>"C100023"</f>
        <v>C100023</v>
      </c>
      <c r="G135" s="9" t="str">
        <f>"Two-Toned Knit Hat"</f>
        <v>Two-Toned Knit Hat</v>
      </c>
      <c r="H135" s="43"/>
      <c r="I135" s="43"/>
      <c r="J135" s="21">
        <v>0</v>
      </c>
      <c r="K135" s="23">
        <v>0</v>
      </c>
      <c r="L135" s="22">
        <v>0</v>
      </c>
      <c r="M135" s="22">
        <f>J135-L135</f>
        <v>0</v>
      </c>
      <c r="N135" s="49" t="str">
        <f>IF(J135&lt;&gt;0,M135/J135,"")</f>
        <v/>
      </c>
      <c r="O135" s="21">
        <v>748.68000000000006</v>
      </c>
      <c r="P135" s="23">
        <v>288</v>
      </c>
      <c r="Q135" s="22">
        <v>362.87</v>
      </c>
      <c r="R135" s="22">
        <f t="shared" si="50"/>
        <v>385.81000000000006</v>
      </c>
      <c r="S135" s="49">
        <f t="shared" si="51"/>
        <v>0.51532029705615223</v>
      </c>
      <c r="T135" s="10"/>
    </row>
    <row r="136" spans="1:20" x14ac:dyDescent="0.25">
      <c r="A136" s="13" t="s">
        <v>79</v>
      </c>
      <c r="C136" s="51" t="str">
        <f t="shared" si="49"/>
        <v>C100137</v>
      </c>
      <c r="F136" s="8" t="str">
        <f>"C100025"</f>
        <v>C100025</v>
      </c>
      <c r="G136" s="9" t="str">
        <f>"Striped Knit Hat"</f>
        <v>Striped Knit Hat</v>
      </c>
      <c r="H136" s="43"/>
      <c r="I136" s="43"/>
      <c r="J136" s="21">
        <v>386.21000000000004</v>
      </c>
      <c r="K136" s="23">
        <v>144</v>
      </c>
      <c r="L136" s="22">
        <v>198.72</v>
      </c>
      <c r="M136" s="22">
        <f>J136-L136</f>
        <v>187.49000000000004</v>
      </c>
      <c r="N136" s="49">
        <f>IF(J136&lt;&gt;0,M136/J136,"")</f>
        <v>0.48546127754330548</v>
      </c>
      <c r="O136" s="21">
        <v>422.09000000000003</v>
      </c>
      <c r="P136" s="23">
        <v>146</v>
      </c>
      <c r="Q136" s="22">
        <v>201.48</v>
      </c>
      <c r="R136" s="22">
        <f t="shared" si="50"/>
        <v>220.61000000000004</v>
      </c>
      <c r="S136" s="49">
        <f t="shared" si="51"/>
        <v>0.52266104385320677</v>
      </c>
      <c r="T136" s="10"/>
    </row>
    <row r="137" spans="1:20" x14ac:dyDescent="0.25">
      <c r="A137" s="13" t="s">
        <v>79</v>
      </c>
      <c r="C137" s="51" t="str">
        <f t="shared" si="49"/>
        <v>C100137</v>
      </c>
      <c r="F137" s="8" t="str">
        <f>"C100026"</f>
        <v>C100026</v>
      </c>
      <c r="G137" s="9" t="str">
        <f>"Fleece Beanie"</f>
        <v>Fleece Beanie</v>
      </c>
      <c r="H137" s="43"/>
      <c r="I137" s="43"/>
      <c r="J137" s="21">
        <v>0</v>
      </c>
      <c r="K137" s="23">
        <v>0</v>
      </c>
      <c r="L137" s="22">
        <v>0</v>
      </c>
      <c r="M137" s="22">
        <f>J137-L137</f>
        <v>0</v>
      </c>
      <c r="N137" s="49" t="str">
        <f>IF(J137&lt;&gt;0,M137/J137,"")</f>
        <v/>
      </c>
      <c r="O137" s="21">
        <v>435.8</v>
      </c>
      <c r="P137" s="23">
        <v>144</v>
      </c>
      <c r="Q137" s="22">
        <v>287.99</v>
      </c>
      <c r="R137" s="22">
        <f t="shared" si="50"/>
        <v>147.81</v>
      </c>
      <c r="S137" s="49">
        <f t="shared" si="51"/>
        <v>0.33916934373565855</v>
      </c>
      <c r="T137" s="10"/>
    </row>
    <row r="138" spans="1:20" x14ac:dyDescent="0.25">
      <c r="A138" s="13" t="s">
        <v>79</v>
      </c>
      <c r="C138" s="51" t="str">
        <f t="shared" si="49"/>
        <v>C100137</v>
      </c>
      <c r="F138" s="8" t="str">
        <f>"C100029"</f>
        <v>C100029</v>
      </c>
      <c r="G138" s="9" t="str">
        <f>"Distressed Twill Visor"</f>
        <v>Distressed Twill Visor</v>
      </c>
      <c r="H138" s="43"/>
      <c r="I138" s="43"/>
      <c r="J138" s="21">
        <v>0</v>
      </c>
      <c r="K138" s="23">
        <v>0</v>
      </c>
      <c r="L138" s="22">
        <v>0</v>
      </c>
      <c r="M138" s="22">
        <f>J138-L138</f>
        <v>0</v>
      </c>
      <c r="N138" s="49" t="str">
        <f>IF(J138&lt;&gt;0,M138/J138,"")</f>
        <v/>
      </c>
      <c r="O138" s="21">
        <v>23.22</v>
      </c>
      <c r="P138" s="23">
        <v>7</v>
      </c>
      <c r="Q138" s="22">
        <v>14.49</v>
      </c>
      <c r="R138" s="22">
        <f t="shared" si="50"/>
        <v>8.7299999999999986</v>
      </c>
      <c r="S138" s="49">
        <f t="shared" si="51"/>
        <v>0.37596899224806196</v>
      </c>
      <c r="T138" s="10"/>
    </row>
    <row r="139" spans="1:20" x14ac:dyDescent="0.25">
      <c r="A139" s="13" t="s">
        <v>79</v>
      </c>
      <c r="C139" s="51" t="str">
        <f t="shared" si="49"/>
        <v>C100137</v>
      </c>
      <c r="F139" s="8" t="str">
        <f>"E100001"</f>
        <v>E100001</v>
      </c>
      <c r="G139" s="9" t="str">
        <f>"Sport Bag"</f>
        <v>Sport Bag</v>
      </c>
      <c r="H139" s="43"/>
      <c r="I139" s="43"/>
      <c r="J139" s="21">
        <v>0</v>
      </c>
      <c r="K139" s="23">
        <v>0</v>
      </c>
      <c r="L139" s="22">
        <v>0</v>
      </c>
      <c r="M139" s="22">
        <f>J139-L139</f>
        <v>0</v>
      </c>
      <c r="N139" s="49" t="str">
        <f>IF(J139&lt;&gt;0,M139/J139,"")</f>
        <v/>
      </c>
      <c r="O139" s="21">
        <v>252.82</v>
      </c>
      <c r="P139" s="23">
        <v>144</v>
      </c>
      <c r="Q139" s="22">
        <v>125.28</v>
      </c>
      <c r="R139" s="22">
        <f t="shared" si="50"/>
        <v>127.53999999999999</v>
      </c>
      <c r="S139" s="49">
        <f t="shared" si="51"/>
        <v>0.50446958310260259</v>
      </c>
      <c r="T139" s="10"/>
    </row>
    <row r="140" spans="1:20" x14ac:dyDescent="0.25">
      <c r="A140" s="13" t="s">
        <v>79</v>
      </c>
      <c r="C140" s="51" t="str">
        <f t="shared" si="49"/>
        <v>C100137</v>
      </c>
      <c r="F140" s="8" t="str">
        <f>"E100011"</f>
        <v>E100011</v>
      </c>
      <c r="G140" s="9" t="str">
        <f>"Plastic Sun Visor"</f>
        <v>Plastic Sun Visor</v>
      </c>
      <c r="H140" s="43"/>
      <c r="I140" s="43"/>
      <c r="J140" s="21">
        <v>0</v>
      </c>
      <c r="K140" s="23">
        <v>0</v>
      </c>
      <c r="L140" s="22">
        <v>0</v>
      </c>
      <c r="M140" s="22">
        <f>J140-L140</f>
        <v>0</v>
      </c>
      <c r="N140" s="49" t="str">
        <f>IF(J140&lt;&gt;0,M140/J140,"")</f>
        <v/>
      </c>
      <c r="O140" s="21">
        <v>232.92999999999998</v>
      </c>
      <c r="P140" s="23">
        <v>295</v>
      </c>
      <c r="Q140" s="22">
        <v>123.88</v>
      </c>
      <c r="R140" s="22">
        <f t="shared" si="50"/>
        <v>109.04999999999998</v>
      </c>
      <c r="S140" s="49">
        <f t="shared" si="51"/>
        <v>0.46816640192332459</v>
      </c>
      <c r="T140" s="10"/>
    </row>
    <row r="141" spans="1:20" x14ac:dyDescent="0.25">
      <c r="A141" s="13" t="s">
        <v>79</v>
      </c>
      <c r="C141" s="51" t="str">
        <f t="shared" si="49"/>
        <v>C100137</v>
      </c>
      <c r="F141" s="8" t="str">
        <f>"E100015"</f>
        <v>E100015</v>
      </c>
      <c r="G141" s="9" t="str">
        <f>"360 Clip Watch"</f>
        <v>360 Clip Watch</v>
      </c>
      <c r="H141" s="43"/>
      <c r="I141" s="43"/>
      <c r="J141" s="21">
        <v>0</v>
      </c>
      <c r="K141" s="23">
        <v>0</v>
      </c>
      <c r="L141" s="22">
        <v>0</v>
      </c>
      <c r="M141" s="22">
        <f>J141-L141</f>
        <v>0</v>
      </c>
      <c r="N141" s="49" t="str">
        <f>IF(J141&lt;&gt;0,M141/J141,"")</f>
        <v/>
      </c>
      <c r="O141" s="21">
        <v>350.88</v>
      </c>
      <c r="P141" s="23">
        <v>168</v>
      </c>
      <c r="Q141" s="22">
        <v>171.36</v>
      </c>
      <c r="R141" s="22">
        <f t="shared" si="50"/>
        <v>179.51999999999998</v>
      </c>
      <c r="S141" s="49">
        <f t="shared" si="51"/>
        <v>0.5116279069767441</v>
      </c>
      <c r="T141" s="10"/>
    </row>
    <row r="142" spans="1:20" x14ac:dyDescent="0.25">
      <c r="A142" s="13" t="s">
        <v>79</v>
      </c>
      <c r="C142" s="51" t="str">
        <f t="shared" si="49"/>
        <v>C100137</v>
      </c>
      <c r="F142" s="8" t="str">
        <f>"E100016"</f>
        <v>E100016</v>
      </c>
      <c r="G142" s="9" t="str">
        <f>"4 Function Rotating Carabiner Watch"</f>
        <v>4 Function Rotating Carabiner Watch</v>
      </c>
      <c r="H142" s="43"/>
      <c r="I142" s="43"/>
      <c r="J142" s="21">
        <v>0</v>
      </c>
      <c r="K142" s="23">
        <v>0</v>
      </c>
      <c r="L142" s="22">
        <v>0</v>
      </c>
      <c r="M142" s="22">
        <f>J142-L142</f>
        <v>0</v>
      </c>
      <c r="N142" s="49" t="str">
        <f>IF(J142&lt;&gt;0,M142/J142,"")</f>
        <v/>
      </c>
      <c r="O142" s="21">
        <v>849.25</v>
      </c>
      <c r="P142" s="23">
        <v>288</v>
      </c>
      <c r="Q142" s="22">
        <v>397.46000000000004</v>
      </c>
      <c r="R142" s="22">
        <f t="shared" si="50"/>
        <v>451.78999999999996</v>
      </c>
      <c r="S142" s="49">
        <f t="shared" si="51"/>
        <v>0.53198704739475999</v>
      </c>
      <c r="T142" s="10"/>
    </row>
    <row r="143" spans="1:20" x14ac:dyDescent="0.25">
      <c r="A143" s="13" t="s">
        <v>79</v>
      </c>
      <c r="C143" s="51" t="str">
        <f t="shared" si="49"/>
        <v>C100137</v>
      </c>
      <c r="F143" s="8" t="str">
        <f>"E100017"</f>
        <v>E100017</v>
      </c>
      <c r="G143" s="9" t="str">
        <f>"Clip-on Clock with Compass"</f>
        <v>Clip-on Clock with Compass</v>
      </c>
      <c r="H143" s="43"/>
      <c r="I143" s="43"/>
      <c r="J143" s="21">
        <v>0</v>
      </c>
      <c r="K143" s="23">
        <v>0</v>
      </c>
      <c r="L143" s="22">
        <v>0</v>
      </c>
      <c r="M143" s="22">
        <f>J143-L143</f>
        <v>0</v>
      </c>
      <c r="N143" s="49" t="str">
        <f>IF(J143&lt;&gt;0,M143/J143,"")</f>
        <v/>
      </c>
      <c r="O143" s="21">
        <v>219.38</v>
      </c>
      <c r="P143" s="23">
        <v>145</v>
      </c>
      <c r="Q143" s="22">
        <v>127.6</v>
      </c>
      <c r="R143" s="22">
        <f t="shared" si="50"/>
        <v>91.78</v>
      </c>
      <c r="S143" s="49">
        <f t="shared" si="51"/>
        <v>0.41836083508068195</v>
      </c>
      <c r="T143" s="10"/>
    </row>
    <row r="144" spans="1:20" x14ac:dyDescent="0.25">
      <c r="A144" s="13" t="s">
        <v>79</v>
      </c>
      <c r="C144" s="51" t="str">
        <f t="shared" si="49"/>
        <v>C100137</v>
      </c>
      <c r="F144" s="8" t="str">
        <f>"E100018"</f>
        <v>E100018</v>
      </c>
      <c r="G144" s="9" t="str">
        <f>"Flexi-Clock &amp; Clip"</f>
        <v>Flexi-Clock &amp; Clip</v>
      </c>
      <c r="H144" s="43"/>
      <c r="I144" s="43"/>
      <c r="J144" s="21">
        <v>0</v>
      </c>
      <c r="K144" s="23">
        <v>0</v>
      </c>
      <c r="L144" s="22">
        <v>0</v>
      </c>
      <c r="M144" s="22">
        <f>J144-L144</f>
        <v>0</v>
      </c>
      <c r="N144" s="49" t="str">
        <f>IF(J144&lt;&gt;0,M144/J144,"")</f>
        <v/>
      </c>
      <c r="O144" s="21">
        <v>157.84</v>
      </c>
      <c r="P144" s="23">
        <v>144</v>
      </c>
      <c r="Q144" s="22">
        <v>86.39</v>
      </c>
      <c r="R144" s="22">
        <f t="shared" si="50"/>
        <v>71.45</v>
      </c>
      <c r="S144" s="49">
        <f t="shared" si="51"/>
        <v>0.45267359351241765</v>
      </c>
      <c r="T144" s="10"/>
    </row>
    <row r="145" spans="1:20" x14ac:dyDescent="0.25">
      <c r="A145" s="13" t="s">
        <v>79</v>
      </c>
      <c r="C145" s="51" t="str">
        <f t="shared" si="49"/>
        <v>C100137</v>
      </c>
      <c r="F145" s="8" t="str">
        <f>"S100005"</f>
        <v>S100005</v>
      </c>
      <c r="G145" s="9" t="str">
        <f>"Award Medallian - 2.5''"</f>
        <v>Award Medallian - 2.5''</v>
      </c>
      <c r="H145" s="43"/>
      <c r="I145" s="43"/>
      <c r="J145" s="21">
        <v>0</v>
      </c>
      <c r="K145" s="23">
        <v>0</v>
      </c>
      <c r="L145" s="22">
        <v>0</v>
      </c>
      <c r="M145" s="22">
        <f>J145-L145</f>
        <v>0</v>
      </c>
      <c r="N145" s="49" t="str">
        <f>IF(J145&lt;&gt;0,M145/J145,"")</f>
        <v/>
      </c>
      <c r="O145" s="21">
        <v>4769.2</v>
      </c>
      <c r="P145" s="23">
        <v>576</v>
      </c>
      <c r="Q145" s="22">
        <v>3006.76</v>
      </c>
      <c r="R145" s="22">
        <f t="shared" si="50"/>
        <v>1762.4399999999996</v>
      </c>
      <c r="S145" s="49">
        <f t="shared" si="51"/>
        <v>0.36954625513712985</v>
      </c>
      <c r="T145" s="10"/>
    </row>
    <row r="146" spans="1:20" x14ac:dyDescent="0.25">
      <c r="A146" s="13" t="s">
        <v>79</v>
      </c>
      <c r="C146" s="51" t="str">
        <f t="shared" si="49"/>
        <v>C100137</v>
      </c>
      <c r="F146" s="8" t="str">
        <f>"S100009"</f>
        <v>S100009</v>
      </c>
      <c r="G146" s="9" t="str">
        <f>"Engraved Basketball Award"</f>
        <v>Engraved Basketball Award</v>
      </c>
      <c r="H146" s="43"/>
      <c r="I146" s="43"/>
      <c r="J146" s="21">
        <v>0</v>
      </c>
      <c r="K146" s="23">
        <v>0</v>
      </c>
      <c r="L146" s="22">
        <v>0</v>
      </c>
      <c r="M146" s="22">
        <f>J146-L146</f>
        <v>0</v>
      </c>
      <c r="N146" s="49" t="str">
        <f>IF(J146&lt;&gt;0,M146/J146,"")</f>
        <v/>
      </c>
      <c r="O146" s="21">
        <v>18.57</v>
      </c>
      <c r="P146" s="23">
        <v>1</v>
      </c>
      <c r="Q146" s="22">
        <v>8.82</v>
      </c>
      <c r="R146" s="22">
        <f t="shared" si="50"/>
        <v>9.75</v>
      </c>
      <c r="S146" s="49">
        <f t="shared" si="51"/>
        <v>0.52504038772213246</v>
      </c>
      <c r="T146" s="10"/>
    </row>
    <row r="147" spans="1:20" x14ac:dyDescent="0.25">
      <c r="A147" s="13" t="s">
        <v>79</v>
      </c>
      <c r="C147" s="51" t="str">
        <f t="shared" si="49"/>
        <v>C100137</v>
      </c>
      <c r="F147" s="8" t="str">
        <f>"S100010"</f>
        <v>S100010</v>
      </c>
      <c r="G147" s="9" t="str">
        <f>"Golf Relaxed Cap"</f>
        <v>Golf Relaxed Cap</v>
      </c>
      <c r="H147" s="43"/>
      <c r="I147" s="43"/>
      <c r="J147" s="21">
        <v>0</v>
      </c>
      <c r="K147" s="23">
        <v>0</v>
      </c>
      <c r="L147" s="22">
        <v>0</v>
      </c>
      <c r="M147" s="22">
        <f>J147-L147</f>
        <v>0</v>
      </c>
      <c r="N147" s="49" t="str">
        <f>IF(J147&lt;&gt;0,M147/J147,"")</f>
        <v/>
      </c>
      <c r="O147" s="21">
        <v>1457.3700000000001</v>
      </c>
      <c r="P147" s="23">
        <v>146</v>
      </c>
      <c r="Q147" s="22">
        <v>889.15</v>
      </c>
      <c r="R147" s="22">
        <f t="shared" si="50"/>
        <v>568.22000000000014</v>
      </c>
      <c r="S147" s="49">
        <f t="shared" si="51"/>
        <v>0.38989412434728321</v>
      </c>
      <c r="T147" s="10"/>
    </row>
    <row r="148" spans="1:20" x14ac:dyDescent="0.25">
      <c r="A148" s="13" t="s">
        <v>79</v>
      </c>
      <c r="C148" s="51" t="str">
        <f t="shared" si="49"/>
        <v>C100137</v>
      </c>
      <c r="F148" s="8" t="str">
        <f>"S100012"</f>
        <v>S100012</v>
      </c>
      <c r="G148" s="9" t="str">
        <f>"Raw-Edge Patch BALL CAP"</f>
        <v>Raw-Edge Patch BALL CAP</v>
      </c>
      <c r="H148" s="43"/>
      <c r="I148" s="43"/>
      <c r="J148" s="21">
        <v>9.39</v>
      </c>
      <c r="K148" s="23">
        <v>1</v>
      </c>
      <c r="L148" s="22">
        <v>5.61</v>
      </c>
      <c r="M148" s="22">
        <f>J148-L148</f>
        <v>3.7800000000000002</v>
      </c>
      <c r="N148" s="49">
        <f>IF(J148&lt;&gt;0,M148/J148,"")</f>
        <v>0.402555910543131</v>
      </c>
      <c r="O148" s="21">
        <v>1516.31</v>
      </c>
      <c r="P148" s="23">
        <v>150</v>
      </c>
      <c r="Q148" s="22">
        <v>841.5</v>
      </c>
      <c r="R148" s="22">
        <f t="shared" si="50"/>
        <v>674.81</v>
      </c>
      <c r="S148" s="49">
        <f t="shared" si="51"/>
        <v>0.44503432675376403</v>
      </c>
      <c r="T148" s="10"/>
    </row>
    <row r="149" spans="1:20" x14ac:dyDescent="0.25">
      <c r="A149" s="13" t="s">
        <v>79</v>
      </c>
      <c r="C149" s="51" t="str">
        <f t="shared" si="49"/>
        <v>C100137</v>
      </c>
      <c r="F149" s="8" t="str">
        <f>"S100013"</f>
        <v>S100013</v>
      </c>
      <c r="G149" s="9" t="str">
        <f>"Mesh BALL CAP"</f>
        <v>Mesh BALL CAP</v>
      </c>
      <c r="H149" s="43"/>
      <c r="I149" s="43"/>
      <c r="J149" s="21">
        <v>855.3599999999999</v>
      </c>
      <c r="K149" s="23">
        <v>144</v>
      </c>
      <c r="L149" s="22">
        <v>495.37</v>
      </c>
      <c r="M149" s="22">
        <f>J149-L149</f>
        <v>359.9899999999999</v>
      </c>
      <c r="N149" s="49">
        <f>IF(J149&lt;&gt;0,M149/J149,"")</f>
        <v>0.42086372989150761</v>
      </c>
      <c r="O149" s="21">
        <v>921.89</v>
      </c>
      <c r="P149" s="23">
        <v>144</v>
      </c>
      <c r="Q149" s="22">
        <v>495.37</v>
      </c>
      <c r="R149" s="22">
        <f t="shared" si="50"/>
        <v>426.52</v>
      </c>
      <c r="S149" s="49">
        <f t="shared" si="51"/>
        <v>0.46265823471346906</v>
      </c>
      <c r="T149" s="10"/>
    </row>
    <row r="150" spans="1:20" x14ac:dyDescent="0.25">
      <c r="A150" s="13" t="s">
        <v>79</v>
      </c>
      <c r="C150" s="51" t="str">
        <f t="shared" si="49"/>
        <v>C100137</v>
      </c>
      <c r="F150" s="8" t="str">
        <f>"S100020"</f>
        <v>S100020</v>
      </c>
      <c r="G150" s="9" t="str">
        <f>"Super Sport Stopwatch"</f>
        <v>Super Sport Stopwatch</v>
      </c>
      <c r="H150" s="43"/>
      <c r="I150" s="43"/>
      <c r="J150" s="21">
        <v>1.96</v>
      </c>
      <c r="K150" s="23">
        <v>1</v>
      </c>
      <c r="L150" s="22">
        <v>1.05</v>
      </c>
      <c r="M150" s="22">
        <f>J150-L150</f>
        <v>0.90999999999999992</v>
      </c>
      <c r="N150" s="49">
        <f>IF(J150&lt;&gt;0,M150/J150,"")</f>
        <v>0.46428571428571425</v>
      </c>
      <c r="O150" s="21">
        <v>2.11</v>
      </c>
      <c r="P150" s="23">
        <v>1</v>
      </c>
      <c r="Q150" s="22">
        <v>1.05</v>
      </c>
      <c r="R150" s="22">
        <f t="shared" si="50"/>
        <v>1.0599999999999998</v>
      </c>
      <c r="S150" s="49">
        <f t="shared" si="51"/>
        <v>0.50236966824644547</v>
      </c>
      <c r="T150" s="10"/>
    </row>
    <row r="151" spans="1:20" ht="15.75" thickBot="1" x14ac:dyDescent="0.3">
      <c r="A151" s="13" t="s">
        <v>79</v>
      </c>
      <c r="C151" s="51" t="str">
        <f>C133</f>
        <v>C100137</v>
      </c>
      <c r="J151" s="10"/>
      <c r="N151" s="11"/>
      <c r="O151" s="10"/>
      <c r="S151" s="11"/>
    </row>
    <row r="152" spans="1:20" ht="15.75" thickBot="1" x14ac:dyDescent="0.3">
      <c r="A152" s="13" t="s">
        <v>79</v>
      </c>
      <c r="C152" s="51" t="str">
        <f t="shared" si="46"/>
        <v>C100137</v>
      </c>
      <c r="G152" s="44" t="str">
        <f>C152&amp;" TOTAL:"</f>
        <v>C100137 TOTAL:</v>
      </c>
      <c r="H152" s="46"/>
      <c r="I152" s="46"/>
      <c r="J152" s="31">
        <f>SUBTOTAL(9,J132:J151)</f>
        <v>1252.92</v>
      </c>
      <c r="K152" s="32">
        <f>SUBTOTAL(9,K132:K151)</f>
        <v>290</v>
      </c>
      <c r="L152" s="33">
        <f>SUBTOTAL(9,L132:L151)</f>
        <v>700.75</v>
      </c>
      <c r="M152" s="33">
        <f>J152-L152</f>
        <v>552.17000000000007</v>
      </c>
      <c r="N152" s="34">
        <f>IF(J152&lt;&gt;0,M152/J152,"")</f>
        <v>0.44070650959358942</v>
      </c>
      <c r="O152" s="31">
        <f>SUBTOTAL(9,O132:O151)</f>
        <v>31872.350000000006</v>
      </c>
      <c r="P152" s="32">
        <f>SUBTOTAL(9,P132:P151)</f>
        <v>3003</v>
      </c>
      <c r="Q152" s="33">
        <f>SUBTOTAL(9,Q132:Q151)</f>
        <v>16844.16</v>
      </c>
      <c r="R152" s="33">
        <f t="shared" ref="R152" si="52">O152-Q152</f>
        <v>15028.190000000006</v>
      </c>
      <c r="S152" s="34">
        <f t="shared" ref="S152" si="53">IF(O152&lt;&gt;0,R152/O152,"")</f>
        <v>0.47151182764998512</v>
      </c>
    </row>
    <row r="153" spans="1:20" x14ac:dyDescent="0.25">
      <c r="A153" s="13" t="s">
        <v>79</v>
      </c>
      <c r="J153" s="10"/>
      <c r="N153" s="11"/>
      <c r="O153" s="10"/>
      <c r="S153" s="11"/>
    </row>
    <row r="154" spans="1:20" ht="15.75" x14ac:dyDescent="0.25">
      <c r="A154" s="13" t="s">
        <v>79</v>
      </c>
      <c r="C154" s="19" t="str">
        <f t="shared" ref="C154" si="54">E154</f>
        <v>C100145</v>
      </c>
      <c r="E154" s="12" t="str">
        <f>"C100145"</f>
        <v>C100145</v>
      </c>
      <c r="F154" s="12"/>
      <c r="G154" s="12" t="str">
        <f>"Dicon Industries"</f>
        <v>Dicon Industries</v>
      </c>
      <c r="H154" s="12"/>
      <c r="I154" s="12"/>
      <c r="J154" s="10"/>
      <c r="N154" s="11"/>
      <c r="O154" s="10"/>
      <c r="S154" s="11"/>
    </row>
    <row r="155" spans="1:20" ht="6.6" customHeight="1" x14ac:dyDescent="0.25">
      <c r="A155" s="13" t="s">
        <v>79</v>
      </c>
      <c r="C155" s="51" t="str">
        <f t="shared" ref="C155:C168" si="55">C154</f>
        <v>C100145</v>
      </c>
      <c r="J155" s="10"/>
      <c r="N155" s="11"/>
      <c r="O155" s="10"/>
      <c r="S155" s="11"/>
    </row>
    <row r="156" spans="1:20" x14ac:dyDescent="0.25">
      <c r="A156" s="13" t="s">
        <v>79</v>
      </c>
      <c r="C156" s="51" t="str">
        <f t="shared" si="55"/>
        <v>C100145</v>
      </c>
      <c r="F156" s="8" t="str">
        <f>"C100004"</f>
        <v>C100004</v>
      </c>
      <c r="G156" s="9" t="str">
        <f>"Walnut Medallian Plate"</f>
        <v>Walnut Medallian Plate</v>
      </c>
      <c r="H156" s="43"/>
      <c r="I156" s="43"/>
      <c r="J156" s="21">
        <v>0</v>
      </c>
      <c r="K156" s="23">
        <v>0</v>
      </c>
      <c r="L156" s="22">
        <v>0</v>
      </c>
      <c r="M156" s="22">
        <f>J156-L156</f>
        <v>0</v>
      </c>
      <c r="N156" s="49" t="str">
        <f>IF(J156&lt;&gt;0,M156/J156,"")</f>
        <v/>
      </c>
      <c r="O156" s="21">
        <v>16411.849999999999</v>
      </c>
      <c r="P156" s="23">
        <v>288</v>
      </c>
      <c r="Q156" s="22">
        <v>8812.7799999999988</v>
      </c>
      <c r="R156" s="22">
        <f t="shared" ref="R156" si="56">O156-Q156</f>
        <v>7599.07</v>
      </c>
      <c r="S156" s="49">
        <f t="shared" ref="S156" si="57">IF(O156&lt;&gt;0,R156/O156,"")</f>
        <v>0.46302336421549067</v>
      </c>
      <c r="T156" s="10"/>
    </row>
    <row r="157" spans="1:20" x14ac:dyDescent="0.25">
      <c r="A157" s="13" t="s">
        <v>79</v>
      </c>
      <c r="C157" s="51" t="str">
        <f t="shared" ref="C157:C166" si="58">C156</f>
        <v>C100145</v>
      </c>
      <c r="F157" s="8" t="str">
        <f>"C100006"</f>
        <v>C100006</v>
      </c>
      <c r="G157" s="9" t="str">
        <f>"Cherry Finished Crystal Award- Large"</f>
        <v>Cherry Finished Crystal Award- Large</v>
      </c>
      <c r="H157" s="43"/>
      <c r="I157" s="43"/>
      <c r="J157" s="21">
        <v>9634.869999999999</v>
      </c>
      <c r="K157" s="23">
        <v>48</v>
      </c>
      <c r="L157" s="22">
        <v>4561.92</v>
      </c>
      <c r="M157" s="22">
        <f>J157-L157</f>
        <v>5072.9499999999989</v>
      </c>
      <c r="N157" s="49">
        <f>IF(J157&lt;&gt;0,M157/J157,"")</f>
        <v>0.52651981811897819</v>
      </c>
      <c r="O157" s="21">
        <v>14602.85</v>
      </c>
      <c r="P157" s="23">
        <v>72</v>
      </c>
      <c r="Q157" s="22">
        <v>6842.8799999999992</v>
      </c>
      <c r="R157" s="22">
        <f t="shared" ref="R157:R166" si="59">O157-Q157</f>
        <v>7759.9700000000012</v>
      </c>
      <c r="S157" s="49">
        <f t="shared" ref="S157:S166" si="60">IF(O157&lt;&gt;0,R157/O157,"")</f>
        <v>0.53140106212143523</v>
      </c>
      <c r="T157" s="10"/>
    </row>
    <row r="158" spans="1:20" x14ac:dyDescent="0.25">
      <c r="A158" s="13" t="s">
        <v>79</v>
      </c>
      <c r="C158" s="51" t="str">
        <f t="shared" si="58"/>
        <v>C100145</v>
      </c>
      <c r="F158" s="8" t="str">
        <f>"C100021"</f>
        <v>C100021</v>
      </c>
      <c r="G158" s="9" t="str">
        <f>"Canvas Boat Bag"</f>
        <v>Canvas Boat Bag</v>
      </c>
      <c r="H158" s="43"/>
      <c r="I158" s="43"/>
      <c r="J158" s="21">
        <v>2778.97</v>
      </c>
      <c r="K158" s="23">
        <v>288</v>
      </c>
      <c r="L158" s="22">
        <v>1981.42</v>
      </c>
      <c r="M158" s="22">
        <f>J158-L158</f>
        <v>797.54999999999973</v>
      </c>
      <c r="N158" s="49">
        <f>IF(J158&lt;&gt;0,M158/J158,"")</f>
        <v>0.28699482182247371</v>
      </c>
      <c r="O158" s="21">
        <v>2863.29</v>
      </c>
      <c r="P158" s="23">
        <v>289</v>
      </c>
      <c r="Q158" s="22">
        <v>1988.3</v>
      </c>
      <c r="R158" s="22">
        <f t="shared" si="59"/>
        <v>874.99</v>
      </c>
      <c r="S158" s="49">
        <f t="shared" si="60"/>
        <v>0.30558902521225584</v>
      </c>
      <c r="T158" s="10"/>
    </row>
    <row r="159" spans="1:20" x14ac:dyDescent="0.25">
      <c r="A159" s="13" t="s">
        <v>79</v>
      </c>
      <c r="C159" s="51" t="str">
        <f t="shared" si="58"/>
        <v>C100145</v>
      </c>
      <c r="F159" s="8" t="str">
        <f>"C100024"</f>
        <v>C100024</v>
      </c>
      <c r="G159" s="9" t="str">
        <f>"Knit Hat with Bill"</f>
        <v>Knit Hat with Bill</v>
      </c>
      <c r="H159" s="43"/>
      <c r="I159" s="43"/>
      <c r="J159" s="21">
        <v>1445.6399999999999</v>
      </c>
      <c r="K159" s="23">
        <v>288</v>
      </c>
      <c r="L159" s="22">
        <v>864</v>
      </c>
      <c r="M159" s="22">
        <f>J159-L159</f>
        <v>581.63999999999987</v>
      </c>
      <c r="N159" s="49">
        <f>IF(J159&lt;&gt;0,M159/J159,"")</f>
        <v>0.40234083174234242</v>
      </c>
      <c r="O159" s="21">
        <v>745.89</v>
      </c>
      <c r="P159" s="23">
        <v>144</v>
      </c>
      <c r="Q159" s="22">
        <v>432</v>
      </c>
      <c r="R159" s="22">
        <f t="shared" si="59"/>
        <v>313.89</v>
      </c>
      <c r="S159" s="49">
        <f t="shared" si="60"/>
        <v>0.42082612717692958</v>
      </c>
      <c r="T159" s="10"/>
    </row>
    <row r="160" spans="1:20" x14ac:dyDescent="0.25">
      <c r="A160" s="13" t="s">
        <v>79</v>
      </c>
      <c r="C160" s="51" t="str">
        <f t="shared" si="58"/>
        <v>C100145</v>
      </c>
      <c r="F160" s="8" t="str">
        <f>"E100011"</f>
        <v>E100011</v>
      </c>
      <c r="G160" s="9" t="str">
        <f>"Plastic Sun Visor"</f>
        <v>Plastic Sun Visor</v>
      </c>
      <c r="H160" s="43"/>
      <c r="I160" s="43"/>
      <c r="J160" s="21">
        <v>9.33</v>
      </c>
      <c r="K160" s="23">
        <v>12</v>
      </c>
      <c r="L160" s="22">
        <v>5.04</v>
      </c>
      <c r="M160" s="22">
        <f>J160-L160</f>
        <v>4.29</v>
      </c>
      <c r="N160" s="49">
        <f>IF(J160&lt;&gt;0,M160/J160,"")</f>
        <v>0.45980707395498394</v>
      </c>
      <c r="O160" s="21">
        <v>111.6</v>
      </c>
      <c r="P160" s="23">
        <v>145</v>
      </c>
      <c r="Q160" s="22">
        <v>60.89</v>
      </c>
      <c r="R160" s="22">
        <f t="shared" si="59"/>
        <v>50.709999999999994</v>
      </c>
      <c r="S160" s="49">
        <f t="shared" si="60"/>
        <v>0.45439068100358421</v>
      </c>
      <c r="T160" s="10"/>
    </row>
    <row r="161" spans="1:22" x14ac:dyDescent="0.25">
      <c r="A161" s="13" t="s">
        <v>79</v>
      </c>
      <c r="C161" s="51" t="str">
        <f t="shared" si="58"/>
        <v>C100145</v>
      </c>
      <c r="F161" s="8" t="str">
        <f>"E100017"</f>
        <v>E100017</v>
      </c>
      <c r="G161" s="9" t="str">
        <f>"Clip-on Clock with Compass"</f>
        <v>Clip-on Clock with Compass</v>
      </c>
      <c r="H161" s="43"/>
      <c r="I161" s="43"/>
      <c r="J161" s="21">
        <v>2.87</v>
      </c>
      <c r="K161" s="23">
        <v>2</v>
      </c>
      <c r="L161" s="22">
        <v>1.76</v>
      </c>
      <c r="M161" s="22">
        <f>J161-L161</f>
        <v>1.1100000000000001</v>
      </c>
      <c r="N161" s="49">
        <f>IF(J161&lt;&gt;0,M161/J161,"")</f>
        <v>0.38675958188153314</v>
      </c>
      <c r="O161" s="21">
        <v>1.51</v>
      </c>
      <c r="P161" s="23">
        <v>1</v>
      </c>
      <c r="Q161" s="22">
        <v>0.88</v>
      </c>
      <c r="R161" s="22">
        <f t="shared" si="59"/>
        <v>0.63</v>
      </c>
      <c r="S161" s="49">
        <f t="shared" si="60"/>
        <v>0.41721854304635764</v>
      </c>
      <c r="T161" s="10"/>
    </row>
    <row r="162" spans="1:22" x14ac:dyDescent="0.25">
      <c r="A162" s="13" t="s">
        <v>79</v>
      </c>
      <c r="C162" s="51" t="str">
        <f t="shared" si="58"/>
        <v>C100145</v>
      </c>
      <c r="F162" s="8" t="str">
        <f>"S100004"</f>
        <v>S100004</v>
      </c>
      <c r="G162" s="9" t="str">
        <f>"Award Medallian - 2''"</f>
        <v>Award Medallian - 2''</v>
      </c>
      <c r="H162" s="43"/>
      <c r="I162" s="43"/>
      <c r="J162" s="21">
        <v>2009.29</v>
      </c>
      <c r="K162" s="23">
        <v>145</v>
      </c>
      <c r="L162" s="22">
        <v>967.15</v>
      </c>
      <c r="M162" s="22">
        <f>J162-L162</f>
        <v>1042.1399999999999</v>
      </c>
      <c r="N162" s="49">
        <f>IF(J162&lt;&gt;0,M162/J162,"")</f>
        <v>0.51866082048882933</v>
      </c>
      <c r="O162" s="21">
        <v>658.36</v>
      </c>
      <c r="P162" s="23">
        <v>48</v>
      </c>
      <c r="Q162" s="22">
        <v>320.16000000000003</v>
      </c>
      <c r="R162" s="22">
        <f t="shared" si="59"/>
        <v>338.2</v>
      </c>
      <c r="S162" s="49">
        <f t="shared" si="60"/>
        <v>0.51370071085728175</v>
      </c>
      <c r="T162" s="10"/>
    </row>
    <row r="163" spans="1:22" x14ac:dyDescent="0.25">
      <c r="A163" s="13" t="s">
        <v>79</v>
      </c>
      <c r="C163" s="51" t="str">
        <f t="shared" si="58"/>
        <v>C100145</v>
      </c>
      <c r="F163" s="8" t="str">
        <f>"S100015"</f>
        <v>S100015</v>
      </c>
      <c r="G163" s="9" t="str">
        <f>"Raw-Edge Bucket Hat"</f>
        <v>Raw-Edge Bucket Hat</v>
      </c>
      <c r="H163" s="43"/>
      <c r="I163" s="43"/>
      <c r="J163" s="21">
        <v>1042.8800000000001</v>
      </c>
      <c r="K163" s="23">
        <v>144</v>
      </c>
      <c r="L163" s="22">
        <v>524.17000000000007</v>
      </c>
      <c r="M163" s="22">
        <f>J163-L163</f>
        <v>518.71</v>
      </c>
      <c r="N163" s="49">
        <f>IF(J163&lt;&gt;0,M163/J163,"")</f>
        <v>0.49738224915618284</v>
      </c>
      <c r="O163" s="21">
        <v>2401.4500000000003</v>
      </c>
      <c r="P163" s="23">
        <v>336</v>
      </c>
      <c r="Q163" s="22">
        <v>1223.06</v>
      </c>
      <c r="R163" s="22">
        <f t="shared" si="59"/>
        <v>1178.3900000000003</v>
      </c>
      <c r="S163" s="49">
        <f t="shared" si="60"/>
        <v>0.49069936913115003</v>
      </c>
      <c r="T163" s="10"/>
    </row>
    <row r="164" spans="1:22" x14ac:dyDescent="0.25">
      <c r="A164" s="13" t="s">
        <v>79</v>
      </c>
      <c r="C164" s="51" t="str">
        <f t="shared" si="58"/>
        <v>C100145</v>
      </c>
      <c r="F164" s="8" t="str">
        <f>"S100017"</f>
        <v>S100017</v>
      </c>
      <c r="G164" s="9" t="str">
        <f>"Microfiber Bucket Hat"</f>
        <v>Microfiber Bucket Hat</v>
      </c>
      <c r="H164" s="43"/>
      <c r="I164" s="43"/>
      <c r="J164" s="21">
        <v>0</v>
      </c>
      <c r="K164" s="23">
        <v>0</v>
      </c>
      <c r="L164" s="22">
        <v>0</v>
      </c>
      <c r="M164" s="22">
        <f>J164-L164</f>
        <v>0</v>
      </c>
      <c r="N164" s="49" t="str">
        <f>IF(J164&lt;&gt;0,M164/J164,"")</f>
        <v/>
      </c>
      <c r="O164" s="21">
        <v>2061.6799999999998</v>
      </c>
      <c r="P164" s="23">
        <v>288</v>
      </c>
      <c r="Q164" s="22">
        <v>1370.88</v>
      </c>
      <c r="R164" s="22">
        <f t="shared" si="59"/>
        <v>690.79999999999973</v>
      </c>
      <c r="S164" s="49">
        <f t="shared" si="60"/>
        <v>0.33506654766986138</v>
      </c>
      <c r="T164" s="10"/>
    </row>
    <row r="165" spans="1:22" x14ac:dyDescent="0.25">
      <c r="A165" s="13" t="s">
        <v>79</v>
      </c>
      <c r="C165" s="51" t="str">
        <f t="shared" si="58"/>
        <v>C100145</v>
      </c>
      <c r="F165" s="8" t="str">
        <f>"S100020"</f>
        <v>S100020</v>
      </c>
      <c r="G165" s="9" t="str">
        <f>"Super Sport Stopwatch"</f>
        <v>Super Sport Stopwatch</v>
      </c>
      <c r="H165" s="43"/>
      <c r="I165" s="43"/>
      <c r="J165" s="21">
        <v>307.64</v>
      </c>
      <c r="K165" s="23">
        <v>144</v>
      </c>
      <c r="L165" s="22">
        <v>151.19999999999999</v>
      </c>
      <c r="M165" s="22">
        <f>J165-L165</f>
        <v>156.44</v>
      </c>
      <c r="N165" s="49">
        <f>IF(J165&lt;&gt;0,M165/J165,"")</f>
        <v>0.50851644779612537</v>
      </c>
      <c r="O165" s="21">
        <v>114.21000000000001</v>
      </c>
      <c r="P165" s="23">
        <v>55</v>
      </c>
      <c r="Q165" s="22">
        <v>57.75</v>
      </c>
      <c r="R165" s="22">
        <f t="shared" si="59"/>
        <v>56.460000000000008</v>
      </c>
      <c r="S165" s="49">
        <f t="shared" si="60"/>
        <v>0.49435250853690571</v>
      </c>
      <c r="T165" s="10"/>
    </row>
    <row r="166" spans="1:22" x14ac:dyDescent="0.25">
      <c r="A166" s="13" t="s">
        <v>79</v>
      </c>
      <c r="C166" s="51" t="str">
        <f t="shared" si="58"/>
        <v>C100145</v>
      </c>
      <c r="F166" s="8" t="str">
        <f>"S100021"</f>
        <v>S100021</v>
      </c>
      <c r="G166" s="9" t="str">
        <f>"Translucent Stopwatch"</f>
        <v>Translucent Stopwatch</v>
      </c>
      <c r="H166" s="43"/>
      <c r="I166" s="43"/>
      <c r="J166" s="21">
        <v>1709.14</v>
      </c>
      <c r="K166" s="23">
        <v>432</v>
      </c>
      <c r="L166" s="22">
        <v>928.77</v>
      </c>
      <c r="M166" s="22">
        <f>J166-L166</f>
        <v>780.37000000000012</v>
      </c>
      <c r="N166" s="49">
        <f>IF(J166&lt;&gt;0,M166/J166,"")</f>
        <v>0.45658635337070108</v>
      </c>
      <c r="O166" s="21">
        <v>2310.67</v>
      </c>
      <c r="P166" s="23">
        <v>577</v>
      </c>
      <c r="Q166" s="22">
        <v>1240.51</v>
      </c>
      <c r="R166" s="22">
        <f t="shared" si="59"/>
        <v>1070.1600000000001</v>
      </c>
      <c r="S166" s="49">
        <f t="shared" si="60"/>
        <v>0.46313839708829041</v>
      </c>
      <c r="T166" s="10"/>
    </row>
    <row r="167" spans="1:22" ht="15.75" thickBot="1" x14ac:dyDescent="0.3">
      <c r="A167" s="13" t="s">
        <v>79</v>
      </c>
      <c r="C167" s="51" t="str">
        <f>C156</f>
        <v>C100145</v>
      </c>
      <c r="J167" s="10"/>
      <c r="N167" s="11"/>
      <c r="O167" s="10"/>
      <c r="S167" s="11"/>
    </row>
    <row r="168" spans="1:22" ht="15.75" thickBot="1" x14ac:dyDescent="0.3">
      <c r="A168" s="13" t="s">
        <v>79</v>
      </c>
      <c r="C168" s="51" t="str">
        <f t="shared" si="55"/>
        <v>C100145</v>
      </c>
      <c r="G168" s="44" t="str">
        <f t="shared" ref="G168:G169" si="61">C168&amp;" TOTAL:"</f>
        <v>C100145 TOTAL:</v>
      </c>
      <c r="H168" s="46"/>
      <c r="I168" s="46"/>
      <c r="J168" s="31">
        <f t="shared" ref="J168:L168" si="62">SUBTOTAL(9,J155:J167)</f>
        <v>18940.629999999997</v>
      </c>
      <c r="K168" s="32">
        <f t="shared" si="62"/>
        <v>1503</v>
      </c>
      <c r="L168" s="33">
        <f t="shared" si="62"/>
        <v>9985.4300000000021</v>
      </c>
      <c r="M168" s="33">
        <f t="shared" ref="M168" si="63">J168-L168</f>
        <v>8955.1999999999953</v>
      </c>
      <c r="N168" s="34">
        <f t="shared" ref="N168" si="64">IF(J168&lt;&gt;0,M168/J168,"")</f>
        <v>0.47280370293913121</v>
      </c>
      <c r="O168" s="31">
        <f t="shared" ref="O168:Q168" si="65">SUBTOTAL(9,O155:O167)</f>
        <v>42283.359999999993</v>
      </c>
      <c r="P168" s="32">
        <f t="shared" si="65"/>
        <v>2243</v>
      </c>
      <c r="Q168" s="33">
        <f t="shared" si="65"/>
        <v>22350.09</v>
      </c>
      <c r="R168" s="33">
        <f t="shared" ref="R168" si="66">O168-Q168</f>
        <v>19933.269999999993</v>
      </c>
      <c r="S168" s="34">
        <f t="shared" ref="S168" si="67">IF(O168&lt;&gt;0,R168/O168,"")</f>
        <v>0.47142114533944313</v>
      </c>
    </row>
    <row r="169" spans="1:22" ht="15.75" thickBot="1" x14ac:dyDescent="0.3">
      <c r="A169" s="13" t="s">
        <v>79</v>
      </c>
      <c r="J169" s="10"/>
      <c r="N169" s="11"/>
      <c r="O169" s="10"/>
      <c r="S169" s="11"/>
    </row>
    <row r="170" spans="1:22" ht="15.75" thickBot="1" x14ac:dyDescent="0.3">
      <c r="G170" s="45" t="s">
        <v>19</v>
      </c>
      <c r="H170" s="47"/>
      <c r="I170" s="47"/>
      <c r="J170" s="39">
        <f>SUBTOTAL(9,J20:J41)</f>
        <v>25408.500000000007</v>
      </c>
      <c r="K170" s="40"/>
      <c r="L170" s="41">
        <f>SUBTOTAL(9,L20:L41)</f>
        <v>15016.38</v>
      </c>
      <c r="M170" s="41">
        <f>J170-L170</f>
        <v>10392.120000000008</v>
      </c>
      <c r="N170" s="48">
        <f>IF(J170&lt;&gt;0,M170/J170,"")</f>
        <v>0.40900171202550345</v>
      </c>
      <c r="O170" s="39">
        <f>SUBTOTAL(9,O20:O41)</f>
        <v>7203.6900000000005</v>
      </c>
      <c r="P170" s="40"/>
      <c r="Q170" s="41">
        <f>SUBTOTAL(9,Q20:Q41)</f>
        <v>4047.4300000000003</v>
      </c>
      <c r="R170" s="41">
        <f>O170-Q170</f>
        <v>3156.26</v>
      </c>
      <c r="S170" s="48">
        <f>IF(O170&lt;&gt;0,R170/O170,"")</f>
        <v>0.4381448951856618</v>
      </c>
    </row>
    <row r="171" spans="1:22" x14ac:dyDescent="0.25">
      <c r="U171" s="50"/>
    </row>
    <row r="172" spans="1:22" x14ac:dyDescent="0.25">
      <c r="V172" s="50"/>
    </row>
  </sheetData>
  <mergeCells count="13">
    <mergeCell ref="O6:S6"/>
    <mergeCell ref="O7:S7"/>
    <mergeCell ref="O8:S8"/>
    <mergeCell ref="O9:S9"/>
    <mergeCell ref="J17:N17"/>
    <mergeCell ref="O17:S17"/>
    <mergeCell ref="E12:G12"/>
    <mergeCell ref="E13:G13"/>
    <mergeCell ref="E14:F14"/>
    <mergeCell ref="E15:F15"/>
    <mergeCell ref="J7:N7"/>
    <mergeCell ref="J8:N8"/>
    <mergeCell ref="J9:N9"/>
  </mergeCells>
  <conditionalFormatting sqref="F22:S38">
    <cfRule type="expression" dxfId="1" priority="183">
      <formula>MOD(ROW(),2)=0</formula>
    </cfRule>
  </conditionalFormatting>
  <conditionalFormatting sqref="F44:S44 F156:S166 F133:S150 F115:S127 F87:S109 F66:S81 F50:S60">
    <cfRule type="expression" dxfId="0" priority="1">
      <formula>MOD(ROW(),2)=0</formula>
    </cfRule>
  </conditionalFormatting>
  <pageMargins left="0.7" right="0.7" top="0.75" bottom="0.75" header="0.3" footer="0.3"/>
  <pageSetup scale="83" fitToHeight="0" orientation="landscape" horizontalDpi="300" verticalDpi="300" r:id="rId1"/>
  <headerFooter>
    <oddFooter>&amp;L&amp;"-,Bold" Confidential&amp;C&amp;D&amp;RPage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5"/>
  <sheetViews>
    <sheetView workbookViewId="0"/>
  </sheetViews>
  <sheetFormatPr defaultRowHeight="15" x14ac:dyDescent="0.25"/>
  <sheetData>
    <row r="1" spans="1:6" x14ac:dyDescent="0.25">
      <c r="A1" s="52" t="s">
        <v>1380</v>
      </c>
      <c r="C1" s="52" t="s">
        <v>8</v>
      </c>
      <c r="D1" s="52" t="s">
        <v>9</v>
      </c>
      <c r="E1" s="52" t="s">
        <v>10</v>
      </c>
      <c r="F1" s="52" t="s">
        <v>35</v>
      </c>
    </row>
    <row r="3" spans="1:6" x14ac:dyDescent="0.25">
      <c r="A3" s="52" t="s">
        <v>7</v>
      </c>
      <c r="C3" s="52" t="s">
        <v>1</v>
      </c>
      <c r="D3" s="52" t="s">
        <v>1388</v>
      </c>
      <c r="E3" s="52" t="s">
        <v>37</v>
      </c>
    </row>
    <row r="4" spans="1:6" x14ac:dyDescent="0.25">
      <c r="A4" s="52" t="s">
        <v>7</v>
      </c>
      <c r="C4" s="52" t="s">
        <v>5</v>
      </c>
      <c r="D4" s="52" t="s">
        <v>38</v>
      </c>
      <c r="F4" s="52" t="s">
        <v>36</v>
      </c>
    </row>
    <row r="5" spans="1:6" x14ac:dyDescent="0.25">
      <c r="A5" s="52" t="s">
        <v>7</v>
      </c>
      <c r="C5" s="52" t="s">
        <v>6</v>
      </c>
      <c r="D5" s="52" t="s">
        <v>985</v>
      </c>
      <c r="F5" s="52" t="s">
        <v>36</v>
      </c>
    </row>
    <row r="6" spans="1:6" x14ac:dyDescent="0.25">
      <c r="A6" s="52" t="s">
        <v>7</v>
      </c>
      <c r="C6" s="52" t="s">
        <v>22</v>
      </c>
      <c r="D6" s="52" t="s">
        <v>39</v>
      </c>
      <c r="E6" s="52" t="s">
        <v>40</v>
      </c>
    </row>
    <row r="7" spans="1:6" x14ac:dyDescent="0.25">
      <c r="A7" s="52" t="s">
        <v>7</v>
      </c>
      <c r="C7" s="52" t="s">
        <v>4</v>
      </c>
      <c r="D7" s="52" t="s">
        <v>39</v>
      </c>
      <c r="E7" s="52" t="s">
        <v>41</v>
      </c>
    </row>
    <row r="10" spans="1:6" x14ac:dyDescent="0.25">
      <c r="C10" s="52" t="s">
        <v>23</v>
      </c>
      <c r="D10" s="52" t="s">
        <v>9</v>
      </c>
    </row>
    <row r="11" spans="1:6" x14ac:dyDescent="0.25">
      <c r="C11" s="52" t="s">
        <v>24</v>
      </c>
      <c r="D11" s="52" t="s">
        <v>42</v>
      </c>
    </row>
    <row r="12" spans="1:6" x14ac:dyDescent="0.25">
      <c r="C12" s="52" t="s">
        <v>25</v>
      </c>
      <c r="D12" s="52" t="s">
        <v>1379</v>
      </c>
    </row>
    <row r="13" spans="1:6" x14ac:dyDescent="0.25">
      <c r="C13" s="52" t="s">
        <v>26</v>
      </c>
      <c r="D13" s="52" t="s">
        <v>43</v>
      </c>
    </row>
    <row r="14" spans="1:6" x14ac:dyDescent="0.25">
      <c r="C14" s="52" t="s">
        <v>27</v>
      </c>
      <c r="D14" s="52" t="s">
        <v>44</v>
      </c>
      <c r="E14" s="52" t="s">
        <v>2</v>
      </c>
    </row>
    <row r="15" spans="1:6" x14ac:dyDescent="0.25">
      <c r="C15" s="52" t="s">
        <v>28</v>
      </c>
      <c r="D15" s="52" t="s">
        <v>44</v>
      </c>
      <c r="E15" s="52" t="s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5"/>
  <sheetViews>
    <sheetView workbookViewId="0"/>
  </sheetViews>
  <sheetFormatPr defaultRowHeight="15" x14ac:dyDescent="0.25"/>
  <sheetData>
    <row r="1" spans="1:6" x14ac:dyDescent="0.25">
      <c r="A1" s="52" t="s">
        <v>1380</v>
      </c>
      <c r="C1" s="52" t="s">
        <v>8</v>
      </c>
      <c r="D1" s="52" t="s">
        <v>9</v>
      </c>
      <c r="E1" s="52" t="s">
        <v>10</v>
      </c>
      <c r="F1" s="52" t="s">
        <v>35</v>
      </c>
    </row>
    <row r="3" spans="1:6" x14ac:dyDescent="0.25">
      <c r="A3" s="52" t="s">
        <v>7</v>
      </c>
      <c r="C3" s="52" t="s">
        <v>1</v>
      </c>
      <c r="D3" s="52" t="s">
        <v>1388</v>
      </c>
      <c r="E3" s="52" t="s">
        <v>37</v>
      </c>
    </row>
    <row r="4" spans="1:6" x14ac:dyDescent="0.25">
      <c r="A4" s="52" t="s">
        <v>7</v>
      </c>
      <c r="C4" s="52" t="s">
        <v>5</v>
      </c>
      <c r="D4" s="52" t="s">
        <v>38</v>
      </c>
      <c r="F4" s="52" t="s">
        <v>36</v>
      </c>
    </row>
    <row r="5" spans="1:6" x14ac:dyDescent="0.25">
      <c r="A5" s="52" t="s">
        <v>7</v>
      </c>
      <c r="C5" s="52" t="s">
        <v>6</v>
      </c>
      <c r="D5" s="52" t="s">
        <v>985</v>
      </c>
      <c r="F5" s="52" t="s">
        <v>36</v>
      </c>
    </row>
    <row r="6" spans="1:6" x14ac:dyDescent="0.25">
      <c r="A6" s="52" t="s">
        <v>7</v>
      </c>
      <c r="C6" s="52" t="s">
        <v>22</v>
      </c>
      <c r="D6" s="52" t="s">
        <v>39</v>
      </c>
      <c r="E6" s="52" t="s">
        <v>40</v>
      </c>
    </row>
    <row r="7" spans="1:6" x14ac:dyDescent="0.25">
      <c r="A7" s="52" t="s">
        <v>7</v>
      </c>
      <c r="C7" s="52" t="s">
        <v>4</v>
      </c>
      <c r="D7" s="52" t="s">
        <v>39</v>
      </c>
      <c r="E7" s="52" t="s">
        <v>41</v>
      </c>
    </row>
    <row r="10" spans="1:6" x14ac:dyDescent="0.25">
      <c r="C10" s="52" t="s">
        <v>23</v>
      </c>
      <c r="D10" s="52" t="s">
        <v>9</v>
      </c>
    </row>
    <row r="11" spans="1:6" x14ac:dyDescent="0.25">
      <c r="C11" s="52" t="s">
        <v>24</v>
      </c>
      <c r="D11" s="52" t="s">
        <v>42</v>
      </c>
    </row>
    <row r="12" spans="1:6" x14ac:dyDescent="0.25">
      <c r="C12" s="52" t="s">
        <v>25</v>
      </c>
      <c r="D12" s="52" t="s">
        <v>1379</v>
      </c>
    </row>
    <row r="13" spans="1:6" x14ac:dyDescent="0.25">
      <c r="C13" s="52" t="s">
        <v>26</v>
      </c>
      <c r="D13" s="52" t="s">
        <v>43</v>
      </c>
    </row>
    <row r="14" spans="1:6" x14ac:dyDescent="0.25">
      <c r="C14" s="52" t="s">
        <v>27</v>
      </c>
      <c r="D14" s="52" t="s">
        <v>44</v>
      </c>
      <c r="E14" s="52" t="s">
        <v>2</v>
      </c>
    </row>
    <row r="15" spans="1:6" x14ac:dyDescent="0.25">
      <c r="C15" s="52" t="s">
        <v>28</v>
      </c>
      <c r="D15" s="52" t="s">
        <v>44</v>
      </c>
      <c r="E15" s="52" t="s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6"/>
  <sheetViews>
    <sheetView workbookViewId="0"/>
  </sheetViews>
  <sheetFormatPr defaultRowHeight="15" x14ac:dyDescent="0.25"/>
  <sheetData>
    <row r="1" spans="1:19" x14ac:dyDescent="0.25">
      <c r="A1" s="52" t="s">
        <v>1383</v>
      </c>
      <c r="B1" s="52" t="s">
        <v>11</v>
      </c>
      <c r="C1" s="52" t="s">
        <v>11</v>
      </c>
      <c r="E1" s="52" t="s">
        <v>20</v>
      </c>
      <c r="F1" s="52" t="s">
        <v>20</v>
      </c>
      <c r="G1" s="52" t="s">
        <v>20</v>
      </c>
      <c r="J1" s="52" t="s">
        <v>20</v>
      </c>
      <c r="K1" s="52" t="s">
        <v>20</v>
      </c>
      <c r="L1" s="52" t="s">
        <v>20</v>
      </c>
      <c r="M1" s="52" t="s">
        <v>20</v>
      </c>
      <c r="N1" s="52" t="s">
        <v>20</v>
      </c>
      <c r="O1" s="52" t="s">
        <v>21</v>
      </c>
      <c r="P1" s="52" t="s">
        <v>20</v>
      </c>
      <c r="Q1" s="52" t="s">
        <v>20</v>
      </c>
      <c r="R1" s="52" t="s">
        <v>20</v>
      </c>
      <c r="S1" s="52" t="s">
        <v>20</v>
      </c>
    </row>
    <row r="3" spans="1:19" x14ac:dyDescent="0.25">
      <c r="A3" s="52" t="s">
        <v>11</v>
      </c>
      <c r="B3" s="52" t="s">
        <v>12</v>
      </c>
      <c r="C3" s="52" t="s">
        <v>208</v>
      </c>
    </row>
    <row r="4" spans="1:19" x14ac:dyDescent="0.25">
      <c r="A4" s="52" t="s">
        <v>11</v>
      </c>
      <c r="B4" s="52" t="s">
        <v>27</v>
      </c>
      <c r="C4" s="52" t="s">
        <v>209</v>
      </c>
    </row>
    <row r="5" spans="1:19" x14ac:dyDescent="0.25">
      <c r="A5" s="52" t="s">
        <v>11</v>
      </c>
      <c r="B5" s="52" t="s">
        <v>29</v>
      </c>
      <c r="C5" s="52" t="s">
        <v>210</v>
      </c>
    </row>
    <row r="6" spans="1:19" x14ac:dyDescent="0.25">
      <c r="A6" s="52" t="s">
        <v>11</v>
      </c>
      <c r="B6" s="52" t="s">
        <v>32</v>
      </c>
      <c r="C6" s="52" t="s">
        <v>211</v>
      </c>
      <c r="J6" s="52" t="s">
        <v>45</v>
      </c>
    </row>
    <row r="7" spans="1:19" x14ac:dyDescent="0.25">
      <c r="A7" s="52" t="s">
        <v>11</v>
      </c>
      <c r="B7" s="52" t="s">
        <v>31</v>
      </c>
      <c r="C7" s="52" t="s">
        <v>212</v>
      </c>
      <c r="J7" s="52" t="s">
        <v>46</v>
      </c>
      <c r="O7" s="52" t="s">
        <v>47</v>
      </c>
    </row>
    <row r="8" spans="1:19" x14ac:dyDescent="0.25">
      <c r="A8" s="52" t="s">
        <v>11</v>
      </c>
      <c r="B8" s="52" t="s">
        <v>24</v>
      </c>
      <c r="C8" s="52" t="s">
        <v>213</v>
      </c>
      <c r="J8" s="52" t="s">
        <v>48</v>
      </c>
      <c r="O8" s="52" t="s">
        <v>49</v>
      </c>
    </row>
    <row r="9" spans="1:19" x14ac:dyDescent="0.25">
      <c r="A9" s="52" t="s">
        <v>11</v>
      </c>
      <c r="B9" s="52" t="s">
        <v>25</v>
      </c>
      <c r="C9" s="52" t="s">
        <v>214</v>
      </c>
      <c r="J9" s="52" t="s">
        <v>1381</v>
      </c>
      <c r="O9" s="52" t="s">
        <v>1382</v>
      </c>
    </row>
    <row r="10" spans="1:19" x14ac:dyDescent="0.25">
      <c r="A10" s="52" t="s">
        <v>11</v>
      </c>
      <c r="B10" s="52" t="s">
        <v>30</v>
      </c>
      <c r="C10" s="52" t="s">
        <v>215</v>
      </c>
    </row>
    <row r="12" spans="1:19" x14ac:dyDescent="0.25">
      <c r="E12" s="52" t="s">
        <v>13</v>
      </c>
    </row>
    <row r="13" spans="1:19" x14ac:dyDescent="0.25">
      <c r="E13" s="52" t="s">
        <v>34</v>
      </c>
    </row>
    <row r="14" spans="1:19" x14ac:dyDescent="0.25">
      <c r="E14" s="52" t="s">
        <v>32</v>
      </c>
      <c r="G14" s="52" t="s">
        <v>50</v>
      </c>
    </row>
    <row r="15" spans="1:19" x14ac:dyDescent="0.25">
      <c r="E15" s="52" t="s">
        <v>31</v>
      </c>
      <c r="G15" s="52" t="s">
        <v>51</v>
      </c>
    </row>
    <row r="17" spans="3:19" x14ac:dyDescent="0.25">
      <c r="J17" s="52" t="s">
        <v>52</v>
      </c>
      <c r="O17" s="52" t="s">
        <v>53</v>
      </c>
    </row>
    <row r="18" spans="3:19" x14ac:dyDescent="0.25">
      <c r="E18" s="52" t="s">
        <v>14</v>
      </c>
      <c r="G18" s="52" t="s">
        <v>15</v>
      </c>
      <c r="J18" s="52" t="s">
        <v>0</v>
      </c>
      <c r="K18" s="52" t="s">
        <v>16</v>
      </c>
      <c r="L18" s="52" t="s">
        <v>33</v>
      </c>
      <c r="M18" s="52" t="s">
        <v>17</v>
      </c>
      <c r="N18" s="52" t="s">
        <v>18</v>
      </c>
      <c r="O18" s="52" t="s">
        <v>0</v>
      </c>
      <c r="P18" s="52" t="s">
        <v>16</v>
      </c>
      <c r="Q18" s="52" t="s">
        <v>33</v>
      </c>
      <c r="R18" s="52" t="s">
        <v>17</v>
      </c>
      <c r="S18" s="52" t="s">
        <v>18</v>
      </c>
    </row>
    <row r="20" spans="3:19" x14ac:dyDescent="0.25">
      <c r="C20" s="52" t="s">
        <v>56</v>
      </c>
      <c r="E20" s="52" t="s">
        <v>54</v>
      </c>
      <c r="G20" s="52" t="s">
        <v>55</v>
      </c>
    </row>
    <row r="21" spans="3:19" x14ac:dyDescent="0.25">
      <c r="C21" s="52" t="s">
        <v>216</v>
      </c>
    </row>
    <row r="22" spans="3:19" x14ac:dyDescent="0.25">
      <c r="C22" s="52" t="s">
        <v>217</v>
      </c>
      <c r="F22" s="52" t="s">
        <v>218</v>
      </c>
      <c r="G22" s="52" t="s">
        <v>293</v>
      </c>
      <c r="J22" s="52" t="s">
        <v>294</v>
      </c>
      <c r="K22" s="52" t="s">
        <v>295</v>
      </c>
      <c r="L22" s="52" t="s">
        <v>296</v>
      </c>
      <c r="M22" s="52" t="s">
        <v>57</v>
      </c>
      <c r="N22" s="52" t="s">
        <v>58</v>
      </c>
      <c r="O22" s="52" t="s">
        <v>297</v>
      </c>
      <c r="P22" s="52" t="s">
        <v>298</v>
      </c>
      <c r="Q22" s="52" t="s">
        <v>299</v>
      </c>
      <c r="R22" s="52" t="s">
        <v>59</v>
      </c>
      <c r="S22" s="52" t="s">
        <v>60</v>
      </c>
    </row>
    <row r="23" spans="3:19" x14ac:dyDescent="0.25">
      <c r="C23" s="52" t="s">
        <v>219</v>
      </c>
    </row>
    <row r="24" spans="3:19" x14ac:dyDescent="0.25">
      <c r="C24" s="52" t="s">
        <v>220</v>
      </c>
      <c r="G24" s="52" t="s">
        <v>221</v>
      </c>
      <c r="J24" s="52" t="s">
        <v>61</v>
      </c>
      <c r="K24" s="52" t="s">
        <v>62</v>
      </c>
      <c r="L24" s="52" t="s">
        <v>63</v>
      </c>
      <c r="M24" s="52" t="s">
        <v>64</v>
      </c>
      <c r="N24" s="52" t="s">
        <v>65</v>
      </c>
      <c r="O24" s="52" t="s">
        <v>66</v>
      </c>
      <c r="P24" s="52" t="s">
        <v>67</v>
      </c>
      <c r="Q24" s="52" t="s">
        <v>68</v>
      </c>
      <c r="R24" s="52" t="s">
        <v>69</v>
      </c>
      <c r="S24" s="52" t="s">
        <v>70</v>
      </c>
    </row>
    <row r="26" spans="3:19" x14ac:dyDescent="0.25">
      <c r="G26" s="52" t="s">
        <v>19</v>
      </c>
      <c r="J26" s="52" t="s">
        <v>71</v>
      </c>
      <c r="L26" s="52" t="s">
        <v>72</v>
      </c>
      <c r="M26" s="52" t="s">
        <v>73</v>
      </c>
      <c r="N26" s="52" t="s">
        <v>74</v>
      </c>
      <c r="O26" s="52" t="s">
        <v>75</v>
      </c>
      <c r="Q26" s="52" t="s">
        <v>76</v>
      </c>
      <c r="R26" s="52" t="s">
        <v>77</v>
      </c>
      <c r="S26" s="52" t="s">
        <v>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26"/>
  <sheetViews>
    <sheetView workbookViewId="0"/>
  </sheetViews>
  <sheetFormatPr defaultRowHeight="15" x14ac:dyDescent="0.25"/>
  <sheetData>
    <row r="1" spans="1:19" x14ac:dyDescent="0.25">
      <c r="A1" s="52" t="s">
        <v>1383</v>
      </c>
      <c r="B1" s="52" t="s">
        <v>11</v>
      </c>
      <c r="C1" s="52" t="s">
        <v>11</v>
      </c>
      <c r="E1" s="52" t="s">
        <v>20</v>
      </c>
      <c r="F1" s="52" t="s">
        <v>20</v>
      </c>
      <c r="G1" s="52" t="s">
        <v>20</v>
      </c>
      <c r="J1" s="52" t="s">
        <v>20</v>
      </c>
      <c r="K1" s="52" t="s">
        <v>20</v>
      </c>
      <c r="L1" s="52" t="s">
        <v>20</v>
      </c>
      <c r="M1" s="52" t="s">
        <v>20</v>
      </c>
      <c r="N1" s="52" t="s">
        <v>20</v>
      </c>
      <c r="O1" s="52" t="s">
        <v>21</v>
      </c>
      <c r="P1" s="52" t="s">
        <v>20</v>
      </c>
      <c r="Q1" s="52" t="s">
        <v>20</v>
      </c>
      <c r="R1" s="52" t="s">
        <v>20</v>
      </c>
      <c r="S1" s="52" t="s">
        <v>20</v>
      </c>
    </row>
    <row r="3" spans="1:19" x14ac:dyDescent="0.25">
      <c r="A3" s="52" t="s">
        <v>11</v>
      </c>
      <c r="B3" s="52" t="s">
        <v>12</v>
      </c>
      <c r="C3" s="52" t="s">
        <v>208</v>
      </c>
    </row>
    <row r="4" spans="1:19" x14ac:dyDescent="0.25">
      <c r="A4" s="52" t="s">
        <v>11</v>
      </c>
      <c r="B4" s="52" t="s">
        <v>27</v>
      </c>
      <c r="C4" s="52" t="s">
        <v>209</v>
      </c>
    </row>
    <row r="5" spans="1:19" x14ac:dyDescent="0.25">
      <c r="A5" s="52" t="s">
        <v>11</v>
      </c>
      <c r="B5" s="52" t="s">
        <v>29</v>
      </c>
      <c r="C5" s="52" t="s">
        <v>210</v>
      </c>
    </row>
    <row r="6" spans="1:19" x14ac:dyDescent="0.25">
      <c r="A6" s="52" t="s">
        <v>11</v>
      </c>
      <c r="B6" s="52" t="s">
        <v>32</v>
      </c>
      <c r="C6" s="52" t="s">
        <v>211</v>
      </c>
      <c r="J6" s="52" t="s">
        <v>45</v>
      </c>
    </row>
    <row r="7" spans="1:19" x14ac:dyDescent="0.25">
      <c r="A7" s="52" t="s">
        <v>11</v>
      </c>
      <c r="B7" s="52" t="s">
        <v>31</v>
      </c>
      <c r="C7" s="52" t="s">
        <v>212</v>
      </c>
      <c r="J7" s="52" t="s">
        <v>46</v>
      </c>
      <c r="O7" s="52" t="s">
        <v>47</v>
      </c>
    </row>
    <row r="8" spans="1:19" x14ac:dyDescent="0.25">
      <c r="A8" s="52" t="s">
        <v>11</v>
      </c>
      <c r="B8" s="52" t="s">
        <v>24</v>
      </c>
      <c r="C8" s="52" t="s">
        <v>213</v>
      </c>
      <c r="J8" s="52" t="s">
        <v>48</v>
      </c>
      <c r="O8" s="52" t="s">
        <v>49</v>
      </c>
    </row>
    <row r="9" spans="1:19" x14ac:dyDescent="0.25">
      <c r="A9" s="52" t="s">
        <v>11</v>
      </c>
      <c r="B9" s="52" t="s">
        <v>25</v>
      </c>
      <c r="C9" s="52" t="s">
        <v>214</v>
      </c>
      <c r="J9" s="52" t="s">
        <v>1381</v>
      </c>
      <c r="O9" s="52" t="s">
        <v>1382</v>
      </c>
    </row>
    <row r="10" spans="1:19" x14ac:dyDescent="0.25">
      <c r="A10" s="52" t="s">
        <v>11</v>
      </c>
      <c r="B10" s="52" t="s">
        <v>30</v>
      </c>
      <c r="C10" s="52" t="s">
        <v>215</v>
      </c>
    </row>
    <row r="12" spans="1:19" x14ac:dyDescent="0.25">
      <c r="E12" s="52" t="s">
        <v>13</v>
      </c>
    </row>
    <row r="13" spans="1:19" x14ac:dyDescent="0.25">
      <c r="E13" s="52" t="s">
        <v>34</v>
      </c>
    </row>
    <row r="14" spans="1:19" x14ac:dyDescent="0.25">
      <c r="E14" s="52" t="s">
        <v>32</v>
      </c>
      <c r="G14" s="52" t="s">
        <v>50</v>
      </c>
    </row>
    <row r="15" spans="1:19" x14ac:dyDescent="0.25">
      <c r="E15" s="52" t="s">
        <v>31</v>
      </c>
      <c r="G15" s="52" t="s">
        <v>51</v>
      </c>
    </row>
    <row r="17" spans="3:19" x14ac:dyDescent="0.25">
      <c r="J17" s="52" t="s">
        <v>52</v>
      </c>
      <c r="O17" s="52" t="s">
        <v>53</v>
      </c>
    </row>
    <row r="18" spans="3:19" x14ac:dyDescent="0.25">
      <c r="E18" s="52" t="s">
        <v>14</v>
      </c>
      <c r="G18" s="52" t="s">
        <v>15</v>
      </c>
      <c r="J18" s="52" t="s">
        <v>0</v>
      </c>
      <c r="K18" s="52" t="s">
        <v>16</v>
      </c>
      <c r="L18" s="52" t="s">
        <v>33</v>
      </c>
      <c r="M18" s="52" t="s">
        <v>17</v>
      </c>
      <c r="N18" s="52" t="s">
        <v>18</v>
      </c>
      <c r="O18" s="52" t="s">
        <v>0</v>
      </c>
      <c r="P18" s="52" t="s">
        <v>16</v>
      </c>
      <c r="Q18" s="52" t="s">
        <v>33</v>
      </c>
      <c r="R18" s="52" t="s">
        <v>17</v>
      </c>
      <c r="S18" s="52" t="s">
        <v>18</v>
      </c>
    </row>
    <row r="20" spans="3:19" x14ac:dyDescent="0.25">
      <c r="C20" s="52" t="s">
        <v>56</v>
      </c>
      <c r="E20" s="52" t="s">
        <v>54</v>
      </c>
      <c r="G20" s="52" t="s">
        <v>55</v>
      </c>
    </row>
    <row r="21" spans="3:19" x14ac:dyDescent="0.25">
      <c r="C21" s="52" t="s">
        <v>216</v>
      </c>
    </row>
    <row r="22" spans="3:19" x14ac:dyDescent="0.25">
      <c r="C22" s="52" t="s">
        <v>217</v>
      </c>
      <c r="F22" s="52" t="s">
        <v>218</v>
      </c>
      <c r="G22" s="52" t="s">
        <v>293</v>
      </c>
      <c r="J22" s="52" t="s">
        <v>294</v>
      </c>
      <c r="K22" s="52" t="s">
        <v>295</v>
      </c>
      <c r="L22" s="52" t="s">
        <v>296</v>
      </c>
      <c r="M22" s="52" t="s">
        <v>57</v>
      </c>
      <c r="N22" s="52" t="s">
        <v>58</v>
      </c>
      <c r="O22" s="52" t="s">
        <v>297</v>
      </c>
      <c r="P22" s="52" t="s">
        <v>298</v>
      </c>
      <c r="Q22" s="52" t="s">
        <v>299</v>
      </c>
      <c r="R22" s="52" t="s">
        <v>59</v>
      </c>
      <c r="S22" s="52" t="s">
        <v>60</v>
      </c>
    </row>
    <row r="23" spans="3:19" x14ac:dyDescent="0.25">
      <c r="C23" s="52" t="s">
        <v>219</v>
      </c>
    </row>
    <row r="24" spans="3:19" x14ac:dyDescent="0.25">
      <c r="C24" s="52" t="s">
        <v>220</v>
      </c>
      <c r="G24" s="52" t="s">
        <v>221</v>
      </c>
      <c r="J24" s="52" t="s">
        <v>61</v>
      </c>
      <c r="K24" s="52" t="s">
        <v>62</v>
      </c>
      <c r="L24" s="52" t="s">
        <v>63</v>
      </c>
      <c r="M24" s="52" t="s">
        <v>64</v>
      </c>
      <c r="N24" s="52" t="s">
        <v>65</v>
      </c>
      <c r="O24" s="52" t="s">
        <v>66</v>
      </c>
      <c r="P24" s="52" t="s">
        <v>67</v>
      </c>
      <c r="Q24" s="52" t="s">
        <v>68</v>
      </c>
      <c r="R24" s="52" t="s">
        <v>69</v>
      </c>
      <c r="S24" s="52" t="s">
        <v>70</v>
      </c>
    </row>
    <row r="26" spans="3:19" x14ac:dyDescent="0.25">
      <c r="G26" s="52" t="s">
        <v>19</v>
      </c>
      <c r="J26" s="52" t="s">
        <v>71</v>
      </c>
      <c r="L26" s="52" t="s">
        <v>72</v>
      </c>
      <c r="M26" s="52" t="s">
        <v>73</v>
      </c>
      <c r="N26" s="52" t="s">
        <v>74</v>
      </c>
      <c r="O26" s="52" t="s">
        <v>75</v>
      </c>
      <c r="Q26" s="52" t="s">
        <v>76</v>
      </c>
      <c r="R26" s="52" t="s">
        <v>77</v>
      </c>
      <c r="S26" s="52" t="s">
        <v>78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642E1-AEF9-4237-B9CE-16E9C695A9FF}">
  <dimension ref="A1:F15"/>
  <sheetViews>
    <sheetView workbookViewId="0"/>
  </sheetViews>
  <sheetFormatPr defaultRowHeight="15" x14ac:dyDescent="0.25"/>
  <sheetData>
    <row r="1" spans="1:6" x14ac:dyDescent="0.25">
      <c r="A1" s="52" t="s">
        <v>1385</v>
      </c>
      <c r="C1" s="52" t="s">
        <v>8</v>
      </c>
      <c r="D1" s="52" t="s">
        <v>9</v>
      </c>
      <c r="E1" s="52" t="s">
        <v>10</v>
      </c>
      <c r="F1" s="52" t="s">
        <v>35</v>
      </c>
    </row>
    <row r="3" spans="1:6" x14ac:dyDescent="0.25">
      <c r="A3" s="52" t="s">
        <v>7</v>
      </c>
      <c r="C3" s="52" t="s">
        <v>1</v>
      </c>
      <c r="D3" s="52" t="s">
        <v>1388</v>
      </c>
      <c r="E3" s="52" t="s">
        <v>37</v>
      </c>
    </row>
    <row r="4" spans="1:6" x14ac:dyDescent="0.25">
      <c r="A4" s="52" t="s">
        <v>7</v>
      </c>
      <c r="C4" s="52" t="s">
        <v>5</v>
      </c>
      <c r="D4" s="52" t="s">
        <v>38</v>
      </c>
      <c r="F4" s="52" t="s">
        <v>36</v>
      </c>
    </row>
    <row r="5" spans="1:6" x14ac:dyDescent="0.25">
      <c r="A5" s="52" t="s">
        <v>7</v>
      </c>
      <c r="C5" s="52" t="s">
        <v>6</v>
      </c>
      <c r="D5" s="52" t="s">
        <v>985</v>
      </c>
      <c r="F5" s="52" t="s">
        <v>36</v>
      </c>
    </row>
    <row r="6" spans="1:6" x14ac:dyDescent="0.25">
      <c r="A6" s="52" t="s">
        <v>7</v>
      </c>
      <c r="C6" s="52" t="s">
        <v>22</v>
      </c>
      <c r="D6" s="52" t="s">
        <v>39</v>
      </c>
      <c r="E6" s="52" t="s">
        <v>40</v>
      </c>
    </row>
    <row r="7" spans="1:6" x14ac:dyDescent="0.25">
      <c r="A7" s="52" t="s">
        <v>7</v>
      </c>
      <c r="C7" s="52" t="s">
        <v>4</v>
      </c>
      <c r="D7" s="52" t="s">
        <v>39</v>
      </c>
      <c r="E7" s="52" t="s">
        <v>41</v>
      </c>
    </row>
    <row r="10" spans="1:6" x14ac:dyDescent="0.25">
      <c r="C10" s="52" t="s">
        <v>23</v>
      </c>
      <c r="D10" s="52" t="s">
        <v>9</v>
      </c>
    </row>
    <row r="11" spans="1:6" x14ac:dyDescent="0.25">
      <c r="C11" s="52" t="s">
        <v>24</v>
      </c>
      <c r="D11" s="52" t="s">
        <v>42</v>
      </c>
    </row>
    <row r="12" spans="1:6" x14ac:dyDescent="0.25">
      <c r="C12" s="52" t="s">
        <v>25</v>
      </c>
      <c r="D12" s="52" t="s">
        <v>1379</v>
      </c>
    </row>
    <row r="13" spans="1:6" x14ac:dyDescent="0.25">
      <c r="C13" s="52" t="s">
        <v>26</v>
      </c>
      <c r="D13" s="52" t="s">
        <v>43</v>
      </c>
    </row>
    <row r="14" spans="1:6" x14ac:dyDescent="0.25">
      <c r="C14" s="52" t="s">
        <v>27</v>
      </c>
      <c r="D14" s="52" t="s">
        <v>44</v>
      </c>
      <c r="E14" s="52" t="s">
        <v>2</v>
      </c>
    </row>
    <row r="15" spans="1:6" x14ac:dyDescent="0.25">
      <c r="C15" s="52" t="s">
        <v>28</v>
      </c>
      <c r="D15" s="52" t="s">
        <v>44</v>
      </c>
      <c r="E15" s="52" t="s">
        <v>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D87B3-4EC7-4EC2-A262-11E59C5D7549}">
  <dimension ref="A1:S170"/>
  <sheetViews>
    <sheetView workbookViewId="0"/>
  </sheetViews>
  <sheetFormatPr defaultRowHeight="15" x14ac:dyDescent="0.25"/>
  <sheetData>
    <row r="1" spans="1:19" x14ac:dyDescent="0.25">
      <c r="A1" s="52" t="s">
        <v>1387</v>
      </c>
      <c r="B1" s="52" t="s">
        <v>11</v>
      </c>
      <c r="C1" s="52" t="s">
        <v>11</v>
      </c>
      <c r="E1" s="52" t="s">
        <v>20</v>
      </c>
      <c r="F1" s="52" t="s">
        <v>20</v>
      </c>
      <c r="G1" s="52" t="s">
        <v>20</v>
      </c>
      <c r="J1" s="52" t="s">
        <v>20</v>
      </c>
      <c r="K1" s="52" t="s">
        <v>20</v>
      </c>
      <c r="L1" s="52" t="s">
        <v>20</v>
      </c>
      <c r="M1" s="52" t="s">
        <v>20</v>
      </c>
      <c r="N1" s="52" t="s">
        <v>20</v>
      </c>
      <c r="O1" s="52" t="s">
        <v>21</v>
      </c>
      <c r="P1" s="52" t="s">
        <v>20</v>
      </c>
      <c r="Q1" s="52" t="s">
        <v>20</v>
      </c>
      <c r="R1" s="52" t="s">
        <v>20</v>
      </c>
      <c r="S1" s="52" t="s">
        <v>20</v>
      </c>
    </row>
    <row r="3" spans="1:19" x14ac:dyDescent="0.25">
      <c r="A3" s="52" t="s">
        <v>11</v>
      </c>
      <c r="B3" s="52" t="s">
        <v>12</v>
      </c>
      <c r="C3" s="52" t="s">
        <v>208</v>
      </c>
    </row>
    <row r="4" spans="1:19" x14ac:dyDescent="0.25">
      <c r="A4" s="52" t="s">
        <v>11</v>
      </c>
      <c r="B4" s="52" t="s">
        <v>27</v>
      </c>
      <c r="C4" s="52" t="s">
        <v>209</v>
      </c>
    </row>
    <row r="5" spans="1:19" x14ac:dyDescent="0.25">
      <c r="A5" s="52" t="s">
        <v>11</v>
      </c>
      <c r="B5" s="52" t="s">
        <v>29</v>
      </c>
      <c r="C5" s="52" t="s">
        <v>210</v>
      </c>
    </row>
    <row r="6" spans="1:19" x14ac:dyDescent="0.25">
      <c r="A6" s="52" t="s">
        <v>11</v>
      </c>
      <c r="B6" s="52" t="s">
        <v>32</v>
      </c>
      <c r="C6" s="52" t="s">
        <v>211</v>
      </c>
      <c r="J6" s="52" t="s">
        <v>45</v>
      </c>
    </row>
    <row r="7" spans="1:19" x14ac:dyDescent="0.25">
      <c r="A7" s="52" t="s">
        <v>11</v>
      </c>
      <c r="B7" s="52" t="s">
        <v>31</v>
      </c>
      <c r="C7" s="52" t="s">
        <v>212</v>
      </c>
      <c r="J7" s="52" t="s">
        <v>46</v>
      </c>
      <c r="O7" s="52" t="s">
        <v>47</v>
      </c>
    </row>
    <row r="8" spans="1:19" x14ac:dyDescent="0.25">
      <c r="A8" s="52" t="s">
        <v>11</v>
      </c>
      <c r="B8" s="52" t="s">
        <v>24</v>
      </c>
      <c r="C8" s="52" t="s">
        <v>213</v>
      </c>
      <c r="J8" s="52" t="s">
        <v>48</v>
      </c>
      <c r="O8" s="52" t="s">
        <v>49</v>
      </c>
    </row>
    <row r="9" spans="1:19" x14ac:dyDescent="0.25">
      <c r="A9" s="52" t="s">
        <v>11</v>
      </c>
      <c r="B9" s="52" t="s">
        <v>25</v>
      </c>
      <c r="C9" s="52" t="s">
        <v>214</v>
      </c>
      <c r="J9" s="52" t="s">
        <v>1381</v>
      </c>
      <c r="O9" s="52" t="s">
        <v>1382</v>
      </c>
    </row>
    <row r="10" spans="1:19" x14ac:dyDescent="0.25">
      <c r="A10" s="52" t="s">
        <v>11</v>
      </c>
      <c r="B10" s="52" t="s">
        <v>30</v>
      </c>
      <c r="C10" s="52" t="s">
        <v>215</v>
      </c>
    </row>
    <row r="12" spans="1:19" x14ac:dyDescent="0.25">
      <c r="E12" s="52" t="s">
        <v>13</v>
      </c>
    </row>
    <row r="13" spans="1:19" x14ac:dyDescent="0.25">
      <c r="E13" s="52" t="s">
        <v>34</v>
      </c>
    </row>
    <row r="14" spans="1:19" x14ac:dyDescent="0.25">
      <c r="E14" s="52" t="s">
        <v>32</v>
      </c>
      <c r="G14" s="52" t="s">
        <v>50</v>
      </c>
    </row>
    <row r="15" spans="1:19" x14ac:dyDescent="0.25">
      <c r="E15" s="52" t="s">
        <v>31</v>
      </c>
      <c r="G15" s="52" t="s">
        <v>51</v>
      </c>
    </row>
    <row r="17" spans="1:19" x14ac:dyDescent="0.25">
      <c r="J17" s="52" t="s">
        <v>52</v>
      </c>
      <c r="O17" s="52" t="s">
        <v>53</v>
      </c>
    </row>
    <row r="18" spans="1:19" x14ac:dyDescent="0.25">
      <c r="E18" s="52" t="s">
        <v>14</v>
      </c>
      <c r="G18" s="52" t="s">
        <v>15</v>
      </c>
      <c r="J18" s="52" t="s">
        <v>0</v>
      </c>
      <c r="K18" s="52" t="s">
        <v>16</v>
      </c>
      <c r="L18" s="52" t="s">
        <v>33</v>
      </c>
      <c r="M18" s="52" t="s">
        <v>17</v>
      </c>
      <c r="N18" s="52" t="s">
        <v>18</v>
      </c>
      <c r="O18" s="52" t="s">
        <v>0</v>
      </c>
      <c r="P18" s="52" t="s">
        <v>16</v>
      </c>
      <c r="Q18" s="52" t="s">
        <v>33</v>
      </c>
      <c r="R18" s="52" t="s">
        <v>17</v>
      </c>
      <c r="S18" s="52" t="s">
        <v>18</v>
      </c>
    </row>
    <row r="20" spans="1:19" x14ac:dyDescent="0.25">
      <c r="C20" s="52" t="s">
        <v>56</v>
      </c>
      <c r="E20" s="52" t="s">
        <v>54</v>
      </c>
      <c r="G20" s="52" t="s">
        <v>55</v>
      </c>
    </row>
    <row r="21" spans="1:19" x14ac:dyDescent="0.25">
      <c r="C21" s="52" t="s">
        <v>216</v>
      </c>
    </row>
    <row r="22" spans="1:19" x14ac:dyDescent="0.25">
      <c r="C22" s="52" t="s">
        <v>217</v>
      </c>
      <c r="F22" s="52" t="s">
        <v>218</v>
      </c>
      <c r="G22" s="52" t="s">
        <v>293</v>
      </c>
      <c r="J22" s="52" t="s">
        <v>294</v>
      </c>
      <c r="K22" s="52" t="s">
        <v>295</v>
      </c>
      <c r="L22" s="52" t="s">
        <v>296</v>
      </c>
      <c r="M22" s="52" t="s">
        <v>57</v>
      </c>
      <c r="N22" s="52" t="s">
        <v>58</v>
      </c>
      <c r="O22" s="52" t="s">
        <v>297</v>
      </c>
      <c r="P22" s="52" t="s">
        <v>298</v>
      </c>
      <c r="Q22" s="52" t="s">
        <v>299</v>
      </c>
      <c r="R22" s="52" t="s">
        <v>59</v>
      </c>
      <c r="S22" s="52" t="s">
        <v>60</v>
      </c>
    </row>
    <row r="23" spans="1:19" x14ac:dyDescent="0.25">
      <c r="A23" s="52" t="s">
        <v>79</v>
      </c>
      <c r="C23" s="52" t="s">
        <v>219</v>
      </c>
      <c r="F23" s="52" t="s">
        <v>327</v>
      </c>
      <c r="G23" s="52" t="s">
        <v>1094</v>
      </c>
      <c r="J23" s="52" t="s">
        <v>300</v>
      </c>
      <c r="K23" s="52" t="s">
        <v>1122</v>
      </c>
      <c r="L23" s="52" t="s">
        <v>301</v>
      </c>
      <c r="M23" s="52" t="s">
        <v>302</v>
      </c>
      <c r="N23" s="52" t="s">
        <v>303</v>
      </c>
      <c r="O23" s="52" t="s">
        <v>304</v>
      </c>
      <c r="P23" s="52" t="s">
        <v>1150</v>
      </c>
      <c r="Q23" s="52" t="s">
        <v>305</v>
      </c>
      <c r="R23" s="52" t="s">
        <v>306</v>
      </c>
      <c r="S23" s="52" t="s">
        <v>307</v>
      </c>
    </row>
    <row r="24" spans="1:19" x14ac:dyDescent="0.25">
      <c r="A24" s="52" t="s">
        <v>79</v>
      </c>
      <c r="C24" s="52" t="s">
        <v>220</v>
      </c>
      <c r="F24" s="52" t="s">
        <v>96</v>
      </c>
      <c r="G24" s="52" t="s">
        <v>1095</v>
      </c>
      <c r="J24" s="52" t="s">
        <v>308</v>
      </c>
      <c r="K24" s="52" t="s">
        <v>1123</v>
      </c>
      <c r="L24" s="52" t="s">
        <v>309</v>
      </c>
      <c r="M24" s="52" t="s">
        <v>64</v>
      </c>
      <c r="N24" s="52" t="s">
        <v>65</v>
      </c>
      <c r="O24" s="52" t="s">
        <v>310</v>
      </c>
      <c r="P24" s="52" t="s">
        <v>1151</v>
      </c>
      <c r="Q24" s="52" t="s">
        <v>311</v>
      </c>
      <c r="R24" s="52" t="s">
        <v>69</v>
      </c>
      <c r="S24" s="52" t="s">
        <v>70</v>
      </c>
    </row>
    <row r="25" spans="1:19" x14ac:dyDescent="0.25">
      <c r="A25" s="52" t="s">
        <v>79</v>
      </c>
      <c r="C25" s="52" t="s">
        <v>312</v>
      </c>
      <c r="F25" s="52" t="s">
        <v>348</v>
      </c>
      <c r="G25" s="52" t="s">
        <v>1096</v>
      </c>
      <c r="J25" s="52" t="s">
        <v>314</v>
      </c>
      <c r="K25" s="52" t="s">
        <v>1124</v>
      </c>
      <c r="L25" s="52" t="s">
        <v>315</v>
      </c>
      <c r="M25" s="52" t="s">
        <v>316</v>
      </c>
      <c r="N25" s="52" t="s">
        <v>317</v>
      </c>
      <c r="O25" s="52" t="s">
        <v>318</v>
      </c>
      <c r="P25" s="52" t="s">
        <v>1152</v>
      </c>
      <c r="Q25" s="52" t="s">
        <v>319</v>
      </c>
      <c r="R25" s="52" t="s">
        <v>320</v>
      </c>
      <c r="S25" s="52" t="s">
        <v>321</v>
      </c>
    </row>
    <row r="26" spans="1:19" x14ac:dyDescent="0.25">
      <c r="A26" s="52" t="s">
        <v>79</v>
      </c>
      <c r="C26" s="52" t="s">
        <v>322</v>
      </c>
      <c r="F26" s="52" t="s">
        <v>354</v>
      </c>
      <c r="G26" s="52" t="s">
        <v>1097</v>
      </c>
      <c r="J26" s="52" t="s">
        <v>323</v>
      </c>
      <c r="K26" s="52" t="s">
        <v>1125</v>
      </c>
      <c r="L26" s="52" t="s">
        <v>324</v>
      </c>
      <c r="M26" s="52" t="s">
        <v>73</v>
      </c>
      <c r="N26" s="52" t="s">
        <v>74</v>
      </c>
      <c r="O26" s="52" t="s">
        <v>325</v>
      </c>
      <c r="P26" s="52" t="s">
        <v>1153</v>
      </c>
      <c r="Q26" s="52" t="s">
        <v>326</v>
      </c>
      <c r="R26" s="52" t="s">
        <v>77</v>
      </c>
      <c r="S26" s="52" t="s">
        <v>78</v>
      </c>
    </row>
    <row r="27" spans="1:19" x14ac:dyDescent="0.25">
      <c r="A27" s="52" t="s">
        <v>79</v>
      </c>
      <c r="C27" s="52" t="s">
        <v>222</v>
      </c>
      <c r="F27" s="52" t="s">
        <v>382</v>
      </c>
      <c r="G27" s="52" t="s">
        <v>1098</v>
      </c>
      <c r="J27" s="52" t="s">
        <v>328</v>
      </c>
      <c r="K27" s="52" t="s">
        <v>1126</v>
      </c>
      <c r="L27" s="52" t="s">
        <v>329</v>
      </c>
      <c r="M27" s="52" t="s">
        <v>330</v>
      </c>
      <c r="N27" s="52" t="s">
        <v>331</v>
      </c>
      <c r="O27" s="52" t="s">
        <v>332</v>
      </c>
      <c r="P27" s="52" t="s">
        <v>1154</v>
      </c>
      <c r="Q27" s="52" t="s">
        <v>333</v>
      </c>
      <c r="R27" s="52" t="s">
        <v>334</v>
      </c>
      <c r="S27" s="52" t="s">
        <v>335</v>
      </c>
    </row>
    <row r="28" spans="1:19" x14ac:dyDescent="0.25">
      <c r="A28" s="52" t="s">
        <v>79</v>
      </c>
      <c r="C28" s="52" t="s">
        <v>223</v>
      </c>
      <c r="F28" s="52" t="s">
        <v>400</v>
      </c>
      <c r="G28" s="52" t="s">
        <v>1099</v>
      </c>
      <c r="J28" s="52" t="s">
        <v>336</v>
      </c>
      <c r="K28" s="52" t="s">
        <v>1127</v>
      </c>
      <c r="L28" s="52" t="s">
        <v>337</v>
      </c>
      <c r="M28" s="52" t="s">
        <v>80</v>
      </c>
      <c r="N28" s="52" t="s">
        <v>81</v>
      </c>
      <c r="O28" s="52" t="s">
        <v>338</v>
      </c>
      <c r="P28" s="52" t="s">
        <v>1155</v>
      </c>
      <c r="Q28" s="52" t="s">
        <v>339</v>
      </c>
      <c r="R28" s="52" t="s">
        <v>82</v>
      </c>
      <c r="S28" s="52" t="s">
        <v>83</v>
      </c>
    </row>
    <row r="29" spans="1:19" x14ac:dyDescent="0.25">
      <c r="A29" s="52" t="s">
        <v>79</v>
      </c>
      <c r="C29" s="52" t="s">
        <v>224</v>
      </c>
      <c r="F29" s="52" t="s">
        <v>101</v>
      </c>
      <c r="G29" s="52" t="s">
        <v>1100</v>
      </c>
      <c r="J29" s="52" t="s">
        <v>340</v>
      </c>
      <c r="K29" s="52" t="s">
        <v>1128</v>
      </c>
      <c r="L29" s="52" t="s">
        <v>341</v>
      </c>
      <c r="M29" s="52" t="s">
        <v>342</v>
      </c>
      <c r="N29" s="52" t="s">
        <v>343</v>
      </c>
      <c r="O29" s="52" t="s">
        <v>344</v>
      </c>
      <c r="P29" s="52" t="s">
        <v>1156</v>
      </c>
      <c r="Q29" s="52" t="s">
        <v>345</v>
      </c>
      <c r="R29" s="52" t="s">
        <v>346</v>
      </c>
      <c r="S29" s="52" t="s">
        <v>347</v>
      </c>
    </row>
    <row r="30" spans="1:19" x14ac:dyDescent="0.25">
      <c r="A30" s="52" t="s">
        <v>79</v>
      </c>
      <c r="C30" s="52" t="s">
        <v>225</v>
      </c>
      <c r="F30" s="52" t="s">
        <v>434</v>
      </c>
      <c r="G30" s="52" t="s">
        <v>1101</v>
      </c>
      <c r="J30" s="52" t="s">
        <v>349</v>
      </c>
      <c r="K30" s="52" t="s">
        <v>1129</v>
      </c>
      <c r="L30" s="52" t="s">
        <v>350</v>
      </c>
      <c r="M30" s="52" t="s">
        <v>84</v>
      </c>
      <c r="N30" s="52" t="s">
        <v>85</v>
      </c>
      <c r="O30" s="52" t="s">
        <v>351</v>
      </c>
      <c r="P30" s="52" t="s">
        <v>1157</v>
      </c>
      <c r="Q30" s="52" t="s">
        <v>352</v>
      </c>
      <c r="R30" s="52" t="s">
        <v>86</v>
      </c>
      <c r="S30" s="52" t="s">
        <v>87</v>
      </c>
    </row>
    <row r="31" spans="1:19" x14ac:dyDescent="0.25">
      <c r="A31" s="52" t="s">
        <v>79</v>
      </c>
      <c r="C31" s="52" t="s">
        <v>353</v>
      </c>
      <c r="F31" s="52" t="s">
        <v>456</v>
      </c>
      <c r="G31" s="52" t="s">
        <v>1102</v>
      </c>
      <c r="J31" s="52" t="s">
        <v>355</v>
      </c>
      <c r="K31" s="52" t="s">
        <v>1130</v>
      </c>
      <c r="L31" s="52" t="s">
        <v>356</v>
      </c>
      <c r="M31" s="52" t="s">
        <v>357</v>
      </c>
      <c r="N31" s="52" t="s">
        <v>358</v>
      </c>
      <c r="O31" s="52" t="s">
        <v>359</v>
      </c>
      <c r="P31" s="52" t="s">
        <v>1158</v>
      </c>
      <c r="Q31" s="52" t="s">
        <v>360</v>
      </c>
      <c r="R31" s="52" t="s">
        <v>361</v>
      </c>
      <c r="S31" s="52" t="s">
        <v>362</v>
      </c>
    </row>
    <row r="32" spans="1:19" x14ac:dyDescent="0.25">
      <c r="A32" s="52" t="s">
        <v>79</v>
      </c>
      <c r="C32" s="52" t="s">
        <v>363</v>
      </c>
      <c r="F32" s="52" t="s">
        <v>475</v>
      </c>
      <c r="G32" s="52" t="s">
        <v>1103</v>
      </c>
      <c r="J32" s="52" t="s">
        <v>365</v>
      </c>
      <c r="K32" s="52" t="s">
        <v>1131</v>
      </c>
      <c r="L32" s="52" t="s">
        <v>366</v>
      </c>
      <c r="M32" s="52" t="s">
        <v>367</v>
      </c>
      <c r="N32" s="52" t="s">
        <v>368</v>
      </c>
      <c r="O32" s="52" t="s">
        <v>369</v>
      </c>
      <c r="P32" s="52" t="s">
        <v>1159</v>
      </c>
      <c r="Q32" s="52" t="s">
        <v>370</v>
      </c>
      <c r="R32" s="52" t="s">
        <v>371</v>
      </c>
      <c r="S32" s="52" t="s">
        <v>372</v>
      </c>
    </row>
    <row r="33" spans="1:19" x14ac:dyDescent="0.25">
      <c r="A33" s="52" t="s">
        <v>79</v>
      </c>
      <c r="C33" s="52" t="s">
        <v>226</v>
      </c>
      <c r="F33" s="52" t="s">
        <v>502</v>
      </c>
      <c r="G33" s="52" t="s">
        <v>1104</v>
      </c>
      <c r="J33" s="52" t="s">
        <v>374</v>
      </c>
      <c r="K33" s="52" t="s">
        <v>1132</v>
      </c>
      <c r="L33" s="52" t="s">
        <v>375</v>
      </c>
      <c r="M33" s="52" t="s">
        <v>376</v>
      </c>
      <c r="N33" s="52" t="s">
        <v>377</v>
      </c>
      <c r="O33" s="52" t="s">
        <v>378</v>
      </c>
      <c r="P33" s="52" t="s">
        <v>1160</v>
      </c>
      <c r="Q33" s="52" t="s">
        <v>379</v>
      </c>
      <c r="R33" s="52" t="s">
        <v>380</v>
      </c>
      <c r="S33" s="52" t="s">
        <v>381</v>
      </c>
    </row>
    <row r="34" spans="1:19" x14ac:dyDescent="0.25">
      <c r="A34" s="52" t="s">
        <v>79</v>
      </c>
      <c r="C34" s="52" t="s">
        <v>227</v>
      </c>
      <c r="F34" s="52" t="s">
        <v>521</v>
      </c>
      <c r="G34" s="52" t="s">
        <v>1105</v>
      </c>
      <c r="J34" s="52" t="s">
        <v>383</v>
      </c>
      <c r="K34" s="52" t="s">
        <v>1133</v>
      </c>
      <c r="L34" s="52" t="s">
        <v>384</v>
      </c>
      <c r="M34" s="52" t="s">
        <v>88</v>
      </c>
      <c r="N34" s="52" t="s">
        <v>89</v>
      </c>
      <c r="O34" s="52" t="s">
        <v>385</v>
      </c>
      <c r="P34" s="52" t="s">
        <v>1161</v>
      </c>
      <c r="Q34" s="52" t="s">
        <v>386</v>
      </c>
      <c r="R34" s="52" t="s">
        <v>90</v>
      </c>
      <c r="S34" s="52" t="s">
        <v>91</v>
      </c>
    </row>
    <row r="35" spans="1:19" x14ac:dyDescent="0.25">
      <c r="A35" s="52" t="s">
        <v>79</v>
      </c>
      <c r="C35" s="52" t="s">
        <v>228</v>
      </c>
      <c r="F35" s="52" t="s">
        <v>523</v>
      </c>
      <c r="G35" s="52" t="s">
        <v>1106</v>
      </c>
      <c r="J35" s="52" t="s">
        <v>387</v>
      </c>
      <c r="K35" s="52" t="s">
        <v>1134</v>
      </c>
      <c r="L35" s="52" t="s">
        <v>388</v>
      </c>
      <c r="M35" s="52" t="s">
        <v>389</v>
      </c>
      <c r="N35" s="52" t="s">
        <v>390</v>
      </c>
      <c r="O35" s="52" t="s">
        <v>391</v>
      </c>
      <c r="P35" s="52" t="s">
        <v>1162</v>
      </c>
      <c r="Q35" s="52" t="s">
        <v>392</v>
      </c>
      <c r="R35" s="52" t="s">
        <v>393</v>
      </c>
      <c r="S35" s="52" t="s">
        <v>394</v>
      </c>
    </row>
    <row r="36" spans="1:19" x14ac:dyDescent="0.25">
      <c r="A36" s="52" t="s">
        <v>79</v>
      </c>
      <c r="C36" s="52" t="s">
        <v>229</v>
      </c>
      <c r="F36" s="52" t="s">
        <v>530</v>
      </c>
      <c r="G36" s="52" t="s">
        <v>1107</v>
      </c>
      <c r="J36" s="52" t="s">
        <v>395</v>
      </c>
      <c r="K36" s="52" t="s">
        <v>1135</v>
      </c>
      <c r="L36" s="52" t="s">
        <v>396</v>
      </c>
      <c r="M36" s="52" t="s">
        <v>92</v>
      </c>
      <c r="N36" s="52" t="s">
        <v>93</v>
      </c>
      <c r="O36" s="52" t="s">
        <v>397</v>
      </c>
      <c r="P36" s="52" t="s">
        <v>1163</v>
      </c>
      <c r="Q36" s="52" t="s">
        <v>398</v>
      </c>
      <c r="R36" s="52" t="s">
        <v>94</v>
      </c>
      <c r="S36" s="52" t="s">
        <v>95</v>
      </c>
    </row>
    <row r="37" spans="1:19" x14ac:dyDescent="0.25">
      <c r="A37" s="52" t="s">
        <v>79</v>
      </c>
      <c r="C37" s="52" t="s">
        <v>399</v>
      </c>
      <c r="F37" s="52" t="s">
        <v>531</v>
      </c>
      <c r="G37" s="52" t="s">
        <v>1108</v>
      </c>
      <c r="J37" s="52" t="s">
        <v>401</v>
      </c>
      <c r="K37" s="52" t="s">
        <v>1136</v>
      </c>
      <c r="L37" s="52" t="s">
        <v>402</v>
      </c>
      <c r="M37" s="52" t="s">
        <v>403</v>
      </c>
      <c r="N37" s="52" t="s">
        <v>404</v>
      </c>
      <c r="O37" s="52" t="s">
        <v>405</v>
      </c>
      <c r="P37" s="52" t="s">
        <v>1164</v>
      </c>
      <c r="Q37" s="52" t="s">
        <v>406</v>
      </c>
      <c r="R37" s="52" t="s">
        <v>407</v>
      </c>
      <c r="S37" s="52" t="s">
        <v>408</v>
      </c>
    </row>
    <row r="38" spans="1:19" x14ac:dyDescent="0.25">
      <c r="A38" s="52" t="s">
        <v>79</v>
      </c>
      <c r="C38" s="52" t="s">
        <v>409</v>
      </c>
      <c r="F38" s="52" t="s">
        <v>763</v>
      </c>
      <c r="G38" s="52" t="s">
        <v>1109</v>
      </c>
      <c r="J38" s="52" t="s">
        <v>411</v>
      </c>
      <c r="K38" s="52" t="s">
        <v>1137</v>
      </c>
      <c r="L38" s="52" t="s">
        <v>412</v>
      </c>
      <c r="M38" s="52" t="s">
        <v>413</v>
      </c>
      <c r="N38" s="52" t="s">
        <v>414</v>
      </c>
      <c r="O38" s="52" t="s">
        <v>415</v>
      </c>
      <c r="P38" s="52" t="s">
        <v>1165</v>
      </c>
      <c r="Q38" s="52" t="s">
        <v>416</v>
      </c>
      <c r="R38" s="52" t="s">
        <v>417</v>
      </c>
      <c r="S38" s="52" t="s">
        <v>418</v>
      </c>
    </row>
    <row r="39" spans="1:19" x14ac:dyDescent="0.25">
      <c r="C39" s="52" t="s">
        <v>219</v>
      </c>
    </row>
    <row r="40" spans="1:19" x14ac:dyDescent="0.25">
      <c r="C40" s="52" t="s">
        <v>230</v>
      </c>
      <c r="G40" s="52" t="s">
        <v>1389</v>
      </c>
      <c r="J40" s="52" t="s">
        <v>1390</v>
      </c>
      <c r="K40" s="52" t="s">
        <v>1391</v>
      </c>
      <c r="L40" s="52" t="s">
        <v>1392</v>
      </c>
      <c r="M40" s="52" t="s">
        <v>97</v>
      </c>
      <c r="N40" s="52" t="s">
        <v>98</v>
      </c>
      <c r="O40" s="52" t="s">
        <v>1393</v>
      </c>
      <c r="P40" s="52" t="s">
        <v>1394</v>
      </c>
      <c r="Q40" s="52" t="s">
        <v>1395</v>
      </c>
      <c r="R40" s="52" t="s">
        <v>99</v>
      </c>
      <c r="S40" s="52" t="s">
        <v>100</v>
      </c>
    </row>
    <row r="42" spans="1:19" x14ac:dyDescent="0.25">
      <c r="A42" s="52" t="s">
        <v>79</v>
      </c>
      <c r="C42" s="52" t="s">
        <v>1396</v>
      </c>
      <c r="E42" s="52" t="s">
        <v>160</v>
      </c>
      <c r="G42" s="52" t="s">
        <v>1397</v>
      </c>
    </row>
    <row r="43" spans="1:19" x14ac:dyDescent="0.25">
      <c r="A43" s="52" t="s">
        <v>79</v>
      </c>
      <c r="C43" s="52" t="s">
        <v>421</v>
      </c>
    </row>
    <row r="44" spans="1:19" x14ac:dyDescent="0.25">
      <c r="A44" s="52" t="s">
        <v>79</v>
      </c>
      <c r="C44" s="52" t="s">
        <v>423</v>
      </c>
      <c r="F44" s="52" t="s">
        <v>1398</v>
      </c>
      <c r="G44" s="52" t="s">
        <v>1110</v>
      </c>
      <c r="J44" s="52" t="s">
        <v>425</v>
      </c>
      <c r="K44" s="52" t="s">
        <v>1138</v>
      </c>
      <c r="L44" s="52" t="s">
        <v>426</v>
      </c>
      <c r="M44" s="52" t="s">
        <v>427</v>
      </c>
      <c r="N44" s="52" t="s">
        <v>428</v>
      </c>
      <c r="O44" s="52" t="s">
        <v>429</v>
      </c>
      <c r="P44" s="52" t="s">
        <v>1166</v>
      </c>
      <c r="Q44" s="52" t="s">
        <v>430</v>
      </c>
      <c r="R44" s="52" t="s">
        <v>431</v>
      </c>
      <c r="S44" s="52" t="s">
        <v>432</v>
      </c>
    </row>
    <row r="45" spans="1:19" x14ac:dyDescent="0.25">
      <c r="A45" s="52" t="s">
        <v>79</v>
      </c>
      <c r="C45" s="52" t="s">
        <v>231</v>
      </c>
    </row>
    <row r="46" spans="1:19" x14ac:dyDescent="0.25">
      <c r="A46" s="52" t="s">
        <v>79</v>
      </c>
      <c r="C46" s="52" t="s">
        <v>232</v>
      </c>
      <c r="G46" s="52" t="s">
        <v>1399</v>
      </c>
      <c r="J46" s="52" t="s">
        <v>1400</v>
      </c>
      <c r="K46" s="52" t="s">
        <v>1401</v>
      </c>
      <c r="L46" s="52" t="s">
        <v>1402</v>
      </c>
      <c r="M46" s="52" t="s">
        <v>102</v>
      </c>
      <c r="N46" s="52" t="s">
        <v>103</v>
      </c>
      <c r="O46" s="52" t="s">
        <v>1403</v>
      </c>
      <c r="P46" s="52" t="s">
        <v>1404</v>
      </c>
      <c r="Q46" s="52" t="s">
        <v>1405</v>
      </c>
      <c r="R46" s="52" t="s">
        <v>104</v>
      </c>
      <c r="S46" s="52" t="s">
        <v>105</v>
      </c>
    </row>
    <row r="47" spans="1:19" x14ac:dyDescent="0.25">
      <c r="A47" s="52" t="s">
        <v>79</v>
      </c>
    </row>
    <row r="48" spans="1:19" x14ac:dyDescent="0.25">
      <c r="A48" s="52" t="s">
        <v>79</v>
      </c>
      <c r="C48" s="52" t="s">
        <v>1406</v>
      </c>
      <c r="E48" s="52" t="s">
        <v>205</v>
      </c>
      <c r="G48" s="52" t="s">
        <v>1407</v>
      </c>
    </row>
    <row r="49" spans="1:19" x14ac:dyDescent="0.25">
      <c r="A49" s="52" t="s">
        <v>79</v>
      </c>
      <c r="C49" s="52" t="s">
        <v>436</v>
      </c>
    </row>
    <row r="50" spans="1:19" x14ac:dyDescent="0.25">
      <c r="A50" s="52" t="s">
        <v>79</v>
      </c>
      <c r="C50" s="52" t="s">
        <v>438</v>
      </c>
      <c r="F50" s="52" t="s">
        <v>1408</v>
      </c>
      <c r="G50" s="52" t="s">
        <v>1111</v>
      </c>
      <c r="J50" s="52" t="s">
        <v>440</v>
      </c>
      <c r="K50" s="52" t="s">
        <v>1139</v>
      </c>
      <c r="L50" s="52" t="s">
        <v>441</v>
      </c>
      <c r="M50" s="52" t="s">
        <v>442</v>
      </c>
      <c r="N50" s="52" t="s">
        <v>443</v>
      </c>
      <c r="O50" s="52" t="s">
        <v>444</v>
      </c>
      <c r="P50" s="52" t="s">
        <v>1167</v>
      </c>
      <c r="Q50" s="52" t="s">
        <v>445</v>
      </c>
      <c r="R50" s="52" t="s">
        <v>446</v>
      </c>
      <c r="S50" s="52" t="s">
        <v>447</v>
      </c>
    </row>
    <row r="51" spans="1:19" x14ac:dyDescent="0.25">
      <c r="A51" s="52" t="s">
        <v>79</v>
      </c>
      <c r="C51" s="52" t="s">
        <v>233</v>
      </c>
      <c r="F51" s="52" t="s">
        <v>903</v>
      </c>
      <c r="G51" s="52" t="s">
        <v>1112</v>
      </c>
      <c r="J51" s="52" t="s">
        <v>448</v>
      </c>
      <c r="K51" s="52" t="s">
        <v>1140</v>
      </c>
      <c r="L51" s="52" t="s">
        <v>449</v>
      </c>
      <c r="M51" s="52" t="s">
        <v>450</v>
      </c>
      <c r="N51" s="52" t="s">
        <v>451</v>
      </c>
      <c r="O51" s="52" t="s">
        <v>452</v>
      </c>
      <c r="P51" s="52" t="s">
        <v>1168</v>
      </c>
      <c r="Q51" s="52" t="s">
        <v>453</v>
      </c>
      <c r="R51" s="52" t="s">
        <v>454</v>
      </c>
      <c r="S51" s="52" t="s">
        <v>455</v>
      </c>
    </row>
    <row r="52" spans="1:19" x14ac:dyDescent="0.25">
      <c r="A52" s="52" t="s">
        <v>79</v>
      </c>
      <c r="C52" s="52" t="s">
        <v>234</v>
      </c>
      <c r="F52" s="52" t="s">
        <v>106</v>
      </c>
      <c r="G52" s="52" t="s">
        <v>1113</v>
      </c>
      <c r="J52" s="52" t="s">
        <v>457</v>
      </c>
      <c r="K52" s="52" t="s">
        <v>1141</v>
      </c>
      <c r="L52" s="52" t="s">
        <v>458</v>
      </c>
      <c r="M52" s="52" t="s">
        <v>107</v>
      </c>
      <c r="N52" s="52" t="s">
        <v>108</v>
      </c>
      <c r="O52" s="52" t="s">
        <v>459</v>
      </c>
      <c r="P52" s="52" t="s">
        <v>1169</v>
      </c>
      <c r="Q52" s="52" t="s">
        <v>460</v>
      </c>
      <c r="R52" s="52" t="s">
        <v>109</v>
      </c>
      <c r="S52" s="52" t="s">
        <v>110</v>
      </c>
    </row>
    <row r="53" spans="1:19" x14ac:dyDescent="0.25">
      <c r="A53" s="52" t="s">
        <v>79</v>
      </c>
      <c r="C53" s="52" t="s">
        <v>235</v>
      </c>
      <c r="F53" s="52" t="s">
        <v>919</v>
      </c>
      <c r="G53" s="52" t="s">
        <v>1114</v>
      </c>
      <c r="J53" s="52" t="s">
        <v>462</v>
      </c>
      <c r="K53" s="52" t="s">
        <v>1142</v>
      </c>
      <c r="L53" s="52" t="s">
        <v>463</v>
      </c>
      <c r="M53" s="52" t="s">
        <v>464</v>
      </c>
      <c r="N53" s="52" t="s">
        <v>465</v>
      </c>
      <c r="O53" s="52" t="s">
        <v>466</v>
      </c>
      <c r="P53" s="52" t="s">
        <v>1170</v>
      </c>
      <c r="Q53" s="52" t="s">
        <v>467</v>
      </c>
      <c r="R53" s="52" t="s">
        <v>468</v>
      </c>
      <c r="S53" s="52" t="s">
        <v>469</v>
      </c>
    </row>
    <row r="54" spans="1:19" x14ac:dyDescent="0.25">
      <c r="A54" s="52" t="s">
        <v>79</v>
      </c>
      <c r="C54" s="52" t="s">
        <v>236</v>
      </c>
      <c r="F54" s="52" t="s">
        <v>127</v>
      </c>
      <c r="G54" s="52" t="s">
        <v>1115</v>
      </c>
      <c r="J54" s="52" t="s">
        <v>470</v>
      </c>
      <c r="K54" s="52" t="s">
        <v>1143</v>
      </c>
      <c r="L54" s="52" t="s">
        <v>471</v>
      </c>
      <c r="M54" s="52" t="s">
        <v>111</v>
      </c>
      <c r="N54" s="52" t="s">
        <v>112</v>
      </c>
      <c r="O54" s="52" t="s">
        <v>472</v>
      </c>
      <c r="P54" s="52" t="s">
        <v>1171</v>
      </c>
      <c r="Q54" s="52" t="s">
        <v>473</v>
      </c>
      <c r="R54" s="52" t="s">
        <v>113</v>
      </c>
      <c r="S54" s="52" t="s">
        <v>114</v>
      </c>
    </row>
    <row r="55" spans="1:19" x14ac:dyDescent="0.25">
      <c r="A55" s="52" t="s">
        <v>79</v>
      </c>
      <c r="C55" s="52" t="s">
        <v>474</v>
      </c>
      <c r="F55" s="52" t="s">
        <v>961</v>
      </c>
      <c r="G55" s="52" t="s">
        <v>1116</v>
      </c>
      <c r="J55" s="52" t="s">
        <v>476</v>
      </c>
      <c r="K55" s="52" t="s">
        <v>1144</v>
      </c>
      <c r="L55" s="52" t="s">
        <v>477</v>
      </c>
      <c r="M55" s="52" t="s">
        <v>478</v>
      </c>
      <c r="N55" s="52" t="s">
        <v>479</v>
      </c>
      <c r="O55" s="52" t="s">
        <v>480</v>
      </c>
      <c r="P55" s="52" t="s">
        <v>1172</v>
      </c>
      <c r="Q55" s="52" t="s">
        <v>481</v>
      </c>
      <c r="R55" s="52" t="s">
        <v>482</v>
      </c>
      <c r="S55" s="52" t="s">
        <v>483</v>
      </c>
    </row>
    <row r="56" spans="1:19" x14ac:dyDescent="0.25">
      <c r="A56" s="52" t="s">
        <v>79</v>
      </c>
      <c r="C56" s="52" t="s">
        <v>484</v>
      </c>
      <c r="F56" s="52" t="s">
        <v>948</v>
      </c>
      <c r="G56" s="52" t="s">
        <v>1117</v>
      </c>
      <c r="J56" s="52" t="s">
        <v>485</v>
      </c>
      <c r="K56" s="52" t="s">
        <v>1145</v>
      </c>
      <c r="L56" s="52" t="s">
        <v>486</v>
      </c>
      <c r="M56" s="52" t="s">
        <v>487</v>
      </c>
      <c r="N56" s="52" t="s">
        <v>488</v>
      </c>
      <c r="O56" s="52" t="s">
        <v>489</v>
      </c>
      <c r="P56" s="52" t="s">
        <v>1173</v>
      </c>
      <c r="Q56" s="52" t="s">
        <v>490</v>
      </c>
      <c r="R56" s="52" t="s">
        <v>491</v>
      </c>
      <c r="S56" s="52" t="s">
        <v>492</v>
      </c>
    </row>
    <row r="57" spans="1:19" x14ac:dyDescent="0.25">
      <c r="A57" s="52" t="s">
        <v>79</v>
      </c>
      <c r="C57" s="52" t="s">
        <v>237</v>
      </c>
      <c r="F57" s="52" t="s">
        <v>954</v>
      </c>
      <c r="G57" s="52" t="s">
        <v>1118</v>
      </c>
      <c r="J57" s="52" t="s">
        <v>494</v>
      </c>
      <c r="K57" s="52" t="s">
        <v>1146</v>
      </c>
      <c r="L57" s="52" t="s">
        <v>495</v>
      </c>
      <c r="M57" s="52" t="s">
        <v>496</v>
      </c>
      <c r="N57" s="52" t="s">
        <v>497</v>
      </c>
      <c r="O57" s="52" t="s">
        <v>498</v>
      </c>
      <c r="P57" s="52" t="s">
        <v>1174</v>
      </c>
      <c r="Q57" s="52" t="s">
        <v>499</v>
      </c>
      <c r="R57" s="52" t="s">
        <v>500</v>
      </c>
      <c r="S57" s="52" t="s">
        <v>501</v>
      </c>
    </row>
    <row r="58" spans="1:19" x14ac:dyDescent="0.25">
      <c r="A58" s="52" t="s">
        <v>79</v>
      </c>
      <c r="C58" s="52" t="s">
        <v>238</v>
      </c>
      <c r="F58" s="52" t="s">
        <v>437</v>
      </c>
      <c r="G58" s="52" t="s">
        <v>1119</v>
      </c>
      <c r="J58" s="52" t="s">
        <v>503</v>
      </c>
      <c r="K58" s="52" t="s">
        <v>1147</v>
      </c>
      <c r="L58" s="52" t="s">
        <v>504</v>
      </c>
      <c r="M58" s="52" t="s">
        <v>115</v>
      </c>
      <c r="N58" s="52" t="s">
        <v>116</v>
      </c>
      <c r="O58" s="52" t="s">
        <v>505</v>
      </c>
      <c r="P58" s="52" t="s">
        <v>1175</v>
      </c>
      <c r="Q58" s="52" t="s">
        <v>506</v>
      </c>
      <c r="R58" s="52" t="s">
        <v>117</v>
      </c>
      <c r="S58" s="52" t="s">
        <v>118</v>
      </c>
    </row>
    <row r="59" spans="1:19" x14ac:dyDescent="0.25">
      <c r="A59" s="52" t="s">
        <v>79</v>
      </c>
      <c r="C59" s="52" t="s">
        <v>239</v>
      </c>
      <c r="F59" s="52" t="s">
        <v>955</v>
      </c>
      <c r="G59" s="52" t="s">
        <v>1120</v>
      </c>
      <c r="J59" s="52" t="s">
        <v>508</v>
      </c>
      <c r="K59" s="52" t="s">
        <v>1148</v>
      </c>
      <c r="L59" s="52" t="s">
        <v>509</v>
      </c>
      <c r="M59" s="52" t="s">
        <v>510</v>
      </c>
      <c r="N59" s="52" t="s">
        <v>511</v>
      </c>
      <c r="O59" s="52" t="s">
        <v>512</v>
      </c>
      <c r="P59" s="52" t="s">
        <v>1176</v>
      </c>
      <c r="Q59" s="52" t="s">
        <v>513</v>
      </c>
      <c r="R59" s="52" t="s">
        <v>514</v>
      </c>
      <c r="S59" s="52" t="s">
        <v>515</v>
      </c>
    </row>
    <row r="60" spans="1:19" x14ac:dyDescent="0.25">
      <c r="A60" s="52" t="s">
        <v>79</v>
      </c>
      <c r="C60" s="52" t="s">
        <v>240</v>
      </c>
      <c r="F60" s="52" t="s">
        <v>960</v>
      </c>
      <c r="G60" s="52" t="s">
        <v>1121</v>
      </c>
      <c r="J60" s="52" t="s">
        <v>517</v>
      </c>
      <c r="K60" s="52" t="s">
        <v>1149</v>
      </c>
      <c r="L60" s="52" t="s">
        <v>518</v>
      </c>
      <c r="M60" s="52" t="s">
        <v>119</v>
      </c>
      <c r="N60" s="52" t="s">
        <v>120</v>
      </c>
      <c r="O60" s="52" t="s">
        <v>519</v>
      </c>
      <c r="P60" s="52" t="s">
        <v>1177</v>
      </c>
      <c r="Q60" s="52" t="s">
        <v>520</v>
      </c>
      <c r="R60" s="52" t="s">
        <v>121</v>
      </c>
      <c r="S60" s="52" t="s">
        <v>122</v>
      </c>
    </row>
    <row r="61" spans="1:19" x14ac:dyDescent="0.25">
      <c r="A61" s="52" t="s">
        <v>79</v>
      </c>
      <c r="C61" s="52" t="s">
        <v>233</v>
      </c>
    </row>
    <row r="62" spans="1:19" x14ac:dyDescent="0.25">
      <c r="A62" s="52" t="s">
        <v>79</v>
      </c>
      <c r="C62" s="52" t="s">
        <v>522</v>
      </c>
      <c r="G62" s="52" t="s">
        <v>986</v>
      </c>
      <c r="J62" s="52" t="s">
        <v>1409</v>
      </c>
      <c r="K62" s="52" t="s">
        <v>1410</v>
      </c>
      <c r="L62" s="52" t="s">
        <v>1411</v>
      </c>
      <c r="M62" s="52" t="s">
        <v>524</v>
      </c>
      <c r="N62" s="52" t="s">
        <v>525</v>
      </c>
      <c r="O62" s="52" t="s">
        <v>1412</v>
      </c>
      <c r="P62" s="52" t="s">
        <v>1413</v>
      </c>
      <c r="Q62" s="52" t="s">
        <v>1414</v>
      </c>
      <c r="R62" s="52" t="s">
        <v>526</v>
      </c>
      <c r="S62" s="52" t="s">
        <v>527</v>
      </c>
    </row>
    <row r="63" spans="1:19" x14ac:dyDescent="0.25">
      <c r="A63" s="52" t="s">
        <v>79</v>
      </c>
    </row>
    <row r="64" spans="1:19" x14ac:dyDescent="0.25">
      <c r="A64" s="52" t="s">
        <v>79</v>
      </c>
      <c r="C64" s="52" t="s">
        <v>987</v>
      </c>
      <c r="E64" s="52" t="s">
        <v>981</v>
      </c>
      <c r="G64" s="52" t="s">
        <v>988</v>
      </c>
    </row>
    <row r="65" spans="1:19" x14ac:dyDescent="0.25">
      <c r="A65" s="52" t="s">
        <v>79</v>
      </c>
      <c r="C65" s="52" t="s">
        <v>241</v>
      </c>
    </row>
    <row r="66" spans="1:19" x14ac:dyDescent="0.25">
      <c r="A66" s="52" t="s">
        <v>79</v>
      </c>
      <c r="C66" s="52" t="s">
        <v>242</v>
      </c>
      <c r="F66" s="52" t="s">
        <v>989</v>
      </c>
      <c r="G66" s="52" t="s">
        <v>1274</v>
      </c>
      <c r="J66" s="52" t="s">
        <v>532</v>
      </c>
      <c r="K66" s="52" t="s">
        <v>1309</v>
      </c>
      <c r="L66" s="52" t="s">
        <v>533</v>
      </c>
      <c r="M66" s="52" t="s">
        <v>123</v>
      </c>
      <c r="N66" s="52" t="s">
        <v>124</v>
      </c>
      <c r="O66" s="52" t="s">
        <v>534</v>
      </c>
      <c r="P66" s="52" t="s">
        <v>1344</v>
      </c>
      <c r="Q66" s="52" t="s">
        <v>535</v>
      </c>
      <c r="R66" s="52" t="s">
        <v>125</v>
      </c>
      <c r="S66" s="52" t="s">
        <v>126</v>
      </c>
    </row>
    <row r="67" spans="1:19" x14ac:dyDescent="0.25">
      <c r="A67" s="52" t="s">
        <v>79</v>
      </c>
      <c r="C67" s="52" t="s">
        <v>536</v>
      </c>
      <c r="F67" s="52" t="s">
        <v>313</v>
      </c>
      <c r="G67" s="52" t="s">
        <v>1275</v>
      </c>
      <c r="J67" s="52" t="s">
        <v>538</v>
      </c>
      <c r="K67" s="52" t="s">
        <v>1310</v>
      </c>
      <c r="L67" s="52" t="s">
        <v>539</v>
      </c>
      <c r="M67" s="52" t="s">
        <v>540</v>
      </c>
      <c r="N67" s="52" t="s">
        <v>541</v>
      </c>
      <c r="O67" s="52" t="s">
        <v>542</v>
      </c>
      <c r="P67" s="52" t="s">
        <v>1345</v>
      </c>
      <c r="Q67" s="52" t="s">
        <v>543</v>
      </c>
      <c r="R67" s="52" t="s">
        <v>544</v>
      </c>
      <c r="S67" s="52" t="s">
        <v>545</v>
      </c>
    </row>
    <row r="68" spans="1:19" x14ac:dyDescent="0.25">
      <c r="A68" s="52" t="s">
        <v>79</v>
      </c>
      <c r="C68" s="52" t="s">
        <v>990</v>
      </c>
      <c r="F68" s="52" t="s">
        <v>327</v>
      </c>
      <c r="G68" s="52" t="s">
        <v>1276</v>
      </c>
      <c r="J68" s="52" t="s">
        <v>991</v>
      </c>
      <c r="K68" s="52" t="s">
        <v>1311</v>
      </c>
      <c r="L68" s="52" t="s">
        <v>992</v>
      </c>
      <c r="M68" s="52" t="s">
        <v>993</v>
      </c>
      <c r="N68" s="52" t="s">
        <v>994</v>
      </c>
      <c r="O68" s="52" t="s">
        <v>995</v>
      </c>
      <c r="P68" s="52" t="s">
        <v>1346</v>
      </c>
      <c r="Q68" s="52" t="s">
        <v>996</v>
      </c>
      <c r="R68" s="52" t="s">
        <v>997</v>
      </c>
      <c r="S68" s="52" t="s">
        <v>998</v>
      </c>
    </row>
    <row r="69" spans="1:19" x14ac:dyDescent="0.25">
      <c r="A69" s="52" t="s">
        <v>79</v>
      </c>
      <c r="C69" s="52" t="s">
        <v>243</v>
      </c>
      <c r="F69" s="52" t="s">
        <v>382</v>
      </c>
      <c r="G69" s="52" t="s">
        <v>1277</v>
      </c>
      <c r="J69" s="52" t="s">
        <v>999</v>
      </c>
      <c r="K69" s="52" t="s">
        <v>1312</v>
      </c>
      <c r="L69" s="52" t="s">
        <v>1000</v>
      </c>
      <c r="M69" s="52" t="s">
        <v>546</v>
      </c>
      <c r="N69" s="52" t="s">
        <v>547</v>
      </c>
      <c r="O69" s="52" t="s">
        <v>1001</v>
      </c>
      <c r="P69" s="52" t="s">
        <v>1347</v>
      </c>
      <c r="Q69" s="52" t="s">
        <v>1002</v>
      </c>
      <c r="R69" s="52" t="s">
        <v>548</v>
      </c>
      <c r="S69" s="52" t="s">
        <v>549</v>
      </c>
    </row>
    <row r="70" spans="1:19" x14ac:dyDescent="0.25">
      <c r="A70" s="52" t="s">
        <v>79</v>
      </c>
      <c r="C70" s="52" t="s">
        <v>1003</v>
      </c>
      <c r="F70" s="52" t="s">
        <v>410</v>
      </c>
      <c r="G70" s="52" t="s">
        <v>1278</v>
      </c>
      <c r="J70" s="52" t="s">
        <v>1004</v>
      </c>
      <c r="K70" s="52" t="s">
        <v>1313</v>
      </c>
      <c r="L70" s="52" t="s">
        <v>1005</v>
      </c>
      <c r="M70" s="52" t="s">
        <v>1006</v>
      </c>
      <c r="N70" s="52" t="s">
        <v>1007</v>
      </c>
      <c r="O70" s="52" t="s">
        <v>1008</v>
      </c>
      <c r="P70" s="52" t="s">
        <v>1348</v>
      </c>
      <c r="Q70" s="52" t="s">
        <v>1009</v>
      </c>
      <c r="R70" s="52" t="s">
        <v>1010</v>
      </c>
      <c r="S70" s="52" t="s">
        <v>1011</v>
      </c>
    </row>
    <row r="71" spans="1:19" x14ac:dyDescent="0.25">
      <c r="A71" s="52" t="s">
        <v>79</v>
      </c>
      <c r="C71" s="52" t="s">
        <v>1012</v>
      </c>
      <c r="F71" s="52" t="s">
        <v>101</v>
      </c>
      <c r="G71" s="52" t="s">
        <v>1279</v>
      </c>
      <c r="J71" s="52" t="s">
        <v>1013</v>
      </c>
      <c r="K71" s="52" t="s">
        <v>1314</v>
      </c>
      <c r="L71" s="52" t="s">
        <v>1014</v>
      </c>
      <c r="M71" s="52" t="s">
        <v>1015</v>
      </c>
      <c r="N71" s="52" t="s">
        <v>1016</v>
      </c>
      <c r="O71" s="52" t="s">
        <v>1017</v>
      </c>
      <c r="P71" s="52" t="s">
        <v>1349</v>
      </c>
      <c r="Q71" s="52" t="s">
        <v>1018</v>
      </c>
      <c r="R71" s="52" t="s">
        <v>1019</v>
      </c>
      <c r="S71" s="52" t="s">
        <v>1020</v>
      </c>
    </row>
    <row r="72" spans="1:19" x14ac:dyDescent="0.25">
      <c r="A72" s="52" t="s">
        <v>79</v>
      </c>
      <c r="C72" s="52" t="s">
        <v>244</v>
      </c>
      <c r="F72" s="52" t="s">
        <v>419</v>
      </c>
      <c r="G72" s="52" t="s">
        <v>1280</v>
      </c>
      <c r="J72" s="52" t="s">
        <v>1021</v>
      </c>
      <c r="K72" s="52" t="s">
        <v>1315</v>
      </c>
      <c r="L72" s="52" t="s">
        <v>1022</v>
      </c>
      <c r="M72" s="52" t="s">
        <v>1023</v>
      </c>
      <c r="N72" s="52" t="s">
        <v>1024</v>
      </c>
      <c r="O72" s="52" t="s">
        <v>1025</v>
      </c>
      <c r="P72" s="52" t="s">
        <v>1350</v>
      </c>
      <c r="Q72" s="52" t="s">
        <v>1026</v>
      </c>
      <c r="R72" s="52" t="s">
        <v>1027</v>
      </c>
      <c r="S72" s="52" t="s">
        <v>1028</v>
      </c>
    </row>
    <row r="73" spans="1:19" x14ac:dyDescent="0.25">
      <c r="A73" s="52" t="s">
        <v>79</v>
      </c>
      <c r="C73" s="52" t="s">
        <v>550</v>
      </c>
      <c r="F73" s="52" t="s">
        <v>422</v>
      </c>
      <c r="G73" s="52" t="s">
        <v>1281</v>
      </c>
      <c r="J73" s="52" t="s">
        <v>551</v>
      </c>
      <c r="K73" s="52" t="s">
        <v>1316</v>
      </c>
      <c r="L73" s="52" t="s">
        <v>552</v>
      </c>
      <c r="M73" s="52" t="s">
        <v>553</v>
      </c>
      <c r="N73" s="52" t="s">
        <v>554</v>
      </c>
      <c r="O73" s="52" t="s">
        <v>555</v>
      </c>
      <c r="P73" s="52" t="s">
        <v>1351</v>
      </c>
      <c r="Q73" s="52" t="s">
        <v>556</v>
      </c>
      <c r="R73" s="52" t="s">
        <v>557</v>
      </c>
      <c r="S73" s="52" t="s">
        <v>558</v>
      </c>
    </row>
    <row r="74" spans="1:19" x14ac:dyDescent="0.25">
      <c r="A74" s="52" t="s">
        <v>79</v>
      </c>
      <c r="C74" s="52" t="s">
        <v>559</v>
      </c>
      <c r="F74" s="52" t="s">
        <v>424</v>
      </c>
      <c r="G74" s="52" t="s">
        <v>1282</v>
      </c>
      <c r="J74" s="52" t="s">
        <v>560</v>
      </c>
      <c r="K74" s="52" t="s">
        <v>1317</v>
      </c>
      <c r="L74" s="52" t="s">
        <v>561</v>
      </c>
      <c r="M74" s="52" t="s">
        <v>562</v>
      </c>
      <c r="N74" s="52" t="s">
        <v>563</v>
      </c>
      <c r="O74" s="52" t="s">
        <v>564</v>
      </c>
      <c r="P74" s="52" t="s">
        <v>1352</v>
      </c>
      <c r="Q74" s="52" t="s">
        <v>565</v>
      </c>
      <c r="R74" s="52" t="s">
        <v>566</v>
      </c>
      <c r="S74" s="52" t="s">
        <v>567</v>
      </c>
    </row>
    <row r="75" spans="1:19" x14ac:dyDescent="0.25">
      <c r="A75" s="52" t="s">
        <v>79</v>
      </c>
      <c r="C75" s="52" t="s">
        <v>245</v>
      </c>
      <c r="F75" s="52" t="s">
        <v>435</v>
      </c>
      <c r="G75" s="52" t="s">
        <v>1283</v>
      </c>
      <c r="J75" s="52" t="s">
        <v>568</v>
      </c>
      <c r="K75" s="52" t="s">
        <v>1318</v>
      </c>
      <c r="L75" s="52" t="s">
        <v>569</v>
      </c>
      <c r="M75" s="52" t="s">
        <v>570</v>
      </c>
      <c r="N75" s="52" t="s">
        <v>571</v>
      </c>
      <c r="O75" s="52" t="s">
        <v>572</v>
      </c>
      <c r="P75" s="52" t="s">
        <v>1353</v>
      </c>
      <c r="Q75" s="52" t="s">
        <v>573</v>
      </c>
      <c r="R75" s="52" t="s">
        <v>574</v>
      </c>
      <c r="S75" s="52" t="s">
        <v>575</v>
      </c>
    </row>
    <row r="76" spans="1:19" x14ac:dyDescent="0.25">
      <c r="A76" s="52" t="s">
        <v>79</v>
      </c>
      <c r="C76" s="52" t="s">
        <v>246</v>
      </c>
      <c r="F76" s="52" t="s">
        <v>437</v>
      </c>
      <c r="G76" s="52" t="s">
        <v>1284</v>
      </c>
      <c r="J76" s="52" t="s">
        <v>576</v>
      </c>
      <c r="K76" s="52" t="s">
        <v>1319</v>
      </c>
      <c r="L76" s="52" t="s">
        <v>577</v>
      </c>
      <c r="M76" s="52" t="s">
        <v>128</v>
      </c>
      <c r="N76" s="52" t="s">
        <v>129</v>
      </c>
      <c r="O76" s="52" t="s">
        <v>578</v>
      </c>
      <c r="P76" s="52" t="s">
        <v>1354</v>
      </c>
      <c r="Q76" s="52" t="s">
        <v>579</v>
      </c>
      <c r="R76" s="52" t="s">
        <v>130</v>
      </c>
      <c r="S76" s="52" t="s">
        <v>131</v>
      </c>
    </row>
    <row r="77" spans="1:19" x14ac:dyDescent="0.25">
      <c r="A77" s="52" t="s">
        <v>79</v>
      </c>
      <c r="C77" s="52" t="s">
        <v>247</v>
      </c>
      <c r="F77" s="52" t="s">
        <v>439</v>
      </c>
      <c r="G77" s="52" t="s">
        <v>1285</v>
      </c>
      <c r="J77" s="52" t="s">
        <v>580</v>
      </c>
      <c r="K77" s="52" t="s">
        <v>1320</v>
      </c>
      <c r="L77" s="52" t="s">
        <v>581</v>
      </c>
      <c r="M77" s="52" t="s">
        <v>582</v>
      </c>
      <c r="N77" s="52" t="s">
        <v>583</v>
      </c>
      <c r="O77" s="52" t="s">
        <v>584</v>
      </c>
      <c r="P77" s="52" t="s">
        <v>1355</v>
      </c>
      <c r="Q77" s="52" t="s">
        <v>585</v>
      </c>
      <c r="R77" s="52" t="s">
        <v>586</v>
      </c>
      <c r="S77" s="52" t="s">
        <v>587</v>
      </c>
    </row>
    <row r="78" spans="1:19" x14ac:dyDescent="0.25">
      <c r="A78" s="52" t="s">
        <v>79</v>
      </c>
      <c r="C78" s="52" t="s">
        <v>248</v>
      </c>
      <c r="F78" s="52" t="s">
        <v>456</v>
      </c>
      <c r="G78" s="52" t="s">
        <v>1286</v>
      </c>
      <c r="J78" s="52" t="s">
        <v>588</v>
      </c>
      <c r="K78" s="52" t="s">
        <v>1321</v>
      </c>
      <c r="L78" s="52" t="s">
        <v>589</v>
      </c>
      <c r="M78" s="52" t="s">
        <v>132</v>
      </c>
      <c r="N78" s="52" t="s">
        <v>133</v>
      </c>
      <c r="O78" s="52" t="s">
        <v>590</v>
      </c>
      <c r="P78" s="52" t="s">
        <v>1356</v>
      </c>
      <c r="Q78" s="52" t="s">
        <v>591</v>
      </c>
      <c r="R78" s="52" t="s">
        <v>134</v>
      </c>
      <c r="S78" s="52" t="s">
        <v>135</v>
      </c>
    </row>
    <row r="79" spans="1:19" x14ac:dyDescent="0.25">
      <c r="A79" s="52" t="s">
        <v>79</v>
      </c>
      <c r="C79" s="52" t="s">
        <v>592</v>
      </c>
      <c r="F79" s="52" t="s">
        <v>461</v>
      </c>
      <c r="G79" s="52" t="s">
        <v>1287</v>
      </c>
      <c r="J79" s="52" t="s">
        <v>593</v>
      </c>
      <c r="K79" s="52" t="s">
        <v>1322</v>
      </c>
      <c r="L79" s="52" t="s">
        <v>594</v>
      </c>
      <c r="M79" s="52" t="s">
        <v>595</v>
      </c>
      <c r="N79" s="52" t="s">
        <v>596</v>
      </c>
      <c r="O79" s="52" t="s">
        <v>597</v>
      </c>
      <c r="P79" s="52" t="s">
        <v>1357</v>
      </c>
      <c r="Q79" s="52" t="s">
        <v>598</v>
      </c>
      <c r="R79" s="52" t="s">
        <v>599</v>
      </c>
      <c r="S79" s="52" t="s">
        <v>600</v>
      </c>
    </row>
    <row r="80" spans="1:19" x14ac:dyDescent="0.25">
      <c r="A80" s="52" t="s">
        <v>79</v>
      </c>
      <c r="C80" s="52" t="s">
        <v>601</v>
      </c>
      <c r="F80" s="52" t="s">
        <v>529</v>
      </c>
      <c r="G80" s="52" t="s">
        <v>1288</v>
      </c>
      <c r="J80" s="52" t="s">
        <v>602</v>
      </c>
      <c r="K80" s="52" t="s">
        <v>1323</v>
      </c>
      <c r="L80" s="52" t="s">
        <v>603</v>
      </c>
      <c r="M80" s="52" t="s">
        <v>604</v>
      </c>
      <c r="N80" s="52" t="s">
        <v>605</v>
      </c>
      <c r="O80" s="52" t="s">
        <v>606</v>
      </c>
      <c r="P80" s="52" t="s">
        <v>1358</v>
      </c>
      <c r="Q80" s="52" t="s">
        <v>607</v>
      </c>
      <c r="R80" s="52" t="s">
        <v>608</v>
      </c>
      <c r="S80" s="52" t="s">
        <v>609</v>
      </c>
    </row>
    <row r="81" spans="1:19" x14ac:dyDescent="0.25">
      <c r="A81" s="52" t="s">
        <v>79</v>
      </c>
      <c r="C81" s="52" t="s">
        <v>249</v>
      </c>
      <c r="F81" s="52" t="s">
        <v>763</v>
      </c>
      <c r="G81" s="52" t="s">
        <v>1289</v>
      </c>
      <c r="J81" s="52" t="s">
        <v>610</v>
      </c>
      <c r="K81" s="52" t="s">
        <v>1324</v>
      </c>
      <c r="L81" s="52" t="s">
        <v>611</v>
      </c>
      <c r="M81" s="52" t="s">
        <v>612</v>
      </c>
      <c r="N81" s="52" t="s">
        <v>613</v>
      </c>
      <c r="O81" s="52" t="s">
        <v>614</v>
      </c>
      <c r="P81" s="52" t="s">
        <v>1359</v>
      </c>
      <c r="Q81" s="52" t="s">
        <v>615</v>
      </c>
      <c r="R81" s="52" t="s">
        <v>616</v>
      </c>
      <c r="S81" s="52" t="s">
        <v>617</v>
      </c>
    </row>
    <row r="82" spans="1:19" x14ac:dyDescent="0.25">
      <c r="A82" s="52" t="s">
        <v>79</v>
      </c>
      <c r="C82" s="52" t="s">
        <v>536</v>
      </c>
    </row>
    <row r="83" spans="1:19" x14ac:dyDescent="0.25">
      <c r="A83" s="52" t="s">
        <v>79</v>
      </c>
      <c r="C83" s="52" t="s">
        <v>250</v>
      </c>
      <c r="G83" s="52" t="s">
        <v>1415</v>
      </c>
      <c r="J83" s="52" t="s">
        <v>1416</v>
      </c>
      <c r="K83" s="52" t="s">
        <v>1417</v>
      </c>
      <c r="L83" s="52" t="s">
        <v>1418</v>
      </c>
      <c r="M83" s="52" t="s">
        <v>618</v>
      </c>
      <c r="N83" s="52" t="s">
        <v>619</v>
      </c>
      <c r="O83" s="52" t="s">
        <v>1419</v>
      </c>
      <c r="P83" s="52" t="s">
        <v>1420</v>
      </c>
      <c r="Q83" s="52" t="s">
        <v>1421</v>
      </c>
      <c r="R83" s="52" t="s">
        <v>620</v>
      </c>
      <c r="S83" s="52" t="s">
        <v>621</v>
      </c>
    </row>
    <row r="84" spans="1:19" x14ac:dyDescent="0.25">
      <c r="A84" s="52" t="s">
        <v>79</v>
      </c>
    </row>
    <row r="85" spans="1:19" x14ac:dyDescent="0.25">
      <c r="A85" s="52" t="s">
        <v>79</v>
      </c>
      <c r="C85" s="52" t="s">
        <v>1422</v>
      </c>
      <c r="E85" s="52" t="s">
        <v>983</v>
      </c>
      <c r="G85" s="52" t="s">
        <v>1423</v>
      </c>
    </row>
    <row r="86" spans="1:19" x14ac:dyDescent="0.25">
      <c r="A86" s="52" t="s">
        <v>79</v>
      </c>
      <c r="C86" s="52" t="s">
        <v>622</v>
      </c>
    </row>
    <row r="87" spans="1:19" x14ac:dyDescent="0.25">
      <c r="A87" s="52" t="s">
        <v>79</v>
      </c>
      <c r="C87" s="52" t="s">
        <v>251</v>
      </c>
      <c r="F87" s="52" t="s">
        <v>1424</v>
      </c>
      <c r="G87" s="52" t="s">
        <v>1290</v>
      </c>
      <c r="J87" s="52" t="s">
        <v>623</v>
      </c>
      <c r="K87" s="52" t="s">
        <v>1325</v>
      </c>
      <c r="L87" s="52" t="s">
        <v>624</v>
      </c>
      <c r="M87" s="52" t="s">
        <v>625</v>
      </c>
      <c r="N87" s="52" t="s">
        <v>626</v>
      </c>
      <c r="O87" s="52" t="s">
        <v>627</v>
      </c>
      <c r="P87" s="52" t="s">
        <v>1360</v>
      </c>
      <c r="Q87" s="52" t="s">
        <v>628</v>
      </c>
      <c r="R87" s="52" t="s">
        <v>629</v>
      </c>
      <c r="S87" s="52" t="s">
        <v>630</v>
      </c>
    </row>
    <row r="88" spans="1:19" x14ac:dyDescent="0.25">
      <c r="A88" s="52" t="s">
        <v>79</v>
      </c>
      <c r="C88" s="52" t="s">
        <v>252</v>
      </c>
      <c r="F88" s="52" t="s">
        <v>904</v>
      </c>
      <c r="G88" s="52" t="s">
        <v>1291</v>
      </c>
      <c r="J88" s="52" t="s">
        <v>631</v>
      </c>
      <c r="K88" s="52" t="s">
        <v>1326</v>
      </c>
      <c r="L88" s="52" t="s">
        <v>632</v>
      </c>
      <c r="M88" s="52" t="s">
        <v>136</v>
      </c>
      <c r="N88" s="52" t="s">
        <v>137</v>
      </c>
      <c r="O88" s="52" t="s">
        <v>633</v>
      </c>
      <c r="P88" s="52" t="s">
        <v>1361</v>
      </c>
      <c r="Q88" s="52" t="s">
        <v>634</v>
      </c>
      <c r="R88" s="52" t="s">
        <v>138</v>
      </c>
      <c r="S88" s="52" t="s">
        <v>139</v>
      </c>
    </row>
    <row r="89" spans="1:19" x14ac:dyDescent="0.25">
      <c r="A89" s="52" t="s">
        <v>79</v>
      </c>
      <c r="C89" s="52" t="s">
        <v>253</v>
      </c>
      <c r="F89" s="52" t="s">
        <v>106</v>
      </c>
      <c r="G89" s="52" t="s">
        <v>1292</v>
      </c>
      <c r="J89" s="52" t="s">
        <v>635</v>
      </c>
      <c r="K89" s="52" t="s">
        <v>1327</v>
      </c>
      <c r="L89" s="52" t="s">
        <v>636</v>
      </c>
      <c r="M89" s="52" t="s">
        <v>637</v>
      </c>
      <c r="N89" s="52" t="s">
        <v>638</v>
      </c>
      <c r="O89" s="52" t="s">
        <v>639</v>
      </c>
      <c r="P89" s="52" t="s">
        <v>1362</v>
      </c>
      <c r="Q89" s="52" t="s">
        <v>640</v>
      </c>
      <c r="R89" s="52" t="s">
        <v>641</v>
      </c>
      <c r="S89" s="52" t="s">
        <v>642</v>
      </c>
    </row>
    <row r="90" spans="1:19" x14ac:dyDescent="0.25">
      <c r="A90" s="52" t="s">
        <v>79</v>
      </c>
      <c r="C90" s="52" t="s">
        <v>254</v>
      </c>
      <c r="F90" s="52" t="s">
        <v>948</v>
      </c>
      <c r="G90" s="52" t="s">
        <v>1293</v>
      </c>
      <c r="J90" s="52" t="s">
        <v>643</v>
      </c>
      <c r="K90" s="52" t="s">
        <v>1328</v>
      </c>
      <c r="L90" s="52" t="s">
        <v>644</v>
      </c>
      <c r="M90" s="52" t="s">
        <v>140</v>
      </c>
      <c r="N90" s="52" t="s">
        <v>141</v>
      </c>
      <c r="O90" s="52" t="s">
        <v>645</v>
      </c>
      <c r="P90" s="52" t="s">
        <v>1363</v>
      </c>
      <c r="Q90" s="52" t="s">
        <v>646</v>
      </c>
      <c r="R90" s="52" t="s">
        <v>142</v>
      </c>
      <c r="S90" s="52" t="s">
        <v>143</v>
      </c>
    </row>
    <row r="91" spans="1:19" x14ac:dyDescent="0.25">
      <c r="A91" s="52" t="s">
        <v>79</v>
      </c>
      <c r="C91" s="52" t="s">
        <v>647</v>
      </c>
      <c r="F91" s="52" t="s">
        <v>976</v>
      </c>
      <c r="G91" s="52" t="s">
        <v>1294</v>
      </c>
      <c r="J91" s="52" t="s">
        <v>648</v>
      </c>
      <c r="K91" s="52" t="s">
        <v>1329</v>
      </c>
      <c r="L91" s="52" t="s">
        <v>649</v>
      </c>
      <c r="M91" s="52" t="s">
        <v>650</v>
      </c>
      <c r="N91" s="52" t="s">
        <v>651</v>
      </c>
      <c r="O91" s="52" t="s">
        <v>652</v>
      </c>
      <c r="P91" s="52" t="s">
        <v>1364</v>
      </c>
      <c r="Q91" s="52" t="s">
        <v>653</v>
      </c>
      <c r="R91" s="52" t="s">
        <v>654</v>
      </c>
      <c r="S91" s="52" t="s">
        <v>655</v>
      </c>
    </row>
    <row r="92" spans="1:19" x14ac:dyDescent="0.25">
      <c r="A92" s="52" t="s">
        <v>79</v>
      </c>
      <c r="C92" s="52" t="s">
        <v>656</v>
      </c>
      <c r="F92" s="52" t="s">
        <v>963</v>
      </c>
      <c r="G92" s="52" t="s">
        <v>1295</v>
      </c>
      <c r="J92" s="52" t="s">
        <v>657</v>
      </c>
      <c r="K92" s="52" t="s">
        <v>1330</v>
      </c>
      <c r="L92" s="52" t="s">
        <v>658</v>
      </c>
      <c r="M92" s="52" t="s">
        <v>659</v>
      </c>
      <c r="N92" s="52" t="s">
        <v>660</v>
      </c>
      <c r="O92" s="52" t="s">
        <v>661</v>
      </c>
      <c r="P92" s="52" t="s">
        <v>1365</v>
      </c>
      <c r="Q92" s="52" t="s">
        <v>662</v>
      </c>
      <c r="R92" s="52" t="s">
        <v>663</v>
      </c>
      <c r="S92" s="52" t="s">
        <v>664</v>
      </c>
    </row>
    <row r="93" spans="1:19" x14ac:dyDescent="0.25">
      <c r="A93" s="52" t="s">
        <v>79</v>
      </c>
      <c r="C93" s="52" t="s">
        <v>255</v>
      </c>
      <c r="F93" s="52" t="s">
        <v>964</v>
      </c>
      <c r="G93" s="52" t="s">
        <v>1296</v>
      </c>
      <c r="J93" s="52" t="s">
        <v>665</v>
      </c>
      <c r="K93" s="52" t="s">
        <v>1331</v>
      </c>
      <c r="L93" s="52" t="s">
        <v>666</v>
      </c>
      <c r="M93" s="52" t="s">
        <v>667</v>
      </c>
      <c r="N93" s="52" t="s">
        <v>668</v>
      </c>
      <c r="O93" s="52" t="s">
        <v>669</v>
      </c>
      <c r="P93" s="52" t="s">
        <v>1366</v>
      </c>
      <c r="Q93" s="52" t="s">
        <v>670</v>
      </c>
      <c r="R93" s="52" t="s">
        <v>671</v>
      </c>
      <c r="S93" s="52" t="s">
        <v>672</v>
      </c>
    </row>
    <row r="94" spans="1:19" x14ac:dyDescent="0.25">
      <c r="A94" s="52" t="s">
        <v>79</v>
      </c>
      <c r="C94" s="52" t="s">
        <v>256</v>
      </c>
      <c r="F94" s="52" t="s">
        <v>965</v>
      </c>
      <c r="G94" s="52" t="s">
        <v>1297</v>
      </c>
      <c r="J94" s="52" t="s">
        <v>673</v>
      </c>
      <c r="K94" s="52" t="s">
        <v>1332</v>
      </c>
      <c r="L94" s="52" t="s">
        <v>674</v>
      </c>
      <c r="M94" s="52" t="s">
        <v>144</v>
      </c>
      <c r="N94" s="52" t="s">
        <v>145</v>
      </c>
      <c r="O94" s="52" t="s">
        <v>675</v>
      </c>
      <c r="P94" s="52" t="s">
        <v>1367</v>
      </c>
      <c r="Q94" s="52" t="s">
        <v>676</v>
      </c>
      <c r="R94" s="52" t="s">
        <v>146</v>
      </c>
      <c r="S94" s="52" t="s">
        <v>147</v>
      </c>
    </row>
    <row r="95" spans="1:19" x14ac:dyDescent="0.25">
      <c r="A95" s="52" t="s">
        <v>79</v>
      </c>
      <c r="C95" s="52" t="s">
        <v>257</v>
      </c>
      <c r="F95" s="52" t="s">
        <v>978</v>
      </c>
      <c r="G95" s="52" t="s">
        <v>1298</v>
      </c>
      <c r="J95" s="52" t="s">
        <v>677</v>
      </c>
      <c r="K95" s="52" t="s">
        <v>1333</v>
      </c>
      <c r="L95" s="52" t="s">
        <v>678</v>
      </c>
      <c r="M95" s="52" t="s">
        <v>679</v>
      </c>
      <c r="N95" s="52" t="s">
        <v>680</v>
      </c>
      <c r="O95" s="52" t="s">
        <v>681</v>
      </c>
      <c r="P95" s="52" t="s">
        <v>1368</v>
      </c>
      <c r="Q95" s="52" t="s">
        <v>682</v>
      </c>
      <c r="R95" s="52" t="s">
        <v>683</v>
      </c>
      <c r="S95" s="52" t="s">
        <v>684</v>
      </c>
    </row>
    <row r="96" spans="1:19" x14ac:dyDescent="0.25">
      <c r="A96" s="52" t="s">
        <v>79</v>
      </c>
      <c r="C96" s="52" t="s">
        <v>258</v>
      </c>
      <c r="F96" s="52" t="s">
        <v>967</v>
      </c>
      <c r="G96" s="52" t="s">
        <v>1299</v>
      </c>
      <c r="J96" s="52" t="s">
        <v>685</v>
      </c>
      <c r="K96" s="52" t="s">
        <v>1334</v>
      </c>
      <c r="L96" s="52" t="s">
        <v>686</v>
      </c>
      <c r="M96" s="52" t="s">
        <v>148</v>
      </c>
      <c r="N96" s="52" t="s">
        <v>149</v>
      </c>
      <c r="O96" s="52" t="s">
        <v>687</v>
      </c>
      <c r="P96" s="52" t="s">
        <v>1369</v>
      </c>
      <c r="Q96" s="52" t="s">
        <v>688</v>
      </c>
      <c r="R96" s="52" t="s">
        <v>150</v>
      </c>
      <c r="S96" s="52" t="s">
        <v>151</v>
      </c>
    </row>
    <row r="97" spans="1:19" x14ac:dyDescent="0.25">
      <c r="A97" s="52" t="s">
        <v>79</v>
      </c>
      <c r="C97" s="52" t="s">
        <v>689</v>
      </c>
      <c r="F97" s="52" t="s">
        <v>420</v>
      </c>
      <c r="G97" s="52" t="s">
        <v>1300</v>
      </c>
      <c r="J97" s="52" t="s">
        <v>690</v>
      </c>
      <c r="K97" s="52" t="s">
        <v>1335</v>
      </c>
      <c r="L97" s="52" t="s">
        <v>691</v>
      </c>
      <c r="M97" s="52" t="s">
        <v>692</v>
      </c>
      <c r="N97" s="52" t="s">
        <v>693</v>
      </c>
      <c r="O97" s="52" t="s">
        <v>694</v>
      </c>
      <c r="P97" s="52" t="s">
        <v>1370</v>
      </c>
      <c r="Q97" s="52" t="s">
        <v>695</v>
      </c>
      <c r="R97" s="52" t="s">
        <v>696</v>
      </c>
      <c r="S97" s="52" t="s">
        <v>697</v>
      </c>
    </row>
    <row r="98" spans="1:19" x14ac:dyDescent="0.25">
      <c r="A98" s="52" t="s">
        <v>79</v>
      </c>
      <c r="C98" s="52" t="s">
        <v>698</v>
      </c>
      <c r="F98" s="52" t="s">
        <v>424</v>
      </c>
      <c r="G98" s="52" t="s">
        <v>1301</v>
      </c>
      <c r="J98" s="52" t="s">
        <v>699</v>
      </c>
      <c r="K98" s="52" t="s">
        <v>1336</v>
      </c>
      <c r="L98" s="52" t="s">
        <v>700</v>
      </c>
      <c r="M98" s="52" t="s">
        <v>701</v>
      </c>
      <c r="N98" s="52" t="s">
        <v>702</v>
      </c>
      <c r="O98" s="52" t="s">
        <v>703</v>
      </c>
      <c r="P98" s="52" t="s">
        <v>1371</v>
      </c>
      <c r="Q98" s="52" t="s">
        <v>704</v>
      </c>
      <c r="R98" s="52" t="s">
        <v>705</v>
      </c>
      <c r="S98" s="52" t="s">
        <v>706</v>
      </c>
    </row>
    <row r="99" spans="1:19" x14ac:dyDescent="0.25">
      <c r="A99" s="52" t="s">
        <v>79</v>
      </c>
      <c r="C99" s="52" t="s">
        <v>259</v>
      </c>
      <c r="F99" s="52" t="s">
        <v>434</v>
      </c>
      <c r="G99" s="52" t="s">
        <v>1302</v>
      </c>
      <c r="J99" s="52" t="s">
        <v>708</v>
      </c>
      <c r="K99" s="52" t="s">
        <v>1337</v>
      </c>
      <c r="L99" s="52" t="s">
        <v>709</v>
      </c>
      <c r="M99" s="52" t="s">
        <v>710</v>
      </c>
      <c r="N99" s="52" t="s">
        <v>711</v>
      </c>
      <c r="O99" s="52" t="s">
        <v>712</v>
      </c>
      <c r="P99" s="52" t="s">
        <v>1372</v>
      </c>
      <c r="Q99" s="52" t="s">
        <v>713</v>
      </c>
      <c r="R99" s="52" t="s">
        <v>714</v>
      </c>
      <c r="S99" s="52" t="s">
        <v>715</v>
      </c>
    </row>
    <row r="100" spans="1:19" x14ac:dyDescent="0.25">
      <c r="A100" s="52" t="s">
        <v>79</v>
      </c>
      <c r="C100" s="52" t="s">
        <v>260</v>
      </c>
      <c r="F100" s="52" t="s">
        <v>437</v>
      </c>
      <c r="G100" s="52" t="s">
        <v>1303</v>
      </c>
      <c r="J100" s="52" t="s">
        <v>716</v>
      </c>
      <c r="K100" s="52" t="s">
        <v>1338</v>
      </c>
      <c r="L100" s="52" t="s">
        <v>717</v>
      </c>
      <c r="M100" s="52" t="s">
        <v>152</v>
      </c>
      <c r="N100" s="52" t="s">
        <v>153</v>
      </c>
      <c r="O100" s="52" t="s">
        <v>718</v>
      </c>
      <c r="P100" s="52" t="s">
        <v>1373</v>
      </c>
      <c r="Q100" s="52" t="s">
        <v>719</v>
      </c>
      <c r="R100" s="52" t="s">
        <v>154</v>
      </c>
      <c r="S100" s="52" t="s">
        <v>155</v>
      </c>
    </row>
    <row r="101" spans="1:19" x14ac:dyDescent="0.25">
      <c r="A101" s="52" t="s">
        <v>79</v>
      </c>
      <c r="C101" s="52" t="s">
        <v>261</v>
      </c>
      <c r="F101" s="52" t="s">
        <v>968</v>
      </c>
      <c r="G101" s="52" t="s">
        <v>1304</v>
      </c>
      <c r="J101" s="52" t="s">
        <v>720</v>
      </c>
      <c r="K101" s="52" t="s">
        <v>1339</v>
      </c>
      <c r="L101" s="52" t="s">
        <v>721</v>
      </c>
      <c r="M101" s="52" t="s">
        <v>722</v>
      </c>
      <c r="N101" s="52" t="s">
        <v>723</v>
      </c>
      <c r="O101" s="52" t="s">
        <v>724</v>
      </c>
      <c r="P101" s="52" t="s">
        <v>1374</v>
      </c>
      <c r="Q101" s="52" t="s">
        <v>725</v>
      </c>
      <c r="R101" s="52" t="s">
        <v>726</v>
      </c>
      <c r="S101" s="52" t="s">
        <v>727</v>
      </c>
    </row>
    <row r="102" spans="1:19" x14ac:dyDescent="0.25">
      <c r="A102" s="52" t="s">
        <v>79</v>
      </c>
      <c r="C102" s="52" t="s">
        <v>262</v>
      </c>
      <c r="F102" s="52" t="s">
        <v>969</v>
      </c>
      <c r="G102" s="52" t="s">
        <v>1305</v>
      </c>
      <c r="J102" s="52" t="s">
        <v>728</v>
      </c>
      <c r="K102" s="52" t="s">
        <v>1340</v>
      </c>
      <c r="L102" s="52" t="s">
        <v>729</v>
      </c>
      <c r="M102" s="52" t="s">
        <v>156</v>
      </c>
      <c r="N102" s="52" t="s">
        <v>157</v>
      </c>
      <c r="O102" s="52" t="s">
        <v>730</v>
      </c>
      <c r="P102" s="52" t="s">
        <v>1375</v>
      </c>
      <c r="Q102" s="52" t="s">
        <v>731</v>
      </c>
      <c r="R102" s="52" t="s">
        <v>158</v>
      </c>
      <c r="S102" s="52" t="s">
        <v>159</v>
      </c>
    </row>
    <row r="103" spans="1:19" x14ac:dyDescent="0.25">
      <c r="A103" s="52" t="s">
        <v>79</v>
      </c>
      <c r="C103" s="52" t="s">
        <v>732</v>
      </c>
      <c r="F103" s="52" t="s">
        <v>970</v>
      </c>
      <c r="G103" s="52" t="s">
        <v>1306</v>
      </c>
      <c r="J103" s="52" t="s">
        <v>733</v>
      </c>
      <c r="K103" s="52" t="s">
        <v>1341</v>
      </c>
      <c r="L103" s="52" t="s">
        <v>734</v>
      </c>
      <c r="M103" s="52" t="s">
        <v>735</v>
      </c>
      <c r="N103" s="52" t="s">
        <v>736</v>
      </c>
      <c r="O103" s="52" t="s">
        <v>737</v>
      </c>
      <c r="P103" s="52" t="s">
        <v>1376</v>
      </c>
      <c r="Q103" s="52" t="s">
        <v>738</v>
      </c>
      <c r="R103" s="52" t="s">
        <v>739</v>
      </c>
      <c r="S103" s="52" t="s">
        <v>740</v>
      </c>
    </row>
    <row r="104" spans="1:19" x14ac:dyDescent="0.25">
      <c r="A104" s="52" t="s">
        <v>79</v>
      </c>
      <c r="C104" s="52" t="s">
        <v>741</v>
      </c>
      <c r="F104" s="52" t="s">
        <v>971</v>
      </c>
      <c r="G104" s="52" t="s">
        <v>1307</v>
      </c>
      <c r="J104" s="52" t="s">
        <v>742</v>
      </c>
      <c r="K104" s="52" t="s">
        <v>1342</v>
      </c>
      <c r="L104" s="52" t="s">
        <v>743</v>
      </c>
      <c r="M104" s="52" t="s">
        <v>744</v>
      </c>
      <c r="N104" s="52" t="s">
        <v>745</v>
      </c>
      <c r="O104" s="52" t="s">
        <v>746</v>
      </c>
      <c r="P104" s="52" t="s">
        <v>1377</v>
      </c>
      <c r="Q104" s="52" t="s">
        <v>747</v>
      </c>
      <c r="R104" s="52" t="s">
        <v>748</v>
      </c>
      <c r="S104" s="52" t="s">
        <v>749</v>
      </c>
    </row>
    <row r="105" spans="1:19" x14ac:dyDescent="0.25">
      <c r="A105" s="52" t="s">
        <v>79</v>
      </c>
      <c r="C105" s="52" t="s">
        <v>263</v>
      </c>
      <c r="F105" s="52" t="s">
        <v>972</v>
      </c>
      <c r="G105" s="52" t="s">
        <v>1308</v>
      </c>
      <c r="J105" s="52" t="s">
        <v>750</v>
      </c>
      <c r="K105" s="52" t="s">
        <v>1343</v>
      </c>
      <c r="L105" s="52" t="s">
        <v>751</v>
      </c>
      <c r="M105" s="52" t="s">
        <v>752</v>
      </c>
      <c r="N105" s="52" t="s">
        <v>753</v>
      </c>
      <c r="O105" s="52" t="s">
        <v>754</v>
      </c>
      <c r="P105" s="52" t="s">
        <v>1378</v>
      </c>
      <c r="Q105" s="52" t="s">
        <v>755</v>
      </c>
      <c r="R105" s="52" t="s">
        <v>756</v>
      </c>
      <c r="S105" s="52" t="s">
        <v>757</v>
      </c>
    </row>
    <row r="106" spans="1:19" x14ac:dyDescent="0.25">
      <c r="A106" s="52" t="s">
        <v>79</v>
      </c>
      <c r="C106" s="52" t="s">
        <v>1425</v>
      </c>
      <c r="F106" s="52" t="s">
        <v>977</v>
      </c>
      <c r="G106" s="52" t="s">
        <v>1605</v>
      </c>
      <c r="J106" s="52" t="s">
        <v>1426</v>
      </c>
      <c r="K106" s="52" t="s">
        <v>1609</v>
      </c>
      <c r="L106" s="52" t="s">
        <v>1427</v>
      </c>
      <c r="M106" s="52" t="s">
        <v>1428</v>
      </c>
      <c r="N106" s="52" t="s">
        <v>1429</v>
      </c>
      <c r="O106" s="52" t="s">
        <v>1430</v>
      </c>
      <c r="P106" s="52" t="s">
        <v>1613</v>
      </c>
      <c r="Q106" s="52" t="s">
        <v>1431</v>
      </c>
      <c r="R106" s="52" t="s">
        <v>1432</v>
      </c>
      <c r="S106" s="52" t="s">
        <v>1433</v>
      </c>
    </row>
    <row r="107" spans="1:19" x14ac:dyDescent="0.25">
      <c r="A107" s="52" t="s">
        <v>79</v>
      </c>
      <c r="C107" s="52" t="s">
        <v>264</v>
      </c>
      <c r="F107" s="52" t="s">
        <v>507</v>
      </c>
      <c r="G107" s="52" t="s">
        <v>1606</v>
      </c>
      <c r="J107" s="52" t="s">
        <v>1434</v>
      </c>
      <c r="K107" s="52" t="s">
        <v>1610</v>
      </c>
      <c r="L107" s="52" t="s">
        <v>1435</v>
      </c>
      <c r="M107" s="52" t="s">
        <v>758</v>
      </c>
      <c r="N107" s="52" t="s">
        <v>759</v>
      </c>
      <c r="O107" s="52" t="s">
        <v>1436</v>
      </c>
      <c r="P107" s="52" t="s">
        <v>1614</v>
      </c>
      <c r="Q107" s="52" t="s">
        <v>1437</v>
      </c>
      <c r="R107" s="52" t="s">
        <v>760</v>
      </c>
      <c r="S107" s="52" t="s">
        <v>761</v>
      </c>
    </row>
    <row r="108" spans="1:19" x14ac:dyDescent="0.25">
      <c r="A108" s="52" t="s">
        <v>79</v>
      </c>
      <c r="C108" s="52" t="s">
        <v>1438</v>
      </c>
      <c r="F108" s="52" t="s">
        <v>763</v>
      </c>
      <c r="G108" s="52" t="s">
        <v>1607</v>
      </c>
      <c r="J108" s="52" t="s">
        <v>1439</v>
      </c>
      <c r="K108" s="52" t="s">
        <v>1611</v>
      </c>
      <c r="L108" s="52" t="s">
        <v>1440</v>
      </c>
      <c r="M108" s="52" t="s">
        <v>1441</v>
      </c>
      <c r="N108" s="52" t="s">
        <v>1442</v>
      </c>
      <c r="O108" s="52" t="s">
        <v>1443</v>
      </c>
      <c r="P108" s="52" t="s">
        <v>1615</v>
      </c>
      <c r="Q108" s="52" t="s">
        <v>1444</v>
      </c>
      <c r="R108" s="52" t="s">
        <v>1445</v>
      </c>
      <c r="S108" s="52" t="s">
        <v>1446</v>
      </c>
    </row>
    <row r="109" spans="1:19" x14ac:dyDescent="0.25">
      <c r="A109" s="52" t="s">
        <v>79</v>
      </c>
      <c r="C109" s="52" t="s">
        <v>1447</v>
      </c>
      <c r="F109" s="52" t="s">
        <v>974</v>
      </c>
      <c r="G109" s="52" t="s">
        <v>1608</v>
      </c>
      <c r="J109" s="52" t="s">
        <v>1448</v>
      </c>
      <c r="K109" s="52" t="s">
        <v>1612</v>
      </c>
      <c r="L109" s="52" t="s">
        <v>1449</v>
      </c>
      <c r="M109" s="52" t="s">
        <v>1450</v>
      </c>
      <c r="N109" s="52" t="s">
        <v>1451</v>
      </c>
      <c r="O109" s="52" t="s">
        <v>1452</v>
      </c>
      <c r="P109" s="52" t="s">
        <v>1616</v>
      </c>
      <c r="Q109" s="52" t="s">
        <v>1453</v>
      </c>
      <c r="R109" s="52" t="s">
        <v>1454</v>
      </c>
      <c r="S109" s="52" t="s">
        <v>1455</v>
      </c>
    </row>
    <row r="110" spans="1:19" x14ac:dyDescent="0.25">
      <c r="A110" s="52" t="s">
        <v>79</v>
      </c>
      <c r="C110" s="52" t="s">
        <v>252</v>
      </c>
    </row>
    <row r="111" spans="1:19" x14ac:dyDescent="0.25">
      <c r="A111" s="52" t="s">
        <v>79</v>
      </c>
      <c r="C111" s="52" t="s">
        <v>265</v>
      </c>
      <c r="G111" s="52" t="s">
        <v>1456</v>
      </c>
      <c r="J111" s="52" t="s">
        <v>1457</v>
      </c>
      <c r="K111" s="52" t="s">
        <v>1458</v>
      </c>
      <c r="L111" s="52" t="s">
        <v>1459</v>
      </c>
      <c r="M111" s="52" t="s">
        <v>764</v>
      </c>
      <c r="N111" s="52" t="s">
        <v>765</v>
      </c>
      <c r="O111" s="52" t="s">
        <v>1460</v>
      </c>
      <c r="P111" s="52" t="s">
        <v>1461</v>
      </c>
      <c r="Q111" s="52" t="s">
        <v>1462</v>
      </c>
      <c r="R111" s="52" t="s">
        <v>766</v>
      </c>
      <c r="S111" s="52" t="s">
        <v>767</v>
      </c>
    </row>
    <row r="112" spans="1:19" x14ac:dyDescent="0.25">
      <c r="A112" s="52" t="s">
        <v>79</v>
      </c>
    </row>
    <row r="113" spans="1:19" x14ac:dyDescent="0.25">
      <c r="A113" s="52" t="s">
        <v>79</v>
      </c>
      <c r="C113" s="52" t="s">
        <v>1463</v>
      </c>
      <c r="E113" s="52" t="s">
        <v>984</v>
      </c>
      <c r="G113" s="52" t="s">
        <v>1464</v>
      </c>
    </row>
    <row r="114" spans="1:19" x14ac:dyDescent="0.25">
      <c r="A114" s="52" t="s">
        <v>79</v>
      </c>
      <c r="C114" s="52" t="s">
        <v>266</v>
      </c>
    </row>
    <row r="115" spans="1:19" x14ac:dyDescent="0.25">
      <c r="A115" s="52" t="s">
        <v>79</v>
      </c>
      <c r="C115" s="52" t="s">
        <v>1029</v>
      </c>
      <c r="F115" s="52" t="s">
        <v>1465</v>
      </c>
      <c r="G115" s="52" t="s">
        <v>1223</v>
      </c>
      <c r="J115" s="52" t="s">
        <v>1030</v>
      </c>
      <c r="K115" s="52" t="s">
        <v>1240</v>
      </c>
      <c r="L115" s="52" t="s">
        <v>1031</v>
      </c>
      <c r="M115" s="52" t="s">
        <v>1032</v>
      </c>
      <c r="N115" s="52" t="s">
        <v>1033</v>
      </c>
      <c r="O115" s="52" t="s">
        <v>1034</v>
      </c>
      <c r="P115" s="52" t="s">
        <v>1257</v>
      </c>
      <c r="Q115" s="52" t="s">
        <v>1035</v>
      </c>
      <c r="R115" s="52" t="s">
        <v>1036</v>
      </c>
      <c r="S115" s="52" t="s">
        <v>1037</v>
      </c>
    </row>
    <row r="116" spans="1:19" x14ac:dyDescent="0.25">
      <c r="A116" s="52" t="s">
        <v>79</v>
      </c>
      <c r="C116" s="52" t="s">
        <v>1038</v>
      </c>
      <c r="F116" s="52" t="s">
        <v>962</v>
      </c>
      <c r="G116" s="52" t="s">
        <v>1224</v>
      </c>
      <c r="J116" s="52" t="s">
        <v>1039</v>
      </c>
      <c r="K116" s="52" t="s">
        <v>1241</v>
      </c>
      <c r="L116" s="52" t="s">
        <v>1040</v>
      </c>
      <c r="M116" s="52" t="s">
        <v>1041</v>
      </c>
      <c r="N116" s="52" t="s">
        <v>1042</v>
      </c>
      <c r="O116" s="52" t="s">
        <v>1043</v>
      </c>
      <c r="P116" s="52" t="s">
        <v>1258</v>
      </c>
      <c r="Q116" s="52" t="s">
        <v>1044</v>
      </c>
      <c r="R116" s="52" t="s">
        <v>1045</v>
      </c>
      <c r="S116" s="52" t="s">
        <v>1046</v>
      </c>
    </row>
    <row r="117" spans="1:19" x14ac:dyDescent="0.25">
      <c r="A117" s="52" t="s">
        <v>79</v>
      </c>
      <c r="C117" s="52" t="s">
        <v>267</v>
      </c>
      <c r="F117" s="52" t="s">
        <v>965</v>
      </c>
      <c r="G117" s="52" t="s">
        <v>1225</v>
      </c>
      <c r="J117" s="52" t="s">
        <v>1047</v>
      </c>
      <c r="K117" s="52" t="s">
        <v>1242</v>
      </c>
      <c r="L117" s="52" t="s">
        <v>1048</v>
      </c>
      <c r="M117" s="52" t="s">
        <v>1049</v>
      </c>
      <c r="N117" s="52" t="s">
        <v>1050</v>
      </c>
      <c r="O117" s="52" t="s">
        <v>1051</v>
      </c>
      <c r="P117" s="52" t="s">
        <v>1259</v>
      </c>
      <c r="Q117" s="52" t="s">
        <v>1052</v>
      </c>
      <c r="R117" s="52" t="s">
        <v>1053</v>
      </c>
      <c r="S117" s="52" t="s">
        <v>1054</v>
      </c>
    </row>
    <row r="118" spans="1:19" x14ac:dyDescent="0.25">
      <c r="A118" s="52" t="s">
        <v>79</v>
      </c>
      <c r="C118" s="52" t="s">
        <v>268</v>
      </c>
      <c r="F118" s="52" t="s">
        <v>978</v>
      </c>
      <c r="G118" s="52" t="s">
        <v>1226</v>
      </c>
      <c r="J118" s="52" t="s">
        <v>768</v>
      </c>
      <c r="K118" s="52" t="s">
        <v>1243</v>
      </c>
      <c r="L118" s="52" t="s">
        <v>769</v>
      </c>
      <c r="M118" s="52" t="s">
        <v>161</v>
      </c>
      <c r="N118" s="52" t="s">
        <v>162</v>
      </c>
      <c r="O118" s="52" t="s">
        <v>770</v>
      </c>
      <c r="P118" s="52" t="s">
        <v>1260</v>
      </c>
      <c r="Q118" s="52" t="s">
        <v>771</v>
      </c>
      <c r="R118" s="52" t="s">
        <v>163</v>
      </c>
      <c r="S118" s="52" t="s">
        <v>164</v>
      </c>
    </row>
    <row r="119" spans="1:19" x14ac:dyDescent="0.25">
      <c r="A119" s="52" t="s">
        <v>79</v>
      </c>
      <c r="C119" s="52" t="s">
        <v>269</v>
      </c>
      <c r="F119" s="52" t="s">
        <v>966</v>
      </c>
      <c r="G119" s="52" t="s">
        <v>1227</v>
      </c>
      <c r="J119" s="52" t="s">
        <v>772</v>
      </c>
      <c r="K119" s="52" t="s">
        <v>1244</v>
      </c>
      <c r="L119" s="52" t="s">
        <v>773</v>
      </c>
      <c r="M119" s="52" t="s">
        <v>774</v>
      </c>
      <c r="N119" s="52" t="s">
        <v>775</v>
      </c>
      <c r="O119" s="52" t="s">
        <v>776</v>
      </c>
      <c r="P119" s="52" t="s">
        <v>1261</v>
      </c>
      <c r="Q119" s="52" t="s">
        <v>777</v>
      </c>
      <c r="R119" s="52" t="s">
        <v>778</v>
      </c>
      <c r="S119" s="52" t="s">
        <v>779</v>
      </c>
    </row>
    <row r="120" spans="1:19" x14ac:dyDescent="0.25">
      <c r="A120" s="52" t="s">
        <v>79</v>
      </c>
      <c r="C120" s="52" t="s">
        <v>270</v>
      </c>
      <c r="F120" s="52" t="s">
        <v>420</v>
      </c>
      <c r="G120" s="52" t="s">
        <v>1228</v>
      </c>
      <c r="J120" s="52" t="s">
        <v>780</v>
      </c>
      <c r="K120" s="52" t="s">
        <v>1245</v>
      </c>
      <c r="L120" s="52" t="s">
        <v>781</v>
      </c>
      <c r="M120" s="52" t="s">
        <v>165</v>
      </c>
      <c r="N120" s="52" t="s">
        <v>166</v>
      </c>
      <c r="O120" s="52" t="s">
        <v>782</v>
      </c>
      <c r="P120" s="52" t="s">
        <v>1262</v>
      </c>
      <c r="Q120" s="52" t="s">
        <v>783</v>
      </c>
      <c r="R120" s="52" t="s">
        <v>167</v>
      </c>
      <c r="S120" s="52" t="s">
        <v>168</v>
      </c>
    </row>
    <row r="121" spans="1:19" x14ac:dyDescent="0.25">
      <c r="A121" s="52" t="s">
        <v>79</v>
      </c>
      <c r="C121" s="52" t="s">
        <v>784</v>
      </c>
      <c r="F121" s="52" t="s">
        <v>435</v>
      </c>
      <c r="G121" s="52" t="s">
        <v>1229</v>
      </c>
      <c r="J121" s="52" t="s">
        <v>785</v>
      </c>
      <c r="K121" s="52" t="s">
        <v>1246</v>
      </c>
      <c r="L121" s="52" t="s">
        <v>786</v>
      </c>
      <c r="M121" s="52" t="s">
        <v>787</v>
      </c>
      <c r="N121" s="52" t="s">
        <v>788</v>
      </c>
      <c r="O121" s="52" t="s">
        <v>789</v>
      </c>
      <c r="P121" s="52" t="s">
        <v>1263</v>
      </c>
      <c r="Q121" s="52" t="s">
        <v>790</v>
      </c>
      <c r="R121" s="52" t="s">
        <v>791</v>
      </c>
      <c r="S121" s="52" t="s">
        <v>792</v>
      </c>
    </row>
    <row r="122" spans="1:19" x14ac:dyDescent="0.25">
      <c r="A122" s="52" t="s">
        <v>79</v>
      </c>
      <c r="C122" s="52" t="s">
        <v>793</v>
      </c>
      <c r="F122" s="52" t="s">
        <v>973</v>
      </c>
      <c r="G122" s="52" t="s">
        <v>1230</v>
      </c>
      <c r="J122" s="52" t="s">
        <v>794</v>
      </c>
      <c r="K122" s="52" t="s">
        <v>1247</v>
      </c>
      <c r="L122" s="52" t="s">
        <v>795</v>
      </c>
      <c r="M122" s="52" t="s">
        <v>796</v>
      </c>
      <c r="N122" s="52" t="s">
        <v>797</v>
      </c>
      <c r="O122" s="52" t="s">
        <v>798</v>
      </c>
      <c r="P122" s="52" t="s">
        <v>1264</v>
      </c>
      <c r="Q122" s="52" t="s">
        <v>799</v>
      </c>
      <c r="R122" s="52" t="s">
        <v>800</v>
      </c>
      <c r="S122" s="52" t="s">
        <v>801</v>
      </c>
    </row>
    <row r="123" spans="1:19" x14ac:dyDescent="0.25">
      <c r="A123" s="52" t="s">
        <v>79</v>
      </c>
      <c r="C123" s="52" t="s">
        <v>271</v>
      </c>
      <c r="F123" s="52" t="s">
        <v>528</v>
      </c>
      <c r="G123" s="52" t="s">
        <v>1231</v>
      </c>
      <c r="J123" s="52" t="s">
        <v>802</v>
      </c>
      <c r="K123" s="52" t="s">
        <v>1248</v>
      </c>
      <c r="L123" s="52" t="s">
        <v>803</v>
      </c>
      <c r="M123" s="52" t="s">
        <v>804</v>
      </c>
      <c r="N123" s="52" t="s">
        <v>805</v>
      </c>
      <c r="O123" s="52" t="s">
        <v>806</v>
      </c>
      <c r="P123" s="52" t="s">
        <v>1265</v>
      </c>
      <c r="Q123" s="52" t="s">
        <v>807</v>
      </c>
      <c r="R123" s="52" t="s">
        <v>808</v>
      </c>
      <c r="S123" s="52" t="s">
        <v>809</v>
      </c>
    </row>
    <row r="124" spans="1:19" x14ac:dyDescent="0.25">
      <c r="A124" s="52" t="s">
        <v>79</v>
      </c>
      <c r="C124" s="52" t="s">
        <v>272</v>
      </c>
      <c r="F124" s="52" t="s">
        <v>982</v>
      </c>
      <c r="G124" s="52" t="s">
        <v>1232</v>
      </c>
      <c r="J124" s="52" t="s">
        <v>810</v>
      </c>
      <c r="K124" s="52" t="s">
        <v>1249</v>
      </c>
      <c r="L124" s="52" t="s">
        <v>811</v>
      </c>
      <c r="M124" s="52" t="s">
        <v>169</v>
      </c>
      <c r="N124" s="52" t="s">
        <v>170</v>
      </c>
      <c r="O124" s="52" t="s">
        <v>812</v>
      </c>
      <c r="P124" s="52" t="s">
        <v>1266</v>
      </c>
      <c r="Q124" s="52" t="s">
        <v>813</v>
      </c>
      <c r="R124" s="52" t="s">
        <v>171</v>
      </c>
      <c r="S124" s="52" t="s">
        <v>172</v>
      </c>
    </row>
    <row r="125" spans="1:19" x14ac:dyDescent="0.25">
      <c r="A125" s="52" t="s">
        <v>79</v>
      </c>
      <c r="C125" s="52" t="s">
        <v>273</v>
      </c>
      <c r="F125" s="52" t="s">
        <v>980</v>
      </c>
      <c r="G125" s="52" t="s">
        <v>1233</v>
      </c>
      <c r="J125" s="52" t="s">
        <v>814</v>
      </c>
      <c r="K125" s="52" t="s">
        <v>1250</v>
      </c>
      <c r="L125" s="52" t="s">
        <v>815</v>
      </c>
      <c r="M125" s="52" t="s">
        <v>816</v>
      </c>
      <c r="N125" s="52" t="s">
        <v>817</v>
      </c>
      <c r="O125" s="52" t="s">
        <v>818</v>
      </c>
      <c r="P125" s="52" t="s">
        <v>1267</v>
      </c>
      <c r="Q125" s="52" t="s">
        <v>819</v>
      </c>
      <c r="R125" s="52" t="s">
        <v>820</v>
      </c>
      <c r="S125" s="52" t="s">
        <v>821</v>
      </c>
    </row>
    <row r="126" spans="1:19" x14ac:dyDescent="0.25">
      <c r="A126" s="52" t="s">
        <v>79</v>
      </c>
      <c r="C126" s="52" t="s">
        <v>274</v>
      </c>
      <c r="F126" s="52" t="s">
        <v>979</v>
      </c>
      <c r="G126" s="52" t="s">
        <v>1234</v>
      </c>
      <c r="J126" s="52" t="s">
        <v>822</v>
      </c>
      <c r="K126" s="52" t="s">
        <v>1251</v>
      </c>
      <c r="L126" s="52" t="s">
        <v>823</v>
      </c>
      <c r="M126" s="52" t="s">
        <v>173</v>
      </c>
      <c r="N126" s="52" t="s">
        <v>174</v>
      </c>
      <c r="O126" s="52" t="s">
        <v>824</v>
      </c>
      <c r="P126" s="52" t="s">
        <v>1268</v>
      </c>
      <c r="Q126" s="52" t="s">
        <v>825</v>
      </c>
      <c r="R126" s="52" t="s">
        <v>175</v>
      </c>
      <c r="S126" s="52" t="s">
        <v>176</v>
      </c>
    </row>
    <row r="127" spans="1:19" x14ac:dyDescent="0.25">
      <c r="A127" s="52" t="s">
        <v>79</v>
      </c>
      <c r="C127" s="52" t="s">
        <v>826</v>
      </c>
      <c r="F127" s="52" t="s">
        <v>975</v>
      </c>
      <c r="G127" s="52" t="s">
        <v>1235</v>
      </c>
      <c r="J127" s="52" t="s">
        <v>827</v>
      </c>
      <c r="K127" s="52" t="s">
        <v>1252</v>
      </c>
      <c r="L127" s="52" t="s">
        <v>828</v>
      </c>
      <c r="M127" s="52" t="s">
        <v>829</v>
      </c>
      <c r="N127" s="52" t="s">
        <v>830</v>
      </c>
      <c r="O127" s="52" t="s">
        <v>831</v>
      </c>
      <c r="P127" s="52" t="s">
        <v>1269</v>
      </c>
      <c r="Q127" s="52" t="s">
        <v>832</v>
      </c>
      <c r="R127" s="52" t="s">
        <v>833</v>
      </c>
      <c r="S127" s="52" t="s">
        <v>834</v>
      </c>
    </row>
    <row r="128" spans="1:19" x14ac:dyDescent="0.25">
      <c r="A128" s="52" t="s">
        <v>79</v>
      </c>
      <c r="C128" s="52" t="s">
        <v>1038</v>
      </c>
    </row>
    <row r="129" spans="1:19" x14ac:dyDescent="0.25">
      <c r="A129" s="52" t="s">
        <v>79</v>
      </c>
      <c r="C129" s="52" t="s">
        <v>275</v>
      </c>
      <c r="G129" s="52" t="s">
        <v>1466</v>
      </c>
      <c r="J129" s="52" t="s">
        <v>1467</v>
      </c>
      <c r="K129" s="52" t="s">
        <v>1468</v>
      </c>
      <c r="L129" s="52" t="s">
        <v>1469</v>
      </c>
      <c r="M129" s="52" t="s">
        <v>835</v>
      </c>
      <c r="N129" s="52" t="s">
        <v>836</v>
      </c>
      <c r="O129" s="52" t="s">
        <v>1470</v>
      </c>
      <c r="P129" s="52" t="s">
        <v>1471</v>
      </c>
      <c r="Q129" s="52" t="s">
        <v>1472</v>
      </c>
      <c r="R129" s="52" t="s">
        <v>837</v>
      </c>
      <c r="S129" s="52" t="s">
        <v>838</v>
      </c>
    </row>
    <row r="130" spans="1:19" x14ac:dyDescent="0.25">
      <c r="A130" s="52" t="s">
        <v>79</v>
      </c>
    </row>
    <row r="131" spans="1:19" x14ac:dyDescent="0.25">
      <c r="A131" s="52" t="s">
        <v>79</v>
      </c>
      <c r="C131" s="52" t="s">
        <v>1473</v>
      </c>
      <c r="E131" s="52" t="s">
        <v>206</v>
      </c>
      <c r="G131" s="52" t="s">
        <v>1474</v>
      </c>
    </row>
    <row r="132" spans="1:19" x14ac:dyDescent="0.25">
      <c r="A132" s="52" t="s">
        <v>79</v>
      </c>
      <c r="C132" s="52" t="s">
        <v>276</v>
      </c>
    </row>
    <row r="133" spans="1:19" x14ac:dyDescent="0.25">
      <c r="A133" s="52" t="s">
        <v>79</v>
      </c>
      <c r="C133" s="52" t="s">
        <v>839</v>
      </c>
      <c r="F133" s="52" t="s">
        <v>1475</v>
      </c>
      <c r="G133" s="52" t="s">
        <v>1236</v>
      </c>
      <c r="J133" s="52" t="s">
        <v>840</v>
      </c>
      <c r="K133" s="52" t="s">
        <v>1253</v>
      </c>
      <c r="L133" s="52" t="s">
        <v>841</v>
      </c>
      <c r="M133" s="52" t="s">
        <v>842</v>
      </c>
      <c r="N133" s="52" t="s">
        <v>843</v>
      </c>
      <c r="O133" s="52" t="s">
        <v>844</v>
      </c>
      <c r="P133" s="52" t="s">
        <v>1270</v>
      </c>
      <c r="Q133" s="52" t="s">
        <v>845</v>
      </c>
      <c r="R133" s="52" t="s">
        <v>846</v>
      </c>
      <c r="S133" s="52" t="s">
        <v>847</v>
      </c>
    </row>
    <row r="134" spans="1:19" x14ac:dyDescent="0.25">
      <c r="A134" s="52" t="s">
        <v>79</v>
      </c>
      <c r="C134" s="52" t="s">
        <v>848</v>
      </c>
      <c r="F134" s="52" t="s">
        <v>313</v>
      </c>
      <c r="G134" s="52" t="s">
        <v>1237</v>
      </c>
      <c r="J134" s="52" t="s">
        <v>849</v>
      </c>
      <c r="K134" s="52" t="s">
        <v>1254</v>
      </c>
      <c r="L134" s="52" t="s">
        <v>850</v>
      </c>
      <c r="M134" s="52" t="s">
        <v>851</v>
      </c>
      <c r="N134" s="52" t="s">
        <v>852</v>
      </c>
      <c r="O134" s="52" t="s">
        <v>853</v>
      </c>
      <c r="P134" s="52" t="s">
        <v>1271</v>
      </c>
      <c r="Q134" s="52" t="s">
        <v>854</v>
      </c>
      <c r="R134" s="52" t="s">
        <v>855</v>
      </c>
      <c r="S134" s="52" t="s">
        <v>856</v>
      </c>
    </row>
    <row r="135" spans="1:19" x14ac:dyDescent="0.25">
      <c r="A135" s="52" t="s">
        <v>79</v>
      </c>
      <c r="C135" s="52" t="s">
        <v>277</v>
      </c>
      <c r="F135" s="52" t="s">
        <v>354</v>
      </c>
      <c r="G135" s="52" t="s">
        <v>1238</v>
      </c>
      <c r="J135" s="52" t="s">
        <v>857</v>
      </c>
      <c r="K135" s="52" t="s">
        <v>1255</v>
      </c>
      <c r="L135" s="52" t="s">
        <v>858</v>
      </c>
      <c r="M135" s="52" t="s">
        <v>859</v>
      </c>
      <c r="N135" s="52" t="s">
        <v>860</v>
      </c>
      <c r="O135" s="52" t="s">
        <v>861</v>
      </c>
      <c r="P135" s="52" t="s">
        <v>1272</v>
      </c>
      <c r="Q135" s="52" t="s">
        <v>862</v>
      </c>
      <c r="R135" s="52" t="s">
        <v>863</v>
      </c>
      <c r="S135" s="52" t="s">
        <v>864</v>
      </c>
    </row>
    <row r="136" spans="1:19" x14ac:dyDescent="0.25">
      <c r="A136" s="52" t="s">
        <v>79</v>
      </c>
      <c r="C136" s="52" t="s">
        <v>278</v>
      </c>
      <c r="F136" s="52" t="s">
        <v>373</v>
      </c>
      <c r="G136" s="52" t="s">
        <v>1239</v>
      </c>
      <c r="J136" s="52" t="s">
        <v>865</v>
      </c>
      <c r="K136" s="52" t="s">
        <v>1256</v>
      </c>
      <c r="L136" s="52" t="s">
        <v>866</v>
      </c>
      <c r="M136" s="52" t="s">
        <v>177</v>
      </c>
      <c r="N136" s="52" t="s">
        <v>178</v>
      </c>
      <c r="O136" s="52" t="s">
        <v>867</v>
      </c>
      <c r="P136" s="52" t="s">
        <v>1273</v>
      </c>
      <c r="Q136" s="52" t="s">
        <v>868</v>
      </c>
      <c r="R136" s="52" t="s">
        <v>179</v>
      </c>
      <c r="S136" s="52" t="s">
        <v>180</v>
      </c>
    </row>
    <row r="137" spans="1:19" x14ac:dyDescent="0.25">
      <c r="A137" s="52" t="s">
        <v>79</v>
      </c>
      <c r="C137" s="52" t="s">
        <v>1476</v>
      </c>
      <c r="F137" s="52" t="s">
        <v>382</v>
      </c>
      <c r="G137" s="52" t="s">
        <v>1590</v>
      </c>
      <c r="J137" s="52" t="s">
        <v>1477</v>
      </c>
      <c r="K137" s="52" t="s">
        <v>1595</v>
      </c>
      <c r="L137" s="52" t="s">
        <v>1478</v>
      </c>
      <c r="M137" s="52" t="s">
        <v>1479</v>
      </c>
      <c r="N137" s="52" t="s">
        <v>1480</v>
      </c>
      <c r="O137" s="52" t="s">
        <v>1481</v>
      </c>
      <c r="P137" s="52" t="s">
        <v>1600</v>
      </c>
      <c r="Q137" s="52" t="s">
        <v>1482</v>
      </c>
      <c r="R137" s="52" t="s">
        <v>1483</v>
      </c>
      <c r="S137" s="52" t="s">
        <v>1484</v>
      </c>
    </row>
    <row r="138" spans="1:19" x14ac:dyDescent="0.25">
      <c r="A138" s="52" t="s">
        <v>79</v>
      </c>
      <c r="C138" s="52" t="s">
        <v>279</v>
      </c>
      <c r="F138" s="52" t="s">
        <v>400</v>
      </c>
      <c r="G138" s="52" t="s">
        <v>1591</v>
      </c>
      <c r="J138" s="52" t="s">
        <v>1485</v>
      </c>
      <c r="K138" s="52" t="s">
        <v>1596</v>
      </c>
      <c r="L138" s="52" t="s">
        <v>1486</v>
      </c>
      <c r="M138" s="52" t="s">
        <v>181</v>
      </c>
      <c r="N138" s="52" t="s">
        <v>182</v>
      </c>
      <c r="O138" s="52" t="s">
        <v>1487</v>
      </c>
      <c r="P138" s="52" t="s">
        <v>1601</v>
      </c>
      <c r="Q138" s="52" t="s">
        <v>1488</v>
      </c>
      <c r="R138" s="52" t="s">
        <v>183</v>
      </c>
      <c r="S138" s="52" t="s">
        <v>184</v>
      </c>
    </row>
    <row r="139" spans="1:19" x14ac:dyDescent="0.25">
      <c r="A139" s="52" t="s">
        <v>79</v>
      </c>
      <c r="C139" s="52" t="s">
        <v>1489</v>
      </c>
      <c r="F139" s="52" t="s">
        <v>419</v>
      </c>
      <c r="G139" s="52" t="s">
        <v>1592</v>
      </c>
      <c r="J139" s="52" t="s">
        <v>1490</v>
      </c>
      <c r="K139" s="52" t="s">
        <v>1597</v>
      </c>
      <c r="L139" s="52" t="s">
        <v>1491</v>
      </c>
      <c r="M139" s="52" t="s">
        <v>1492</v>
      </c>
      <c r="N139" s="52" t="s">
        <v>1493</v>
      </c>
      <c r="O139" s="52" t="s">
        <v>1494</v>
      </c>
      <c r="P139" s="52" t="s">
        <v>1602</v>
      </c>
      <c r="Q139" s="52" t="s">
        <v>1495</v>
      </c>
      <c r="R139" s="52" t="s">
        <v>1496</v>
      </c>
      <c r="S139" s="52" t="s">
        <v>1497</v>
      </c>
    </row>
    <row r="140" spans="1:19" x14ac:dyDescent="0.25">
      <c r="A140" s="52" t="s">
        <v>79</v>
      </c>
      <c r="C140" s="52" t="s">
        <v>1498</v>
      </c>
      <c r="F140" s="52" t="s">
        <v>420</v>
      </c>
      <c r="G140" s="52" t="s">
        <v>1593</v>
      </c>
      <c r="J140" s="52" t="s">
        <v>1499</v>
      </c>
      <c r="K140" s="52" t="s">
        <v>1598</v>
      </c>
      <c r="L140" s="52" t="s">
        <v>1500</v>
      </c>
      <c r="M140" s="52" t="s">
        <v>1501</v>
      </c>
      <c r="N140" s="52" t="s">
        <v>1502</v>
      </c>
      <c r="O140" s="52" t="s">
        <v>1503</v>
      </c>
      <c r="P140" s="52" t="s">
        <v>1603</v>
      </c>
      <c r="Q140" s="52" t="s">
        <v>1504</v>
      </c>
      <c r="R140" s="52" t="s">
        <v>1505</v>
      </c>
      <c r="S140" s="52" t="s">
        <v>1506</v>
      </c>
    </row>
    <row r="141" spans="1:19" x14ac:dyDescent="0.25">
      <c r="A141" s="52" t="s">
        <v>79</v>
      </c>
      <c r="C141" s="52" t="s">
        <v>280</v>
      </c>
      <c r="F141" s="52" t="s">
        <v>433</v>
      </c>
      <c r="G141" s="52" t="s">
        <v>1594</v>
      </c>
      <c r="J141" s="52" t="s">
        <v>1507</v>
      </c>
      <c r="K141" s="52" t="s">
        <v>1599</v>
      </c>
      <c r="L141" s="52" t="s">
        <v>1508</v>
      </c>
      <c r="M141" s="52" t="s">
        <v>1509</v>
      </c>
      <c r="N141" s="52" t="s">
        <v>1510</v>
      </c>
      <c r="O141" s="52" t="s">
        <v>1511</v>
      </c>
      <c r="P141" s="52" t="s">
        <v>1604</v>
      </c>
      <c r="Q141" s="52" t="s">
        <v>1512</v>
      </c>
      <c r="R141" s="52" t="s">
        <v>1513</v>
      </c>
      <c r="S141" s="52" t="s">
        <v>1514</v>
      </c>
    </row>
    <row r="142" spans="1:19" x14ac:dyDescent="0.25">
      <c r="A142" s="52" t="s">
        <v>79</v>
      </c>
      <c r="C142" s="52" t="s">
        <v>281</v>
      </c>
      <c r="F142" s="52" t="s">
        <v>434</v>
      </c>
      <c r="G142" s="52" t="s">
        <v>1178</v>
      </c>
      <c r="J142" s="52" t="s">
        <v>869</v>
      </c>
      <c r="K142" s="52" t="s">
        <v>1193</v>
      </c>
      <c r="L142" s="52" t="s">
        <v>870</v>
      </c>
      <c r="M142" s="52" t="s">
        <v>185</v>
      </c>
      <c r="N142" s="52" t="s">
        <v>186</v>
      </c>
      <c r="O142" s="52" t="s">
        <v>871</v>
      </c>
      <c r="P142" s="52" t="s">
        <v>1208</v>
      </c>
      <c r="Q142" s="52" t="s">
        <v>872</v>
      </c>
      <c r="R142" s="52" t="s">
        <v>187</v>
      </c>
      <c r="S142" s="52" t="s">
        <v>188</v>
      </c>
    </row>
    <row r="143" spans="1:19" x14ac:dyDescent="0.25">
      <c r="A143" s="52" t="s">
        <v>79</v>
      </c>
      <c r="C143" s="52" t="s">
        <v>282</v>
      </c>
      <c r="F143" s="52" t="s">
        <v>435</v>
      </c>
      <c r="G143" s="52" t="s">
        <v>1179</v>
      </c>
      <c r="J143" s="52" t="s">
        <v>873</v>
      </c>
      <c r="K143" s="52" t="s">
        <v>1194</v>
      </c>
      <c r="L143" s="52" t="s">
        <v>874</v>
      </c>
      <c r="M143" s="52" t="s">
        <v>875</v>
      </c>
      <c r="N143" s="52" t="s">
        <v>876</v>
      </c>
      <c r="O143" s="52" t="s">
        <v>877</v>
      </c>
      <c r="P143" s="52" t="s">
        <v>1209</v>
      </c>
      <c r="Q143" s="52" t="s">
        <v>878</v>
      </c>
      <c r="R143" s="52" t="s">
        <v>879</v>
      </c>
      <c r="S143" s="52" t="s">
        <v>880</v>
      </c>
    </row>
    <row r="144" spans="1:19" x14ac:dyDescent="0.25">
      <c r="A144" s="52" t="s">
        <v>79</v>
      </c>
      <c r="C144" s="52" t="s">
        <v>1055</v>
      </c>
      <c r="F144" s="52" t="s">
        <v>437</v>
      </c>
      <c r="G144" s="52" t="s">
        <v>1180</v>
      </c>
      <c r="J144" s="52" t="s">
        <v>1056</v>
      </c>
      <c r="K144" s="52" t="s">
        <v>1195</v>
      </c>
      <c r="L144" s="52" t="s">
        <v>1057</v>
      </c>
      <c r="M144" s="52" t="s">
        <v>1058</v>
      </c>
      <c r="N144" s="52" t="s">
        <v>1059</v>
      </c>
      <c r="O144" s="52" t="s">
        <v>1060</v>
      </c>
      <c r="P144" s="52" t="s">
        <v>1210</v>
      </c>
      <c r="Q144" s="52" t="s">
        <v>1061</v>
      </c>
      <c r="R144" s="52" t="s">
        <v>1062</v>
      </c>
      <c r="S144" s="52" t="s">
        <v>1063</v>
      </c>
    </row>
    <row r="145" spans="1:19" x14ac:dyDescent="0.25">
      <c r="A145" s="52" t="s">
        <v>79</v>
      </c>
      <c r="C145" s="52" t="s">
        <v>881</v>
      </c>
      <c r="F145" s="52" t="s">
        <v>461</v>
      </c>
      <c r="G145" s="52" t="s">
        <v>1181</v>
      </c>
      <c r="J145" s="52" t="s">
        <v>1064</v>
      </c>
      <c r="K145" s="52" t="s">
        <v>1196</v>
      </c>
      <c r="L145" s="52" t="s">
        <v>1065</v>
      </c>
      <c r="M145" s="52" t="s">
        <v>882</v>
      </c>
      <c r="N145" s="52" t="s">
        <v>883</v>
      </c>
      <c r="O145" s="52" t="s">
        <v>1066</v>
      </c>
      <c r="P145" s="52" t="s">
        <v>1211</v>
      </c>
      <c r="Q145" s="52" t="s">
        <v>1067</v>
      </c>
      <c r="R145" s="52" t="s">
        <v>884</v>
      </c>
      <c r="S145" s="52" t="s">
        <v>885</v>
      </c>
    </row>
    <row r="146" spans="1:19" x14ac:dyDescent="0.25">
      <c r="A146" s="52" t="s">
        <v>79</v>
      </c>
      <c r="C146" s="52" t="s">
        <v>1068</v>
      </c>
      <c r="F146" s="52" t="s">
        <v>493</v>
      </c>
      <c r="G146" s="52" t="s">
        <v>1182</v>
      </c>
      <c r="J146" s="52" t="s">
        <v>1069</v>
      </c>
      <c r="K146" s="52" t="s">
        <v>1197</v>
      </c>
      <c r="L146" s="52" t="s">
        <v>1070</v>
      </c>
      <c r="M146" s="52" t="s">
        <v>1071</v>
      </c>
      <c r="N146" s="52" t="s">
        <v>1072</v>
      </c>
      <c r="O146" s="52" t="s">
        <v>1073</v>
      </c>
      <c r="P146" s="52" t="s">
        <v>1212</v>
      </c>
      <c r="Q146" s="52" t="s">
        <v>1074</v>
      </c>
      <c r="R146" s="52" t="s">
        <v>1075</v>
      </c>
      <c r="S146" s="52" t="s">
        <v>1076</v>
      </c>
    </row>
    <row r="147" spans="1:19" x14ac:dyDescent="0.25">
      <c r="A147" s="52" t="s">
        <v>79</v>
      </c>
      <c r="C147" s="52" t="s">
        <v>1077</v>
      </c>
      <c r="F147" s="52" t="s">
        <v>502</v>
      </c>
      <c r="G147" s="52" t="s">
        <v>1183</v>
      </c>
      <c r="J147" s="52" t="s">
        <v>1078</v>
      </c>
      <c r="K147" s="52" t="s">
        <v>1198</v>
      </c>
      <c r="L147" s="52" t="s">
        <v>1079</v>
      </c>
      <c r="M147" s="52" t="s">
        <v>1080</v>
      </c>
      <c r="N147" s="52" t="s">
        <v>1081</v>
      </c>
      <c r="O147" s="52" t="s">
        <v>1082</v>
      </c>
      <c r="P147" s="52" t="s">
        <v>1213</v>
      </c>
      <c r="Q147" s="52" t="s">
        <v>1083</v>
      </c>
      <c r="R147" s="52" t="s">
        <v>1084</v>
      </c>
      <c r="S147" s="52" t="s">
        <v>1085</v>
      </c>
    </row>
    <row r="148" spans="1:19" x14ac:dyDescent="0.25">
      <c r="A148" s="52" t="s">
        <v>79</v>
      </c>
      <c r="C148" s="52" t="s">
        <v>283</v>
      </c>
      <c r="F148" s="52" t="s">
        <v>516</v>
      </c>
      <c r="G148" s="52" t="s">
        <v>1184</v>
      </c>
      <c r="J148" s="52" t="s">
        <v>1086</v>
      </c>
      <c r="K148" s="52" t="s">
        <v>1199</v>
      </c>
      <c r="L148" s="52" t="s">
        <v>1087</v>
      </c>
      <c r="M148" s="52" t="s">
        <v>1088</v>
      </c>
      <c r="N148" s="52" t="s">
        <v>1089</v>
      </c>
      <c r="O148" s="52" t="s">
        <v>1090</v>
      </c>
      <c r="P148" s="52" t="s">
        <v>1214</v>
      </c>
      <c r="Q148" s="52" t="s">
        <v>1091</v>
      </c>
      <c r="R148" s="52" t="s">
        <v>1092</v>
      </c>
      <c r="S148" s="52" t="s">
        <v>1093</v>
      </c>
    </row>
    <row r="149" spans="1:19" x14ac:dyDescent="0.25">
      <c r="A149" s="52" t="s">
        <v>79</v>
      </c>
      <c r="C149" s="52" t="s">
        <v>284</v>
      </c>
      <c r="F149" s="52" t="s">
        <v>521</v>
      </c>
      <c r="G149" s="52" t="s">
        <v>1185</v>
      </c>
      <c r="J149" s="52" t="s">
        <v>886</v>
      </c>
      <c r="K149" s="52" t="s">
        <v>1200</v>
      </c>
      <c r="L149" s="52" t="s">
        <v>887</v>
      </c>
      <c r="M149" s="52" t="s">
        <v>888</v>
      </c>
      <c r="N149" s="52" t="s">
        <v>889</v>
      </c>
      <c r="O149" s="52" t="s">
        <v>890</v>
      </c>
      <c r="P149" s="52" t="s">
        <v>1215</v>
      </c>
      <c r="Q149" s="52" t="s">
        <v>891</v>
      </c>
      <c r="R149" s="52" t="s">
        <v>892</v>
      </c>
      <c r="S149" s="52" t="s">
        <v>893</v>
      </c>
    </row>
    <row r="150" spans="1:19" x14ac:dyDescent="0.25">
      <c r="A150" s="52" t="s">
        <v>79</v>
      </c>
      <c r="C150" s="52" t="s">
        <v>285</v>
      </c>
      <c r="F150" s="52" t="s">
        <v>763</v>
      </c>
      <c r="G150" s="52" t="s">
        <v>1186</v>
      </c>
      <c r="J150" s="52" t="s">
        <v>894</v>
      </c>
      <c r="K150" s="52" t="s">
        <v>1201</v>
      </c>
      <c r="L150" s="52" t="s">
        <v>895</v>
      </c>
      <c r="M150" s="52" t="s">
        <v>189</v>
      </c>
      <c r="N150" s="52" t="s">
        <v>190</v>
      </c>
      <c r="O150" s="52" t="s">
        <v>896</v>
      </c>
      <c r="P150" s="52" t="s">
        <v>1216</v>
      </c>
      <c r="Q150" s="52" t="s">
        <v>897</v>
      </c>
      <c r="R150" s="52" t="s">
        <v>191</v>
      </c>
      <c r="S150" s="52" t="s">
        <v>192</v>
      </c>
    </row>
    <row r="151" spans="1:19" x14ac:dyDescent="0.25">
      <c r="A151" s="52" t="s">
        <v>79</v>
      </c>
      <c r="C151" s="52" t="s">
        <v>848</v>
      </c>
    </row>
    <row r="152" spans="1:19" x14ac:dyDescent="0.25">
      <c r="A152" s="52" t="s">
        <v>79</v>
      </c>
      <c r="C152" s="52" t="s">
        <v>898</v>
      </c>
      <c r="G152" s="52" t="s">
        <v>1515</v>
      </c>
      <c r="J152" s="52" t="s">
        <v>1516</v>
      </c>
      <c r="K152" s="52" t="s">
        <v>1517</v>
      </c>
      <c r="L152" s="52" t="s">
        <v>1518</v>
      </c>
      <c r="M152" s="52" t="s">
        <v>899</v>
      </c>
      <c r="N152" s="52" t="s">
        <v>900</v>
      </c>
      <c r="O152" s="52" t="s">
        <v>1519</v>
      </c>
      <c r="P152" s="52" t="s">
        <v>1520</v>
      </c>
      <c r="Q152" s="52" t="s">
        <v>1521</v>
      </c>
      <c r="R152" s="52" t="s">
        <v>901</v>
      </c>
      <c r="S152" s="52" t="s">
        <v>902</v>
      </c>
    </row>
    <row r="153" spans="1:19" x14ac:dyDescent="0.25">
      <c r="A153" s="52" t="s">
        <v>79</v>
      </c>
    </row>
    <row r="154" spans="1:19" x14ac:dyDescent="0.25">
      <c r="A154" s="52" t="s">
        <v>79</v>
      </c>
      <c r="C154" s="52" t="s">
        <v>1522</v>
      </c>
      <c r="E154" s="52" t="s">
        <v>207</v>
      </c>
      <c r="G154" s="52" t="s">
        <v>1523</v>
      </c>
    </row>
    <row r="155" spans="1:19" x14ac:dyDescent="0.25">
      <c r="A155" s="52" t="s">
        <v>79</v>
      </c>
      <c r="C155" s="52" t="s">
        <v>286</v>
      </c>
    </row>
    <row r="156" spans="1:19" x14ac:dyDescent="0.25">
      <c r="A156" s="52" t="s">
        <v>79</v>
      </c>
      <c r="C156" s="52" t="s">
        <v>287</v>
      </c>
      <c r="F156" s="52" t="s">
        <v>1524</v>
      </c>
      <c r="G156" s="52" t="s">
        <v>1187</v>
      </c>
      <c r="J156" s="52" t="s">
        <v>905</v>
      </c>
      <c r="K156" s="52" t="s">
        <v>1202</v>
      </c>
      <c r="L156" s="52" t="s">
        <v>906</v>
      </c>
      <c r="M156" s="52" t="s">
        <v>193</v>
      </c>
      <c r="N156" s="52" t="s">
        <v>194</v>
      </c>
      <c r="O156" s="52" t="s">
        <v>907</v>
      </c>
      <c r="P156" s="52" t="s">
        <v>1217</v>
      </c>
      <c r="Q156" s="52" t="s">
        <v>908</v>
      </c>
      <c r="R156" s="52" t="s">
        <v>195</v>
      </c>
      <c r="S156" s="52" t="s">
        <v>196</v>
      </c>
    </row>
    <row r="157" spans="1:19" x14ac:dyDescent="0.25">
      <c r="A157" s="52" t="s">
        <v>79</v>
      </c>
      <c r="C157" s="52" t="s">
        <v>909</v>
      </c>
      <c r="F157" s="52" t="s">
        <v>313</v>
      </c>
      <c r="G157" s="52" t="s">
        <v>1188</v>
      </c>
      <c r="J157" s="52" t="s">
        <v>910</v>
      </c>
      <c r="K157" s="52" t="s">
        <v>1203</v>
      </c>
      <c r="L157" s="52" t="s">
        <v>911</v>
      </c>
      <c r="M157" s="52" t="s">
        <v>912</v>
      </c>
      <c r="N157" s="52" t="s">
        <v>913</v>
      </c>
      <c r="O157" s="52" t="s">
        <v>914</v>
      </c>
      <c r="P157" s="52" t="s">
        <v>1218</v>
      </c>
      <c r="Q157" s="52" t="s">
        <v>915</v>
      </c>
      <c r="R157" s="52" t="s">
        <v>916</v>
      </c>
      <c r="S157" s="52" t="s">
        <v>917</v>
      </c>
    </row>
    <row r="158" spans="1:19" x14ac:dyDescent="0.25">
      <c r="A158" s="52" t="s">
        <v>79</v>
      </c>
      <c r="C158" s="52" t="s">
        <v>918</v>
      </c>
      <c r="F158" s="52" t="s">
        <v>96</v>
      </c>
      <c r="G158" s="52" t="s">
        <v>1189</v>
      </c>
      <c r="J158" s="52" t="s">
        <v>920</v>
      </c>
      <c r="K158" s="52" t="s">
        <v>1204</v>
      </c>
      <c r="L158" s="52" t="s">
        <v>921</v>
      </c>
      <c r="M158" s="52" t="s">
        <v>922</v>
      </c>
      <c r="N158" s="52" t="s">
        <v>923</v>
      </c>
      <c r="O158" s="52" t="s">
        <v>924</v>
      </c>
      <c r="P158" s="52" t="s">
        <v>1219</v>
      </c>
      <c r="Q158" s="52" t="s">
        <v>925</v>
      </c>
      <c r="R158" s="52" t="s">
        <v>926</v>
      </c>
      <c r="S158" s="52" t="s">
        <v>927</v>
      </c>
    </row>
    <row r="159" spans="1:19" x14ac:dyDescent="0.25">
      <c r="A159" s="52" t="s">
        <v>79</v>
      </c>
      <c r="C159" s="52" t="s">
        <v>288</v>
      </c>
      <c r="F159" s="52" t="s">
        <v>364</v>
      </c>
      <c r="G159" s="52" t="s">
        <v>1190</v>
      </c>
      <c r="J159" s="52" t="s">
        <v>928</v>
      </c>
      <c r="K159" s="52" t="s">
        <v>1205</v>
      </c>
      <c r="L159" s="52" t="s">
        <v>929</v>
      </c>
      <c r="M159" s="52" t="s">
        <v>930</v>
      </c>
      <c r="N159" s="52" t="s">
        <v>931</v>
      </c>
      <c r="O159" s="52" t="s">
        <v>932</v>
      </c>
      <c r="P159" s="52" t="s">
        <v>1220</v>
      </c>
      <c r="Q159" s="52" t="s">
        <v>933</v>
      </c>
      <c r="R159" s="52" t="s">
        <v>934</v>
      </c>
      <c r="S159" s="52" t="s">
        <v>935</v>
      </c>
    </row>
    <row r="160" spans="1:19" x14ac:dyDescent="0.25">
      <c r="A160" s="52" t="s">
        <v>79</v>
      </c>
      <c r="C160" s="52" t="s">
        <v>289</v>
      </c>
      <c r="F160" s="52" t="s">
        <v>420</v>
      </c>
      <c r="G160" s="52" t="s">
        <v>1191</v>
      </c>
      <c r="J160" s="52" t="s">
        <v>936</v>
      </c>
      <c r="K160" s="52" t="s">
        <v>1206</v>
      </c>
      <c r="L160" s="52" t="s">
        <v>937</v>
      </c>
      <c r="M160" s="52" t="s">
        <v>197</v>
      </c>
      <c r="N160" s="52" t="s">
        <v>198</v>
      </c>
      <c r="O160" s="52" t="s">
        <v>938</v>
      </c>
      <c r="P160" s="52" t="s">
        <v>1221</v>
      </c>
      <c r="Q160" s="52" t="s">
        <v>939</v>
      </c>
      <c r="R160" s="52" t="s">
        <v>199</v>
      </c>
      <c r="S160" s="52" t="s">
        <v>200</v>
      </c>
    </row>
    <row r="161" spans="1:19" x14ac:dyDescent="0.25">
      <c r="A161" s="52" t="s">
        <v>79</v>
      </c>
      <c r="C161" s="52" t="s">
        <v>290</v>
      </c>
      <c r="F161" s="52" t="s">
        <v>435</v>
      </c>
      <c r="G161" s="52" t="s">
        <v>1192</v>
      </c>
      <c r="J161" s="52" t="s">
        <v>940</v>
      </c>
      <c r="K161" s="52" t="s">
        <v>1207</v>
      </c>
      <c r="L161" s="52" t="s">
        <v>941</v>
      </c>
      <c r="M161" s="52" t="s">
        <v>942</v>
      </c>
      <c r="N161" s="52" t="s">
        <v>943</v>
      </c>
      <c r="O161" s="52" t="s">
        <v>944</v>
      </c>
      <c r="P161" s="52" t="s">
        <v>1222</v>
      </c>
      <c r="Q161" s="52" t="s">
        <v>945</v>
      </c>
      <c r="R161" s="52" t="s">
        <v>946</v>
      </c>
      <c r="S161" s="52" t="s">
        <v>947</v>
      </c>
    </row>
    <row r="162" spans="1:19" x14ac:dyDescent="0.25">
      <c r="A162" s="52" t="s">
        <v>79</v>
      </c>
      <c r="C162" s="52" t="s">
        <v>1525</v>
      </c>
      <c r="F162" s="52" t="s">
        <v>707</v>
      </c>
      <c r="G162" s="52" t="s">
        <v>1575</v>
      </c>
      <c r="J162" s="52" t="s">
        <v>1526</v>
      </c>
      <c r="K162" s="52" t="s">
        <v>1580</v>
      </c>
      <c r="L162" s="52" t="s">
        <v>1527</v>
      </c>
      <c r="M162" s="52" t="s">
        <v>1528</v>
      </c>
      <c r="N162" s="52" t="s">
        <v>1529</v>
      </c>
      <c r="O162" s="52" t="s">
        <v>1530</v>
      </c>
      <c r="P162" s="52" t="s">
        <v>1585</v>
      </c>
      <c r="Q162" s="52" t="s">
        <v>1531</v>
      </c>
      <c r="R162" s="52" t="s">
        <v>1532</v>
      </c>
      <c r="S162" s="52" t="s">
        <v>1533</v>
      </c>
    </row>
    <row r="163" spans="1:19" x14ac:dyDescent="0.25">
      <c r="A163" s="52" t="s">
        <v>79</v>
      </c>
      <c r="C163" s="52" t="s">
        <v>949</v>
      </c>
      <c r="F163" s="52" t="s">
        <v>762</v>
      </c>
      <c r="G163" s="52" t="s">
        <v>1576</v>
      </c>
      <c r="J163" s="52" t="s">
        <v>1534</v>
      </c>
      <c r="K163" s="52" t="s">
        <v>1581</v>
      </c>
      <c r="L163" s="52" t="s">
        <v>1535</v>
      </c>
      <c r="M163" s="52" t="s">
        <v>950</v>
      </c>
      <c r="N163" s="52" t="s">
        <v>951</v>
      </c>
      <c r="O163" s="52" t="s">
        <v>1536</v>
      </c>
      <c r="P163" s="52" t="s">
        <v>1586</v>
      </c>
      <c r="Q163" s="52" t="s">
        <v>1537</v>
      </c>
      <c r="R163" s="52" t="s">
        <v>952</v>
      </c>
      <c r="S163" s="52" t="s">
        <v>953</v>
      </c>
    </row>
    <row r="164" spans="1:19" x14ac:dyDescent="0.25">
      <c r="A164" s="52" t="s">
        <v>79</v>
      </c>
      <c r="C164" s="52" t="s">
        <v>1538</v>
      </c>
      <c r="F164" s="52" t="s">
        <v>529</v>
      </c>
      <c r="G164" s="52" t="s">
        <v>1577</v>
      </c>
      <c r="J164" s="52" t="s">
        <v>1539</v>
      </c>
      <c r="K164" s="52" t="s">
        <v>1582</v>
      </c>
      <c r="L164" s="52" t="s">
        <v>1540</v>
      </c>
      <c r="M164" s="52" t="s">
        <v>1541</v>
      </c>
      <c r="N164" s="52" t="s">
        <v>1542</v>
      </c>
      <c r="O164" s="52" t="s">
        <v>1543</v>
      </c>
      <c r="P164" s="52" t="s">
        <v>1587</v>
      </c>
      <c r="Q164" s="52" t="s">
        <v>1544</v>
      </c>
      <c r="R164" s="52" t="s">
        <v>1545</v>
      </c>
      <c r="S164" s="52" t="s">
        <v>1546</v>
      </c>
    </row>
    <row r="165" spans="1:19" x14ac:dyDescent="0.25">
      <c r="A165" s="52" t="s">
        <v>79</v>
      </c>
      <c r="C165" s="52" t="s">
        <v>1547</v>
      </c>
      <c r="F165" s="52" t="s">
        <v>763</v>
      </c>
      <c r="G165" s="52" t="s">
        <v>1578</v>
      </c>
      <c r="J165" s="52" t="s">
        <v>1548</v>
      </c>
      <c r="K165" s="52" t="s">
        <v>1583</v>
      </c>
      <c r="L165" s="52" t="s">
        <v>1549</v>
      </c>
      <c r="M165" s="52" t="s">
        <v>1550</v>
      </c>
      <c r="N165" s="52" t="s">
        <v>1551</v>
      </c>
      <c r="O165" s="52" t="s">
        <v>1552</v>
      </c>
      <c r="P165" s="52" t="s">
        <v>1588</v>
      </c>
      <c r="Q165" s="52" t="s">
        <v>1553</v>
      </c>
      <c r="R165" s="52" t="s">
        <v>1554</v>
      </c>
      <c r="S165" s="52" t="s">
        <v>1555</v>
      </c>
    </row>
    <row r="166" spans="1:19" x14ac:dyDescent="0.25">
      <c r="A166" s="52" t="s">
        <v>79</v>
      </c>
      <c r="C166" s="52" t="s">
        <v>291</v>
      </c>
      <c r="F166" s="52" t="s">
        <v>537</v>
      </c>
      <c r="G166" s="52" t="s">
        <v>1579</v>
      </c>
      <c r="J166" s="52" t="s">
        <v>1556</v>
      </c>
      <c r="K166" s="52" t="s">
        <v>1584</v>
      </c>
      <c r="L166" s="52" t="s">
        <v>1557</v>
      </c>
      <c r="M166" s="52" t="s">
        <v>1558</v>
      </c>
      <c r="N166" s="52" t="s">
        <v>1559</v>
      </c>
      <c r="O166" s="52" t="s">
        <v>1560</v>
      </c>
      <c r="P166" s="52" t="s">
        <v>1589</v>
      </c>
      <c r="Q166" s="52" t="s">
        <v>1561</v>
      </c>
      <c r="R166" s="52" t="s">
        <v>1562</v>
      </c>
      <c r="S166" s="52" t="s">
        <v>1563</v>
      </c>
    </row>
    <row r="167" spans="1:19" x14ac:dyDescent="0.25">
      <c r="A167" s="52" t="s">
        <v>79</v>
      </c>
      <c r="C167" s="52" t="s">
        <v>909</v>
      </c>
    </row>
    <row r="168" spans="1:19" x14ac:dyDescent="0.25">
      <c r="A168" s="52" t="s">
        <v>79</v>
      </c>
      <c r="C168" s="52" t="s">
        <v>292</v>
      </c>
      <c r="G168" s="52" t="s">
        <v>1564</v>
      </c>
      <c r="J168" s="52" t="s">
        <v>1565</v>
      </c>
      <c r="K168" s="52" t="s">
        <v>1566</v>
      </c>
      <c r="L168" s="52" t="s">
        <v>1567</v>
      </c>
      <c r="M168" s="52" t="s">
        <v>201</v>
      </c>
      <c r="N168" s="52" t="s">
        <v>202</v>
      </c>
      <c r="O168" s="52" t="s">
        <v>1568</v>
      </c>
      <c r="P168" s="52" t="s">
        <v>1569</v>
      </c>
      <c r="Q168" s="52" t="s">
        <v>1570</v>
      </c>
      <c r="R168" s="52" t="s">
        <v>203</v>
      </c>
      <c r="S168" s="52" t="s">
        <v>204</v>
      </c>
    </row>
    <row r="169" spans="1:19" x14ac:dyDescent="0.25">
      <c r="A169" s="52" t="s">
        <v>79</v>
      </c>
    </row>
    <row r="170" spans="1:19" x14ac:dyDescent="0.25">
      <c r="G170" s="52" t="s">
        <v>19</v>
      </c>
      <c r="J170" s="52" t="s">
        <v>1571</v>
      </c>
      <c r="L170" s="52" t="s">
        <v>1572</v>
      </c>
      <c r="M170" s="52" t="s">
        <v>956</v>
      </c>
      <c r="N170" s="52" t="s">
        <v>957</v>
      </c>
      <c r="O170" s="52" t="s">
        <v>1573</v>
      </c>
      <c r="Q170" s="52" t="s">
        <v>1574</v>
      </c>
      <c r="R170" s="52" t="s">
        <v>958</v>
      </c>
      <c r="S170" s="52" t="s">
        <v>959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11</vt:i4>
      </vt:variant>
    </vt:vector>
  </HeadingPairs>
  <TitlesOfParts>
    <vt:vector size="13" baseType="lpstr">
      <vt:lpstr>Options</vt:lpstr>
      <vt:lpstr>Item Profitability by Customer</vt:lpstr>
      <vt:lpstr>CurrentYrDateFilter</vt:lpstr>
      <vt:lpstr>CustomerFilter</vt:lpstr>
      <vt:lpstr>CustomerSourceType</vt:lpstr>
      <vt:lpstr>EndDate</vt:lpstr>
      <vt:lpstr>ItemFilter</vt:lpstr>
      <vt:lpstr>PeriodType</vt:lpstr>
      <vt:lpstr>'Item Profitability by Customer'!Print_Area</vt:lpstr>
      <vt:lpstr>PriorYrDateFilter</vt:lpstr>
      <vt:lpstr>SaleEntryType</vt:lpstr>
      <vt:lpstr>StartDate</vt:lpstr>
      <vt:lpstr>TwoYrDateFilter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Item Profitability by Customer</dc:title>
  <dc:subject>Jet Reports</dc:subject>
  <dc:creator>Amy Homan</dc:creator>
  <dc:description>Item profitability by customer with comparison to the same period in the prior year.</dc:description>
  <cp:lastModifiedBy>Haseeb Tariq</cp:lastModifiedBy>
  <cp:lastPrinted>2014-01-07T19:37:16Z</cp:lastPrinted>
  <dcterms:created xsi:type="dcterms:W3CDTF">2010-03-06T03:23:37Z</dcterms:created>
  <dcterms:modified xsi:type="dcterms:W3CDTF">2023-09-04T09:43:47Z</dcterms:modified>
  <cp:category>Sales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