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8800" windowHeight="12405"/>
  </bookViews>
  <sheets>
    <sheet name="Before Running This Report" sheetId="295" r:id="rId1"/>
    <sheet name="Read Me" sheetId="318" r:id="rId2"/>
    <sheet name="Options" sheetId="3" state="hidden" r:id="rId3"/>
    <sheet name="Income Statement by month" sheetId="2" r:id="rId4"/>
    <sheet name="Sheet11" sheetId="327" state="veryHidden" r:id="rId5"/>
    <sheet name="Sheet12" sheetId="328" state="veryHidden" r:id="rId6"/>
    <sheet name="Sheet13" sheetId="329" state="veryHidden" r:id="rId7"/>
    <sheet name="Sheet14" sheetId="330" state="veryHidden" r:id="rId8"/>
    <sheet name="Sheet15" sheetId="331" state="veryHidden" r:id="rId9"/>
    <sheet name="Sheet16" sheetId="332" state="veryHidden" r:id="rId10"/>
  </sheets>
  <definedNames>
    <definedName name="AccountType">Options!$C1</definedName>
    <definedName name="Datasource">Options!$C$6</definedName>
    <definedName name="DateFilter">Options!$E$4</definedName>
    <definedName name="EndDate">Options!$C$5</definedName>
    <definedName name="PeriodType">Options!$C$7</definedName>
    <definedName name="StartDate">Options!$C$4</definedName>
  </definedNames>
  <calcPr calcId="162913"/>
</workbook>
</file>

<file path=xl/calcChain.xml><?xml version="1.0" encoding="utf-8"?>
<calcChain xmlns="http://schemas.openxmlformats.org/spreadsheetml/2006/main">
  <c r="G6" i="2" l="1"/>
  <c r="H6" i="2"/>
  <c r="I6" i="2"/>
  <c r="D7" i="2"/>
  <c r="E16" i="2" s="1"/>
  <c r="E8" i="2"/>
  <c r="E9" i="2"/>
  <c r="E10" i="2"/>
  <c r="E11" i="2"/>
  <c r="E12" i="2"/>
  <c r="E13" i="2"/>
  <c r="E14" i="2"/>
  <c r="E15" i="2"/>
  <c r="D18" i="2"/>
  <c r="E19" i="2"/>
  <c r="E20" i="2"/>
  <c r="E21" i="2"/>
  <c r="E22" i="2"/>
  <c r="E23" i="2"/>
  <c r="E24" i="2"/>
  <c r="E25" i="2"/>
  <c r="E26" i="2"/>
  <c r="E27" i="2"/>
  <c r="E28" i="2"/>
  <c r="E29" i="2"/>
  <c r="E30" i="2"/>
  <c r="E31" i="2"/>
  <c r="G33" i="2"/>
  <c r="H33" i="2"/>
  <c r="I33" i="2"/>
  <c r="D35" i="2"/>
  <c r="E56" i="2" s="1"/>
  <c r="E36" i="2"/>
  <c r="E37" i="2"/>
  <c r="E38" i="2"/>
  <c r="E39" i="2"/>
  <c r="E40" i="2"/>
  <c r="E41" i="2"/>
  <c r="E42" i="2"/>
  <c r="E43" i="2"/>
  <c r="E44" i="2"/>
  <c r="E45" i="2"/>
  <c r="E46" i="2"/>
  <c r="E47" i="2"/>
  <c r="E48" i="2"/>
  <c r="E49" i="2"/>
  <c r="E50" i="2"/>
  <c r="E51" i="2"/>
  <c r="E52" i="2"/>
  <c r="E53" i="2"/>
  <c r="E54" i="2"/>
  <c r="E55" i="2"/>
  <c r="D58" i="2"/>
  <c r="E59" i="2"/>
  <c r="E60" i="2"/>
  <c r="E61" i="2"/>
  <c r="E62" i="2"/>
  <c r="E63" i="2"/>
  <c r="E64" i="2"/>
  <c r="E65" i="2"/>
  <c r="E66" i="2"/>
  <c r="E67" i="2"/>
  <c r="E68" i="2"/>
  <c r="D70" i="2"/>
  <c r="E71" i="2"/>
  <c r="E72" i="2"/>
  <c r="E73" i="2"/>
  <c r="E74" i="2"/>
  <c r="E75" i="2"/>
  <c r="E76" i="2"/>
  <c r="E77" i="2"/>
  <c r="E78" i="2"/>
  <c r="E79" i="2"/>
  <c r="E80" i="2"/>
  <c r="D82" i="2"/>
  <c r="E88" i="2" s="1"/>
  <c r="E83" i="2"/>
  <c r="E84" i="2"/>
  <c r="E85" i="2"/>
  <c r="E86" i="2"/>
  <c r="E87" i="2"/>
  <c r="D90" i="2"/>
  <c r="E108" i="2" s="1"/>
  <c r="E91" i="2"/>
  <c r="E92" i="2"/>
  <c r="E93" i="2"/>
  <c r="E94" i="2"/>
  <c r="E95" i="2"/>
  <c r="E96" i="2"/>
  <c r="E97" i="2"/>
  <c r="E98" i="2"/>
  <c r="E99" i="2"/>
  <c r="E100" i="2"/>
  <c r="E101" i="2"/>
  <c r="E102" i="2"/>
  <c r="E103" i="2"/>
  <c r="E104" i="2"/>
  <c r="E105" i="2"/>
  <c r="E106" i="2"/>
  <c r="E107" i="2"/>
  <c r="D110" i="2"/>
  <c r="E111" i="2"/>
  <c r="E112" i="2"/>
  <c r="E113" i="2"/>
  <c r="E114" i="2"/>
  <c r="G116" i="2"/>
  <c r="H116" i="2"/>
  <c r="I116" i="2"/>
  <c r="D118" i="2"/>
  <c r="E137" i="2" s="1"/>
  <c r="E119" i="2"/>
  <c r="E120" i="2"/>
  <c r="E121" i="2"/>
  <c r="E122" i="2"/>
  <c r="E123" i="2"/>
  <c r="E124" i="2"/>
  <c r="E125" i="2"/>
  <c r="E126" i="2"/>
  <c r="E127" i="2"/>
  <c r="E128" i="2"/>
  <c r="E129" i="2"/>
  <c r="E130" i="2"/>
  <c r="E131" i="2"/>
  <c r="E132" i="2"/>
  <c r="E133" i="2"/>
  <c r="E134" i="2"/>
  <c r="E135" i="2"/>
  <c r="E136" i="2"/>
  <c r="D139" i="2"/>
  <c r="E140" i="2"/>
  <c r="E141" i="2"/>
  <c r="E142" i="2"/>
  <c r="E143" i="2"/>
  <c r="E144" i="2"/>
  <c r="E145" i="2"/>
  <c r="E146" i="2"/>
  <c r="E147" i="2"/>
  <c r="E148" i="2"/>
  <c r="E149" i="2"/>
  <c r="E150" i="2"/>
  <c r="G153" i="2"/>
  <c r="H153" i="2"/>
  <c r="I153" i="2"/>
  <c r="E157" i="2"/>
  <c r="E4" i="3"/>
  <c r="D6" i="3"/>
  <c r="D7" i="3"/>
  <c r="C155" i="2" l="1"/>
  <c r="C156" i="2" s="1"/>
  <c r="C157" i="2" s="1"/>
  <c r="C7" i="2" l="1"/>
  <c r="C7" i="3"/>
  <c r="C8" i="2" l="1"/>
  <c r="C9" i="2" s="1"/>
  <c r="C10" i="2" s="1"/>
  <c r="C11" i="2" s="1"/>
  <c r="C12" i="2" s="1"/>
  <c r="C13" i="2" s="1"/>
  <c r="C14" i="2" s="1"/>
  <c r="C15" i="2" s="1"/>
  <c r="C6" i="3"/>
  <c r="C5" i="3"/>
  <c r="C16" i="2" l="1"/>
  <c r="C4" i="3"/>
  <c r="C118" i="2" l="1"/>
  <c r="C119" i="2" s="1"/>
  <c r="C139" i="2"/>
  <c r="C140" i="2" s="1"/>
  <c r="C18" i="2"/>
  <c r="C19" i="2" s="1"/>
  <c r="C35" i="2"/>
  <c r="C36" i="2" s="1"/>
  <c r="C70" i="2"/>
  <c r="C71" i="2" s="1"/>
  <c r="C82" i="2"/>
  <c r="C83" i="2" s="1"/>
  <c r="C90" i="2"/>
  <c r="C91" i="2" s="1"/>
  <c r="C58" i="2"/>
  <c r="C59" i="2" s="1"/>
  <c r="C110" i="2"/>
  <c r="C111" i="2" s="1"/>
  <c r="C141" i="2" l="1"/>
  <c r="C142" i="2" s="1"/>
  <c r="C143" i="2" s="1"/>
  <c r="C144" i="2" s="1"/>
  <c r="C145" i="2" s="1"/>
  <c r="C146" i="2" s="1"/>
  <c r="C147" i="2" s="1"/>
  <c r="C148" i="2" s="1"/>
  <c r="C149" i="2" s="1"/>
  <c r="C120" i="2"/>
  <c r="C121" i="2" s="1"/>
  <c r="C122" i="2" s="1"/>
  <c r="C123" i="2" s="1"/>
  <c r="C124" i="2" s="1"/>
  <c r="C125" i="2" s="1"/>
  <c r="C126" i="2" s="1"/>
  <c r="C127" i="2" s="1"/>
  <c r="C128" i="2" s="1"/>
  <c r="C129" i="2" s="1"/>
  <c r="C130" i="2" s="1"/>
  <c r="C131" i="2" s="1"/>
  <c r="C132" i="2" s="1"/>
  <c r="C133" i="2" s="1"/>
  <c r="C134" i="2" s="1"/>
  <c r="C135" i="2" s="1"/>
  <c r="C136" i="2" s="1"/>
  <c r="C112" i="2"/>
  <c r="C113" i="2" s="1"/>
  <c r="C92" i="2"/>
  <c r="C93" i="2" s="1"/>
  <c r="C94" i="2" s="1"/>
  <c r="C95" i="2" s="1"/>
  <c r="C96" i="2" s="1"/>
  <c r="C97" i="2" s="1"/>
  <c r="C98" i="2" s="1"/>
  <c r="C99" i="2" s="1"/>
  <c r="C100" i="2" s="1"/>
  <c r="C101" i="2" s="1"/>
  <c r="C102" i="2" s="1"/>
  <c r="C103" i="2" s="1"/>
  <c r="C104" i="2" s="1"/>
  <c r="C105" i="2" s="1"/>
  <c r="C106" i="2" s="1"/>
  <c r="C107" i="2" s="1"/>
  <c r="C84" i="2"/>
  <c r="C85" i="2" s="1"/>
  <c r="C86" i="2" s="1"/>
  <c r="C87" i="2" s="1"/>
  <c r="C72" i="2"/>
  <c r="C73" i="2" s="1"/>
  <c r="C74" i="2" s="1"/>
  <c r="C75" i="2" s="1"/>
  <c r="C76" i="2" s="1"/>
  <c r="C77" i="2" s="1"/>
  <c r="C78" i="2" s="1"/>
  <c r="C79" i="2" s="1"/>
  <c r="C60" i="2"/>
  <c r="C61" i="2" s="1"/>
  <c r="C62" i="2" s="1"/>
  <c r="C63" i="2" s="1"/>
  <c r="C64" i="2" s="1"/>
  <c r="C65" i="2" s="1"/>
  <c r="C66" i="2" s="1"/>
  <c r="C67" i="2" s="1"/>
  <c r="C37" i="2"/>
  <c r="C38" i="2" s="1"/>
  <c r="C39" i="2" s="1"/>
  <c r="C40" i="2" s="1"/>
  <c r="C41" i="2" s="1"/>
  <c r="C42" i="2" s="1"/>
  <c r="C43" i="2" s="1"/>
  <c r="C44" i="2" s="1"/>
  <c r="C45" i="2" s="1"/>
  <c r="C46" i="2" s="1"/>
  <c r="C47" i="2" s="1"/>
  <c r="C48" i="2" s="1"/>
  <c r="C49" i="2" s="1"/>
  <c r="C50" i="2" s="1"/>
  <c r="C51" i="2" s="1"/>
  <c r="C52" i="2" s="1"/>
  <c r="C53" i="2" s="1"/>
  <c r="C54" i="2" s="1"/>
  <c r="C55" i="2" s="1"/>
  <c r="C20" i="2"/>
  <c r="C21" i="2" s="1"/>
  <c r="C22" i="2" s="1"/>
  <c r="C23" i="2" s="1"/>
  <c r="C24" i="2" s="1"/>
  <c r="C25" i="2" s="1"/>
  <c r="C26" i="2" s="1"/>
  <c r="C27" i="2" s="1"/>
  <c r="C28" i="2" s="1"/>
  <c r="C29" i="2" s="1"/>
  <c r="C30" i="2" s="1"/>
  <c r="C108" i="2"/>
  <c r="C31" i="2"/>
  <c r="C150" i="2"/>
  <c r="C88" i="2"/>
  <c r="C114" i="2"/>
  <c r="C80" i="2"/>
  <c r="C137" i="2"/>
  <c r="C68" i="2"/>
  <c r="C56" i="2"/>
  <c r="H159" i="2" l="1"/>
  <c r="G159" i="2" l="1"/>
  <c r="I159" i="2"/>
</calcChain>
</file>

<file path=xl/comments1.xml><?xml version="1.0" encoding="utf-8"?>
<comments xmlns="http://schemas.openxmlformats.org/spreadsheetml/2006/main">
  <authors>
    <author>Stephen J. Little</author>
  </authors>
  <commentList>
    <comment ref="G5" authorId="0" shapeId="0">
      <text>
        <r>
          <rPr>
            <sz val="9"/>
            <color indexed="81"/>
            <rFont val="Tahoma"/>
            <family val="2"/>
          </rPr>
          <t xml:space="preserve">This cell creates a new column for each month based on the Start and End dates from the Options page
</t>
        </r>
      </text>
    </comment>
    <comment ref="H5" authorId="0" shapeId="0">
      <text>
        <r>
          <rPr>
            <sz val="9"/>
            <color indexed="81"/>
            <rFont val="Tahoma"/>
            <family val="2"/>
          </rPr>
          <t xml:space="preserve">This cell creates a new column for each month based on the Start and End dates from the Options page
</t>
        </r>
      </text>
    </comment>
    <comment ref="I5" authorId="0" shapeId="0">
      <text>
        <r>
          <rPr>
            <sz val="9"/>
            <color indexed="81"/>
            <rFont val="Tahoma"/>
            <family val="2"/>
          </rPr>
          <t xml:space="preserve">This cell creates a new column for each month based on the Start and End dates from the Options page
</t>
        </r>
      </text>
    </comment>
  </commentList>
</comments>
</file>

<file path=xl/sharedStrings.xml><?xml version="1.0" encoding="utf-8"?>
<sst xmlns="http://schemas.openxmlformats.org/spreadsheetml/2006/main" count="1203" uniqueCount="770">
  <si>
    <t>Sales</t>
  </si>
  <si>
    <t>Gross Profit</t>
  </si>
  <si>
    <t>Title</t>
  </si>
  <si>
    <t>Value</t>
  </si>
  <si>
    <t>Lookup</t>
  </si>
  <si>
    <t>Report Options</t>
  </si>
  <si>
    <t>Option</t>
  </si>
  <si>
    <t>Start Date</t>
  </si>
  <si>
    <t>End Date</t>
  </si>
  <si>
    <t>hide</t>
  </si>
  <si>
    <t>Income Statement by Month</t>
  </si>
  <si>
    <t>Hide</t>
  </si>
  <si>
    <t>Total Operating Expenses</t>
  </si>
  <si>
    <t>Total Other Income/Expenses</t>
  </si>
  <si>
    <t>Net Income</t>
  </si>
  <si>
    <t>Period Type</t>
  </si>
  <si>
    <t>Auto+Hide</t>
  </si>
  <si>
    <t>Prerequisites for running this report:</t>
  </si>
  <si>
    <t>1)</t>
  </si>
  <si>
    <t>Before running this report</t>
  </si>
  <si>
    <t>Modifying your report</t>
  </si>
  <si>
    <t>Services</t>
  </si>
  <si>
    <t>Training</t>
  </si>
  <si>
    <t>Copyrights</t>
  </si>
  <si>
    <t>Datasource:</t>
  </si>
  <si>
    <t>Gain or loss on asset disposal</t>
  </si>
  <si>
    <t>=NP("DateFilter",StartDate,EndDate)</t>
  </si>
  <si>
    <t>=NL("Lookup",NP("Datasources"),"Select the datasource to report from:")</t>
  </si>
  <si>
    <t>=NL("Lookup","Finance","[Period Type]")</t>
  </si>
  <si>
    <t>=NL("Columns",NP("Dates",StartDate,EndDate,"Month","True"))</t>
  </si>
  <si>
    <t>=D7</t>
  </si>
  <si>
    <t>=C7</t>
  </si>
  <si>
    <t>=C8</t>
  </si>
  <si>
    <t>="Total "&amp;D7</t>
  </si>
  <si>
    <t>=D11</t>
  </si>
  <si>
    <t>=C11</t>
  </si>
  <si>
    <t>=C12</t>
  </si>
  <si>
    <t>="Total "&amp;D11</t>
  </si>
  <si>
    <t>=SUBTOTAL(9,G9,G13)</t>
  </si>
  <si>
    <t>=D17</t>
  </si>
  <si>
    <t>=C17</t>
  </si>
  <si>
    <t>=C18</t>
  </si>
  <si>
    <t>="Total "&amp;D17</t>
  </si>
  <si>
    <t>=D21</t>
  </si>
  <si>
    <t>=C21</t>
  </si>
  <si>
    <t>=C22</t>
  </si>
  <si>
    <t>="Total "&amp;D21</t>
  </si>
  <si>
    <t>=D25</t>
  </si>
  <si>
    <t>=C25</t>
  </si>
  <si>
    <t>=C26</t>
  </si>
  <si>
    <t>="Total "&amp;D25</t>
  </si>
  <si>
    <t>=D29</t>
  </si>
  <si>
    <t>=C29</t>
  </si>
  <si>
    <t>=C30</t>
  </si>
  <si>
    <t>="Total "&amp;D29</t>
  </si>
  <si>
    <t>=D33</t>
  </si>
  <si>
    <t>=C33</t>
  </si>
  <si>
    <t>=C34</t>
  </si>
  <si>
    <t>="Total "&amp;D33</t>
  </si>
  <si>
    <t>=D37</t>
  </si>
  <si>
    <t>=C37</t>
  </si>
  <si>
    <t>=C38</t>
  </si>
  <si>
    <t>="Total "&amp;D37</t>
  </si>
  <si>
    <t>=SUBTOTAL(9,G19,G23,G27,G31,G35,G39)</t>
  </si>
  <si>
    <t>=D43</t>
  </si>
  <si>
    <t>=C43</t>
  </si>
  <si>
    <t>=C44</t>
  </si>
  <si>
    <t>="Total "&amp;D43</t>
  </si>
  <si>
    <t>=D47</t>
  </si>
  <si>
    <t>=C47</t>
  </si>
  <si>
    <t>=C48</t>
  </si>
  <si>
    <t>="Total "&amp;D47</t>
  </si>
  <si>
    <t>=SUBTOTAL(9,G45,G49)</t>
  </si>
  <si>
    <t>=D54</t>
  </si>
  <si>
    <t>=C54</t>
  </si>
  <si>
    <t>=C55</t>
  </si>
  <si>
    <t>="Total "&amp;D54</t>
  </si>
  <si>
    <t>=G15+G41+G52+G56</t>
  </si>
  <si>
    <t>Auto</t>
  </si>
  <si>
    <t>=C13</t>
  </si>
  <si>
    <t>=C14</t>
  </si>
  <si>
    <t>=C19</t>
  </si>
  <si>
    <t>=C23</t>
  </si>
  <si>
    <t>=C24</t>
  </si>
  <si>
    <t>="604200 - License &amp; registration fees expense"</t>
  </si>
  <si>
    <t>="604400 - Vehicle insurance expense"</t>
  </si>
  <si>
    <t>=C35</t>
  </si>
  <si>
    <t>=C36</t>
  </si>
  <si>
    <t>="605120 - Electricity expense"</t>
  </si>
  <si>
    <t>="605140 - Repairs and maintenance"</t>
  </si>
  <si>
    <t>=C39</t>
  </si>
  <si>
    <t>=C40</t>
  </si>
  <si>
    <t>="605160 - Utilities expense"</t>
  </si>
  <si>
    <t>=C41</t>
  </si>
  <si>
    <t>="605180 - Storage supplies expense"</t>
  </si>
  <si>
    <t>=C49</t>
  </si>
  <si>
    <t>=C53</t>
  </si>
  <si>
    <t>=C61</t>
  </si>
  <si>
    <t>=C62</t>
  </si>
  <si>
    <t>=C63</t>
  </si>
  <si>
    <t>=C72</t>
  </si>
  <si>
    <t>=C73</t>
  </si>
  <si>
    <t>=C74</t>
  </si>
  <si>
    <t>=C75</t>
  </si>
  <si>
    <t>=C76</t>
  </si>
  <si>
    <t>=C77</t>
  </si>
  <si>
    <t>=C78</t>
  </si>
  <si>
    <t>=C95</t>
  </si>
  <si>
    <t>=C96</t>
  </si>
  <si>
    <t>=C97</t>
  </si>
  <si>
    <t>=C98</t>
  </si>
  <si>
    <t>=C99</t>
  </si>
  <si>
    <t>=C100</t>
  </si>
  <si>
    <t>=C104</t>
  </si>
  <si>
    <t>=C105</t>
  </si>
  <si>
    <t>=C106</t>
  </si>
  <si>
    <t>=C111</t>
  </si>
  <si>
    <t>=C112</t>
  </si>
  <si>
    <t>=C118</t>
  </si>
  <si>
    <t>=C119</t>
  </si>
  <si>
    <t>=C127</t>
  </si>
  <si>
    <t>=C9</t>
  </si>
  <si>
    <t>=C10</t>
  </si>
  <si>
    <t>=C27</t>
  </si>
  <si>
    <t>=C28</t>
  </si>
  <si>
    <t>=C50</t>
  </si>
  <si>
    <t>=C51</t>
  </si>
  <si>
    <t>=C52</t>
  </si>
  <si>
    <t>=C58</t>
  </si>
  <si>
    <t>=C59</t>
  </si>
  <si>
    <t>=C60</t>
  </si>
  <si>
    <t>=C64</t>
  </si>
  <si>
    <t>=C65</t>
  </si>
  <si>
    <t>=C66</t>
  </si>
  <si>
    <t>=C85</t>
  </si>
  <si>
    <t>=C86</t>
  </si>
  <si>
    <t>=C90</t>
  </si>
  <si>
    <t>="601504 - Flight Expenses"</t>
  </si>
  <si>
    <t>=C91</t>
  </si>
  <si>
    <t>="601505 - Fuel Expenses"</t>
  </si>
  <si>
    <t>=C92</t>
  </si>
  <si>
    <t>="601506 - Hotel Expenses"</t>
  </si>
  <si>
    <t>=C93</t>
  </si>
  <si>
    <t>="601507 - Employee Meals"</t>
  </si>
  <si>
    <t>=C94</t>
  </si>
  <si>
    <t>=C110</t>
  </si>
  <si>
    <t>=D118</t>
  </si>
  <si>
    <t>=C120</t>
  </si>
  <si>
    <t>=C121</t>
  </si>
  <si>
    <t>=C122</t>
  </si>
  <si>
    <t>=C123</t>
  </si>
  <si>
    <t>="603100 - Project Payroll Allocation"</t>
  </si>
  <si>
    <t>="Total "&amp;D118</t>
  </si>
  <si>
    <t>=C128</t>
  </si>
  <si>
    <t>=C134</t>
  </si>
  <si>
    <t>=C135</t>
  </si>
  <si>
    <t>="618160 - Rounding difference"</t>
  </si>
  <si>
    <t>=C139</t>
  </si>
  <si>
    <t>=C140</t>
  </si>
  <si>
    <t>=C141</t>
  </si>
  <si>
    <t>=C142</t>
  </si>
  <si>
    <t>=C143</t>
  </si>
  <si>
    <t>=C144</t>
  </si>
  <si>
    <t>=C145</t>
  </si>
  <si>
    <t>=C146</t>
  </si>
  <si>
    <t>="801400 - Currency adjustment loss - Unrealized"</t>
  </si>
  <si>
    <t>=C147</t>
  </si>
  <si>
    <t>=C148</t>
  </si>
  <si>
    <t>=C155</t>
  </si>
  <si>
    <t>=C156</t>
  </si>
  <si>
    <t>="Operating"</t>
  </si>
  <si>
    <t>Place the report in Design mode in order to make changes to this report.  From the Jet tab, click on the Design button.</t>
  </si>
  <si>
    <t>2)</t>
  </si>
  <si>
    <t>3)</t>
  </si>
  <si>
    <t>This report was based on the chart of accounts for the Contoso demo database for Microsoft Dynamics AX 2012.  The chart of accounts for your organization will be different.  Please review the account categories and calculated values (e.g. Gross profit, Operating Income and Net Profit) to make sure they are correct for your chart of accounts. The categories are hard-coded on the "Income Statement by month" worksheet in column C.  These can be modified to meet your needs.</t>
  </si>
  <si>
    <t xml:space="preserve">Report Readme </t>
  </si>
  <si>
    <t>About the report</t>
  </si>
  <si>
    <t>Please read the worksheet "Before Running this Report" first.  You will not be able to access your cube data until this step has been completed.</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</si>
  <si>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</si>
  <si>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</si>
  <si>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</si>
  <si>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</si>
  <si>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Click here to contact sample reports</t>
  </si>
  <si>
    <t>Disclaimer</t>
  </si>
  <si>
    <t>Getting Help</t>
  </si>
  <si>
    <t>="1/1/2012"</t>
  </si>
  <si>
    <t>="3/30/2012"</t>
  </si>
  <si>
    <t>40968</t>
  </si>
  <si>
    <t>40999</t>
  </si>
  <si>
    <t>�</t>
  </si>
  <si>
    <t>=NL("First","Finance","[Date].[Date YQMD].[Month]","[Date].[Date YQMD].[Day]",G5,"DataSource=",Datasource)</t>
  </si>
  <si>
    <t>=NL("Rows","Finance","[Main Account].[Main Account]","[Main Account].[Category]",$C8,"DataSource=",Datasource)</t>
  </si>
  <si>
    <t>=-NL("CubeValue","Finance","[Measures].[Amount]","[Date].[Date YQMD].[Month]",G$6,"[Main Account].[Main Account]","@@"&amp;$E8,"[Period Type]",PeriodType,"DataSource=",Datasource)</t>
  </si>
  <si>
    <t>=-NL("CubeValue","Finance","[Measures].[Amount]","[Date].[Date YQMD].[Month]",G$6,"[Main Account].[Category]",$C9,"[Period Type]",PeriodType,"DataSource=",Datasource)</t>
  </si>
  <si>
    <t>=NL("First","Finance","[Main Account].[Category]","[Main Account].[Category]","Cost of Goods Sold","DataSource=",Datasource)</t>
  </si>
  <si>
    <t>=NL("Rows","Finance","[Main Account].[Main Account]","[Main Account].[Category]",$C12,"DataSource=",Datasource)</t>
  </si>
  <si>
    <t>=-NL("CubeValue","Finance","[Measures].[Amount]","[Date].[Date YQMD].[Month]",G$6,"[Main Account].[Main Account]","@@"&amp;$E12,"[Period Type]",PeriodType,"DataSource=",Datasource)</t>
  </si>
  <si>
    <t>=-NL("CubeValue","Finance","[Measures].[Amount]","[Date].[Date YQMD].[Month]",G$6,"[Main Account].[Category]",$C13,"[Period Type]",PeriodType,"DataSource=",Datasource)</t>
  </si>
  <si>
    <t>=NL("First","Finance","[Main Account].[Category]","[Main Account].[Category]","Administrative Expense","DataSource=",Datasource)</t>
  </si>
  <si>
    <t>=NL("Rows","Finance","[Main Account].[Main Account]","[Main Account].[Category]",$C18,"DataSource=",Datasource)</t>
  </si>
  <si>
    <t>=-NL("CubeValue","Finance","[Measures].[Amount]","[Date].[Date YQMD].[Month]",G$6,"[Main Account].[Main Account]","@@"&amp;$E18,"[Period Type]",PeriodType,"DataSource=",Datasource)</t>
  </si>
  <si>
    <t>=-NL("CubeValue","Finance","[Measures].[Amount]","[Date].[Date YQMD].[Month]",G$6,"[Main Account].[Category]",$C19,"[Period Type]",PeriodType,"DataSource=",Datasource)</t>
  </si>
  <si>
    <t>=NL("First","Finance","[Main Account].[Category]","[Main Account].[Category]","Manufacturing Expense","DataSource=",Datasource)</t>
  </si>
  <si>
    <t>=NL("Rows","Finance","[Main Account].[Main Account]","[Main Account].[Category]",$C22,"DataSource=",Datasource)</t>
  </si>
  <si>
    <t>=-NL("CubeValue","Finance","[Measures].[Amount]","[Date].[Date YQMD].[Month]",G$6,"[Main Account].[Main Account]","@@"&amp;$E22,"[Period Type]",PeriodType,"DataSource=",Datasource)</t>
  </si>
  <si>
    <t>=-NL("CubeValue","Finance","[Measures].[Amount]","[Date].[Date YQMD].[Month]",G$6,"[Main Account].[Category]",$C23,"[Period Type]",PeriodType,"DataSource=",Datasource)</t>
  </si>
  <si>
    <t>=NL("First","Finance","[Main Account].[Category]","[Main Account].[Category]","Travel and Entertainment Expenses","DataSource=",Datasource)</t>
  </si>
  <si>
    <t>=NL("Rows","Finance","[Main Account].[Main Account]","[Main Account].[Category]",$C26,"DataSource=",Datasource)</t>
  </si>
  <si>
    <t>=-NL("CubeValue","Finance","[Measures].[Amount]","[Date].[Date YQMD].[Month]",G$6,"[Main Account].[Main Account]","@@"&amp;$E26,"[Period Type]",PeriodType,"DataSource=",Datasource)</t>
  </si>
  <si>
    <t>=-NL("CubeValue","Finance","[Measures].[Amount]","[Date].[Date YQMD].[Month]",G$6,"[Main Account].[Category]",$C27,"[Period Type]",PeriodType,"DataSource=",Datasource)</t>
  </si>
  <si>
    <t>=NL("First","Finance","[Main Account].[Category]","[Main Account].[Category]","Project Operation Expense","DataSource=",Datasource)</t>
  </si>
  <si>
    <t>=NL("Rows","Finance","[Main Account].[Main Account]","[Main Account].[Category]",$C30,"DataSource=",Datasource)</t>
  </si>
  <si>
    <t>=-NL("CubeValue","Finance","[Measures].[Amount]","[Date].[Date YQMD].[Month]",G$6,"[Main Account].[Main Account]","@@"&amp;$E30,"[Period Type]",PeriodType,"DataSource=",Datasource)</t>
  </si>
  <si>
    <t>=-NL("CubeValue","Finance","[Measures].[Amount]","[Date].[Date YQMD].[Month]",G$6,"[Main Account].[Category]",$C31,"[Period Type]",PeriodType,"DataSource=",Datasource)</t>
  </si>
  <si>
    <t>=NL("First","Finance","[Main Account].[Category]","[Main Account].[Category]","Other Employee Expenses","DataSource=",Datasource)</t>
  </si>
  <si>
    <t>=NL("Rows","Finance","[Main Account].[Main Account]","[Main Account].[Category]",$C34,"DataSource=",Datasource)</t>
  </si>
  <si>
    <t>=-NL("CubeValue","Finance","[Measures].[Amount]","[Date].[Date YQMD].[Month]",G$6,"[Main Account].[Main Account]","@@"&amp;$E34,"[Period Type]",PeriodType,"DataSource=",Datasource)</t>
  </si>
  <si>
    <t>=-NL("CubeValue","Finance","[Measures].[Amount]","[Date].[Date YQMD].[Month]",G$6,"[Main Account].[Category]",$C35,"[Period Type]",PeriodType,"DataSource=",Datasource)</t>
  </si>
  <si>
    <t>=NL("First","Finance","[Main Account].[Category]","[Main Account].[Category]","Depreciation Expense","DataSource=",Datasource)</t>
  </si>
  <si>
    <t>=NL("Rows","Finance","[Main Account].[Main Account]","[Main Account].[Category]",$C38,"DataSource=",Datasource)</t>
  </si>
  <si>
    <t>=-NL("CubeValue","Finance","[Measures].[Amount]","[Date].[Date YQMD].[Month]",G$6,"[Main Account].[Main Account]","@@"&amp;$E38,"[Period Type]",PeriodType,"DataSource=",Datasource)</t>
  </si>
  <si>
    <t>=-NL("CubeValue","Finance","[Measures].[Amount]","[Date].[Date YQMD].[Month]",G$6,"[Main Account].[Category]",$C39,"[Period Type]",PeriodType,"DataSource=",Datasource)</t>
  </si>
  <si>
    <t>=NL("First","Finance","[Main Account].[Category]","[Main Account].[Category]","Other Expenses","DataSource=",Datasource)</t>
  </si>
  <si>
    <t>=NL("Rows","Finance","[Main Account].[Main Account]","[Main Account].[Category]",$C44,"DataSource=",Datasource)</t>
  </si>
  <si>
    <t>=-NL("CubeValue","Finance","[Measures].[Amount]","[Date].[Date YQMD].[Month]",G$6,"[Main Account].[Main Account]","@@"&amp;$E44,"[Period Type]",PeriodType,"DataSource=",Datasource)</t>
  </si>
  <si>
    <t>=-NL("CubeValue","Finance","[Measures].[Amount]","[Date].[Date YQMD].[Month]",G$6,"[Main Account].[Category]",$C45,"[Period Type]",PeriodType,"DataSource=",Datasource)</t>
  </si>
  <si>
    <t>=NL("First","Finance","[Main Account].[Category]","[Main Account].[Category]","Other Income","DataSource=",Datasource)</t>
  </si>
  <si>
    <t>=NL("Rows","Finance","[Main Account].[Main Account]","[Main Account].[Category]",$C48,"DataSource=",Datasource)</t>
  </si>
  <si>
    <t>=-NL("CubeValue","Finance","[Measures].[Amount]","[Date].[Date YQMD].[Month]",G$6,"[Main Account].[Main Account]","@@"&amp;$E48,"[Period Type]",PeriodType,"DataSource=",Datasource)</t>
  </si>
  <si>
    <t>=-NL("CubeValue","Finance","[Measures].[Amount]","[Date].[Date YQMD].[Month]",G$6,"[Main Account].[Category]",$C49,"[Period Type]",PeriodType,"DataSource=",Datasource)</t>
  </si>
  <si>
    <t>=NL("Rows","Finance","[Main Account].[Main Account]","[Main Account].[Category]",$C55,"DataSource=",Datasource)</t>
  </si>
  <si>
    <t>=-NL("CubeValue","Finance","[Measures].[Amount]","[Date].[Date YQMD].[Month]",G$6,"[Main Account].[Main Account]","@@"&amp;$E55,"[Period Type]",PeriodType,"DataSource=",Datasource)</t>
  </si>
  <si>
    <t>=-NL("CubeValue","Finance","[Measures].[Amount]","[Date].[Date YQMD].[Month]",G$6,"[Main Account].[Category]",$C56,"[Period Type]",PeriodType,"DataSource=",Datasource)</t>
  </si>
  <si>
    <t>=NL("First","Finance","[Main Account].[Category]","[Main Account].[Category]","Sales","DataSource=",Datasource)</t>
  </si>
  <si>
    <t>=NL("First","Finance","[Date].[Date YQMD].[Month]","[Date].[Date YQMD].[Day]",H5,"DataSource=",Datasource)</t>
  </si>
  <si>
    <t>=NL("First","Finance","[Date].[Date YQMD].[Month]","[Date].[Date YQMD].[Day]",I5,"DataSource=",Datasource)</t>
  </si>
  <si>
    <t>=-NL("CubeValue","Finance","[Measures].[Amount]","[Date].[Date YQMD].[Month]",H$6,"[Main Account].[Main Account]","@@"&amp;$E8,"[Period Type]",PeriodType,"DataSource=",Datasource)</t>
  </si>
  <si>
    <t>=-NL("CubeValue","Finance","[Measures].[Amount]","[Date].[Date YQMD].[Month]",I$6,"[Main Account].[Main Account]","@@"&amp;$E8,"[Period Type]",PeriodType,"DataSource=",Datasource)</t>
  </si>
  <si>
    <t>="401200 - Service Revenues"</t>
  </si>
  <si>
    <t>=-NL("CubeValue","Finance","[Measures].[Amount]","[Date].[Date YQMD].[Month]",G$6,"[Main Account].[Main Account]","@@"&amp;$E9,"[Period Type]",PeriodType,"DataSource=",Datasource)</t>
  </si>
  <si>
    <t>=-NL("CubeValue","Finance","[Measures].[Amount]","[Date].[Date YQMD].[Month]",H$6,"[Main Account].[Main Account]","@@"&amp;$E9,"[Period Type]",PeriodType,"DataSource=",Datasource)</t>
  </si>
  <si>
    <t>=-NL("CubeValue","Finance","[Measures].[Amount]","[Date].[Date YQMD].[Month]",I$6,"[Main Account].[Main Account]","@@"&amp;$E9,"[Period Type]",PeriodType,"DataSource=",Datasource)</t>
  </si>
  <si>
    <t>="401400 - Accrued Sales (Shipped Not Invoiced)"</t>
  </si>
  <si>
    <t>=-NL("CubeValue","Finance","[Measures].[Amount]","[Date].[Date YQMD].[Month]",G$6,"[Main Account].[Main Account]","@@"&amp;$E10,"[Period Type]",PeriodType,"DataSource=",Datasource)</t>
  </si>
  <si>
    <t>=-NL("CubeValue","Finance","[Measures].[Amount]","[Date].[Date YQMD].[Month]",H$6,"[Main Account].[Main Account]","@@"&amp;$E10,"[Period Type]",PeriodType,"DataSource=",Datasource)</t>
  </si>
  <si>
    <t>=-NL("CubeValue","Finance","[Measures].[Amount]","[Date].[Date YQMD].[Month]",I$6,"[Main Account].[Main Account]","@@"&amp;$E10,"[Period Type]",PeriodType,"DataSource=",Datasource)</t>
  </si>
  <si>
    <t>="402300 - Intercompany Sales - USMF/DEMF"</t>
  </si>
  <si>
    <t>=-NL("CubeValue","Finance","[Measures].[Amount]","[Date].[Date YQMD].[Month]",G$6,"[Main Account].[Main Account]","@@"&amp;$E11,"[Period Type]",PeriodType,"DataSource=",Datasource)</t>
  </si>
  <si>
    <t>=-NL("CubeValue","Finance","[Measures].[Amount]","[Date].[Date YQMD].[Month]",H$6,"[Main Account].[Main Account]","@@"&amp;$E11,"[Period Type]",PeriodType,"DataSource=",Datasource)</t>
  </si>
  <si>
    <t>=-NL("CubeValue","Finance","[Measures].[Amount]","[Date].[Date YQMD].[Month]",I$6,"[Main Account].[Main Account]","@@"&amp;$E11,"[Period Type]",PeriodType,"DataSource=",Datasource)</t>
  </si>
  <si>
    <t>="411100 - Clients - Vtes Biens &amp;S  (Domestic)"</t>
  </si>
  <si>
    <t>=-NL("CubeValue","Finance","[Measures].[Amount]","[Date].[Date YQMD].[Month]",H$6,"[Main Account].[Main Account]","@@"&amp;$E12,"[Period Type]",PeriodType,"DataSource=",Datasource)</t>
  </si>
  <si>
    <t>=-NL("CubeValue","Finance","[Measures].[Amount]","[Date].[Date YQMD].[Month]",I$6,"[Main Account].[Main Account]","@@"&amp;$E12,"[Period Type]",PeriodType,"DataSource=",Datasource)</t>
  </si>
  <si>
    <t>="411200 - Clients - Vtes Biens &amp; Serv (étranger)"</t>
  </si>
  <si>
    <t>=-NL("CubeValue","Finance","[Measures].[Amount]","[Date].[Date YQMD].[Month]",G$6,"[Main Account].[Main Account]","@@"&amp;$E13,"[Period Type]",PeriodType,"DataSource=",Datasource)</t>
  </si>
  <si>
    <t>=-NL("CubeValue","Finance","[Measures].[Amount]","[Date].[Date YQMD].[Month]",H$6,"[Main Account].[Main Account]","@@"&amp;$E13,"[Period Type]",PeriodType,"DataSource=",Datasource)</t>
  </si>
  <si>
    <t>=-NL("CubeValue","Finance","[Measures].[Amount]","[Date].[Date YQMD].[Month]",I$6,"[Main Account].[Main Account]","@@"&amp;$E13,"[Period Type]",PeriodType,"DataSource=",Datasource)</t>
  </si>
  <si>
    <t>="411300 - Clients - Vtes Biens &amp; Serv (Exp)"</t>
  </si>
  <si>
    <t>=-NL("CubeValue","Finance","[Measures].[Amount]","[Date].[Date YQMD].[Month]",G$6,"[Main Account].[Main Account]","@@"&amp;$E14,"[Period Type]",PeriodType,"DataSource=",Datasource)</t>
  </si>
  <si>
    <t>=-NL("CubeValue","Finance","[Measures].[Amount]","[Date].[Date YQMD].[Month]",H$6,"[Main Account].[Main Account]","@@"&amp;$E14,"[Period Type]",PeriodType,"DataSource=",Datasource)</t>
  </si>
  <si>
    <t>=-NL("CubeValue","Finance","[Measures].[Amount]","[Date].[Date YQMD].[Month]",I$6,"[Main Account].[Main Account]","@@"&amp;$E14,"[Period Type]",PeriodType,"DataSource=",Datasource)</t>
  </si>
  <si>
    <t>="420200 - Accrued Revenue"</t>
  </si>
  <si>
    <t>=-NL("CubeValue","Finance","[Measures].[Amount]","[Date].[Date YQMD].[Month]",G$6,"[Main Account].[Main Account]","@@"&amp;$E15,"[Period Type]",PeriodType,"DataSource=",Datasource)</t>
  </si>
  <si>
    <t>=-NL("CubeValue","Finance","[Measures].[Amount]","[Date].[Date YQMD].[Month]",H$6,"[Main Account].[Main Account]","@@"&amp;$E15,"[Period Type]",PeriodType,"DataSource=",Datasource)</t>
  </si>
  <si>
    <t>=-NL("CubeValue","Finance","[Measures].[Amount]","[Date].[Date YQMD].[Month]",I$6,"[Main Account].[Main Account]","@@"&amp;$E15,"[Period Type]",PeriodType,"DataSource=",Datasource)</t>
  </si>
  <si>
    <t>=-NL("CubeValue","Finance","[Measures].[Amount]","[Date].[Date YQMD].[Month]",G$6,"[Main Account].[Category]",$C16,"[Period Type]",PeriodType,"DataSource=",Datasource)</t>
  </si>
  <si>
    <t>=-NL("CubeValue","Finance","[Measures].[Amount]","[Date].[Date YQMD].[Month]",H$6,"[Main Account].[Category]",$C16,"[Period Type]",PeriodType,"DataSource=",Datasource)</t>
  </si>
  <si>
    <t>=-NL("CubeValue","Finance","[Measures].[Amount]","[Date].[Date YQMD].[Month]",I$6,"[Main Account].[Category]",$C16,"[Period Type]",PeriodType,"DataSource=",Datasource)</t>
  </si>
  <si>
    <t>=D18</t>
  </si>
  <si>
    <t>=NL("Rows","Finance","[Main Account].[Main Account]","[Main Account].[Category]",$C19,"DataSource=",Datasource)</t>
  </si>
  <si>
    <t>=-NL("CubeValue","Finance","[Measures].[Amount]","[Date].[Date YQMD].[Month]",G$6,"[Main Account].[Main Account]","@@"&amp;$E19,"[Period Type]",PeriodType,"DataSource=",Datasource)</t>
  </si>
  <si>
    <t>=-NL("CubeValue","Finance","[Measures].[Amount]","[Date].[Date YQMD].[Month]",H$6,"[Main Account].[Main Account]","@@"&amp;$E19,"[Period Type]",PeriodType,"DataSource=",Datasource)</t>
  </si>
  <si>
    <t>=-NL("CubeValue","Finance","[Measures].[Amount]","[Date].[Date YQMD].[Month]",I$6,"[Main Account].[Main Account]","@@"&amp;$E19,"[Period Type]",PeriodType,"DataSource=",Datasource)</t>
  </si>
  <si>
    <t>="500130 - COGS - Services"</t>
  </si>
  <si>
    <t>=-NL("CubeValue","Finance","[Measures].[Amount]","[Date].[Date YQMD].[Month]",G$6,"[Main Account].[Main Account]","@@"&amp;$E20,"[Period Type]",PeriodType,"DataSource=",Datasource)</t>
  </si>
  <si>
    <t>=-NL("CubeValue","Finance","[Measures].[Amount]","[Date].[Date YQMD].[Month]",H$6,"[Main Account].[Main Account]","@@"&amp;$E20,"[Period Type]",PeriodType,"DataSource=",Datasource)</t>
  </si>
  <si>
    <t>=-NL("CubeValue","Finance","[Measures].[Amount]","[Date].[Date YQMD].[Month]",I$6,"[Main Account].[Main Account]","@@"&amp;$E20,"[Period Type]",PeriodType,"DataSource=",Datasource)</t>
  </si>
  <si>
    <t>=C20</t>
  </si>
  <si>
    <t>="500150 - Deferred COGS"</t>
  </si>
  <si>
    <t>=-NL("CubeValue","Finance","[Measures].[Amount]","[Date].[Date YQMD].[Month]",G$6,"[Main Account].[Main Account]","@@"&amp;$E21,"[Period Type]",PeriodType,"DataSource=",Datasource)</t>
  </si>
  <si>
    <t>=-NL("CubeValue","Finance","[Measures].[Amount]","[Date].[Date YQMD].[Month]",H$6,"[Main Account].[Main Account]","@@"&amp;$E21,"[Period Type]",PeriodType,"DataSource=",Datasource)</t>
  </si>
  <si>
    <t>=-NL("CubeValue","Finance","[Measures].[Amount]","[Date].[Date YQMD].[Month]",I$6,"[Main Account].[Main Account]","@@"&amp;$E21,"[Period Type]",PeriodType,"DataSource=",Datasource)</t>
  </si>
  <si>
    <t>="510310 - Purchase Price Variance"</t>
  </si>
  <si>
    <t>=-NL("CubeValue","Finance","[Measures].[Amount]","[Date].[Date YQMD].[Month]",H$6,"[Main Account].[Main Account]","@@"&amp;$E22,"[Period Type]",PeriodType,"DataSource=",Datasource)</t>
  </si>
  <si>
    <t>=-NL("CubeValue","Finance","[Measures].[Amount]","[Date].[Date YQMD].[Month]",I$6,"[Main Account].[Main Account]","@@"&amp;$E22,"[Period Type]",PeriodType,"DataSource=",Datasource)</t>
  </si>
  <si>
    <t>="510320 - Cost Change Variance"</t>
  </si>
  <si>
    <t>=-NL("CubeValue","Finance","[Measures].[Amount]","[Date].[Date YQMD].[Month]",G$6,"[Main Account].[Main Account]","@@"&amp;$E23,"[Period Type]",PeriodType,"DataSource=",Datasource)</t>
  </si>
  <si>
    <t>=-NL("CubeValue","Finance","[Measures].[Amount]","[Date].[Date YQMD].[Month]",H$6,"[Main Account].[Main Account]","@@"&amp;$E23,"[Period Type]",PeriodType,"DataSource=",Datasource)</t>
  </si>
  <si>
    <t>=-NL("CubeValue","Finance","[Measures].[Amount]","[Date].[Date YQMD].[Month]",I$6,"[Main Account].[Main Account]","@@"&amp;$E23,"[Period Type]",PeriodType,"DataSource=",Datasource)</t>
  </si>
  <si>
    <t>="510330 - Inventory Cost Revaluation"</t>
  </si>
  <si>
    <t>=-NL("CubeValue","Finance","[Measures].[Amount]","[Date].[Date YQMD].[Month]",G$6,"[Main Account].[Main Account]","@@"&amp;$E24,"[Period Type]",PeriodType,"DataSource=",Datasource)</t>
  </si>
  <si>
    <t>=-NL("CubeValue","Finance","[Measures].[Amount]","[Date].[Date YQMD].[Month]",H$6,"[Main Account].[Main Account]","@@"&amp;$E24,"[Period Type]",PeriodType,"DataSource=",Datasource)</t>
  </si>
  <si>
    <t>=-NL("CubeValue","Finance","[Measures].[Amount]","[Date].[Date YQMD].[Month]",I$6,"[Main Account].[Main Account]","@@"&amp;$E24,"[Period Type]",PeriodType,"DataSource=",Datasource)</t>
  </si>
  <si>
    <t>="510340 - Production Price Variance"</t>
  </si>
  <si>
    <t>=-NL("CubeValue","Finance","[Measures].[Amount]","[Date].[Date YQMD].[Month]",G$6,"[Main Account].[Main Account]","@@"&amp;$E25,"[Period Type]",PeriodType,"DataSource=",Datasource)</t>
  </si>
  <si>
    <t>=-NL("CubeValue","Finance","[Measures].[Amount]","[Date].[Date YQMD].[Month]",H$6,"[Main Account].[Main Account]","@@"&amp;$E25,"[Period Type]",PeriodType,"DataSource=",Datasource)</t>
  </si>
  <si>
    <t>=-NL("CubeValue","Finance","[Measures].[Amount]","[Date].[Date YQMD].[Month]",I$6,"[Main Account].[Main Account]","@@"&amp;$E25,"[Period Type]",PeriodType,"DataSource=",Datasource)</t>
  </si>
  <si>
    <t>="510350 - Production Quantity Variance"</t>
  </si>
  <si>
    <t>=-NL("CubeValue","Finance","[Measures].[Amount]","[Date].[Date YQMD].[Month]",H$6,"[Main Account].[Main Account]","@@"&amp;$E26,"[Period Type]",PeriodType,"DataSource=",Datasource)</t>
  </si>
  <si>
    <t>=-NL("CubeValue","Finance","[Measures].[Amount]","[Date].[Date YQMD].[Month]",I$6,"[Main Account].[Main Account]","@@"&amp;$E26,"[Period Type]",PeriodType,"DataSource=",Datasource)</t>
  </si>
  <si>
    <t>="510360 - Production Substitution Variance"</t>
  </si>
  <si>
    <t>=-NL("CubeValue","Finance","[Measures].[Amount]","[Date].[Date YQMD].[Month]",G$6,"[Main Account].[Main Account]","@@"&amp;$E27,"[Period Type]",PeriodType,"DataSource=",Datasource)</t>
  </si>
  <si>
    <t>=-NL("CubeValue","Finance","[Measures].[Amount]","[Date].[Date YQMD].[Month]",H$6,"[Main Account].[Main Account]","@@"&amp;$E27,"[Period Type]",PeriodType,"DataSource=",Datasource)</t>
  </si>
  <si>
    <t>=-NL("CubeValue","Finance","[Measures].[Amount]","[Date].[Date YQMD].[Month]",I$6,"[Main Account].[Main Account]","@@"&amp;$E27,"[Period Type]",PeriodType,"DataSource=",Datasource)</t>
  </si>
  <si>
    <t>="510500 - Inventory Profit/Loss"</t>
  </si>
  <si>
    <t>=-NL("CubeValue","Finance","[Measures].[Amount]","[Date].[Date YQMD].[Month]",G$6,"[Main Account].[Main Account]","@@"&amp;$E28,"[Period Type]",PeriodType,"DataSource=",Datasource)</t>
  </si>
  <si>
    <t>=-NL("CubeValue","Finance","[Measures].[Amount]","[Date].[Date YQMD].[Month]",H$6,"[Main Account].[Main Account]","@@"&amp;$E28,"[Period Type]",PeriodType,"DataSource=",Datasource)</t>
  </si>
  <si>
    <t>=-NL("CubeValue","Finance","[Measures].[Amount]","[Date].[Date YQMD].[Month]",I$6,"[Main Account].[Main Account]","@@"&amp;$E28,"[Period Type]",PeriodType,"DataSource=",Datasource)</t>
  </si>
  <si>
    <t>="510520 - Inventory Adjustment"</t>
  </si>
  <si>
    <t>=-NL("CubeValue","Finance","[Measures].[Amount]","[Date].[Date YQMD].[Month]",G$6,"[Main Account].[Main Account]","@@"&amp;$E29,"[Period Type]",PeriodType,"DataSource=",Datasource)</t>
  </si>
  <si>
    <t>=-NL("CubeValue","Finance","[Measures].[Amount]","[Date].[Date YQMD].[Month]",H$6,"[Main Account].[Main Account]","@@"&amp;$E29,"[Period Type]",PeriodType,"DataSource=",Datasource)</t>
  </si>
  <si>
    <t>=-NL("CubeValue","Finance","[Measures].[Amount]","[Date].[Date YQMD].[Month]",I$6,"[Main Account].[Main Account]","@@"&amp;$E29,"[Period Type]",PeriodType,"DataSource=",Datasource)</t>
  </si>
  <si>
    <t>="510600 - Moving average price difference"</t>
  </si>
  <si>
    <t>=-NL("CubeValue","Finance","[Measures].[Amount]","[Date].[Date YQMD].[Month]",H$6,"[Main Account].[Main Account]","@@"&amp;$E30,"[Period Type]",PeriodType,"DataSource=",Datasource)</t>
  </si>
  <si>
    <t>=-NL("CubeValue","Finance","[Measures].[Amount]","[Date].[Date YQMD].[Month]",I$6,"[Main Account].[Main Account]","@@"&amp;$E30,"[Period Type]",PeriodType,"DataSource=",Datasource)</t>
  </si>
  <si>
    <t>="Total "&amp;D18</t>
  </si>
  <si>
    <t>=-NL("CubeValue","Finance","[Measures].[Amount]","[Date].[Date YQMD].[Month]",H$6,"[Main Account].[Category]",$C31,"[Period Type]",PeriodType,"DataSource=",Datasource)</t>
  </si>
  <si>
    <t>=-NL("CubeValue","Finance","[Measures].[Amount]","[Date].[Date YQMD].[Month]",I$6,"[Main Account].[Category]",$C31,"[Period Type]",PeriodType,"DataSource=",Datasource)</t>
  </si>
  <si>
    <t>=SUBTOTAL(9,G16,G31)</t>
  </si>
  <si>
    <t>=SUBTOTAL(9,H16,H31)</t>
  </si>
  <si>
    <t>=SUBTOTAL(9,I16,I31)</t>
  </si>
  <si>
    <t>=D35</t>
  </si>
  <si>
    <t>=NL("Rows","Finance","[Main Account].[Main Account]","[Main Account].[Category]",$C36,"DataSource=",Datasource)</t>
  </si>
  <si>
    <t>=-NL("CubeValue","Finance","[Measures].[Amount]","[Date].[Date YQMD].[Month]",G$6,"[Main Account].[Main Account]","@@"&amp;$E36,"[Period Type]",PeriodType,"DataSource=",Datasource)</t>
  </si>
  <si>
    <t>=-NL("CubeValue","Finance","[Measures].[Amount]","[Date].[Date YQMD].[Month]",H$6,"[Main Account].[Main Account]","@@"&amp;$E36,"[Period Type]",PeriodType,"DataSource=",Datasource)</t>
  </si>
  <si>
    <t>=-NL("CubeValue","Finance","[Measures].[Amount]","[Date].[Date YQMD].[Month]",I$6,"[Main Account].[Main Account]","@@"&amp;$E36,"[Period Type]",PeriodType,"DataSource=",Datasource)</t>
  </si>
  <si>
    <t>=-NL("CubeValue","Finance","[Measures].[Amount]","[Date].[Date YQMD].[Month]",G$6,"[Main Account].[Main Account]","@@"&amp;$E37,"[Period Type]",PeriodType,"DataSource=",Datasource)</t>
  </si>
  <si>
    <t>=-NL("CubeValue","Finance","[Measures].[Amount]","[Date].[Date YQMD].[Month]",H$6,"[Main Account].[Main Account]","@@"&amp;$E37,"[Period Type]",PeriodType,"DataSource=",Datasource)</t>
  </si>
  <si>
    <t>=-NL("CubeValue","Finance","[Measures].[Amount]","[Date].[Date YQMD].[Month]",I$6,"[Main Account].[Main Account]","@@"&amp;$E37,"[Period Type]",PeriodType,"DataSource=",Datasource)</t>
  </si>
  <si>
    <t>="604300 - Vehicle Repairs &amp; Maintenance Expense"</t>
  </si>
  <si>
    <t>=-NL("CubeValue","Finance","[Measures].[Amount]","[Date].[Date YQMD].[Month]",H$6,"[Main Account].[Main Account]","@@"&amp;$E38,"[Period Type]",PeriodType,"DataSource=",Datasource)</t>
  </si>
  <si>
    <t>=-NL("CubeValue","Finance","[Measures].[Amount]","[Date].[Date YQMD].[Month]",I$6,"[Main Account].[Main Account]","@@"&amp;$E38,"[Period Type]",PeriodType,"DataSource=",Datasource)</t>
  </si>
  <si>
    <t>=-NL("CubeValue","Finance","[Measures].[Amount]","[Date].[Date YQMD].[Month]",G$6,"[Main Account].[Main Account]","@@"&amp;$E39,"[Period Type]",PeriodType,"DataSource=",Datasource)</t>
  </si>
  <si>
    <t>=-NL("CubeValue","Finance","[Measures].[Amount]","[Date].[Date YQMD].[Month]",H$6,"[Main Account].[Main Account]","@@"&amp;$E39,"[Period Type]",PeriodType,"DataSource=",Datasource)</t>
  </si>
  <si>
    <t>=-NL("CubeValue","Finance","[Measures].[Amount]","[Date].[Date YQMD].[Month]",I$6,"[Main Account].[Main Account]","@@"&amp;$E39,"[Period Type]",PeriodType,"DataSource=",Datasource)</t>
  </si>
  <si>
    <t>="604500 - Lease Expense"</t>
  </si>
  <si>
    <t>=-NL("CubeValue","Finance","[Measures].[Amount]","[Date].[Date YQMD].[Month]",G$6,"[Main Account].[Main Account]","@@"&amp;$E40,"[Period Type]",PeriodType,"DataSource=",Datasource)</t>
  </si>
  <si>
    <t>=-NL("CubeValue","Finance","[Measures].[Amount]","[Date].[Date YQMD].[Month]",H$6,"[Main Account].[Main Account]","@@"&amp;$E40,"[Period Type]",PeriodType,"DataSource=",Datasource)</t>
  </si>
  <si>
    <t>=-NL("CubeValue","Finance","[Measures].[Amount]","[Date].[Date YQMD].[Month]",I$6,"[Main Account].[Main Account]","@@"&amp;$E40,"[Period Type]",PeriodType,"DataSource=",Datasource)</t>
  </si>
  <si>
    <t>="605110 - Cleaning Expense"</t>
  </si>
  <si>
    <t>=-NL("CubeValue","Finance","[Measures].[Amount]","[Date].[Date YQMD].[Month]",G$6,"[Main Account].[Main Account]","@@"&amp;$E41,"[Period Type]",PeriodType,"DataSource=",Datasource)</t>
  </si>
  <si>
    <t>=-NL("CubeValue","Finance","[Measures].[Amount]","[Date].[Date YQMD].[Month]",H$6,"[Main Account].[Main Account]","@@"&amp;$E41,"[Period Type]",PeriodType,"DataSource=",Datasource)</t>
  </si>
  <si>
    <t>=-NL("CubeValue","Finance","[Measures].[Amount]","[Date].[Date YQMD].[Month]",I$6,"[Main Account].[Main Account]","@@"&amp;$E41,"[Period Type]",PeriodType,"DataSource=",Datasource)</t>
  </si>
  <si>
    <t>=-NL("CubeValue","Finance","[Measures].[Amount]","[Date].[Date YQMD].[Month]",G$6,"[Main Account].[Main Account]","@@"&amp;$E42,"[Period Type]",PeriodType,"DataSource=",Datasource)</t>
  </si>
  <si>
    <t>=-NL("CubeValue","Finance","[Measures].[Amount]","[Date].[Date YQMD].[Month]",H$6,"[Main Account].[Main Account]","@@"&amp;$E42,"[Period Type]",PeriodType,"DataSource=",Datasource)</t>
  </si>
  <si>
    <t>=-NL("CubeValue","Finance","[Measures].[Amount]","[Date].[Date YQMD].[Month]",I$6,"[Main Account].[Main Account]","@@"&amp;$E42,"[Period Type]",PeriodType,"DataSource=",Datasource)</t>
  </si>
  <si>
    <t>=C42</t>
  </si>
  <si>
    <t>="605130 - Insurance Building &amp; Property Expense"</t>
  </si>
  <si>
    <t>=-NL("CubeValue","Finance","[Measures].[Amount]","[Date].[Date YQMD].[Month]",G$6,"[Main Account].[Main Account]","@@"&amp;$E43,"[Period Type]",PeriodType,"DataSource=",Datasource)</t>
  </si>
  <si>
    <t>=-NL("CubeValue","Finance","[Measures].[Amount]","[Date].[Date YQMD].[Month]",H$6,"[Main Account].[Main Account]","@@"&amp;$E43,"[Period Type]",PeriodType,"DataSource=",Datasource)</t>
  </si>
  <si>
    <t>=-NL("CubeValue","Finance","[Measures].[Amount]","[Date].[Date YQMD].[Month]",I$6,"[Main Account].[Main Account]","@@"&amp;$E43,"[Period Type]",PeriodType,"DataSource=",Datasource)</t>
  </si>
  <si>
    <t>=-NL("CubeValue","Finance","[Measures].[Amount]","[Date].[Date YQMD].[Month]",H$6,"[Main Account].[Main Account]","@@"&amp;$E44,"[Period Type]",PeriodType,"DataSource=",Datasource)</t>
  </si>
  <si>
    <t>=-NL("CubeValue","Finance","[Measures].[Amount]","[Date].[Date YQMD].[Month]",I$6,"[Main Account].[Main Account]","@@"&amp;$E44,"[Period Type]",PeriodType,"DataSource=",Datasource)</t>
  </si>
  <si>
    <t>="605150 - Rent Expense"</t>
  </si>
  <si>
    <t>=-NL("CubeValue","Finance","[Measures].[Amount]","[Date].[Date YQMD].[Month]",G$6,"[Main Account].[Main Account]","@@"&amp;$E45,"[Period Type]",PeriodType,"DataSource=",Datasource)</t>
  </si>
  <si>
    <t>=-NL("CubeValue","Finance","[Measures].[Amount]","[Date].[Date YQMD].[Month]",H$6,"[Main Account].[Main Account]","@@"&amp;$E45,"[Period Type]",PeriodType,"DataSource=",Datasource)</t>
  </si>
  <si>
    <t>=-NL("CubeValue","Finance","[Measures].[Amount]","[Date].[Date YQMD].[Month]",I$6,"[Main Account].[Main Account]","@@"&amp;$E45,"[Period Type]",PeriodType,"DataSource=",Datasource)</t>
  </si>
  <si>
    <t>=C45</t>
  </si>
  <si>
    <t>=-NL("CubeValue","Finance","[Measures].[Amount]","[Date].[Date YQMD].[Month]",G$6,"[Main Account].[Main Account]","@@"&amp;$E46,"[Period Type]",PeriodType,"DataSource=",Datasource)</t>
  </si>
  <si>
    <t>=-NL("CubeValue","Finance","[Measures].[Amount]","[Date].[Date YQMD].[Month]",H$6,"[Main Account].[Main Account]","@@"&amp;$E46,"[Period Type]",PeriodType,"DataSource=",Datasource)</t>
  </si>
  <si>
    <t>=-NL("CubeValue","Finance","[Measures].[Amount]","[Date].[Date YQMD].[Month]",I$6,"[Main Account].[Main Account]","@@"&amp;$E46,"[Period Type]",PeriodType,"DataSource=",Datasource)</t>
  </si>
  <si>
    <t>=C46</t>
  </si>
  <si>
    <t>="605170 - Equipment Lease Expense"</t>
  </si>
  <si>
    <t>=-NL("CubeValue","Finance","[Measures].[Amount]","[Date].[Date YQMD].[Month]",G$6,"[Main Account].[Main Account]","@@"&amp;$E47,"[Period Type]",PeriodType,"DataSource=",Datasource)</t>
  </si>
  <si>
    <t>=-NL("CubeValue","Finance","[Measures].[Amount]","[Date].[Date YQMD].[Month]",H$6,"[Main Account].[Main Account]","@@"&amp;$E47,"[Period Type]",PeriodType,"DataSource=",Datasource)</t>
  </si>
  <si>
    <t>=-NL("CubeValue","Finance","[Measures].[Amount]","[Date].[Date YQMD].[Month]",I$6,"[Main Account].[Main Account]","@@"&amp;$E47,"[Period Type]",PeriodType,"DataSource=",Datasource)</t>
  </si>
  <si>
    <t>=-NL("CubeValue","Finance","[Measures].[Amount]","[Date].[Date YQMD].[Month]",H$6,"[Main Account].[Main Account]","@@"&amp;$E48,"[Period Type]",PeriodType,"DataSource=",Datasource)</t>
  </si>
  <si>
    <t>=-NL("CubeValue","Finance","[Measures].[Amount]","[Date].[Date YQMD].[Month]",I$6,"[Main Account].[Main Account]","@@"&amp;$E48,"[Period Type]",PeriodType,"DataSource=",Datasource)</t>
  </si>
  <si>
    <t>="605190 - Recycling Expense"</t>
  </si>
  <si>
    <t>=-NL("CubeValue","Finance","[Measures].[Amount]","[Date].[Date YQMD].[Month]",G$6,"[Main Account].[Main Account]","@@"&amp;$E49,"[Period Type]",PeriodType,"DataSource=",Datasource)</t>
  </si>
  <si>
    <t>=-NL("CubeValue","Finance","[Measures].[Amount]","[Date].[Date YQMD].[Month]",H$6,"[Main Account].[Main Account]","@@"&amp;$E49,"[Period Type]",PeriodType,"DataSource=",Datasource)</t>
  </si>
  <si>
    <t>=-NL("CubeValue","Finance","[Measures].[Amount]","[Date].[Date YQMD].[Month]",I$6,"[Main Account].[Main Account]","@@"&amp;$E49,"[Period Type]",PeriodType,"DataSource=",Datasource)</t>
  </si>
  <si>
    <t>="606200 - Insurance Expense"</t>
  </si>
  <si>
    <t>=-NL("CubeValue","Finance","[Measures].[Amount]","[Date].[Date YQMD].[Month]",G$6,"[Main Account].[Main Account]","@@"&amp;$E50,"[Period Type]",PeriodType,"DataSource=",Datasource)</t>
  </si>
  <si>
    <t>=-NL("CubeValue","Finance","[Measures].[Amount]","[Date].[Date YQMD].[Month]",H$6,"[Main Account].[Main Account]","@@"&amp;$E50,"[Period Type]",PeriodType,"DataSource=",Datasource)</t>
  </si>
  <si>
    <t>=-NL("CubeValue","Finance","[Measures].[Amount]","[Date].[Date YQMD].[Month]",I$6,"[Main Account].[Main Account]","@@"&amp;$E50,"[Period Type]",PeriodType,"DataSource=",Datasource)</t>
  </si>
  <si>
    <t>="606300 - Office Supplies Expense"</t>
  </si>
  <si>
    <t>=-NL("CubeValue","Finance","[Measures].[Amount]","[Date].[Date YQMD].[Month]",G$6,"[Main Account].[Main Account]","@@"&amp;$E51,"[Period Type]",PeriodType,"DataSource=",Datasource)</t>
  </si>
  <si>
    <t>=-NL("CubeValue","Finance","[Measures].[Amount]","[Date].[Date YQMD].[Month]",H$6,"[Main Account].[Main Account]","@@"&amp;$E51,"[Period Type]",PeriodType,"DataSource=",Datasource)</t>
  </si>
  <si>
    <t>=-NL("CubeValue","Finance","[Measures].[Amount]","[Date].[Date YQMD].[Month]",I$6,"[Main Account].[Main Account]","@@"&amp;$E51,"[Period Type]",PeriodType,"DataSource=",Datasource)</t>
  </si>
  <si>
    <t>="606400 - Telephone &amp; Fax Expense"</t>
  </si>
  <si>
    <t>=-NL("CubeValue","Finance","[Measures].[Amount]","[Date].[Date YQMD].[Month]",G$6,"[Main Account].[Main Account]","@@"&amp;$E52,"[Period Type]",PeriodType,"DataSource=",Datasource)</t>
  </si>
  <si>
    <t>=-NL("CubeValue","Finance","[Measures].[Amount]","[Date].[Date YQMD].[Month]",H$6,"[Main Account].[Main Account]","@@"&amp;$E52,"[Period Type]",PeriodType,"DataSource=",Datasource)</t>
  </si>
  <si>
    <t>=-NL("CubeValue","Finance","[Measures].[Amount]","[Date].[Date YQMD].[Month]",I$6,"[Main Account].[Main Account]","@@"&amp;$E52,"[Period Type]",PeriodType,"DataSource=",Datasource)</t>
  </si>
  <si>
    <t>="606500 - Postage Expense"</t>
  </si>
  <si>
    <t>=-NL("CubeValue","Finance","[Measures].[Amount]","[Date].[Date YQMD].[Month]",G$6,"[Main Account].[Main Account]","@@"&amp;$E53,"[Period Type]",PeriodType,"DataSource=",Datasource)</t>
  </si>
  <si>
    <t>=-NL("CubeValue","Finance","[Measures].[Amount]","[Date].[Date YQMD].[Month]",H$6,"[Main Account].[Main Account]","@@"&amp;$E53,"[Period Type]",PeriodType,"DataSource=",Datasource)</t>
  </si>
  <si>
    <t>=-NL("CubeValue","Finance","[Measures].[Amount]","[Date].[Date YQMD].[Month]",I$6,"[Main Account].[Main Account]","@@"&amp;$E53,"[Period Type]",PeriodType,"DataSource=",Datasource)</t>
  </si>
  <si>
    <t>="606600 - Printing Expense"</t>
  </si>
  <si>
    <t>=-NL("CubeValue","Finance","[Measures].[Amount]","[Date].[Date YQMD].[Month]",G$6,"[Main Account].[Main Account]","@@"&amp;$E54,"[Period Type]",PeriodType,"DataSource=",Datasource)</t>
  </si>
  <si>
    <t>=-NL("CubeValue","Finance","[Measures].[Amount]","[Date].[Date YQMD].[Month]",H$6,"[Main Account].[Main Account]","@@"&amp;$E54,"[Period Type]",PeriodType,"DataSource=",Datasource)</t>
  </si>
  <si>
    <t>=-NL("CubeValue","Finance","[Measures].[Amount]","[Date].[Date YQMD].[Month]",I$6,"[Main Account].[Main Account]","@@"&amp;$E54,"[Period Type]",PeriodType,"DataSource=",Datasource)</t>
  </si>
  <si>
    <t>="606700 - Moving Expense"</t>
  </si>
  <si>
    <t>=-NL("CubeValue","Finance","[Measures].[Amount]","[Date].[Date YQMD].[Month]",H$6,"[Main Account].[Main Account]","@@"&amp;$E55,"[Period Type]",PeriodType,"DataSource=",Datasource)</t>
  </si>
  <si>
    <t>=-NL("CubeValue","Finance","[Measures].[Amount]","[Date].[Date YQMD].[Month]",I$6,"[Main Account].[Main Account]","@@"&amp;$E55,"[Period Type]",PeriodType,"DataSource=",Datasource)</t>
  </si>
  <si>
    <t>="Total "&amp;D35</t>
  </si>
  <si>
    <t>=-NL("CubeValue","Finance","[Measures].[Amount]","[Date].[Date YQMD].[Month]",H$6,"[Main Account].[Category]",$C56,"[Period Type]",PeriodType,"DataSource=",Datasource)</t>
  </si>
  <si>
    <t>=-NL("CubeValue","Finance","[Measures].[Amount]","[Date].[Date YQMD].[Month]",I$6,"[Main Account].[Category]",$C56,"[Period Type]",PeriodType,"DataSource=",Datasource)</t>
  </si>
  <si>
    <t>=D58</t>
  </si>
  <si>
    <t>=NL("Rows","Finance","[Main Account].[Main Account]","[Main Account].[Category]",$C59,"DataSource=",Datasource)</t>
  </si>
  <si>
    <t>=-NL("CubeValue","Finance","[Measures].[Amount]","[Date].[Date YQMD].[Month]",G$6,"[Main Account].[Main Account]","@@"&amp;$E59,"[Period Type]",PeriodType,"DataSource=",Datasource)</t>
  </si>
  <si>
    <t>=-NL("CubeValue","Finance","[Measures].[Amount]","[Date].[Date YQMD].[Month]",H$6,"[Main Account].[Main Account]","@@"&amp;$E59,"[Period Type]",PeriodType,"DataSource=",Datasource)</t>
  </si>
  <si>
    <t>=-NL("CubeValue","Finance","[Measures].[Amount]","[Date].[Date YQMD].[Month]",I$6,"[Main Account].[Main Account]","@@"&amp;$E59,"[Period Type]",PeriodType,"DataSource=",Datasource)</t>
  </si>
  <si>
    <t>="600180 - Raw Materials Receipts"</t>
  </si>
  <si>
    <t>=-NL("CubeValue","Finance","[Measures].[Amount]","[Date].[Date YQMD].[Month]",G$6,"[Main Account].[Main Account]","@@"&amp;$E60,"[Period Type]",PeriodType,"DataSource=",Datasource)</t>
  </si>
  <si>
    <t>=-NL("CubeValue","Finance","[Measures].[Amount]","[Date].[Date YQMD].[Month]",H$6,"[Main Account].[Main Account]","@@"&amp;$E60,"[Period Type]",PeriodType,"DataSource=",Datasource)</t>
  </si>
  <si>
    <t>=-NL("CubeValue","Finance","[Measures].[Amount]","[Date].[Date YQMD].[Month]",I$6,"[Main Account].[Main Account]","@@"&amp;$E60,"[Period Type]",PeriodType,"DataSource=",Datasource)</t>
  </si>
  <si>
    <t>="600500 - Direct Labor Applied"</t>
  </si>
  <si>
    <t>=-NL("CubeValue","Finance","[Measures].[Amount]","[Date].[Date YQMD].[Month]",G$6,"[Main Account].[Main Account]","@@"&amp;$E61,"[Period Type]",PeriodType,"DataSource=",Datasource)</t>
  </si>
  <si>
    <t>=-NL("CubeValue","Finance","[Measures].[Amount]","[Date].[Date YQMD].[Month]",H$6,"[Main Account].[Main Account]","@@"&amp;$E61,"[Period Type]",PeriodType,"DataSource=",Datasource)</t>
  </si>
  <si>
    <t>=-NL("CubeValue","Finance","[Measures].[Amount]","[Date].[Date YQMD].[Month]",I$6,"[Main Account].[Main Account]","@@"&amp;$E61,"[Period Type]",PeriodType,"DataSource=",Datasource)</t>
  </si>
  <si>
    <t>="600510 - Absorbed Machine Depreciation Cost"</t>
  </si>
  <si>
    <t>=-NL("CubeValue","Finance","[Measures].[Amount]","[Date].[Date YQMD].[Month]",G$6,"[Main Account].[Main Account]","@@"&amp;$E62,"[Period Type]",PeriodType,"DataSource=",Datasource)</t>
  </si>
  <si>
    <t>=-NL("CubeValue","Finance","[Measures].[Amount]","[Date].[Date YQMD].[Month]",H$6,"[Main Account].[Main Account]","@@"&amp;$E62,"[Period Type]",PeriodType,"DataSource=",Datasource)</t>
  </si>
  <si>
    <t>=-NL("CubeValue","Finance","[Measures].[Amount]","[Date].[Date YQMD].[Month]",I$6,"[Main Account].[Main Account]","@@"&amp;$E62,"[Period Type]",PeriodType,"DataSource=",Datasource)</t>
  </si>
  <si>
    <t>="600520 - Absorbed Internal Logistics Cost"</t>
  </si>
  <si>
    <t>=-NL("CubeValue","Finance","[Measures].[Amount]","[Date].[Date YQMD].[Month]",G$6,"[Main Account].[Main Account]","@@"&amp;$E63,"[Period Type]",PeriodType,"DataSource=",Datasource)</t>
  </si>
  <si>
    <t>=-NL("CubeValue","Finance","[Measures].[Amount]","[Date].[Date YQMD].[Month]",H$6,"[Main Account].[Main Account]","@@"&amp;$E63,"[Period Type]",PeriodType,"DataSource=",Datasource)</t>
  </si>
  <si>
    <t>=-NL("CubeValue","Finance","[Measures].[Amount]","[Date].[Date YQMD].[Month]",I$6,"[Main Account].[Main Account]","@@"&amp;$E63,"[Period Type]",PeriodType,"DataSource=",Datasource)</t>
  </si>
  <si>
    <t>="600521 - Absorbed Material Handling Cost"</t>
  </si>
  <si>
    <t>=-NL("CubeValue","Finance","[Measures].[Amount]","[Date].[Date YQMD].[Month]",G$6,"[Main Account].[Main Account]","@@"&amp;$E64,"[Period Type]",PeriodType,"DataSource=",Datasource)</t>
  </si>
  <si>
    <t>=-NL("CubeValue","Finance","[Measures].[Amount]","[Date].[Date YQMD].[Month]",H$6,"[Main Account].[Main Account]","@@"&amp;$E64,"[Period Type]",PeriodType,"DataSource=",Datasource)</t>
  </si>
  <si>
    <t>=-NL("CubeValue","Finance","[Measures].[Amount]","[Date].[Date YQMD].[Month]",I$6,"[Main Account].[Main Account]","@@"&amp;$E64,"[Period Type]",PeriodType,"DataSource=",Datasource)</t>
  </si>
  <si>
    <t>="600522 - Absorbed Indirect Labor Cost"</t>
  </si>
  <si>
    <t>=-NL("CubeValue","Finance","[Measures].[Amount]","[Date].[Date YQMD].[Month]",G$6,"[Main Account].[Main Account]","@@"&amp;$E65,"[Period Type]",PeriodType,"DataSource=",Datasource)</t>
  </si>
  <si>
    <t>=-NL("CubeValue","Finance","[Measures].[Amount]","[Date].[Date YQMD].[Month]",H$6,"[Main Account].[Main Account]","@@"&amp;$E65,"[Period Type]",PeriodType,"DataSource=",Datasource)</t>
  </si>
  <si>
    <t>=-NL("CubeValue","Finance","[Measures].[Amount]","[Date].[Date YQMD].[Month]",I$6,"[Main Account].[Main Account]","@@"&amp;$E65,"[Period Type]",PeriodType,"DataSource=",Datasource)</t>
  </si>
  <si>
    <t>="600530 - Purchase Overhead Applied"</t>
  </si>
  <si>
    <t>=-NL("CubeValue","Finance","[Measures].[Amount]","[Date].[Date YQMD].[Month]",G$6,"[Main Account].[Main Account]","@@"&amp;$E66,"[Period Type]",PeriodType,"DataSource=",Datasource)</t>
  </si>
  <si>
    <t>=-NL("CubeValue","Finance","[Measures].[Amount]","[Date].[Date YQMD].[Month]",H$6,"[Main Account].[Main Account]","@@"&amp;$E66,"[Period Type]",PeriodType,"DataSource=",Datasource)</t>
  </si>
  <si>
    <t>=-NL("CubeValue","Finance","[Measures].[Amount]","[Date].[Date YQMD].[Month]",I$6,"[Main Account].[Main Account]","@@"&amp;$E66,"[Period Type]",PeriodType,"DataSource=",Datasource)</t>
  </si>
  <si>
    <t>="609100 - Intercompany Purchases - USMF/DEMF"</t>
  </si>
  <si>
    <t>=-NL("CubeValue","Finance","[Measures].[Amount]","[Date].[Date YQMD].[Month]",G$6,"[Main Account].[Main Account]","@@"&amp;$E67,"[Period Type]",PeriodType,"DataSource=",Datasource)</t>
  </si>
  <si>
    <t>=-NL("CubeValue","Finance","[Measures].[Amount]","[Date].[Date YQMD].[Month]",H$6,"[Main Account].[Main Account]","@@"&amp;$E67,"[Period Type]",PeriodType,"DataSource=",Datasource)</t>
  </si>
  <si>
    <t>=-NL("CubeValue","Finance","[Measures].[Amount]","[Date].[Date YQMD].[Month]",I$6,"[Main Account].[Main Account]","@@"&amp;$E67,"[Period Type]",PeriodType,"DataSource=",Datasource)</t>
  </si>
  <si>
    <t>="Total "&amp;D58</t>
  </si>
  <si>
    <t>=-NL("CubeValue","Finance","[Measures].[Amount]","[Date].[Date YQMD].[Month]",G$6,"[Main Account].[Category]",$C68,"[Period Type]",PeriodType,"DataSource=",Datasource)</t>
  </si>
  <si>
    <t>=-NL("CubeValue","Finance","[Measures].[Amount]","[Date].[Date YQMD].[Month]",H$6,"[Main Account].[Category]",$C68,"[Period Type]",PeriodType,"DataSource=",Datasource)</t>
  </si>
  <si>
    <t>=-NL("CubeValue","Finance","[Measures].[Amount]","[Date].[Date YQMD].[Month]",I$6,"[Main Account].[Category]",$C68,"[Period Type]",PeriodType,"DataSource=",Datasource)</t>
  </si>
  <si>
    <t>=D70</t>
  </si>
  <si>
    <t>=C70</t>
  </si>
  <si>
    <t>=NL("Rows","Finance","[Main Account].[Main Account]","[Main Account].[Category]",$C71,"DataSource=",Datasource)</t>
  </si>
  <si>
    <t>=-NL("CubeValue","Finance","[Measures].[Amount]","[Date].[Date YQMD].[Month]",G$6,"[Main Account].[Main Account]","@@"&amp;$E71,"[Period Type]",PeriodType,"DataSource=",Datasource)</t>
  </si>
  <si>
    <t>=-NL("CubeValue","Finance","[Measures].[Amount]","[Date].[Date YQMD].[Month]",H$6,"[Main Account].[Main Account]","@@"&amp;$E71,"[Period Type]",PeriodType,"DataSource=",Datasource)</t>
  </si>
  <si>
    <t>=-NL("CubeValue","Finance","[Measures].[Amount]","[Date].[Date YQMD].[Month]",I$6,"[Main Account].[Main Account]","@@"&amp;$E71,"[Period Type]",PeriodType,"DataSource=",Datasource)</t>
  </si>
  <si>
    <t>=C71</t>
  </si>
  <si>
    <t>="601500 - Travel Expense"</t>
  </si>
  <si>
    <t>=-NL("CubeValue","Finance","[Measures].[Amount]","[Date].[Date YQMD].[Month]",G$6,"[Main Account].[Main Account]","@@"&amp;$E72,"[Period Type]",PeriodType,"DataSource=",Datasource)</t>
  </si>
  <si>
    <t>=-NL("CubeValue","Finance","[Measures].[Amount]","[Date].[Date YQMD].[Month]",H$6,"[Main Account].[Main Account]","@@"&amp;$E72,"[Period Type]",PeriodType,"DataSource=",Datasource)</t>
  </si>
  <si>
    <t>=-NL("CubeValue","Finance","[Measures].[Amount]","[Date].[Date YQMD].[Month]",I$6,"[Main Account].[Main Account]","@@"&amp;$E72,"[Period Type]",PeriodType,"DataSource=",Datasource)</t>
  </si>
  <si>
    <t>=-NL("CubeValue","Finance","[Measures].[Amount]","[Date].[Date YQMD].[Month]",G$6,"[Main Account].[Main Account]","@@"&amp;$E73,"[Period Type]",PeriodType,"DataSource=",Datasource)</t>
  </si>
  <si>
    <t>=-NL("CubeValue","Finance","[Measures].[Amount]","[Date].[Date YQMD].[Month]",H$6,"[Main Account].[Main Account]","@@"&amp;$E73,"[Period Type]",PeriodType,"DataSource=",Datasource)</t>
  </si>
  <si>
    <t>=-NL("CubeValue","Finance","[Measures].[Amount]","[Date].[Date YQMD].[Month]",I$6,"[Main Account].[Main Account]","@@"&amp;$E73,"[Period Type]",PeriodType,"DataSource=",Datasource)</t>
  </si>
  <si>
    <t>=-NL("CubeValue","Finance","[Measures].[Amount]","[Date].[Date YQMD].[Month]",G$6,"[Main Account].[Main Account]","@@"&amp;$E74,"[Period Type]",PeriodType,"DataSource=",Datasource)</t>
  </si>
  <si>
    <t>=-NL("CubeValue","Finance","[Measures].[Amount]","[Date].[Date YQMD].[Month]",H$6,"[Main Account].[Main Account]","@@"&amp;$E74,"[Period Type]",PeriodType,"DataSource=",Datasource)</t>
  </si>
  <si>
    <t>=-NL("CubeValue","Finance","[Measures].[Amount]","[Date].[Date YQMD].[Month]",I$6,"[Main Account].[Main Account]","@@"&amp;$E74,"[Period Type]",PeriodType,"DataSource=",Datasource)</t>
  </si>
  <si>
    <t>=-NL("CubeValue","Finance","[Measures].[Amount]","[Date].[Date YQMD].[Month]",G$6,"[Main Account].[Main Account]","@@"&amp;$E75,"[Period Type]",PeriodType,"DataSource=",Datasource)</t>
  </si>
  <si>
    <t>=-NL("CubeValue","Finance","[Measures].[Amount]","[Date].[Date YQMD].[Month]",H$6,"[Main Account].[Main Account]","@@"&amp;$E75,"[Period Type]",PeriodType,"DataSource=",Datasource)</t>
  </si>
  <si>
    <t>=-NL("CubeValue","Finance","[Measures].[Amount]","[Date].[Date YQMD].[Month]",I$6,"[Main Account].[Main Account]","@@"&amp;$E75,"[Period Type]",PeriodType,"DataSource=",Datasource)</t>
  </si>
  <si>
    <t>=-NL("CubeValue","Finance","[Measures].[Amount]","[Date].[Date YQMD].[Month]",G$6,"[Main Account].[Main Account]","@@"&amp;$E76,"[Period Type]",PeriodType,"DataSource=",Datasource)</t>
  </si>
  <si>
    <t>=-NL("CubeValue","Finance","[Measures].[Amount]","[Date].[Date YQMD].[Month]",H$6,"[Main Account].[Main Account]","@@"&amp;$E76,"[Period Type]",PeriodType,"DataSource=",Datasource)</t>
  </si>
  <si>
    <t>=-NL("CubeValue","Finance","[Measures].[Amount]","[Date].[Date YQMD].[Month]",I$6,"[Main Account].[Main Account]","@@"&amp;$E76,"[Period Type]",PeriodType,"DataSource=",Datasource)</t>
  </si>
  <si>
    <t>="625100 - Frais de Vols"</t>
  </si>
  <si>
    <t>=-NL("CubeValue","Finance","[Measures].[Amount]","[Date].[Date YQMD].[Month]",G$6,"[Main Account].[Main Account]","@@"&amp;$E77,"[Period Type]",PeriodType,"DataSource=",Datasource)</t>
  </si>
  <si>
    <t>=-NL("CubeValue","Finance","[Measures].[Amount]","[Date].[Date YQMD].[Month]",H$6,"[Main Account].[Main Account]","@@"&amp;$E77,"[Period Type]",PeriodType,"DataSource=",Datasource)</t>
  </si>
  <si>
    <t>=-NL("CubeValue","Finance","[Measures].[Amount]","[Date].[Date YQMD].[Month]",I$6,"[Main Account].[Main Account]","@@"&amp;$E77,"[Period Type]",PeriodType,"DataSource=",Datasource)</t>
  </si>
  <si>
    <t>="625200 - Frais d'Hôtel"</t>
  </si>
  <si>
    <t>=-NL("CubeValue","Finance","[Measures].[Amount]","[Date].[Date YQMD].[Month]",G$6,"[Main Account].[Main Account]","@@"&amp;$E78,"[Period Type]",PeriodType,"DataSource=",Datasource)</t>
  </si>
  <si>
    <t>=-NL("CubeValue","Finance","[Measures].[Amount]","[Date].[Date YQMD].[Month]",H$6,"[Main Account].[Main Account]","@@"&amp;$E78,"[Period Type]",PeriodType,"DataSource=",Datasource)</t>
  </si>
  <si>
    <t>=-NL("CubeValue","Finance","[Measures].[Amount]","[Date].[Date YQMD].[Month]",I$6,"[Main Account].[Main Account]","@@"&amp;$E78,"[Period Type]",PeriodType,"DataSource=",Datasource)</t>
  </si>
  <si>
    <t>="641400 - Repas des Employés"</t>
  </si>
  <si>
    <t>=-NL("CubeValue","Finance","[Measures].[Amount]","[Date].[Date YQMD].[Month]",G$6,"[Main Account].[Main Account]","@@"&amp;$E79,"[Period Type]",PeriodType,"DataSource=",Datasource)</t>
  </si>
  <si>
    <t>=-NL("CubeValue","Finance","[Measures].[Amount]","[Date].[Date YQMD].[Month]",H$6,"[Main Account].[Main Account]","@@"&amp;$E79,"[Period Type]",PeriodType,"DataSource=",Datasource)</t>
  </si>
  <si>
    <t>=-NL("CubeValue","Finance","[Measures].[Amount]","[Date].[Date YQMD].[Month]",I$6,"[Main Account].[Main Account]","@@"&amp;$E79,"[Period Type]",PeriodType,"DataSource=",Datasource)</t>
  </si>
  <si>
    <t>="Total "&amp;D70</t>
  </si>
  <si>
    <t>=-NL("CubeValue","Finance","[Measures].[Amount]","[Date].[Date YQMD].[Month]",G$6,"[Main Account].[Category]",$C80,"[Period Type]",PeriodType,"DataSource=",Datasource)</t>
  </si>
  <si>
    <t>=-NL("CubeValue","Finance","[Measures].[Amount]","[Date].[Date YQMD].[Month]",H$6,"[Main Account].[Category]",$C80,"[Period Type]",PeriodType,"DataSource=",Datasource)</t>
  </si>
  <si>
    <t>=-NL("CubeValue","Finance","[Measures].[Amount]","[Date].[Date YQMD].[Month]",I$6,"[Main Account].[Category]",$C80,"[Period Type]",PeriodType,"DataSource=",Datasource)</t>
  </si>
  <si>
    <t>=D82</t>
  </si>
  <si>
    <t>=C82</t>
  </si>
  <si>
    <t>=NL("Rows","Finance","[Main Account].[Main Account]","[Main Account].[Category]",$C83,"DataSource=",Datasource)</t>
  </si>
  <si>
    <t>=-NL("CubeValue","Finance","[Measures].[Amount]","[Date].[Date YQMD].[Month]",G$6,"[Main Account].[Main Account]","@@"&amp;$E83,"[Period Type]",PeriodType,"DataSource=",Datasource)</t>
  </si>
  <si>
    <t>=-NL("CubeValue","Finance","[Measures].[Amount]","[Date].[Date YQMD].[Month]",H$6,"[Main Account].[Main Account]","@@"&amp;$E83,"[Period Type]",PeriodType,"DataSource=",Datasource)</t>
  </si>
  <si>
    <t>=-NL("CubeValue","Finance","[Measures].[Amount]","[Date].[Date YQMD].[Month]",I$6,"[Main Account].[Main Account]","@@"&amp;$E83,"[Period Type]",PeriodType,"DataSource=",Datasource)</t>
  </si>
  <si>
    <t>=C83</t>
  </si>
  <si>
    <t>="540110 - Cost of Project  - Products"</t>
  </si>
  <si>
    <t>=-NL("CubeValue","Finance","[Measures].[Amount]","[Date].[Date YQMD].[Month]",G$6,"[Main Account].[Main Account]","@@"&amp;$E84,"[Period Type]",PeriodType,"DataSource=",Datasource)</t>
  </si>
  <si>
    <t>=-NL("CubeValue","Finance","[Measures].[Amount]","[Date].[Date YQMD].[Month]",H$6,"[Main Account].[Main Account]","@@"&amp;$E84,"[Period Type]",PeriodType,"DataSource=",Datasource)</t>
  </si>
  <si>
    <t>=-NL("CubeValue","Finance","[Measures].[Amount]","[Date].[Date YQMD].[Month]",I$6,"[Main Account].[Main Account]","@@"&amp;$E84,"[Period Type]",PeriodType,"DataSource=",Datasource)</t>
  </si>
  <si>
    <t>=C84</t>
  </si>
  <si>
    <t>="540210 - Cost of Project  - Expenses"</t>
  </si>
  <si>
    <t>=-NL("CubeValue","Finance","[Measures].[Amount]","[Date].[Date YQMD].[Month]",G$6,"[Main Account].[Main Account]","@@"&amp;$E85,"[Period Type]",PeriodType,"DataSource=",Datasource)</t>
  </si>
  <si>
    <t>=-NL("CubeValue","Finance","[Measures].[Amount]","[Date].[Date YQMD].[Month]",H$6,"[Main Account].[Main Account]","@@"&amp;$E85,"[Period Type]",PeriodType,"DataSource=",Datasource)</t>
  </si>
  <si>
    <t>=-NL("CubeValue","Finance","[Measures].[Amount]","[Date].[Date YQMD].[Month]",I$6,"[Main Account].[Main Account]","@@"&amp;$E85,"[Period Type]",PeriodType,"DataSource=",Datasource)</t>
  </si>
  <si>
    <t>="626200 - Coût du projet - Labor"</t>
  </si>
  <si>
    <t>=-NL("CubeValue","Finance","[Measures].[Amount]","[Date].[Date YQMD].[Month]",G$6,"[Main Account].[Main Account]","@@"&amp;$E86,"[Period Type]",PeriodType,"DataSource=",Datasource)</t>
  </si>
  <si>
    <t>=-NL("CubeValue","Finance","[Measures].[Amount]","[Date].[Date YQMD].[Month]",H$6,"[Main Account].[Main Account]","@@"&amp;$E86,"[Period Type]",PeriodType,"DataSource=",Datasource)</t>
  </si>
  <si>
    <t>=-NL("CubeValue","Finance","[Measures].[Amount]","[Date].[Date YQMD].[Month]",I$6,"[Main Account].[Main Account]","@@"&amp;$E86,"[Period Type]",PeriodType,"DataSource=",Datasource)</t>
  </si>
  <si>
    <t>="626400 - Coût du projet - dépenses"</t>
  </si>
  <si>
    <t>=-NL("CubeValue","Finance","[Measures].[Amount]","[Date].[Date YQMD].[Month]",G$6,"[Main Account].[Main Account]","@@"&amp;$E87,"[Period Type]",PeriodType,"DataSource=",Datasource)</t>
  </si>
  <si>
    <t>=-NL("CubeValue","Finance","[Measures].[Amount]","[Date].[Date YQMD].[Month]",H$6,"[Main Account].[Main Account]","@@"&amp;$E87,"[Period Type]",PeriodType,"DataSource=",Datasource)</t>
  </si>
  <si>
    <t>=-NL("CubeValue","Finance","[Measures].[Amount]","[Date].[Date YQMD].[Month]",I$6,"[Main Account].[Main Account]","@@"&amp;$E87,"[Period Type]",PeriodType,"DataSource=",Datasource)</t>
  </si>
  <si>
    <t>="Total "&amp;D82</t>
  </si>
  <si>
    <t>=-NL("CubeValue","Finance","[Measures].[Amount]","[Date].[Date YQMD].[Month]",G$6,"[Main Account].[Category]",$C88,"[Period Type]",PeriodType,"DataSource=",Datasource)</t>
  </si>
  <si>
    <t>=-NL("CubeValue","Finance","[Measures].[Amount]","[Date].[Date YQMD].[Month]",H$6,"[Main Account].[Category]",$C88,"[Period Type]",PeriodType,"DataSource=",Datasource)</t>
  </si>
  <si>
    <t>=-NL("CubeValue","Finance","[Measures].[Amount]","[Date].[Date YQMD].[Month]",I$6,"[Main Account].[Category]",$C88,"[Period Type]",PeriodType,"DataSource=",Datasource)</t>
  </si>
  <si>
    <t>=D90</t>
  </si>
  <si>
    <t>=NL("Rows","Finance","[Main Account].[Main Account]","[Main Account].[Category]",$C91,"DataSource=",Datasource)</t>
  </si>
  <si>
    <t>=-NL("CubeValue","Finance","[Measures].[Amount]","[Date].[Date YQMD].[Month]",G$6,"[Main Account].[Main Account]","@@"&amp;$E91,"[Period Type]",PeriodType,"DataSource=",Datasource)</t>
  </si>
  <si>
    <t>=-NL("CubeValue","Finance","[Measures].[Amount]","[Date].[Date YQMD].[Month]",H$6,"[Main Account].[Main Account]","@@"&amp;$E91,"[Period Type]",PeriodType,"DataSource=",Datasource)</t>
  </si>
  <si>
    <t>=-NL("CubeValue","Finance","[Measures].[Amount]","[Date].[Date YQMD].[Month]",I$6,"[Main Account].[Main Account]","@@"&amp;$E91,"[Period Type]",PeriodType,"DataSource=",Datasource)</t>
  </si>
  <si>
    <t>="5021 - Car allowances"</t>
  </si>
  <si>
    <t>=-NL("CubeValue","Finance","[Measures].[Amount]","[Date].[Date YQMD].[Month]",G$6,"[Main Account].[Main Account]","@@"&amp;$E92,"[Period Type]",PeriodType,"DataSource=",Datasource)</t>
  </si>
  <si>
    <t>=-NL("CubeValue","Finance","[Measures].[Amount]","[Date].[Date YQMD].[Month]",H$6,"[Main Account].[Main Account]","@@"&amp;$E92,"[Period Type]",PeriodType,"DataSource=",Datasource)</t>
  </si>
  <si>
    <t>=-NL("CubeValue","Finance","[Measures].[Amount]","[Date].[Date YQMD].[Month]",I$6,"[Main Account].[Main Account]","@@"&amp;$E92,"[Period Type]",PeriodType,"DataSource=",Datasource)</t>
  </si>
  <si>
    <t>="602130 - Group Health/Life Insurance Expense"</t>
  </si>
  <si>
    <t>=-NL("CubeValue","Finance","[Measures].[Amount]","[Date].[Date YQMD].[Month]",G$6,"[Main Account].[Main Account]","@@"&amp;$E93,"[Period Type]",PeriodType,"DataSource=",Datasource)</t>
  </si>
  <si>
    <t>=-NL("CubeValue","Finance","[Measures].[Amount]","[Date].[Date YQMD].[Month]",H$6,"[Main Account].[Main Account]","@@"&amp;$E93,"[Period Type]",PeriodType,"DataSource=",Datasource)</t>
  </si>
  <si>
    <t>=-NL("CubeValue","Finance","[Measures].[Amount]","[Date].[Date YQMD].[Month]",I$6,"[Main Account].[Main Account]","@@"&amp;$E93,"[Period Type]",PeriodType,"DataSource=",Datasource)</t>
  </si>
  <si>
    <t>="602180 - Pension/Profit-Sharing Plan Expense"</t>
  </si>
  <si>
    <t>=-NL("CubeValue","Finance","[Measures].[Amount]","[Date].[Date YQMD].[Month]",G$6,"[Main Account].[Main Account]","@@"&amp;$E94,"[Period Type]",PeriodType,"DataSource=",Datasource)</t>
  </si>
  <si>
    <t>=-NL("CubeValue","Finance","[Measures].[Amount]","[Date].[Date YQMD].[Month]",H$6,"[Main Account].[Main Account]","@@"&amp;$E94,"[Period Type]",PeriodType,"DataSource=",Datasource)</t>
  </si>
  <si>
    <t>=-NL("CubeValue","Finance","[Measures].[Amount]","[Date].[Date YQMD].[Month]",I$6,"[Main Account].[Main Account]","@@"&amp;$E94,"[Period Type]",PeriodType,"DataSource=",Datasource)</t>
  </si>
  <si>
    <t>="602190 - Employee Benefit Programs Expense"</t>
  </si>
  <si>
    <t>=-NL("CubeValue","Finance","[Measures].[Amount]","[Date].[Date YQMD].[Month]",G$6,"[Main Account].[Main Account]","@@"&amp;$E95,"[Period Type]",PeriodType,"DataSource=",Datasource)</t>
  </si>
  <si>
    <t>=-NL("CubeValue","Finance","[Measures].[Amount]","[Date].[Date YQMD].[Month]",H$6,"[Main Account].[Main Account]","@@"&amp;$E95,"[Period Type]",PeriodType,"DataSource=",Datasource)</t>
  </si>
  <si>
    <t>=-NL("CubeValue","Finance","[Measures].[Amount]","[Date].[Date YQMD].[Month]",I$6,"[Main Account].[Main Account]","@@"&amp;$E95,"[Period Type]",PeriodType,"DataSource=",Datasource)</t>
  </si>
  <si>
    <t>="602200 - Achats fournitures consommables"</t>
  </si>
  <si>
    <t>=-NL("CubeValue","Finance","[Measures].[Amount]","[Date].[Date YQMD].[Month]",G$6,"[Main Account].[Main Account]","@@"&amp;$E96,"[Period Type]",PeriodType,"DataSource=",Datasource)</t>
  </si>
  <si>
    <t>=-NL("CubeValue","Finance","[Measures].[Amount]","[Date].[Date YQMD].[Month]",H$6,"[Main Account].[Main Account]","@@"&amp;$E96,"[Period Type]",PeriodType,"DataSource=",Datasource)</t>
  </si>
  <si>
    <t>=-NL("CubeValue","Finance","[Measures].[Amount]","[Date].[Date YQMD].[Month]",I$6,"[Main Account].[Main Account]","@@"&amp;$E96,"[Period Type]",PeriodType,"DataSource=",Datasource)</t>
  </si>
  <si>
    <t>=-NL("CubeValue","Finance","[Measures].[Amount]","[Date].[Date YQMD].[Month]",G$6,"[Main Account].[Main Account]","@@"&amp;$E97,"[Period Type]",PeriodType,"DataSource=",Datasource)</t>
  </si>
  <si>
    <t>=-NL("CubeValue","Finance","[Measures].[Amount]","[Date].[Date YQMD].[Month]",H$6,"[Main Account].[Main Account]","@@"&amp;$E97,"[Period Type]",PeriodType,"DataSource=",Datasource)</t>
  </si>
  <si>
    <t>=-NL("CubeValue","Finance","[Measures].[Amount]","[Date].[Date YQMD].[Month]",I$6,"[Main Account].[Main Account]","@@"&amp;$E97,"[Period Type]",PeriodType,"DataSource=",Datasource)</t>
  </si>
  <si>
    <t>="62100 - Group insurance"</t>
  </si>
  <si>
    <t>=-NL("CubeValue","Finance","[Measures].[Amount]","[Date].[Date YQMD].[Month]",G$6,"[Main Account].[Main Account]","@@"&amp;$E98,"[Period Type]",PeriodType,"DataSource=",Datasource)</t>
  </si>
  <si>
    <t>=-NL("CubeValue","Finance","[Measures].[Amount]","[Date].[Date YQMD].[Month]",H$6,"[Main Account].[Main Account]","@@"&amp;$E98,"[Period Type]",PeriodType,"DataSource=",Datasource)</t>
  </si>
  <si>
    <t>=-NL("CubeValue","Finance","[Measures].[Amount]","[Date].[Date YQMD].[Month]",I$6,"[Main Account].[Main Account]","@@"&amp;$E98,"[Period Type]",PeriodType,"DataSource=",Datasource)</t>
  </si>
  <si>
    <t>="62200 - Federal Payroll Taxes"</t>
  </si>
  <si>
    <t>=-NL("CubeValue","Finance","[Measures].[Amount]","[Date].[Date YQMD].[Month]",G$6,"[Main Account].[Main Account]","@@"&amp;$E99,"[Period Type]",PeriodType,"DataSource=",Datasource)</t>
  </si>
  <si>
    <t>=-NL("CubeValue","Finance","[Measures].[Amount]","[Date].[Date YQMD].[Month]",H$6,"[Main Account].[Main Account]","@@"&amp;$E99,"[Period Type]",PeriodType,"DataSource=",Datasource)</t>
  </si>
  <si>
    <t>=-NL("CubeValue","Finance","[Measures].[Amount]","[Date].[Date YQMD].[Month]",I$6,"[Main Account].[Main Account]","@@"&amp;$E99,"[Period Type]",PeriodType,"DataSource=",Datasource)</t>
  </si>
  <si>
    <t>="62300 - Retirement contributions"</t>
  </si>
  <si>
    <t>=-NL("CubeValue","Finance","[Measures].[Amount]","[Date].[Date YQMD].[Month]",G$6,"[Main Account].[Main Account]","@@"&amp;$E100,"[Period Type]",PeriodType,"DataSource=",Datasource)</t>
  </si>
  <si>
    <t>=-NL("CubeValue","Finance","[Measures].[Amount]","[Date].[Date YQMD].[Month]",H$6,"[Main Account].[Main Account]","@@"&amp;$E100,"[Period Type]",PeriodType,"DataSource=",Datasource)</t>
  </si>
  <si>
    <t>=-NL("CubeValue","Finance","[Measures].[Amount]","[Date].[Date YQMD].[Month]",I$6,"[Main Account].[Main Account]","@@"&amp;$E100,"[Period Type]",PeriodType,"DataSource=",Datasource)</t>
  </si>
  <si>
    <t>="62500 - Unemployment compensation"</t>
  </si>
  <si>
    <t>=-NL("CubeValue","Finance","[Measures].[Amount]","[Date].[Date YQMD].[Month]",G$6,"[Main Account].[Main Account]","@@"&amp;$E101,"[Period Type]",PeriodType,"DataSource=",Datasource)</t>
  </si>
  <si>
    <t>=-NL("CubeValue","Finance","[Measures].[Amount]","[Date].[Date YQMD].[Month]",H$6,"[Main Account].[Main Account]","@@"&amp;$E101,"[Period Type]",PeriodType,"DataSource=",Datasource)</t>
  </si>
  <si>
    <t>=-NL("CubeValue","Finance","[Measures].[Amount]","[Date].[Date YQMD].[Month]",I$6,"[Main Account].[Main Account]","@@"&amp;$E101,"[Period Type]",PeriodType,"DataSource=",Datasource)</t>
  </si>
  <si>
    <t>=C101</t>
  </si>
  <si>
    <t>="62600 - Workers' compensation"</t>
  </si>
  <si>
    <t>=-NL("CubeValue","Finance","[Measures].[Amount]","[Date].[Date YQMD].[Month]",G$6,"[Main Account].[Main Account]","@@"&amp;$E102,"[Period Type]",PeriodType,"DataSource=",Datasource)</t>
  </si>
  <si>
    <t>=-NL("CubeValue","Finance","[Measures].[Amount]","[Date].[Date YQMD].[Month]",H$6,"[Main Account].[Main Account]","@@"&amp;$E102,"[Period Type]",PeriodType,"DataSource=",Datasource)</t>
  </si>
  <si>
    <t>=-NL("CubeValue","Finance","[Measures].[Amount]","[Date].[Date YQMD].[Month]",I$6,"[Main Account].[Main Account]","@@"&amp;$E102,"[Period Type]",PeriodType,"DataSource=",Datasource)</t>
  </si>
  <si>
    <t>=C102</t>
  </si>
  <si>
    <t>="62701 - Car Allowance"</t>
  </si>
  <si>
    <t>=-NL("CubeValue","Finance","[Measures].[Amount]","[Date].[Date YQMD].[Month]",G$6,"[Main Account].[Main Account]","@@"&amp;$E103,"[Period Type]",PeriodType,"DataSource=",Datasource)</t>
  </si>
  <si>
    <t>=-NL("CubeValue","Finance","[Measures].[Amount]","[Date].[Date YQMD].[Month]",H$6,"[Main Account].[Main Account]","@@"&amp;$E103,"[Period Type]",PeriodType,"DataSource=",Datasource)</t>
  </si>
  <si>
    <t>=-NL("CubeValue","Finance","[Measures].[Amount]","[Date].[Date YQMD].[Month]",I$6,"[Main Account].[Main Account]","@@"&amp;$E103,"[Period Type]",PeriodType,"DataSource=",Datasource)</t>
  </si>
  <si>
    <t>=C103</t>
  </si>
  <si>
    <t>="62703 - Union Dues (employer paid)"</t>
  </si>
  <si>
    <t>=-NL("CubeValue","Finance","[Measures].[Amount]","[Date].[Date YQMD].[Month]",G$6,"[Main Account].[Main Account]","@@"&amp;$E104,"[Period Type]",PeriodType,"DataSource=",Datasource)</t>
  </si>
  <si>
    <t>=-NL("CubeValue","Finance","[Measures].[Amount]","[Date].[Date YQMD].[Month]",H$6,"[Main Account].[Main Account]","@@"&amp;$E104,"[Period Type]",PeriodType,"DataSource=",Datasource)</t>
  </si>
  <si>
    <t>=-NL("CubeValue","Finance","[Measures].[Amount]","[Date].[Date YQMD].[Month]",I$6,"[Main Account].[Main Account]","@@"&amp;$E104,"[Period Type]",PeriodType,"DataSource=",Datasource)</t>
  </si>
  <si>
    <t>="628000 - Services Exterieurs Divers"</t>
  </si>
  <si>
    <t>=-NL("CubeValue","Finance","[Measures].[Amount]","[Date].[Date YQMD].[Month]",G$6,"[Main Account].[Main Account]","@@"&amp;$E105,"[Period Type]",PeriodType,"DataSource=",Datasource)</t>
  </si>
  <si>
    <t>=-NL("CubeValue","Finance","[Measures].[Amount]","[Date].[Date YQMD].[Month]",H$6,"[Main Account].[Main Account]","@@"&amp;$E105,"[Period Type]",PeriodType,"DataSource=",Datasource)</t>
  </si>
  <si>
    <t>=-NL("CubeValue","Finance","[Measures].[Amount]","[Date].[Date YQMD].[Month]",I$6,"[Main Account].[Main Account]","@@"&amp;$E105,"[Period Type]",PeriodType,"DataSource=",Datasource)</t>
  </si>
  <si>
    <t>="643100 - Projet répartition des salaires"</t>
  </si>
  <si>
    <t>=-NL("CubeValue","Finance","[Measures].[Amount]","[Date].[Date YQMD].[Month]",G$6,"[Main Account].[Main Account]","@@"&amp;$E106,"[Period Type]",PeriodType,"DataSource=",Datasource)</t>
  </si>
  <si>
    <t>=-NL("CubeValue","Finance","[Measures].[Amount]","[Date].[Date YQMD].[Month]",H$6,"[Main Account].[Main Account]","@@"&amp;$E106,"[Period Type]",PeriodType,"DataSource=",Datasource)</t>
  </si>
  <si>
    <t>=-NL("CubeValue","Finance","[Measures].[Amount]","[Date].[Date YQMD].[Month]",I$6,"[Main Account].[Main Account]","@@"&amp;$E106,"[Period Type]",PeriodType,"DataSource=",Datasource)</t>
  </si>
  <si>
    <t>="691000 - Participation des salariés aux résultats"</t>
  </si>
  <si>
    <t>=-NL("CubeValue","Finance","[Measures].[Amount]","[Date].[Date YQMD].[Month]",G$6,"[Main Account].[Main Account]","@@"&amp;$E107,"[Period Type]",PeriodType,"DataSource=",Datasource)</t>
  </si>
  <si>
    <t>=-NL("CubeValue","Finance","[Measures].[Amount]","[Date].[Date YQMD].[Month]",H$6,"[Main Account].[Main Account]","@@"&amp;$E107,"[Period Type]",PeriodType,"DataSource=",Datasource)</t>
  </si>
  <si>
    <t>=-NL("CubeValue","Finance","[Measures].[Amount]","[Date].[Date YQMD].[Month]",I$6,"[Main Account].[Main Account]","@@"&amp;$E107,"[Period Type]",PeriodType,"DataSource=",Datasource)</t>
  </si>
  <si>
    <t>="Total "&amp;D90</t>
  </si>
  <si>
    <t>=-NL("CubeValue","Finance","[Measures].[Amount]","[Date].[Date YQMD].[Month]",G$6,"[Main Account].[Category]",$C108,"[Period Type]",PeriodType,"DataSource=",Datasource)</t>
  </si>
  <si>
    <t>=-NL("CubeValue","Finance","[Measures].[Amount]","[Date].[Date YQMD].[Month]",H$6,"[Main Account].[Category]",$C108,"[Period Type]",PeriodType,"DataSource=",Datasource)</t>
  </si>
  <si>
    <t>=-NL("CubeValue","Finance","[Measures].[Amount]","[Date].[Date YQMD].[Month]",I$6,"[Main Account].[Category]",$C108,"[Period Type]",PeriodType,"DataSource=",Datasource)</t>
  </si>
  <si>
    <t>=D110</t>
  </si>
  <si>
    <t>=NL("Rows","Finance","[Main Account].[Main Account]","[Main Account].[Category]",$C111,"DataSource=",Datasource)</t>
  </si>
  <si>
    <t>=-NL("CubeValue","Finance","[Measures].[Amount]","[Date].[Date YQMD].[Month]",G$6,"[Main Account].[Main Account]","@@"&amp;$E111,"[Period Type]",PeriodType,"DataSource=",Datasource)</t>
  </si>
  <si>
    <t>=-NL("CubeValue","Finance","[Measures].[Amount]","[Date].[Date YQMD].[Month]",H$6,"[Main Account].[Main Account]","@@"&amp;$E111,"[Period Type]",PeriodType,"DataSource=",Datasource)</t>
  </si>
  <si>
    <t>=-NL("CubeValue","Finance","[Measures].[Amount]","[Date].[Date YQMD].[Month]",I$6,"[Main Account].[Main Account]","@@"&amp;$E111,"[Period Type]",PeriodType,"DataSource=",Datasource)</t>
  </si>
  <si>
    <t>="607200 - Depreciation Expense - Tangible Assets"</t>
  </si>
  <si>
    <t>=-NL("CubeValue","Finance","[Measures].[Amount]","[Date].[Date YQMD].[Month]",G$6,"[Main Account].[Main Account]","@@"&amp;$E112,"[Period Type]",PeriodType,"DataSource=",Datasource)</t>
  </si>
  <si>
    <t>=-NL("CubeValue","Finance","[Measures].[Amount]","[Date].[Date YQMD].[Month]",H$6,"[Main Account].[Main Account]","@@"&amp;$E112,"[Period Type]",PeriodType,"DataSource=",Datasource)</t>
  </si>
  <si>
    <t>=-NL("CubeValue","Finance","[Measures].[Amount]","[Date].[Date YQMD].[Month]",I$6,"[Main Account].[Main Account]","@@"&amp;$E112,"[Period Type]",PeriodType,"DataSource=",Datasource)</t>
  </si>
  <si>
    <t>="67500 - Depreciation Expense"</t>
  </si>
  <si>
    <t>=-NL("CubeValue","Finance","[Measures].[Amount]","[Date].[Date YQMD].[Month]",G$6,"[Main Account].[Main Account]","@@"&amp;$E113,"[Period Type]",PeriodType,"DataSource=",Datasource)</t>
  </si>
  <si>
    <t>=-NL("CubeValue","Finance","[Measures].[Amount]","[Date].[Date YQMD].[Month]",H$6,"[Main Account].[Main Account]","@@"&amp;$E113,"[Period Type]",PeriodType,"DataSource=",Datasource)</t>
  </si>
  <si>
    <t>=-NL("CubeValue","Finance","[Measures].[Amount]","[Date].[Date YQMD].[Month]",I$6,"[Main Account].[Main Account]","@@"&amp;$E113,"[Period Type]",PeriodType,"DataSource=",Datasource)</t>
  </si>
  <si>
    <t>="Total "&amp;D110</t>
  </si>
  <si>
    <t>=-NL("CubeValue","Finance","[Measures].[Amount]","[Date].[Date YQMD].[Month]",G$6,"[Main Account].[Category]",$C114,"[Period Type]",PeriodType,"DataSource=",Datasource)</t>
  </si>
  <si>
    <t>=-NL("CubeValue","Finance","[Measures].[Amount]","[Date].[Date YQMD].[Month]",H$6,"[Main Account].[Category]",$C114,"[Period Type]",PeriodType,"DataSource=",Datasource)</t>
  </si>
  <si>
    <t>=-NL("CubeValue","Finance","[Measures].[Amount]","[Date].[Date YQMD].[Month]",I$6,"[Main Account].[Category]",$C114,"[Period Type]",PeriodType,"DataSource=",Datasource)</t>
  </si>
  <si>
    <t>=SUBTOTAL(9,G56,G68,G80,G88,G108,G114)</t>
  </si>
  <si>
    <t>=SUBTOTAL(9,H56,H68,H80,H88,H108,H114)</t>
  </si>
  <si>
    <t>=SUBTOTAL(9,I56,I68,I80,I88,I108,I114)</t>
  </si>
  <si>
    <t>=NL("Rows","Finance","[Main Account].[Main Account]","[Main Account].[Category]",$C119,"DataSource=",Datasource)</t>
  </si>
  <si>
    <t>=-NL("CubeValue","Finance","[Measures].[Amount]","[Date].[Date YQMD].[Month]",G$6,"[Main Account].[Main Account]","@@"&amp;$E119,"[Period Type]",PeriodType,"DataSource=",Datasource)</t>
  </si>
  <si>
    <t>=-NL("CubeValue","Finance","[Measures].[Amount]","[Date].[Date YQMD].[Month]",H$6,"[Main Account].[Main Account]","@@"&amp;$E119,"[Period Type]",PeriodType,"DataSource=",Datasource)</t>
  </si>
  <si>
    <t>=-NL("CubeValue","Finance","[Measures].[Amount]","[Date].[Date YQMD].[Month]",I$6,"[Main Account].[Main Account]","@@"&amp;$E119,"[Period Type]",PeriodType,"DataSource=",Datasource)</t>
  </si>
  <si>
    <t>="5026 - Printing, stationery and general office expenses"</t>
  </si>
  <si>
    <t>=-NL("CubeValue","Finance","[Measures].[Amount]","[Date].[Date YQMD].[Month]",G$6,"[Main Account].[Main Account]","@@"&amp;$E120,"[Period Type]",PeriodType,"DataSource=",Datasource)</t>
  </si>
  <si>
    <t>=-NL("CubeValue","Finance","[Measures].[Amount]","[Date].[Date YQMD].[Month]",H$6,"[Main Account].[Main Account]","@@"&amp;$E120,"[Period Type]",PeriodType,"DataSource=",Datasource)</t>
  </si>
  <si>
    <t>=-NL("CubeValue","Finance","[Measures].[Amount]","[Date].[Date YQMD].[Month]",I$6,"[Main Account].[Main Account]","@@"&amp;$E120,"[Period Type]",PeriodType,"DataSource=",Datasource)</t>
  </si>
  <si>
    <t>="603700 - Variation Stocks Marchand"</t>
  </si>
  <si>
    <t>=-NL("CubeValue","Finance","[Measures].[Amount]","[Date].[Date YQMD].[Month]",G$6,"[Main Account].[Main Account]","@@"&amp;$E121,"[Period Type]",PeriodType,"DataSource=",Datasource)</t>
  </si>
  <si>
    <t>=-NL("CubeValue","Finance","[Measures].[Amount]","[Date].[Date YQMD].[Month]",H$6,"[Main Account].[Main Account]","@@"&amp;$E121,"[Period Type]",PeriodType,"DataSource=",Datasource)</t>
  </si>
  <si>
    <t>=-NL("CubeValue","Finance","[Measures].[Amount]","[Date].[Date YQMD].[Month]",I$6,"[Main Account].[Main Account]","@@"&amp;$E121,"[Period Type]",PeriodType,"DataSource=",Datasource)</t>
  </si>
  <si>
    <t>="613000 - Location"</t>
  </si>
  <si>
    <t>=-NL("CubeValue","Finance","[Measures].[Amount]","[Date].[Date YQMD].[Month]",G$6,"[Main Account].[Main Account]","@@"&amp;$E122,"[Period Type]",PeriodType,"DataSource=",Datasource)</t>
  </si>
  <si>
    <t>=-NL("CubeValue","Finance","[Measures].[Amount]","[Date].[Date YQMD].[Month]",H$6,"[Main Account].[Main Account]","@@"&amp;$E122,"[Period Type]",PeriodType,"DataSource=",Datasource)</t>
  </si>
  <si>
    <t>=-NL("CubeValue","Finance","[Measures].[Amount]","[Date].[Date YQMD].[Month]",I$6,"[Main Account].[Main Account]","@@"&amp;$E122,"[Period Type]",PeriodType,"DataSource=",Datasource)</t>
  </si>
  <si>
    <t>=-NL("CubeValue","Finance","[Measures].[Amount]","[Date].[Date YQMD].[Month]",G$6,"[Main Account].[Main Account]","@@"&amp;$E123,"[Period Type]",PeriodType,"DataSource=",Datasource)</t>
  </si>
  <si>
    <t>=-NL("CubeValue","Finance","[Measures].[Amount]","[Date].[Date YQMD].[Month]",H$6,"[Main Account].[Main Account]","@@"&amp;$E123,"[Period Type]",PeriodType,"DataSource=",Datasource)</t>
  </si>
  <si>
    <t>=-NL("CubeValue","Finance","[Measures].[Amount]","[Date].[Date YQMD].[Month]",I$6,"[Main Account].[Main Account]","@@"&amp;$E123,"[Period Type]",PeriodType,"DataSource=",Datasource)</t>
  </si>
  <si>
    <t>="618900 - Miscellaneous Expense"</t>
  </si>
  <si>
    <t>=-NL("CubeValue","Finance","[Measures].[Amount]","[Date].[Date YQMD].[Month]",G$6,"[Main Account].[Main Account]","@@"&amp;$E124,"[Period Type]",PeriodType,"DataSource=",Datasource)</t>
  </si>
  <si>
    <t>=-NL("CubeValue","Finance","[Measures].[Amount]","[Date].[Date YQMD].[Month]",H$6,"[Main Account].[Main Account]","@@"&amp;$E124,"[Period Type]",PeriodType,"DataSource=",Datasource)</t>
  </si>
  <si>
    <t>=-NL("CubeValue","Finance","[Measures].[Amount]","[Date].[Date YQMD].[Month]",I$6,"[Main Account].[Main Account]","@@"&amp;$E124,"[Period Type]",PeriodType,"DataSource=",Datasource)</t>
  </si>
  <si>
    <t>=C124</t>
  </si>
  <si>
    <t>="624100 - Transport de biens sur Achats"</t>
  </si>
  <si>
    <t>=-NL("CubeValue","Finance","[Measures].[Amount]","[Date].[Date YQMD].[Month]",G$6,"[Main Account].[Main Account]","@@"&amp;$E125,"[Period Type]",PeriodType,"DataSource=",Datasource)</t>
  </si>
  <si>
    <t>=-NL("CubeValue","Finance","[Measures].[Amount]","[Date].[Date YQMD].[Month]",H$6,"[Main Account].[Main Account]","@@"&amp;$E125,"[Period Type]",PeriodType,"DataSource=",Datasource)</t>
  </si>
  <si>
    <t>=-NL("CubeValue","Finance","[Measures].[Amount]","[Date].[Date YQMD].[Month]",I$6,"[Main Account].[Main Account]","@@"&amp;$E125,"[Period Type]",PeriodType,"DataSource=",Datasource)</t>
  </si>
  <si>
    <t>=C125</t>
  </si>
  <si>
    <t>="63300 - Other professional"</t>
  </si>
  <si>
    <t>=-NL("CubeValue","Finance","[Measures].[Amount]","[Date].[Date YQMD].[Month]",G$6,"[Main Account].[Main Account]","@@"&amp;$E126,"[Period Type]",PeriodType,"DataSource=",Datasource)</t>
  </si>
  <si>
    <t>=-NL("CubeValue","Finance","[Measures].[Amount]","[Date].[Date YQMD].[Month]",H$6,"[Main Account].[Main Account]","@@"&amp;$E126,"[Period Type]",PeriodType,"DataSource=",Datasource)</t>
  </si>
  <si>
    <t>=-NL("CubeValue","Finance","[Measures].[Amount]","[Date].[Date YQMD].[Month]",I$6,"[Main Account].[Main Account]","@@"&amp;$E126,"[Period Type]",PeriodType,"DataSource=",Datasource)</t>
  </si>
  <si>
    <t>=C126</t>
  </si>
  <si>
    <t>="63400 - Technical"</t>
  </si>
  <si>
    <t>=-NL("CubeValue","Finance","[Measures].[Amount]","[Date].[Date YQMD].[Month]",G$6,"[Main Account].[Main Account]","@@"&amp;$E127,"[Period Type]",PeriodType,"DataSource=",Datasource)</t>
  </si>
  <si>
    <t>=-NL("CubeValue","Finance","[Measures].[Amount]","[Date].[Date YQMD].[Month]",H$6,"[Main Account].[Main Account]","@@"&amp;$E127,"[Period Type]",PeriodType,"DataSource=",Datasource)</t>
  </si>
  <si>
    <t>=-NL("CubeValue","Finance","[Measures].[Amount]","[Date].[Date YQMD].[Month]",I$6,"[Main Account].[Main Account]","@@"&amp;$E127,"[Period Type]",PeriodType,"DataSource=",Datasource)</t>
  </si>
  <si>
    <t>="658000 - Charges Diverses de Gestion Co"</t>
  </si>
  <si>
    <t>=-NL("CubeValue","Finance","[Measures].[Amount]","[Date].[Date YQMD].[Month]",G$6,"[Main Account].[Main Account]","@@"&amp;$E128,"[Period Type]",PeriodType,"DataSource=",Datasource)</t>
  </si>
  <si>
    <t>=-NL("CubeValue","Finance","[Measures].[Amount]","[Date].[Date YQMD].[Month]",H$6,"[Main Account].[Main Account]","@@"&amp;$E128,"[Period Type]",PeriodType,"DataSource=",Datasource)</t>
  </si>
  <si>
    <t>=-NL("CubeValue","Finance","[Measures].[Amount]","[Date].[Date YQMD].[Month]",I$6,"[Main Account].[Main Account]","@@"&amp;$E128,"[Period Type]",PeriodType,"DataSource=",Datasource)</t>
  </si>
  <si>
    <t>="66100 - General supplies"</t>
  </si>
  <si>
    <t>=-NL("CubeValue","Finance","[Measures].[Amount]","[Date].[Date YQMD].[Month]",G$6,"[Main Account].[Main Account]","@@"&amp;$E129,"[Period Type]",PeriodType,"DataSource=",Datasource)</t>
  </si>
  <si>
    <t>=-NL("CubeValue","Finance","[Measures].[Amount]","[Date].[Date YQMD].[Month]",H$6,"[Main Account].[Main Account]","@@"&amp;$E129,"[Period Type]",PeriodType,"DataSource=",Datasource)</t>
  </si>
  <si>
    <t>=-NL("CubeValue","Finance","[Measures].[Amount]","[Date].[Date YQMD].[Month]",I$6,"[Main Account].[Main Account]","@@"&amp;$E129,"[Period Type]",PeriodType,"DataSource=",Datasource)</t>
  </si>
  <si>
    <t>=C129</t>
  </si>
  <si>
    <t>="666800 - Arrondis de Conversion EUR"</t>
  </si>
  <si>
    <t>=-NL("CubeValue","Finance","[Measures].[Amount]","[Date].[Date YQMD].[Month]",G$6,"[Main Account].[Main Account]","@@"&amp;$E130,"[Period Type]",PeriodType,"DataSource=",Datasource)</t>
  </si>
  <si>
    <t>=-NL("CubeValue","Finance","[Measures].[Amount]","[Date].[Date YQMD].[Month]",H$6,"[Main Account].[Main Account]","@@"&amp;$E130,"[Period Type]",PeriodType,"DataSource=",Datasource)</t>
  </si>
  <si>
    <t>=-NL("CubeValue","Finance","[Measures].[Amount]","[Date].[Date YQMD].[Month]",I$6,"[Main Account].[Main Account]","@@"&amp;$E130,"[Period Type]",PeriodType,"DataSource=",Datasource)</t>
  </si>
  <si>
    <t>=C130</t>
  </si>
  <si>
    <t>="66999 - Miscellaneous Expense"</t>
  </si>
  <si>
    <t>=-NL("CubeValue","Finance","[Measures].[Amount]","[Date].[Date YQMD].[Month]",G$6,"[Main Account].[Main Account]","@@"&amp;$E131,"[Period Type]",PeriodType,"DataSource=",Datasource)</t>
  </si>
  <si>
    <t>=-NL("CubeValue","Finance","[Measures].[Amount]","[Date].[Date YQMD].[Month]",H$6,"[Main Account].[Main Account]","@@"&amp;$E131,"[Period Type]",PeriodType,"DataSource=",Datasource)</t>
  </si>
  <si>
    <t>=-NL("CubeValue","Finance","[Measures].[Amount]","[Date].[Date YQMD].[Month]",I$6,"[Main Account].[Main Account]","@@"&amp;$E131,"[Period Type]",PeriodType,"DataSource=",Datasource)</t>
  </si>
  <si>
    <t>=C131</t>
  </si>
  <si>
    <t>="67400 - Machinery and equipment"</t>
  </si>
  <si>
    <t>=-NL("CubeValue","Finance","[Measures].[Amount]","[Date].[Date YQMD].[Month]",G$6,"[Main Account].[Main Account]","@@"&amp;$E132,"[Period Type]",PeriodType,"DataSource=",Datasource)</t>
  </si>
  <si>
    <t>=-NL("CubeValue","Finance","[Measures].[Amount]","[Date].[Date YQMD].[Month]",H$6,"[Main Account].[Main Account]","@@"&amp;$E132,"[Period Type]",PeriodType,"DataSource=",Datasource)</t>
  </si>
  <si>
    <t>=-NL("CubeValue","Finance","[Measures].[Amount]","[Date].[Date YQMD].[Month]",I$6,"[Main Account].[Main Account]","@@"&amp;$E132,"[Period Type]",PeriodType,"DataSource=",Datasource)</t>
  </si>
  <si>
    <t>=C132</t>
  </si>
  <si>
    <t>="801200 - Gain &amp; loss - Revaluation"</t>
  </si>
  <si>
    <t>=-NL("CubeValue","Finance","[Measures].[Amount]","[Date].[Date YQMD].[Month]",G$6,"[Main Account].[Main Account]","@@"&amp;$E133,"[Period Type]",PeriodType,"DataSource=",Datasource)</t>
  </si>
  <si>
    <t>=-NL("CubeValue","Finance","[Measures].[Amount]","[Date].[Date YQMD].[Month]",H$6,"[Main Account].[Main Account]","@@"&amp;$E133,"[Period Type]",PeriodType,"DataSource=",Datasource)</t>
  </si>
  <si>
    <t>=-NL("CubeValue","Finance","[Measures].[Amount]","[Date].[Date YQMD].[Month]",I$6,"[Main Account].[Main Account]","@@"&amp;$E133,"[Period Type]",PeriodType,"DataSource=",Datasource)</t>
  </si>
  <si>
    <t>=C133</t>
  </si>
  <si>
    <t>="801300 - Currency Adjustment Loss - Realized"</t>
  </si>
  <si>
    <t>=-NL("CubeValue","Finance","[Measures].[Amount]","[Date].[Date YQMD].[Month]",G$6,"[Main Account].[Main Account]","@@"&amp;$E134,"[Period Type]",PeriodType,"DataSource=",Datasource)</t>
  </si>
  <si>
    <t>=-NL("CubeValue","Finance","[Measures].[Amount]","[Date].[Date YQMD].[Month]",H$6,"[Main Account].[Main Account]","@@"&amp;$E134,"[Period Type]",PeriodType,"DataSource=",Datasource)</t>
  </si>
  <si>
    <t>=-NL("CubeValue","Finance","[Measures].[Amount]","[Date].[Date YQMD].[Month]",I$6,"[Main Account].[Main Account]","@@"&amp;$E134,"[Period Type]",PeriodType,"DataSource=",Datasource)</t>
  </si>
  <si>
    <t>=-NL("CubeValue","Finance","[Measures].[Amount]","[Date].[Date YQMD].[Month]",G$6,"[Main Account].[Main Account]","@@"&amp;$E135,"[Period Type]",PeriodType,"DataSource=",Datasource)</t>
  </si>
  <si>
    <t>=-NL("CubeValue","Finance","[Measures].[Amount]","[Date].[Date YQMD].[Month]",H$6,"[Main Account].[Main Account]","@@"&amp;$E135,"[Period Type]",PeriodType,"DataSource=",Datasource)</t>
  </si>
  <si>
    <t>=-NL("CubeValue","Finance","[Measures].[Amount]","[Date].[Date YQMD].[Month]",I$6,"[Main Account].[Main Account]","@@"&amp;$E135,"[Period Type]",PeriodType,"DataSource=",Datasource)</t>
  </si>
  <si>
    <t>="999999 - Divers"</t>
  </si>
  <si>
    <t>=-NL("CubeValue","Finance","[Measures].[Amount]","[Date].[Date YQMD].[Month]",G$6,"[Main Account].[Main Account]","@@"&amp;$E136,"[Period Type]",PeriodType,"DataSource=",Datasource)</t>
  </si>
  <si>
    <t>=-NL("CubeValue","Finance","[Measures].[Amount]","[Date].[Date YQMD].[Month]",H$6,"[Main Account].[Main Account]","@@"&amp;$E136,"[Period Type]",PeriodType,"DataSource=",Datasource)</t>
  </si>
  <si>
    <t>=-NL("CubeValue","Finance","[Measures].[Amount]","[Date].[Date YQMD].[Month]",I$6,"[Main Account].[Main Account]","@@"&amp;$E136,"[Period Type]",PeriodType,"DataSource=",Datasource)</t>
  </si>
  <si>
    <t>=-NL("CubeValue","Finance","[Measures].[Amount]","[Date].[Date YQMD].[Month]",G$6,"[Main Account].[Category]",$C137,"[Period Type]",PeriodType,"DataSource=",Datasource)</t>
  </si>
  <si>
    <t>=-NL("CubeValue","Finance","[Measures].[Amount]","[Date].[Date YQMD].[Month]",H$6,"[Main Account].[Category]",$C137,"[Period Type]",PeriodType,"DataSource=",Datasource)</t>
  </si>
  <si>
    <t>=-NL("CubeValue","Finance","[Measures].[Amount]","[Date].[Date YQMD].[Month]",I$6,"[Main Account].[Category]",$C137,"[Period Type]",PeriodType,"DataSource=",Datasource)</t>
  </si>
  <si>
    <t>=D139</t>
  </si>
  <si>
    <t>=NL("Rows","Finance","[Main Account].[Main Account]","[Main Account].[Category]",$C140,"DataSource=",Datasource)</t>
  </si>
  <si>
    <t>=-NL("CubeValue","Finance","[Measures].[Amount]","[Date].[Date YQMD].[Month]",G$6,"[Main Account].[Main Account]","@@"&amp;$E140,"[Period Type]",PeriodType,"DataSource=",Datasource)</t>
  </si>
  <si>
    <t>=-NL("CubeValue","Finance","[Measures].[Amount]","[Date].[Date YQMD].[Month]",H$6,"[Main Account].[Main Account]","@@"&amp;$E140,"[Period Type]",PeriodType,"DataSource=",Datasource)</t>
  </si>
  <si>
    <t>=-NL("CubeValue","Finance","[Measures].[Amount]","[Date].[Date YQMD].[Month]",I$6,"[Main Account].[Main Account]","@@"&amp;$E140,"[Period Type]",PeriodType,"DataSource=",Datasource)</t>
  </si>
  <si>
    <t>="41110 - Property taxes - Real property"</t>
  </si>
  <si>
    <t>=-NL("CubeValue","Finance","[Measures].[Amount]","[Date].[Date YQMD].[Month]",G$6,"[Main Account].[Main Account]","@@"&amp;$E141,"[Period Type]",PeriodType,"DataSource=",Datasource)</t>
  </si>
  <si>
    <t>=-NL("CubeValue","Finance","[Measures].[Amount]","[Date].[Date YQMD].[Month]",H$6,"[Main Account].[Main Account]","@@"&amp;$E141,"[Period Type]",PeriodType,"DataSource=",Datasource)</t>
  </si>
  <si>
    <t>=-NL("CubeValue","Finance","[Measures].[Amount]","[Date].[Date YQMD].[Month]",I$6,"[Main Account].[Main Account]","@@"&amp;$E141,"[Period Type]",PeriodType,"DataSource=",Datasource)</t>
  </si>
  <si>
    <t>="44200 - Public safety"</t>
  </si>
  <si>
    <t>=-NL("CubeValue","Finance","[Measures].[Amount]","[Date].[Date YQMD].[Month]",G$6,"[Main Account].[Main Account]","@@"&amp;$E142,"[Period Type]",PeriodType,"DataSource=",Datasource)</t>
  </si>
  <si>
    <t>=-NL("CubeValue","Finance","[Measures].[Amount]","[Date].[Date YQMD].[Month]",H$6,"[Main Account].[Main Account]","@@"&amp;$E142,"[Period Type]",PeriodType,"DataSource=",Datasource)</t>
  </si>
  <si>
    <t>=-NL("CubeValue","Finance","[Measures].[Amount]","[Date].[Date YQMD].[Month]",I$6,"[Main Account].[Main Account]","@@"&amp;$E142,"[Period Type]",PeriodType,"DataSource=",Datasource)</t>
  </si>
  <si>
    <t>="44410 - Sewerage charges"</t>
  </si>
  <si>
    <t>=-NL("CubeValue","Finance","[Measures].[Amount]","[Date].[Date YQMD].[Month]",G$6,"[Main Account].[Main Account]","@@"&amp;$E143,"[Period Type]",PeriodType,"DataSource=",Datasource)</t>
  </si>
  <si>
    <t>=-NL("CubeValue","Finance","[Measures].[Amount]","[Date].[Date YQMD].[Month]",H$6,"[Main Account].[Main Account]","@@"&amp;$E143,"[Period Type]",PeriodType,"DataSource=",Datasource)</t>
  </si>
  <si>
    <t>=-NL("CubeValue","Finance","[Measures].[Amount]","[Date].[Date YQMD].[Month]",I$6,"[Main Account].[Main Account]","@@"&amp;$E143,"[Period Type]",PeriodType,"DataSource=",Datasource)</t>
  </si>
  <si>
    <t>="44710 - Golf fees"</t>
  </si>
  <si>
    <t>=-NL("CubeValue","Finance","[Measures].[Amount]","[Date].[Date YQMD].[Month]",G$6,"[Main Account].[Main Account]","@@"&amp;$E144,"[Period Type]",PeriodType,"DataSource=",Datasource)</t>
  </si>
  <si>
    <t>=-NL("CubeValue","Finance","[Measures].[Amount]","[Date].[Date YQMD].[Month]",H$6,"[Main Account].[Main Account]","@@"&amp;$E144,"[Period Type]",PeriodType,"DataSource=",Datasource)</t>
  </si>
  <si>
    <t>=-NL("CubeValue","Finance","[Measures].[Amount]","[Date].[Date YQMD].[Month]",I$6,"[Main Account].[Main Account]","@@"&amp;$E144,"[Period Type]",PeriodType,"DataSource=",Datasource)</t>
  </si>
  <si>
    <t>="5064 - Other grants reimbursements and contributions"</t>
  </si>
  <si>
    <t>=-NL("CubeValue","Finance","[Measures].[Amount]","[Date].[Date YQMD].[Month]",G$6,"[Main Account].[Main Account]","@@"&amp;$E145,"[Period Type]",PeriodType,"DataSource=",Datasource)</t>
  </si>
  <si>
    <t>=-NL("CubeValue","Finance","[Measures].[Amount]","[Date].[Date YQMD].[Month]",H$6,"[Main Account].[Main Account]","@@"&amp;$E145,"[Period Type]",PeriodType,"DataSource=",Datasource)</t>
  </si>
  <si>
    <t>=-NL("CubeValue","Finance","[Measures].[Amount]","[Date].[Date YQMD].[Month]",I$6,"[Main Account].[Main Account]","@@"&amp;$E145,"[Period Type]",PeriodType,"DataSource=",Datasource)</t>
  </si>
  <si>
    <t>="706000 - Prestations de Services"</t>
  </si>
  <si>
    <t>=-NL("CubeValue","Finance","[Measures].[Amount]","[Date].[Date YQMD].[Month]",G$6,"[Main Account].[Main Account]","@@"&amp;$E146,"[Period Type]",PeriodType,"DataSource=",Datasource)</t>
  </si>
  <si>
    <t>=-NL("CubeValue","Finance","[Measures].[Amount]","[Date].[Date YQMD].[Month]",H$6,"[Main Account].[Main Account]","@@"&amp;$E146,"[Period Type]",PeriodType,"DataSource=",Datasource)</t>
  </si>
  <si>
    <t>=-NL("CubeValue","Finance","[Measures].[Amount]","[Date].[Date YQMD].[Month]",I$6,"[Main Account].[Main Account]","@@"&amp;$E146,"[Period Type]",PeriodType,"DataSource=",Datasource)</t>
  </si>
  <si>
    <t>="707000 - Ventes de Marchandises"</t>
  </si>
  <si>
    <t>=-NL("CubeValue","Finance","[Measures].[Amount]","[Date].[Date YQMD].[Month]",G$6,"[Main Account].[Main Account]","@@"&amp;$E147,"[Period Type]",PeriodType,"DataSource=",Datasource)</t>
  </si>
  <si>
    <t>=-NL("CubeValue","Finance","[Measures].[Amount]","[Date].[Date YQMD].[Month]",H$6,"[Main Account].[Main Account]","@@"&amp;$E147,"[Period Type]",PeriodType,"DataSource=",Datasource)</t>
  </si>
  <si>
    <t>=-NL("CubeValue","Finance","[Measures].[Amount]","[Date].[Date YQMD].[Month]",I$6,"[Main Account].[Main Account]","@@"&amp;$E147,"[Period Type]",PeriodType,"DataSource=",Datasource)</t>
  </si>
  <si>
    <t>="766000 - Gain de Change"</t>
  </si>
  <si>
    <t>=-NL("CubeValue","Finance","[Measures].[Amount]","[Date].[Date YQMD].[Month]",G$6,"[Main Account].[Main Account]","@@"&amp;$E148,"[Period Type]",PeriodType,"DataSource=",Datasource)</t>
  </si>
  <si>
    <t>=-NL("CubeValue","Finance","[Measures].[Amount]","[Date].[Date YQMD].[Month]",H$6,"[Main Account].[Main Account]","@@"&amp;$E148,"[Period Type]",PeriodType,"DataSource=",Datasource)</t>
  </si>
  <si>
    <t>=-NL("CubeValue","Finance","[Measures].[Amount]","[Date].[Date YQMD].[Month]",I$6,"[Main Account].[Main Account]","@@"&amp;$E148,"[Period Type]",PeriodType,"DataSource=",Datasource)</t>
  </si>
  <si>
    <t>="801600 - Currency Adjustment Profits - Unrealized"</t>
  </si>
  <si>
    <t>=-NL("CubeValue","Finance","[Measures].[Amount]","[Date].[Date YQMD].[Month]",G$6,"[Main Account].[Main Account]","@@"&amp;$E149,"[Period Type]",PeriodType,"DataSource=",Datasource)</t>
  </si>
  <si>
    <t>=-NL("CubeValue","Finance","[Measures].[Amount]","[Date].[Date YQMD].[Month]",H$6,"[Main Account].[Main Account]","@@"&amp;$E149,"[Period Type]",PeriodType,"DataSource=",Datasource)</t>
  </si>
  <si>
    <t>=-NL("CubeValue","Finance","[Measures].[Amount]","[Date].[Date YQMD].[Month]",I$6,"[Main Account].[Main Account]","@@"&amp;$E149,"[Period Type]",PeriodType,"DataSource=",Datasource)</t>
  </si>
  <si>
    <t>="Total "&amp;D139</t>
  </si>
  <si>
    <t>=-NL("CubeValue","Finance","[Measures].[Amount]","[Date].[Date YQMD].[Month]",G$6,"[Main Account].[Category]",$C150,"[Period Type]",PeriodType,"DataSource=",Datasource)</t>
  </si>
  <si>
    <t>=-NL("CubeValue","Finance","[Measures].[Amount]","[Date].[Date YQMD].[Month]",H$6,"[Main Account].[Category]",$C150,"[Period Type]",PeriodType,"DataSource=",Datasource)</t>
  </si>
  <si>
    <t>=-NL("CubeValue","Finance","[Measures].[Amount]","[Date].[Date YQMD].[Month]",I$6,"[Main Account].[Category]",$C150,"[Period Type]",PeriodType,"DataSource=",Datasource)</t>
  </si>
  <si>
    <t>=SUBTOTAL(9,G137,G150)</t>
  </si>
  <si>
    <t>=SUBTOTAL(9,H137,H150)</t>
  </si>
  <si>
    <t>=SUBTOTAL(9,I137,I150)</t>
  </si>
  <si>
    <t>=D155</t>
  </si>
  <si>
    <t>=NL("Rows","Finance","[Main Account].[Main Account]","[Main Account].[Category]",$C156,"DataSource=",Datasource)</t>
  </si>
  <si>
    <t>=-NL("CubeValue","Finance","[Measures].[Amount]","[Date].[Date YQMD].[Month]",G$6,"[Main Account].[Main Account]","@@"&amp;$E156,"[Period Type]",PeriodType,"DataSource=",Datasource)</t>
  </si>
  <si>
    <t>=-NL("CubeValue","Finance","[Measures].[Amount]","[Date].[Date YQMD].[Month]",H$6,"[Main Account].[Main Account]","@@"&amp;$E156,"[Period Type]",PeriodType,"DataSource=",Datasource)</t>
  </si>
  <si>
    <t>=-NL("CubeValue","Finance","[Measures].[Amount]","[Date].[Date YQMD].[Month]",I$6,"[Main Account].[Main Account]","@@"&amp;$E156,"[Period Type]",PeriodType,"DataSource=",Datasource)</t>
  </si>
  <si>
    <t>="Total "&amp;D155</t>
  </si>
  <si>
    <t>=-NL("CubeValue","Finance","[Measures].[Amount]","[Date].[Date YQMD].[Month]",G$6,"[Main Account].[Category]",$C157,"[Period Type]",PeriodType,"DataSource=",Datasource)</t>
  </si>
  <si>
    <t>=-NL("CubeValue","Finance","[Measures].[Amount]","[Date].[Date YQMD].[Month]",H$6,"[Main Account].[Category]",$C157,"[Period Type]",PeriodType,"DataSource=",Datasource)</t>
  </si>
  <si>
    <t>=-NL("CubeValue","Finance","[Measures].[Amount]","[Date].[Date YQMD].[Month]",I$6,"[Main Account].[Category]",$C157,"[Period Type]",PeriodType,"DataSource=",Datasource)</t>
  </si>
  <si>
    <t>=G33+G116+G153+G157</t>
  </si>
  <si>
    <t>=H33+H116+H153+H157</t>
  </si>
  <si>
    <t>=I33+I116+I153+I157</t>
  </si>
  <si>
    <t>Auto+Hide+Values</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</si>
  <si>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</si>
  <si>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</si>
  <si>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</si>
  <si>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</si>
  <si>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</si>
  <si>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</si>
  <si>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</si>
  <si>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</si>
  <si>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</si>
  <si>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</si>
  <si>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</si>
  <si>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</si>
  <si>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</si>
  <si>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</si>
  <si>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 xml:space="preserve">2018 Jet Global Data Technologies, Inc. </t>
  </si>
  <si>
    <t>Run the report by clicking the Run button in the Jet tab and change the Datasource in the Report Options to match the name of your Cube datasource, as well as any other filter criteria values desired.</t>
  </si>
  <si>
    <t>This report provides a monthly income statement from the Finance cube.  The user can select a data range and the report will create a separate column for each month in the range.
This report uses "cube queries" to return data from Jet Analytics Cube data.</t>
  </si>
  <si>
    <t>This report may be uploaded to and refreshed from the Jet Hub once the cube data source has been updated according to the instructions on the "Before Running This Report" worksheet.</t>
  </si>
  <si>
    <t>This report can be modified by entering into Design mode.</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</si>
  <si>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Global's AX standard project v2.0.  Reports will display different results depending on your database.</t>
  </si>
  <si>
    <t>="AX 2012 Cube"</t>
  </si>
  <si>
    <t>Auto+Hide+HideSheet+Formulas=Sheet11,Sheet12+FormulasOnly</t>
  </si>
  <si>
    <t>Auto+Hide+Values+Formulas=Sheet13,Sheet14+FormulasOnly</t>
  </si>
  <si>
    <t>Auto+Hide+HideSheet+Formulas=Sheet15,Sheet11,Sheet12</t>
  </si>
  <si>
    <t>Auto+Hide+HideSheet+Formulas=Sheet15,Sheet11,Sheet12+FormulasOnly</t>
  </si>
  <si>
    <t>Auto+Hide+Values+Formulas=Sheet16,Sheet13,Sheet14</t>
  </si>
  <si>
    <t>Auto+Hide+Values+Formulas=Sheet16,Sheet13,Sheet14+FormulasOnly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</si>
</sst>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_(* \(#,##0\);_(* &quot;-&quot;_);_(@_)"/>
    <numFmt numFmtId="44" formatCode="_(&quot;$&quot;* #,##0.00_);_(&quot;$&quot;* \(#,##0.00\);_(&quot;$&quot;* &quot;-&quot;??_);_(@_)"/>
  </numFmts>
  <fonts count="29" x14ac:knownFonts="1">
    <font>
      <sz val="11"/>
      <color theme="1"/>
      <name val="Calibri"/>
      <family val="2"/>
      <scheme val="minor"/>
    </font>
    <font>
      <sz val="11"/>
      <color theme="1"/>
      <name val="Calibri"/>
      <family val="2"/>
      <scheme val="minor"/>
    </font>
    <font>
      <b/>
      <sz val="15"/>
      <color theme="3"/>
      <name val="Calibri"/>
      <family val="2"/>
      <scheme val="minor"/>
    </font>
    <font>
      <b/>
      <sz val="11"/>
      <color theme="1"/>
      <name val="Calibri"/>
      <family val="2"/>
      <scheme val="minor"/>
    </font>
    <font>
      <sz val="11"/>
      <color theme="0"/>
      <name val="Calibri"/>
      <family val="2"/>
      <scheme val="minor"/>
    </font>
    <font>
      <sz val="11"/>
      <color rgb="FF000000"/>
      <name val="Calibri"/>
      <family val="2"/>
      <scheme val="minor"/>
    </font>
    <font>
      <sz val="11"/>
      <color rgb="FFA6A6A6"/>
      <name val="Calibri"/>
      <family val="2"/>
      <scheme val="minor"/>
    </font>
    <font>
      <b/>
      <sz val="12"/>
      <color theme="1"/>
      <name val="Calibri"/>
      <family val="2"/>
      <scheme val="minor"/>
    </font>
    <font>
      <sz val="11"/>
      <color theme="0" tint="-0.249977111117893"/>
      <name val="Calibri"/>
      <family val="2"/>
      <scheme val="minor"/>
    </font>
    <font>
      <sz val="11"/>
      <color theme="0" tint="-0.14999847407452621"/>
      <name val="Calibri"/>
      <family val="2"/>
      <scheme val="minor"/>
    </font>
    <font>
      <b/>
      <sz val="12"/>
      <color rgb="FF0070C0"/>
      <name val="Calibri"/>
      <family val="2"/>
      <scheme val="minor"/>
    </font>
    <font>
      <sz val="12"/>
      <color theme="1"/>
      <name val="Calibri"/>
      <family val="2"/>
      <scheme val="minor"/>
    </font>
    <font>
      <b/>
      <sz val="11"/>
      <color theme="0"/>
      <name val="Calibri"/>
      <family val="2"/>
      <scheme val="minor"/>
    </font>
    <font>
      <sz val="9"/>
      <color indexed="81"/>
      <name val="Tahoma"/>
      <family val="2"/>
    </font>
    <font>
      <sz val="11"/>
      <color indexed="8"/>
      <name val="Segoe UI"/>
      <family val="2"/>
    </font>
    <font>
      <b/>
      <sz val="11"/>
      <color indexed="62"/>
      <name val="Segoe UI"/>
      <family val="2"/>
    </font>
    <font>
      <sz val="10"/>
      <name val="Arial"/>
      <family val="2"/>
    </font>
    <font>
      <sz val="10"/>
      <color theme="1"/>
      <name val="Arial"/>
      <family val="2"/>
    </font>
    <font>
      <u/>
      <sz val="10"/>
      <color indexed="12"/>
      <name val="Arial"/>
      <family val="2"/>
    </font>
    <font>
      <b/>
      <u/>
      <sz val="26"/>
      <color theme="3"/>
      <name val="Calibri"/>
      <family val="2"/>
      <scheme val="minor"/>
    </font>
    <font>
      <sz val="10"/>
      <color indexed="8"/>
      <name val="Segoe UI"/>
      <family val="2"/>
    </font>
    <font>
      <sz val="10"/>
      <color theme="1"/>
      <name val="Segoe UI"/>
      <family val="2"/>
    </font>
    <font>
      <b/>
      <sz val="10"/>
      <color indexed="62"/>
      <name val="Segoe UI"/>
      <family val="2"/>
    </font>
    <font>
      <b/>
      <sz val="10"/>
      <color indexed="8"/>
      <name val="Segoe UI"/>
      <family val="2"/>
    </font>
    <font>
      <sz val="10"/>
      <name val="Segoe UI"/>
      <family val="2"/>
    </font>
    <font>
      <b/>
      <i/>
      <sz val="10"/>
      <name val="Segoe UI"/>
      <family val="2"/>
    </font>
    <font>
      <b/>
      <sz val="20"/>
      <color rgb="FFDA4848"/>
      <name val="Segoe UI"/>
      <family val="2"/>
    </font>
    <font>
      <b/>
      <sz val="10"/>
      <color theme="1"/>
      <name val="Segoe UI"/>
      <family val="2"/>
    </font>
    <font>
      <b/>
      <sz val="10"/>
      <color rgb="FFDA4848"/>
      <name val="Segoe UI"/>
      <family val="2"/>
    </font>
  </fonts>
  <fills count="5">
    <fill>
      <patternFill patternType="none"/>
    </fill>
    <fill>
      <patternFill patternType="gray125"/>
    </fill>
    <fill>
      <patternFill patternType="solid">
        <fgColor theme="4"/>
      </patternFill>
    </fill>
    <fill>
      <patternFill patternType="solid">
        <fgColor rgb="FFEEF3F8"/>
        <bgColor indexed="64"/>
      </patternFill>
    </fill>
    <fill>
      <patternFill patternType="solid">
        <fgColor indexed="9"/>
        <bgColor indexed="64"/>
      </patternFill>
    </fill>
  </fills>
  <borders count="18">
    <border>
      <left/>
      <right/>
      <top/>
      <bottom/>
      <diagonal/>
    </border>
    <border>
      <left/>
      <right/>
      <top/>
      <bottom style="thick">
        <color theme="4"/>
      </bottom>
      <diagonal/>
    </border>
    <border>
      <left/>
      <right/>
      <top/>
      <bottom style="thin">
        <color theme="0" tint="-4.9989318521683403E-2"/>
      </bottom>
      <diagonal/>
    </border>
    <border>
      <left/>
      <right/>
      <top/>
      <bottom style="thin">
        <color theme="1"/>
      </bottom>
      <diagonal/>
    </border>
    <border>
      <left/>
      <right/>
      <top style="thin">
        <color theme="0" tint="-4.9989318521683403E-2"/>
      </top>
      <bottom style="thin">
        <color theme="1"/>
      </bottom>
      <diagonal/>
    </border>
    <border>
      <left/>
      <right/>
      <top style="thin">
        <color theme="1"/>
      </top>
      <bottom style="double">
        <color theme="1"/>
      </bottom>
      <diagonal/>
    </border>
    <border>
      <left/>
      <right/>
      <top/>
      <bottom style="thin">
        <color theme="0" tint="-0.1499984740745262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right/>
      <top/>
      <bottom style="medium">
        <color rgb="FFDA4848"/>
      </bottom>
      <diagonal/>
    </border>
  </borders>
  <cellStyleXfs count="10">
    <xf numFmtId="0" fontId="0" fillId="0" borderId="0"/>
    <xf numFmtId="44" fontId="1" fillId="0" borderId="0" applyFont="0" applyFill="0" applyBorder="0" applyAlignment="0" applyProtection="0"/>
    <xf numFmtId="0" fontId="2" fillId="0" borderId="1" applyNumberFormat="0" applyFill="0" applyAlignment="0" applyProtection="0"/>
    <xf numFmtId="0" fontId="4" fillId="2" borderId="0" applyNumberFormat="0" applyBorder="0" applyAlignment="0" applyProtection="0"/>
    <xf numFmtId="0" fontId="14" fillId="0" borderId="0"/>
    <xf numFmtId="0" fontId="15" fillId="0" borderId="15" applyNumberFormat="0" applyFill="0" applyAlignment="0" applyProtection="0"/>
    <xf numFmtId="0" fontId="16" fillId="0" borderId="0"/>
    <xf numFmtId="0" fontId="17" fillId="0" borderId="0"/>
    <xf numFmtId="0" fontId="14" fillId="0" borderId="0"/>
    <xf numFmtId="0" fontId="18" fillId="0" borderId="0" applyNumberFormat="0" applyFill="0" applyBorder="0" applyAlignment="0" applyProtection="0">
      <alignment vertical="top"/>
      <protection locked="0"/>
    </xf>
  </cellStyleXfs>
  <cellXfs count="58">
    <xf numFmtId="0" fontId="0" fillId="0" borderId="0" xfId="0"/>
    <xf numFmtId="0" fontId="6" fillId="0" borderId="0" xfId="0" applyNumberFormat="1" applyFont="1" applyAlignment="1"/>
    <xf numFmtId="0" fontId="6" fillId="0" borderId="0" xfId="0" applyNumberFormat="1" applyFont="1" applyAlignment="1">
      <alignment horizontal="right"/>
    </xf>
    <xf numFmtId="0" fontId="5" fillId="0" borderId="0" xfId="0" applyNumberFormat="1" applyFont="1" applyAlignment="1"/>
    <xf numFmtId="14" fontId="0" fillId="0" borderId="0" xfId="0" applyNumberFormat="1"/>
    <xf numFmtId="0" fontId="4" fillId="2" borderId="0" xfId="3"/>
    <xf numFmtId="41" fontId="0" fillId="0" borderId="0" xfId="0" applyNumberFormat="1"/>
    <xf numFmtId="41" fontId="3" fillId="0" borderId="0" xfId="1" applyNumberFormat="1" applyFont="1" applyBorder="1"/>
    <xf numFmtId="0" fontId="0" fillId="0" borderId="0" xfId="0" applyBorder="1"/>
    <xf numFmtId="0" fontId="3" fillId="0" borderId="0" xfId="0" applyFont="1" applyBorder="1"/>
    <xf numFmtId="41" fontId="0" fillId="0" borderId="0" xfId="1" applyNumberFormat="1" applyFont="1" applyBorder="1"/>
    <xf numFmtId="0" fontId="7" fillId="0" borderId="0" xfId="0" applyFont="1" applyBorder="1"/>
    <xf numFmtId="41" fontId="0" fillId="0" borderId="0" xfId="0" applyNumberFormat="1" applyBorder="1"/>
    <xf numFmtId="0" fontId="0" fillId="0" borderId="2" xfId="0" applyBorder="1"/>
    <xf numFmtId="0" fontId="9" fillId="0" borderId="0" xfId="0" applyFont="1"/>
    <xf numFmtId="0" fontId="11" fillId="0" borderId="0" xfId="0" applyFont="1" applyBorder="1"/>
    <xf numFmtId="0" fontId="11" fillId="0" borderId="0" xfId="0" applyFont="1"/>
    <xf numFmtId="14" fontId="8" fillId="0" borderId="0" xfId="0" applyNumberFormat="1" applyFont="1"/>
    <xf numFmtId="0" fontId="12" fillId="2" borderId="0" xfId="3" applyFont="1" applyAlignment="1">
      <alignment horizontal="right"/>
    </xf>
    <xf numFmtId="0" fontId="0" fillId="0" borderId="6" xfId="0" applyBorder="1"/>
    <xf numFmtId="0" fontId="3" fillId="0" borderId="2" xfId="0" applyFont="1" applyBorder="1"/>
    <xf numFmtId="41" fontId="3" fillId="0" borderId="3" xfId="1" applyNumberFormat="1" applyFont="1" applyBorder="1"/>
    <xf numFmtId="41" fontId="1" fillId="0" borderId="6" xfId="1" applyNumberFormat="1" applyFont="1" applyBorder="1"/>
    <xf numFmtId="0" fontId="10" fillId="3" borderId="3" xfId="0" applyFont="1" applyFill="1" applyBorder="1"/>
    <xf numFmtId="0" fontId="10" fillId="3" borderId="4" xfId="0" applyFont="1" applyFill="1" applyBorder="1"/>
    <xf numFmtId="41" fontId="10" fillId="3" borderId="3" xfId="1" applyNumberFormat="1" applyFont="1" applyFill="1" applyBorder="1"/>
    <xf numFmtId="0" fontId="10" fillId="3" borderId="5" xfId="0" applyFont="1" applyFill="1" applyBorder="1"/>
    <xf numFmtId="41" fontId="10" fillId="3" borderId="5" xfId="1" applyNumberFormat="1" applyFont="1" applyFill="1" applyBorder="1"/>
    <xf numFmtId="0" fontId="10" fillId="3" borderId="7" xfId="0" applyFont="1" applyFill="1" applyBorder="1"/>
    <xf numFmtId="0" fontId="5" fillId="0" borderId="10" xfId="0" applyNumberFormat="1" applyFont="1" applyBorder="1" applyAlignment="1"/>
    <xf numFmtId="14" fontId="5" fillId="0" borderId="0" xfId="0" applyNumberFormat="1" applyFont="1" applyBorder="1" applyAlignment="1">
      <alignment horizontal="right"/>
    </xf>
    <xf numFmtId="0" fontId="5" fillId="0" borderId="11" xfId="0" applyNumberFormat="1" applyFont="1" applyBorder="1" applyAlignment="1">
      <alignment horizontal="right"/>
    </xf>
    <xf numFmtId="0" fontId="0" fillId="0" borderId="12" xfId="0" applyBorder="1"/>
    <xf numFmtId="0" fontId="10" fillId="3" borderId="8" xfId="0" applyFont="1" applyFill="1" applyBorder="1" applyAlignment="1">
      <alignment horizontal="right"/>
    </xf>
    <xf numFmtId="0" fontId="10" fillId="3" borderId="9" xfId="0" applyFont="1" applyFill="1" applyBorder="1" applyAlignment="1">
      <alignment horizontal="right"/>
    </xf>
    <xf numFmtId="0" fontId="0" fillId="0" borderId="13" xfId="0" applyBorder="1" applyAlignment="1">
      <alignment horizontal="right"/>
    </xf>
    <xf numFmtId="0" fontId="0" fillId="0" borderId="14" xfId="0" applyBorder="1" applyAlignment="1">
      <alignment horizontal="right"/>
    </xf>
    <xf numFmtId="0" fontId="0" fillId="0" borderId="0" xfId="0" applyAlignment="1">
      <alignment horizontal="right"/>
    </xf>
    <xf numFmtId="0" fontId="5" fillId="0" borderId="10" xfId="0" applyNumberFormat="1" applyFont="1" applyBorder="1" applyAlignment="1">
      <alignment horizontal="left"/>
    </xf>
    <xf numFmtId="0" fontId="5" fillId="0" borderId="0" xfId="0" applyNumberFormat="1" applyFont="1" applyBorder="1" applyAlignment="1">
      <alignment horizontal="right"/>
    </xf>
    <xf numFmtId="0" fontId="19" fillId="0" borderId="0" xfId="2" applyFont="1" applyBorder="1"/>
    <xf numFmtId="0" fontId="20" fillId="0" borderId="0" xfId="4" applyFont="1"/>
    <xf numFmtId="0" fontId="0" fillId="0" borderId="0" xfId="0" quotePrefix="1"/>
    <xf numFmtId="0" fontId="20" fillId="0" borderId="0" xfId="4" applyFont="1" applyAlignment="1">
      <alignment vertical="top"/>
    </xf>
    <xf numFmtId="0" fontId="23" fillId="0" borderId="0" xfId="4" applyFont="1" applyAlignment="1">
      <alignment vertical="top" wrapText="1"/>
    </xf>
    <xf numFmtId="0" fontId="23" fillId="0" borderId="0" xfId="4" applyFont="1" applyAlignment="1">
      <alignment horizontal="right" vertical="top"/>
    </xf>
    <xf numFmtId="0" fontId="20" fillId="0" borderId="0" xfId="4" applyFont="1" applyAlignment="1">
      <alignment vertical="top" wrapText="1"/>
    </xf>
    <xf numFmtId="0" fontId="20" fillId="0" borderId="0" xfId="4" applyFont="1" applyAlignment="1">
      <alignment horizontal="right" vertical="top"/>
    </xf>
    <xf numFmtId="0" fontId="24" fillId="4" borderId="0" xfId="6" applyFont="1" applyFill="1" applyAlignment="1">
      <alignment vertical="top" wrapText="1"/>
    </xf>
    <xf numFmtId="0" fontId="25" fillId="4" borderId="16" xfId="6" applyFont="1" applyFill="1" applyBorder="1" applyAlignment="1">
      <alignment vertical="top" wrapText="1"/>
    </xf>
    <xf numFmtId="0" fontId="21" fillId="0" borderId="0" xfId="0" applyFont="1" applyAlignment="1">
      <alignment vertical="top" wrapText="1"/>
    </xf>
    <xf numFmtId="0" fontId="21" fillId="0" borderId="0" xfId="0" applyFont="1" applyAlignment="1">
      <alignment vertical="top"/>
    </xf>
    <xf numFmtId="0" fontId="21" fillId="0" borderId="0" xfId="0" applyFont="1"/>
    <xf numFmtId="0" fontId="26" fillId="0" borderId="0" xfId="0" applyFont="1" applyAlignment="1">
      <alignment vertical="top"/>
    </xf>
    <xf numFmtId="0" fontId="27" fillId="0" borderId="0" xfId="0" applyFont="1" applyAlignment="1">
      <alignment vertical="top" wrapText="1"/>
    </xf>
    <xf numFmtId="0" fontId="18" fillId="0" borderId="0" xfId="9" applyAlignment="1" applyProtection="1">
      <alignment vertical="top"/>
    </xf>
    <xf numFmtId="0" fontId="28" fillId="0" borderId="0" xfId="0" applyFont="1" applyAlignment="1">
      <alignment vertical="top"/>
    </xf>
    <xf numFmtId="0" fontId="22" fillId="0" borderId="17" xfId="5" applyFont="1" applyFill="1" applyBorder="1" applyAlignment="1">
      <alignment vertical="top"/>
    </xf>
  </cellXfs>
  <cellStyles count="10">
    <cellStyle name="Accent1" xfId="3" builtinId="29"/>
    <cellStyle name="Currency" xfId="1" builtinId="4"/>
    <cellStyle name="Heading 1" xfId="2" builtinId="16"/>
    <cellStyle name="Heading 3 2" xfId="5"/>
    <cellStyle name="Hyperlink 3" xfId="9"/>
    <cellStyle name="Normal" xfId="0" builtinId="0"/>
    <cellStyle name="Normal 2" xfId="4"/>
    <cellStyle name="Normal 2 2" xfId="7"/>
    <cellStyle name="Normal 2 4" xfId="6"/>
    <cellStyle name="Normal 3" xfId="8"/>
  </cellStyles>
  <dxfs count="0"/>
  <tableStyles count="0" defaultTableStyle="TableStyleMedium2" defaultPivotStyle="PivotStyleLight16"/>
  <colors>
    <mruColors>
      <color rgb="FFEEF3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Segoe UI" panose="020B0502040204020203" pitchFamily="34" charset="0"/>
                <a:ea typeface="Segoe UI" panose="020B0502040204020203" pitchFamily="34" charset="0"/>
                <a:cs typeface="Segoe UI" panose="020B0502040204020203" pitchFamily="34" charset="0"/>
              </a:defRPr>
            </a:pPr>
            <a:r>
              <a:rPr lang="en-US">
                <a:latin typeface="Segoe UI" panose="020B0502040204020203" pitchFamily="34" charset="0"/>
                <a:ea typeface="Segoe UI" panose="020B0502040204020203" pitchFamily="34" charset="0"/>
                <a:cs typeface="Segoe UI" panose="020B0502040204020203" pitchFamily="34" charset="0"/>
              </a:rPr>
              <a:t>Income and Expenses by Month</a:t>
            </a:r>
          </a:p>
        </c:rich>
      </c:tx>
      <c:layout>
        <c:manualLayout>
          <c:xMode val="edge"/>
          <c:yMode val="edge"/>
          <c:x val="0.58515860104552886"/>
          <c:y val="0"/>
        </c:manualLayout>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Segoe UI" panose="020B0502040204020203" pitchFamily="34" charset="0"/>
              <a:ea typeface="Segoe UI" panose="020B0502040204020203" pitchFamily="34" charset="0"/>
              <a:cs typeface="Segoe UI" panose="020B0502040204020203" pitchFamily="34" charset="0"/>
            </a:defRPr>
          </a:pPr>
          <a:endParaRPr lang="en-US"/>
        </a:p>
      </c:txPr>
    </c:title>
    <c:autoTitleDeleted val="0"/>
    <c:plotArea>
      <c:layout/>
      <c:barChart>
        <c:barDir val="col"/>
        <c:grouping val="clustered"/>
        <c:varyColors val="0"/>
        <c:ser>
          <c:idx val="0"/>
          <c:order val="0"/>
          <c:tx>
            <c:strRef>
              <c:f>'Income Statement by month'!$D$33</c:f>
              <c:strCache>
                <c:ptCount val="1"/>
                <c:pt idx="0">
                  <c:v>Gross Profit</c:v>
                </c:pt>
              </c:strCache>
            </c:strRef>
          </c:tx>
          <c:spPr>
            <a:gradFill rotWithShape="1">
              <a:gsLst>
                <a:gs pos="0">
                  <a:schemeClr val="accent3">
                    <a:tint val="58000"/>
                    <a:shade val="51000"/>
                    <a:satMod val="130000"/>
                  </a:schemeClr>
                </a:gs>
                <a:gs pos="80000">
                  <a:schemeClr val="accent3">
                    <a:tint val="58000"/>
                    <a:shade val="93000"/>
                    <a:satMod val="130000"/>
                  </a:schemeClr>
                </a:gs>
                <a:gs pos="100000">
                  <a:schemeClr val="accent3">
                    <a:tint val="58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'Income Statement by month'!$G$6:$J$6</c:f>
              <c:strCache>
                <c:ptCount val="3"/>
                <c:pt idx="0">
                  <c:v>2012 Jan</c:v>
                </c:pt>
                <c:pt idx="1">
                  <c:v>2012 Feb</c:v>
                </c:pt>
                <c:pt idx="2">
                  <c:v>2012 Mar</c:v>
                </c:pt>
              </c:strCache>
            </c:strRef>
          </c:cat>
          <c:val>
            <c:numRef>
              <c:f>'Income Statement by month'!$G$33:$J$33</c:f>
              <c:numCache>
                <c:formatCode>_(* #,##0_);_(* \(#,##0\);_(* "-"_);_(@_)</c:formatCode>
                <c:ptCount val="3"/>
                <c:pt idx="0">
                  <c:v>21983168.670000002</c:v>
                </c:pt>
                <c:pt idx="1">
                  <c:v>23116947.760000005</c:v>
                </c:pt>
                <c:pt idx="2">
                  <c:v>30792457.290000018</c:v>
                </c:pt>
              </c:numCache>
            </c:numRef>
          </c:val>
          <c:extLst>
            <c:ext xmlns:c16="http://schemas.microsoft.com/office/drawing/2014/chart" uri="{C3380CC4-5D6E-409C-BE32-E72D297353CC}">
              <c16:uniqueId val="{00000000-0388-403A-A7F8-A10F773C22EF}"/>
            </c:ext>
          </c:extLst>
        </c:ser>
        <c:ser>
          <c:idx val="1"/>
          <c:order val="1"/>
          <c:tx>
            <c:strRef>
              <c:f>'Income Statement by month'!$D$116</c:f>
              <c:strCache>
                <c:ptCount val="1"/>
                <c:pt idx="0">
                  <c:v>Total Operating Expenses</c:v>
                </c:pt>
              </c:strCache>
            </c:strRef>
          </c:tx>
          <c:spPr>
            <a:solidFill>
              <a:schemeClr val="accent2">
                <a:lumMod val="75000"/>
              </a:schemeClr>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'Income Statement by month'!$G$6:$J$6</c:f>
              <c:strCache>
                <c:ptCount val="3"/>
                <c:pt idx="0">
                  <c:v>2012 Jan</c:v>
                </c:pt>
                <c:pt idx="1">
                  <c:v>2012 Feb</c:v>
                </c:pt>
                <c:pt idx="2">
                  <c:v>2012 Mar</c:v>
                </c:pt>
              </c:strCache>
            </c:strRef>
          </c:cat>
          <c:val>
            <c:numRef>
              <c:f>'Income Statement by month'!$G$116:$J$116</c:f>
              <c:numCache>
                <c:formatCode>_(* #,##0_);_(* \(#,##0\);_(* "-"_);_(@_)</c:formatCode>
                <c:ptCount val="3"/>
                <c:pt idx="0">
                  <c:v>-2203421.2200000007</c:v>
                </c:pt>
                <c:pt idx="1">
                  <c:v>-3315860.4400000013</c:v>
                </c:pt>
                <c:pt idx="2">
                  <c:v>-4303778.5000000019</c:v>
                </c:pt>
              </c:numCache>
            </c:numRef>
          </c:val>
          <c:extLst>
            <c:ext xmlns:c16="http://schemas.microsoft.com/office/drawing/2014/chart" uri="{C3380CC4-5D6E-409C-BE32-E72D297353CC}">
              <c16:uniqueId val="{00000001-0388-403A-A7F8-A10F773C22EF}"/>
            </c:ext>
          </c:extLst>
        </c:ser>
        <c:ser>
          <c:idx val="2"/>
          <c:order val="2"/>
          <c:tx>
            <c:strRef>
              <c:f>'Income Statement by month'!$D$153</c:f>
              <c:strCache>
                <c:ptCount val="1"/>
                <c:pt idx="0">
                  <c:v>Total Other Income/Expenses</c:v>
                </c:pt>
              </c:strCache>
            </c:strRef>
          </c:tx>
          <c:spPr>
            <a:gradFill rotWithShape="1">
              <a:gsLst>
                <a:gs pos="0">
                  <a:schemeClr val="accent3">
                    <a:shade val="86000"/>
                    <a:shade val="51000"/>
                    <a:satMod val="130000"/>
                  </a:schemeClr>
                </a:gs>
                <a:gs pos="80000">
                  <a:schemeClr val="accent3">
                    <a:shade val="86000"/>
                    <a:shade val="93000"/>
                    <a:satMod val="130000"/>
                  </a:schemeClr>
                </a:gs>
                <a:gs pos="100000">
                  <a:schemeClr val="accent3">
                    <a:shade val="86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'Income Statement by month'!$G$6:$J$6</c:f>
              <c:strCache>
                <c:ptCount val="3"/>
                <c:pt idx="0">
                  <c:v>2012 Jan</c:v>
                </c:pt>
                <c:pt idx="1">
                  <c:v>2012 Feb</c:v>
                </c:pt>
                <c:pt idx="2">
                  <c:v>2012 Mar</c:v>
                </c:pt>
              </c:strCache>
            </c:strRef>
          </c:cat>
          <c:val>
            <c:numRef>
              <c:f>'Income Statement by month'!$G$153:$J$153</c:f>
              <c:numCache>
                <c:formatCode>_(* #,##0_);_(* \(#,##0\);_(* "-"_);_(@_)</c:formatCode>
                <c:ptCount val="3"/>
                <c:pt idx="0">
                  <c:v>1319202.68</c:v>
                </c:pt>
                <c:pt idx="1">
                  <c:v>1313857.04</c:v>
                </c:pt>
                <c:pt idx="2">
                  <c:v>1382660.3</c:v>
                </c:pt>
              </c:numCache>
            </c:numRef>
          </c:val>
          <c:extLst>
            <c:ext xmlns:c16="http://schemas.microsoft.com/office/drawing/2014/chart" uri="{C3380CC4-5D6E-409C-BE32-E72D297353CC}">
              <c16:uniqueId val="{00000002-0388-403A-A7F8-A10F773C22EF}"/>
            </c:ext>
          </c:extLst>
        </c:ser>
        <c:ser>
          <c:idx val="3"/>
          <c:order val="3"/>
          <c:tx>
            <c:strRef>
              <c:f>'Income Statement by month'!$D$159</c:f>
              <c:strCache>
                <c:ptCount val="1"/>
                <c:pt idx="0">
                  <c:v>Net Income</c:v>
                </c:pt>
              </c:strCache>
            </c:strRef>
          </c:tx>
          <c:spPr>
            <a:gradFill rotWithShape="1">
              <a:gsLst>
                <a:gs pos="0">
                  <a:schemeClr val="accent3">
                    <a:shade val="58000"/>
                    <a:shade val="51000"/>
                    <a:satMod val="130000"/>
                  </a:schemeClr>
                </a:gs>
                <a:gs pos="80000">
                  <a:schemeClr val="accent3">
                    <a:shade val="58000"/>
                    <a:shade val="93000"/>
                    <a:satMod val="130000"/>
                  </a:schemeClr>
                </a:gs>
                <a:gs pos="100000">
                  <a:schemeClr val="accent3">
                    <a:shade val="58000"/>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'Income Statement by month'!$G$6:$J$6</c:f>
              <c:strCache>
                <c:ptCount val="3"/>
                <c:pt idx="0">
                  <c:v>2012 Jan</c:v>
                </c:pt>
                <c:pt idx="1">
                  <c:v>2012 Feb</c:v>
                </c:pt>
                <c:pt idx="2">
                  <c:v>2012 Mar</c:v>
                </c:pt>
              </c:strCache>
            </c:strRef>
          </c:cat>
          <c:val>
            <c:numRef>
              <c:f>'Income Statement by month'!$G$159:$J$159</c:f>
              <c:numCache>
                <c:formatCode>_(* #,##0_);_(* \(#,##0\);_(* "-"_);_(@_)</c:formatCode>
                <c:ptCount val="3"/>
                <c:pt idx="0">
                  <c:v>21098950.130000003</c:v>
                </c:pt>
                <c:pt idx="1">
                  <c:v>21114944.360000003</c:v>
                </c:pt>
                <c:pt idx="2">
                  <c:v>27871339.090000015</c:v>
                </c:pt>
              </c:numCache>
            </c:numRef>
          </c:val>
          <c:extLst>
            <c:ext xmlns:c16="http://schemas.microsoft.com/office/drawing/2014/chart" uri="{C3380CC4-5D6E-409C-BE32-E72D297353CC}">
              <c16:uniqueId val="{00000003-0388-403A-A7F8-A10F773C22EF}"/>
            </c:ext>
          </c:extLst>
        </c:ser>
        <c:dLbls>
          <c:showLegendKey val="0"/>
          <c:showVal val="0"/>
          <c:showCatName val="0"/>
          <c:showSerName val="0"/>
          <c:showPercent val="0"/>
          <c:showBubbleSize val="0"/>
        </c:dLbls>
        <c:gapWidth val="320"/>
        <c:overlap val="13"/>
        <c:axId val="323734872"/>
        <c:axId val="323731344"/>
      </c:barChart>
      <c:catAx>
        <c:axId val="323734872"/>
        <c:scaling>
          <c:orientation val="minMax"/>
        </c:scaling>
        <c:delete val="0"/>
        <c:axPos val="b"/>
        <c:numFmt formatCode="General" sourceLinked="1"/>
        <c:majorTickMark val="none"/>
        <c:minorTickMark val="none"/>
        <c:tickLblPos val="low"/>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1100" b="0" i="0" u="none" strike="noStrike" kern="1200" baseline="0">
                <a:solidFill>
                  <a:schemeClr val="lt1">
                    <a:lumMod val="85000"/>
                  </a:schemeClr>
                </a:solidFill>
                <a:latin typeface="Segoe UI" panose="020B0502040204020203" pitchFamily="34" charset="0"/>
                <a:ea typeface="Segoe UI" panose="020B0502040204020203" pitchFamily="34" charset="0"/>
                <a:cs typeface="Segoe UI" panose="020B0502040204020203" pitchFamily="34" charset="0"/>
              </a:defRPr>
            </a:pPr>
            <a:endParaRPr lang="en-US"/>
          </a:p>
        </c:txPr>
        <c:crossAx val="323731344"/>
        <c:crosses val="autoZero"/>
        <c:auto val="1"/>
        <c:lblAlgn val="ctr"/>
        <c:lblOffset val="100"/>
        <c:noMultiLvlLbl val="0"/>
      </c:catAx>
      <c:valAx>
        <c:axId val="323731344"/>
        <c:scaling>
          <c:orientation val="minMax"/>
        </c:scaling>
        <c:delete val="0"/>
        <c:axPos val="l"/>
        <c:majorGridlines>
          <c:spPr>
            <a:ln w="9525" cap="flat" cmpd="sng" algn="ctr">
              <a:solidFill>
                <a:schemeClr val="lt1">
                  <a:lumMod val="95000"/>
                  <a:alpha val="10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lt1">
                    <a:lumMod val="85000"/>
                  </a:schemeClr>
                </a:solidFill>
                <a:latin typeface="Segoe UI" panose="020B0502040204020203" pitchFamily="34" charset="0"/>
                <a:ea typeface="Segoe UI" panose="020B0502040204020203" pitchFamily="34" charset="0"/>
                <a:cs typeface="Segoe UI" panose="020B0502040204020203" pitchFamily="34" charset="0"/>
              </a:defRPr>
            </a:pPr>
            <a:endParaRPr lang="en-US"/>
          </a:p>
        </c:txPr>
        <c:crossAx val="3237348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50" b="0" i="0" u="none" strike="noStrike" kern="1200" baseline="0">
              <a:solidFill>
                <a:schemeClr val="lt1">
                  <a:lumMod val="85000"/>
                </a:schemeClr>
              </a:solidFill>
              <a:latin typeface="+mn-lt"/>
              <a:ea typeface="+mn-ea"/>
              <a:cs typeface="+mn-cs"/>
            </a:defRPr>
          </a:pPr>
          <a:endParaRPr lang="en-US"/>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3">
  <a:schemeClr val="accent3"/>
</cs:colorStyle>
</file>

<file path=xl/charts/style1.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0</xdr:colOff>
      <xdr:row>4</xdr:row>
      <xdr:rowOff>0</xdr:rowOff>
    </xdr:from>
    <xdr:to>
      <xdr:col>20</xdr:col>
      <xdr:colOff>440531</xdr:colOff>
      <xdr:row>81</xdr:row>
      <xdr:rowOff>142876</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heetViews>
  <sheetFormatPr defaultColWidth="10.28515625" defaultRowHeight="14.25" x14ac:dyDescent="0.25"/>
  <cols>
    <col min="1" max="1" width="10.28515625" style="41" hidden="1" customWidth="1"/>
    <col min="2" max="2" width="3.42578125" style="41" customWidth="1"/>
    <col min="3" max="3" width="5.28515625" style="41" customWidth="1"/>
    <col min="4" max="4" width="115.7109375" style="41" customWidth="1"/>
    <col min="5" max="16384" width="10.28515625" style="41"/>
  </cols>
  <sheetData>
    <row r="1" spans="1:4" hidden="1" x14ac:dyDescent="0.25">
      <c r="A1" s="41" t="s">
        <v>16</v>
      </c>
    </row>
    <row r="3" spans="1:4" ht="15" thickBot="1" x14ac:dyDescent="0.3">
      <c r="C3" s="56" t="s">
        <v>17</v>
      </c>
      <c r="D3" s="57"/>
    </row>
    <row r="4" spans="1:4" x14ac:dyDescent="0.25">
      <c r="C4" s="43"/>
      <c r="D4" s="43" t="s">
        <v>743</v>
      </c>
    </row>
    <row r="5" spans="1:4" x14ac:dyDescent="0.25">
      <c r="C5" s="43"/>
      <c r="D5" s="44" t="s">
        <v>744</v>
      </c>
    </row>
    <row r="6" spans="1:4" x14ac:dyDescent="0.25">
      <c r="C6" s="43"/>
      <c r="D6" s="43" t="s">
        <v>745</v>
      </c>
    </row>
    <row r="7" spans="1:4" x14ac:dyDescent="0.25">
      <c r="C7" s="43"/>
      <c r="D7" s="43"/>
    </row>
    <row r="8" spans="1:4" x14ac:dyDescent="0.25">
      <c r="C8" s="43"/>
      <c r="D8" s="43"/>
    </row>
    <row r="9" spans="1:4" ht="15" thickBot="1" x14ac:dyDescent="0.3">
      <c r="C9" s="56" t="s">
        <v>746</v>
      </c>
      <c r="D9" s="57"/>
    </row>
    <row r="10" spans="1:4" x14ac:dyDescent="0.25">
      <c r="C10" s="45" t="s">
        <v>18</v>
      </c>
      <c r="D10" s="41" t="s">
        <v>171</v>
      </c>
    </row>
    <row r="11" spans="1:4" x14ac:dyDescent="0.25">
      <c r="C11" s="45"/>
      <c r="D11" s="43"/>
    </row>
    <row r="12" spans="1:4" ht="57" x14ac:dyDescent="0.25">
      <c r="C12" s="45" t="s">
        <v>172</v>
      </c>
      <c r="D12" s="46" t="s">
        <v>174</v>
      </c>
    </row>
    <row r="13" spans="1:4" x14ac:dyDescent="0.25">
      <c r="C13" s="45"/>
      <c r="D13" s="43"/>
    </row>
    <row r="14" spans="1:4" ht="28.5" x14ac:dyDescent="0.25">
      <c r="C14" s="45" t="s">
        <v>173</v>
      </c>
      <c r="D14" s="46" t="s">
        <v>758</v>
      </c>
    </row>
    <row r="15" spans="1:4" x14ac:dyDescent="0.25">
      <c r="C15" s="45"/>
      <c r="D15" s="43"/>
    </row>
    <row r="16" spans="1:4" x14ac:dyDescent="0.25">
      <c r="C16" s="47"/>
      <c r="D16" s="43"/>
    </row>
    <row r="17" spans="3:4" x14ac:dyDescent="0.25">
      <c r="C17" s="47"/>
      <c r="D17" s="43"/>
    </row>
    <row r="18" spans="3:4" x14ac:dyDescent="0.25">
      <c r="C18" s="47"/>
      <c r="D18" s="43"/>
    </row>
    <row r="19" spans="3:4" x14ac:dyDescent="0.25">
      <c r="C19" s="47"/>
      <c r="D19" s="43"/>
    </row>
    <row r="20" spans="3:4" x14ac:dyDescent="0.25">
      <c r="C20" s="47"/>
      <c r="D20" s="43"/>
    </row>
    <row r="21" spans="3:4" x14ac:dyDescent="0.25">
      <c r="C21" s="47"/>
      <c r="D21" s="43"/>
    </row>
    <row r="22" spans="3:4" x14ac:dyDescent="0.25">
      <c r="C22" s="47"/>
      <c r="D22" s="43"/>
    </row>
  </sheetData>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workbookViewId="0"/>
  </sheetViews>
  <sheetFormatPr defaultRowHeight="15" x14ac:dyDescent="0.25"/>
  <sheetData>
    <row r="1" spans="1:10" x14ac:dyDescent="0.25">
      <c r="A1" s="42" t="s">
        <v>769</v>
      </c>
      <c r="C1" s="42" t="s">
        <v>11</v>
      </c>
      <c r="H1" s="42" t="s">
        <v>78</v>
      </c>
      <c r="I1" s="42" t="s">
        <v>78</v>
      </c>
      <c r="J1" s="42" t="s">
        <v>9</v>
      </c>
    </row>
    <row r="3" spans="1:10" x14ac:dyDescent="0.25">
      <c r="D3" s="42" t="s">
        <v>10</v>
      </c>
    </row>
    <row r="5" spans="1:10" x14ac:dyDescent="0.25">
      <c r="A5" s="42" t="s">
        <v>9</v>
      </c>
      <c r="G5" s="42" t="s">
        <v>29</v>
      </c>
      <c r="H5" s="42" t="s">
        <v>187</v>
      </c>
      <c r="I5" s="42" t="s">
        <v>188</v>
      </c>
    </row>
    <row r="6" spans="1:10" x14ac:dyDescent="0.25">
      <c r="G6" s="42" t="s">
        <v>190</v>
      </c>
      <c r="H6" s="42" t="s">
        <v>234</v>
      </c>
      <c r="I6" s="42" t="s">
        <v>235</v>
      </c>
    </row>
    <row r="7" spans="1:10" x14ac:dyDescent="0.25">
      <c r="C7" s="42" t="s">
        <v>30</v>
      </c>
      <c r="D7" s="42" t="s">
        <v>233</v>
      </c>
    </row>
    <row r="8" spans="1:10" x14ac:dyDescent="0.25">
      <c r="C8" s="42" t="s">
        <v>31</v>
      </c>
      <c r="E8" s="42" t="s">
        <v>191</v>
      </c>
      <c r="G8" s="42" t="s">
        <v>192</v>
      </c>
      <c r="H8" s="42" t="s">
        <v>236</v>
      </c>
      <c r="I8" s="42" t="s">
        <v>237</v>
      </c>
    </row>
    <row r="9" spans="1:10" x14ac:dyDescent="0.25">
      <c r="A9" s="42" t="s">
        <v>78</v>
      </c>
      <c r="C9" s="42" t="s">
        <v>32</v>
      </c>
      <c r="E9" s="42" t="s">
        <v>238</v>
      </c>
      <c r="G9" s="42" t="s">
        <v>239</v>
      </c>
      <c r="H9" s="42" t="s">
        <v>240</v>
      </c>
      <c r="I9" s="42" t="s">
        <v>241</v>
      </c>
    </row>
    <row r="10" spans="1:10" x14ac:dyDescent="0.25">
      <c r="A10" s="42" t="s">
        <v>78</v>
      </c>
      <c r="C10" s="42" t="s">
        <v>121</v>
      </c>
      <c r="E10" s="42" t="s">
        <v>242</v>
      </c>
      <c r="G10" s="42" t="s">
        <v>243</v>
      </c>
      <c r="H10" s="42" t="s">
        <v>244</v>
      </c>
      <c r="I10" s="42" t="s">
        <v>245</v>
      </c>
    </row>
    <row r="11" spans="1:10" x14ac:dyDescent="0.25">
      <c r="A11" s="42" t="s">
        <v>78</v>
      </c>
      <c r="C11" s="42" t="s">
        <v>122</v>
      </c>
      <c r="E11" s="42" t="s">
        <v>246</v>
      </c>
      <c r="G11" s="42" t="s">
        <v>247</v>
      </c>
      <c r="H11" s="42" t="s">
        <v>248</v>
      </c>
      <c r="I11" s="42" t="s">
        <v>249</v>
      </c>
    </row>
    <row r="12" spans="1:10" x14ac:dyDescent="0.25">
      <c r="A12" s="42" t="s">
        <v>78</v>
      </c>
      <c r="C12" s="42" t="s">
        <v>35</v>
      </c>
      <c r="E12" s="42" t="s">
        <v>250</v>
      </c>
      <c r="G12" s="42" t="s">
        <v>196</v>
      </c>
      <c r="H12" s="42" t="s">
        <v>251</v>
      </c>
      <c r="I12" s="42" t="s">
        <v>252</v>
      </c>
    </row>
    <row r="13" spans="1:10" x14ac:dyDescent="0.25">
      <c r="A13" s="42" t="s">
        <v>78</v>
      </c>
      <c r="C13" s="42" t="s">
        <v>36</v>
      </c>
      <c r="E13" s="42" t="s">
        <v>253</v>
      </c>
      <c r="G13" s="42" t="s">
        <v>254</v>
      </c>
      <c r="H13" s="42" t="s">
        <v>255</v>
      </c>
      <c r="I13" s="42" t="s">
        <v>256</v>
      </c>
    </row>
    <row r="14" spans="1:10" x14ac:dyDescent="0.25">
      <c r="A14" s="42" t="s">
        <v>78</v>
      </c>
      <c r="C14" s="42" t="s">
        <v>79</v>
      </c>
      <c r="E14" s="42" t="s">
        <v>257</v>
      </c>
      <c r="G14" s="42" t="s">
        <v>258</v>
      </c>
      <c r="H14" s="42" t="s">
        <v>259</v>
      </c>
      <c r="I14" s="42" t="s">
        <v>260</v>
      </c>
    </row>
    <row r="15" spans="1:10" x14ac:dyDescent="0.25">
      <c r="A15" s="42" t="s">
        <v>78</v>
      </c>
      <c r="C15" s="42" t="s">
        <v>80</v>
      </c>
      <c r="E15" s="42" t="s">
        <v>261</v>
      </c>
      <c r="G15" s="42" t="s">
        <v>262</v>
      </c>
      <c r="H15" s="42" t="s">
        <v>263</v>
      </c>
      <c r="I15" s="42" t="s">
        <v>264</v>
      </c>
    </row>
    <row r="16" spans="1:10" x14ac:dyDescent="0.25">
      <c r="C16" s="42" t="s">
        <v>32</v>
      </c>
      <c r="E16" s="42" t="s">
        <v>33</v>
      </c>
      <c r="G16" s="42" t="s">
        <v>265</v>
      </c>
      <c r="H16" s="42" t="s">
        <v>266</v>
      </c>
      <c r="I16" s="42" t="s">
        <v>267</v>
      </c>
    </row>
    <row r="18" spans="1:9" x14ac:dyDescent="0.25">
      <c r="C18" s="42" t="s">
        <v>268</v>
      </c>
      <c r="D18" s="42" t="s">
        <v>194</v>
      </c>
    </row>
    <row r="19" spans="1:9" x14ac:dyDescent="0.25">
      <c r="C19" s="42" t="s">
        <v>41</v>
      </c>
      <c r="E19" s="42" t="s">
        <v>269</v>
      </c>
      <c r="G19" s="42" t="s">
        <v>270</v>
      </c>
      <c r="H19" s="42" t="s">
        <v>271</v>
      </c>
      <c r="I19" s="42" t="s">
        <v>272</v>
      </c>
    </row>
    <row r="20" spans="1:9" x14ac:dyDescent="0.25">
      <c r="A20" s="42" t="s">
        <v>78</v>
      </c>
      <c r="C20" s="42" t="s">
        <v>81</v>
      </c>
      <c r="E20" s="42" t="s">
        <v>273</v>
      </c>
      <c r="G20" s="42" t="s">
        <v>274</v>
      </c>
      <c r="H20" s="42" t="s">
        <v>275</v>
      </c>
      <c r="I20" s="42" t="s">
        <v>276</v>
      </c>
    </row>
    <row r="21" spans="1:9" x14ac:dyDescent="0.25">
      <c r="A21" s="42" t="s">
        <v>78</v>
      </c>
      <c r="C21" s="42" t="s">
        <v>277</v>
      </c>
      <c r="E21" s="42" t="s">
        <v>278</v>
      </c>
      <c r="G21" s="42" t="s">
        <v>279</v>
      </c>
      <c r="H21" s="42" t="s">
        <v>280</v>
      </c>
      <c r="I21" s="42" t="s">
        <v>281</v>
      </c>
    </row>
    <row r="22" spans="1:9" x14ac:dyDescent="0.25">
      <c r="A22" s="42" t="s">
        <v>78</v>
      </c>
      <c r="C22" s="42" t="s">
        <v>44</v>
      </c>
      <c r="E22" s="42" t="s">
        <v>282</v>
      </c>
      <c r="G22" s="42" t="s">
        <v>204</v>
      </c>
      <c r="H22" s="42" t="s">
        <v>283</v>
      </c>
      <c r="I22" s="42" t="s">
        <v>284</v>
      </c>
    </row>
    <row r="23" spans="1:9" x14ac:dyDescent="0.25">
      <c r="A23" s="42" t="s">
        <v>78</v>
      </c>
      <c r="C23" s="42" t="s">
        <v>45</v>
      </c>
      <c r="E23" s="42" t="s">
        <v>285</v>
      </c>
      <c r="G23" s="42" t="s">
        <v>286</v>
      </c>
      <c r="H23" s="42" t="s">
        <v>287</v>
      </c>
      <c r="I23" s="42" t="s">
        <v>288</v>
      </c>
    </row>
    <row r="24" spans="1:9" x14ac:dyDescent="0.25">
      <c r="A24" s="42" t="s">
        <v>78</v>
      </c>
      <c r="C24" s="42" t="s">
        <v>82</v>
      </c>
      <c r="E24" s="42" t="s">
        <v>289</v>
      </c>
      <c r="G24" s="42" t="s">
        <v>290</v>
      </c>
      <c r="H24" s="42" t="s">
        <v>291</v>
      </c>
      <c r="I24" s="42" t="s">
        <v>292</v>
      </c>
    </row>
    <row r="25" spans="1:9" x14ac:dyDescent="0.25">
      <c r="A25" s="42" t="s">
        <v>78</v>
      </c>
      <c r="C25" s="42" t="s">
        <v>83</v>
      </c>
      <c r="E25" s="42" t="s">
        <v>293</v>
      </c>
      <c r="G25" s="42" t="s">
        <v>294</v>
      </c>
      <c r="H25" s="42" t="s">
        <v>295</v>
      </c>
      <c r="I25" s="42" t="s">
        <v>296</v>
      </c>
    </row>
    <row r="26" spans="1:9" x14ac:dyDescent="0.25">
      <c r="A26" s="42" t="s">
        <v>78</v>
      </c>
      <c r="C26" s="42" t="s">
        <v>48</v>
      </c>
      <c r="E26" s="42" t="s">
        <v>297</v>
      </c>
      <c r="G26" s="42" t="s">
        <v>208</v>
      </c>
      <c r="H26" s="42" t="s">
        <v>298</v>
      </c>
      <c r="I26" s="42" t="s">
        <v>299</v>
      </c>
    </row>
    <row r="27" spans="1:9" x14ac:dyDescent="0.25">
      <c r="A27" s="42" t="s">
        <v>78</v>
      </c>
      <c r="C27" s="42" t="s">
        <v>49</v>
      </c>
      <c r="E27" s="42" t="s">
        <v>300</v>
      </c>
      <c r="G27" s="42" t="s">
        <v>301</v>
      </c>
      <c r="H27" s="42" t="s">
        <v>302</v>
      </c>
      <c r="I27" s="42" t="s">
        <v>303</v>
      </c>
    </row>
    <row r="28" spans="1:9" x14ac:dyDescent="0.25">
      <c r="A28" s="42" t="s">
        <v>78</v>
      </c>
      <c r="C28" s="42" t="s">
        <v>123</v>
      </c>
      <c r="E28" s="42" t="s">
        <v>304</v>
      </c>
      <c r="G28" s="42" t="s">
        <v>305</v>
      </c>
      <c r="H28" s="42" t="s">
        <v>306</v>
      </c>
      <c r="I28" s="42" t="s">
        <v>307</v>
      </c>
    </row>
    <row r="29" spans="1:9" x14ac:dyDescent="0.25">
      <c r="A29" s="42" t="s">
        <v>78</v>
      </c>
      <c r="C29" s="42" t="s">
        <v>124</v>
      </c>
      <c r="E29" s="42" t="s">
        <v>308</v>
      </c>
      <c r="G29" s="42" t="s">
        <v>309</v>
      </c>
      <c r="H29" s="42" t="s">
        <v>310</v>
      </c>
      <c r="I29" s="42" t="s">
        <v>311</v>
      </c>
    </row>
    <row r="30" spans="1:9" x14ac:dyDescent="0.25">
      <c r="A30" s="42" t="s">
        <v>78</v>
      </c>
      <c r="C30" s="42" t="s">
        <v>52</v>
      </c>
      <c r="E30" s="42" t="s">
        <v>312</v>
      </c>
      <c r="G30" s="42" t="s">
        <v>212</v>
      </c>
      <c r="H30" s="42" t="s">
        <v>313</v>
      </c>
      <c r="I30" s="42" t="s">
        <v>314</v>
      </c>
    </row>
    <row r="31" spans="1:9" x14ac:dyDescent="0.25">
      <c r="C31" s="42" t="s">
        <v>81</v>
      </c>
      <c r="E31" s="42" t="s">
        <v>315</v>
      </c>
      <c r="G31" s="42" t="s">
        <v>213</v>
      </c>
      <c r="H31" s="42" t="s">
        <v>316</v>
      </c>
      <c r="I31" s="42" t="s">
        <v>317</v>
      </c>
    </row>
    <row r="33" spans="1:9" x14ac:dyDescent="0.25">
      <c r="D33" s="42" t="s">
        <v>1</v>
      </c>
      <c r="G33" s="42" t="s">
        <v>318</v>
      </c>
      <c r="H33" s="42" t="s">
        <v>319</v>
      </c>
      <c r="I33" s="42" t="s">
        <v>320</v>
      </c>
    </row>
    <row r="35" spans="1:9" x14ac:dyDescent="0.25">
      <c r="C35" s="42" t="s">
        <v>321</v>
      </c>
      <c r="D35" s="42" t="s">
        <v>198</v>
      </c>
    </row>
    <row r="36" spans="1:9" x14ac:dyDescent="0.25">
      <c r="C36" s="42" t="s">
        <v>86</v>
      </c>
      <c r="E36" s="42" t="s">
        <v>322</v>
      </c>
      <c r="G36" s="42" t="s">
        <v>323</v>
      </c>
      <c r="H36" s="42" t="s">
        <v>324</v>
      </c>
      <c r="I36" s="42" t="s">
        <v>325</v>
      </c>
    </row>
    <row r="37" spans="1:9" x14ac:dyDescent="0.25">
      <c r="A37" s="42" t="s">
        <v>78</v>
      </c>
      <c r="C37" s="42" t="s">
        <v>87</v>
      </c>
      <c r="E37" s="42" t="s">
        <v>84</v>
      </c>
      <c r="G37" s="42" t="s">
        <v>326</v>
      </c>
      <c r="H37" s="42" t="s">
        <v>327</v>
      </c>
      <c r="I37" s="42" t="s">
        <v>328</v>
      </c>
    </row>
    <row r="38" spans="1:9" x14ac:dyDescent="0.25">
      <c r="A38" s="42" t="s">
        <v>78</v>
      </c>
      <c r="C38" s="42" t="s">
        <v>60</v>
      </c>
      <c r="E38" s="42" t="s">
        <v>329</v>
      </c>
      <c r="G38" s="42" t="s">
        <v>220</v>
      </c>
      <c r="H38" s="42" t="s">
        <v>330</v>
      </c>
      <c r="I38" s="42" t="s">
        <v>331</v>
      </c>
    </row>
    <row r="39" spans="1:9" x14ac:dyDescent="0.25">
      <c r="A39" s="42" t="s">
        <v>78</v>
      </c>
      <c r="C39" s="42" t="s">
        <v>61</v>
      </c>
      <c r="E39" s="42" t="s">
        <v>85</v>
      </c>
      <c r="G39" s="42" t="s">
        <v>332</v>
      </c>
      <c r="H39" s="42" t="s">
        <v>333</v>
      </c>
      <c r="I39" s="42" t="s">
        <v>334</v>
      </c>
    </row>
    <row r="40" spans="1:9" x14ac:dyDescent="0.25">
      <c r="A40" s="42" t="s">
        <v>78</v>
      </c>
      <c r="C40" s="42" t="s">
        <v>90</v>
      </c>
      <c r="E40" s="42" t="s">
        <v>335</v>
      </c>
      <c r="G40" s="42" t="s">
        <v>336</v>
      </c>
      <c r="H40" s="42" t="s">
        <v>337</v>
      </c>
      <c r="I40" s="42" t="s">
        <v>338</v>
      </c>
    </row>
    <row r="41" spans="1:9" x14ac:dyDescent="0.25">
      <c r="A41" s="42" t="s">
        <v>78</v>
      </c>
      <c r="C41" s="42" t="s">
        <v>91</v>
      </c>
      <c r="E41" s="42" t="s">
        <v>339</v>
      </c>
      <c r="G41" s="42" t="s">
        <v>340</v>
      </c>
      <c r="H41" s="42" t="s">
        <v>341</v>
      </c>
      <c r="I41" s="42" t="s">
        <v>342</v>
      </c>
    </row>
    <row r="42" spans="1:9" x14ac:dyDescent="0.25">
      <c r="A42" s="42" t="s">
        <v>78</v>
      </c>
      <c r="C42" s="42" t="s">
        <v>93</v>
      </c>
      <c r="E42" s="42" t="s">
        <v>88</v>
      </c>
      <c r="G42" s="42" t="s">
        <v>343</v>
      </c>
      <c r="H42" s="42" t="s">
        <v>344</v>
      </c>
      <c r="I42" s="42" t="s">
        <v>345</v>
      </c>
    </row>
    <row r="43" spans="1:9" x14ac:dyDescent="0.25">
      <c r="A43" s="42" t="s">
        <v>78</v>
      </c>
      <c r="C43" s="42" t="s">
        <v>346</v>
      </c>
      <c r="E43" s="42" t="s">
        <v>347</v>
      </c>
      <c r="G43" s="42" t="s">
        <v>348</v>
      </c>
      <c r="H43" s="42" t="s">
        <v>349</v>
      </c>
      <c r="I43" s="42" t="s">
        <v>350</v>
      </c>
    </row>
    <row r="44" spans="1:9" x14ac:dyDescent="0.25">
      <c r="A44" s="42" t="s">
        <v>78</v>
      </c>
      <c r="C44" s="42" t="s">
        <v>65</v>
      </c>
      <c r="E44" s="42" t="s">
        <v>89</v>
      </c>
      <c r="G44" s="42" t="s">
        <v>224</v>
      </c>
      <c r="H44" s="42" t="s">
        <v>351</v>
      </c>
      <c r="I44" s="42" t="s">
        <v>352</v>
      </c>
    </row>
    <row r="45" spans="1:9" x14ac:dyDescent="0.25">
      <c r="A45" s="42" t="s">
        <v>78</v>
      </c>
      <c r="C45" s="42" t="s">
        <v>66</v>
      </c>
      <c r="E45" s="42" t="s">
        <v>353</v>
      </c>
      <c r="G45" s="42" t="s">
        <v>354</v>
      </c>
      <c r="H45" s="42" t="s">
        <v>355</v>
      </c>
      <c r="I45" s="42" t="s">
        <v>356</v>
      </c>
    </row>
    <row r="46" spans="1:9" x14ac:dyDescent="0.25">
      <c r="A46" s="42" t="s">
        <v>78</v>
      </c>
      <c r="C46" s="42" t="s">
        <v>357</v>
      </c>
      <c r="E46" s="42" t="s">
        <v>92</v>
      </c>
      <c r="G46" s="42" t="s">
        <v>358</v>
      </c>
      <c r="H46" s="42" t="s">
        <v>359</v>
      </c>
      <c r="I46" s="42" t="s">
        <v>360</v>
      </c>
    </row>
    <row r="47" spans="1:9" x14ac:dyDescent="0.25">
      <c r="A47" s="42" t="s">
        <v>78</v>
      </c>
      <c r="C47" s="42" t="s">
        <v>361</v>
      </c>
      <c r="E47" s="42" t="s">
        <v>362</v>
      </c>
      <c r="G47" s="42" t="s">
        <v>363</v>
      </c>
      <c r="H47" s="42" t="s">
        <v>364</v>
      </c>
      <c r="I47" s="42" t="s">
        <v>365</v>
      </c>
    </row>
    <row r="48" spans="1:9" x14ac:dyDescent="0.25">
      <c r="A48" s="42" t="s">
        <v>78</v>
      </c>
      <c r="C48" s="42" t="s">
        <v>69</v>
      </c>
      <c r="E48" s="42" t="s">
        <v>94</v>
      </c>
      <c r="G48" s="42" t="s">
        <v>228</v>
      </c>
      <c r="H48" s="42" t="s">
        <v>366</v>
      </c>
      <c r="I48" s="42" t="s">
        <v>367</v>
      </c>
    </row>
    <row r="49" spans="1:9" x14ac:dyDescent="0.25">
      <c r="A49" s="42" t="s">
        <v>78</v>
      </c>
      <c r="C49" s="42" t="s">
        <v>70</v>
      </c>
      <c r="E49" s="42" t="s">
        <v>368</v>
      </c>
      <c r="G49" s="42" t="s">
        <v>369</v>
      </c>
      <c r="H49" s="42" t="s">
        <v>370</v>
      </c>
      <c r="I49" s="42" t="s">
        <v>371</v>
      </c>
    </row>
    <row r="50" spans="1:9" x14ac:dyDescent="0.25">
      <c r="A50" s="42" t="s">
        <v>78</v>
      </c>
      <c r="C50" s="42" t="s">
        <v>95</v>
      </c>
      <c r="E50" s="42" t="s">
        <v>372</v>
      </c>
      <c r="G50" s="42" t="s">
        <v>373</v>
      </c>
      <c r="H50" s="42" t="s">
        <v>374</v>
      </c>
      <c r="I50" s="42" t="s">
        <v>375</v>
      </c>
    </row>
    <row r="51" spans="1:9" x14ac:dyDescent="0.25">
      <c r="A51" s="42" t="s">
        <v>78</v>
      </c>
      <c r="C51" s="42" t="s">
        <v>125</v>
      </c>
      <c r="E51" s="42" t="s">
        <v>376</v>
      </c>
      <c r="G51" s="42" t="s">
        <v>377</v>
      </c>
      <c r="H51" s="42" t="s">
        <v>378</v>
      </c>
      <c r="I51" s="42" t="s">
        <v>379</v>
      </c>
    </row>
    <row r="52" spans="1:9" x14ac:dyDescent="0.25">
      <c r="A52" s="42" t="s">
        <v>78</v>
      </c>
      <c r="C52" s="42" t="s">
        <v>126</v>
      </c>
      <c r="E52" s="42" t="s">
        <v>380</v>
      </c>
      <c r="G52" s="42" t="s">
        <v>381</v>
      </c>
      <c r="H52" s="42" t="s">
        <v>382</v>
      </c>
      <c r="I52" s="42" t="s">
        <v>383</v>
      </c>
    </row>
    <row r="53" spans="1:9" x14ac:dyDescent="0.25">
      <c r="A53" s="42" t="s">
        <v>78</v>
      </c>
      <c r="C53" s="42" t="s">
        <v>127</v>
      </c>
      <c r="E53" s="42" t="s">
        <v>384</v>
      </c>
      <c r="G53" s="42" t="s">
        <v>385</v>
      </c>
      <c r="H53" s="42" t="s">
        <v>386</v>
      </c>
      <c r="I53" s="42" t="s">
        <v>387</v>
      </c>
    </row>
    <row r="54" spans="1:9" x14ac:dyDescent="0.25">
      <c r="A54" s="42" t="s">
        <v>78</v>
      </c>
      <c r="C54" s="42" t="s">
        <v>96</v>
      </c>
      <c r="E54" s="42" t="s">
        <v>388</v>
      </c>
      <c r="G54" s="42" t="s">
        <v>389</v>
      </c>
      <c r="H54" s="42" t="s">
        <v>390</v>
      </c>
      <c r="I54" s="42" t="s">
        <v>391</v>
      </c>
    </row>
    <row r="55" spans="1:9" x14ac:dyDescent="0.25">
      <c r="A55" s="42" t="s">
        <v>78</v>
      </c>
      <c r="C55" s="42" t="s">
        <v>74</v>
      </c>
      <c r="E55" s="42" t="s">
        <v>392</v>
      </c>
      <c r="G55" s="42" t="s">
        <v>231</v>
      </c>
      <c r="H55" s="42" t="s">
        <v>393</v>
      </c>
      <c r="I55" s="42" t="s">
        <v>394</v>
      </c>
    </row>
    <row r="56" spans="1:9" x14ac:dyDescent="0.25">
      <c r="C56" s="42" t="s">
        <v>87</v>
      </c>
      <c r="E56" s="42" t="s">
        <v>395</v>
      </c>
      <c r="G56" s="42" t="s">
        <v>232</v>
      </c>
      <c r="H56" s="42" t="s">
        <v>396</v>
      </c>
      <c r="I56" s="42" t="s">
        <v>397</v>
      </c>
    </row>
    <row r="58" spans="1:9" x14ac:dyDescent="0.25">
      <c r="C58" s="42" t="s">
        <v>398</v>
      </c>
      <c r="D58" s="42" t="s">
        <v>202</v>
      </c>
    </row>
    <row r="59" spans="1:9" x14ac:dyDescent="0.25">
      <c r="C59" s="42" t="s">
        <v>128</v>
      </c>
      <c r="E59" s="42" t="s">
        <v>399</v>
      </c>
      <c r="G59" s="42" t="s">
        <v>400</v>
      </c>
      <c r="H59" s="42" t="s">
        <v>401</v>
      </c>
      <c r="I59" s="42" t="s">
        <v>402</v>
      </c>
    </row>
    <row r="60" spans="1:9" x14ac:dyDescent="0.25">
      <c r="A60" s="42" t="s">
        <v>78</v>
      </c>
      <c r="C60" s="42" t="s">
        <v>129</v>
      </c>
      <c r="E60" s="42" t="s">
        <v>403</v>
      </c>
      <c r="G60" s="42" t="s">
        <v>404</v>
      </c>
      <c r="H60" s="42" t="s">
        <v>405</v>
      </c>
      <c r="I60" s="42" t="s">
        <v>406</v>
      </c>
    </row>
    <row r="61" spans="1:9" x14ac:dyDescent="0.25">
      <c r="A61" s="42" t="s">
        <v>78</v>
      </c>
      <c r="C61" s="42" t="s">
        <v>130</v>
      </c>
      <c r="E61" s="42" t="s">
        <v>407</v>
      </c>
      <c r="G61" s="42" t="s">
        <v>408</v>
      </c>
      <c r="H61" s="42" t="s">
        <v>409</v>
      </c>
      <c r="I61" s="42" t="s">
        <v>410</v>
      </c>
    </row>
    <row r="62" spans="1:9" x14ac:dyDescent="0.25">
      <c r="A62" s="42" t="s">
        <v>78</v>
      </c>
      <c r="C62" s="42" t="s">
        <v>97</v>
      </c>
      <c r="E62" s="42" t="s">
        <v>411</v>
      </c>
      <c r="G62" s="42" t="s">
        <v>412</v>
      </c>
      <c r="H62" s="42" t="s">
        <v>413</v>
      </c>
      <c r="I62" s="42" t="s">
        <v>414</v>
      </c>
    </row>
    <row r="63" spans="1:9" x14ac:dyDescent="0.25">
      <c r="A63" s="42" t="s">
        <v>78</v>
      </c>
      <c r="C63" s="42" t="s">
        <v>98</v>
      </c>
      <c r="E63" s="42" t="s">
        <v>415</v>
      </c>
      <c r="G63" s="42" t="s">
        <v>416</v>
      </c>
      <c r="H63" s="42" t="s">
        <v>417</v>
      </c>
      <c r="I63" s="42" t="s">
        <v>418</v>
      </c>
    </row>
    <row r="64" spans="1:9" x14ac:dyDescent="0.25">
      <c r="A64" s="42" t="s">
        <v>78</v>
      </c>
      <c r="C64" s="42" t="s">
        <v>99</v>
      </c>
      <c r="E64" s="42" t="s">
        <v>419</v>
      </c>
      <c r="G64" s="42" t="s">
        <v>420</v>
      </c>
      <c r="H64" s="42" t="s">
        <v>421</v>
      </c>
      <c r="I64" s="42" t="s">
        <v>422</v>
      </c>
    </row>
    <row r="65" spans="1:9" x14ac:dyDescent="0.25">
      <c r="A65" s="42" t="s">
        <v>78</v>
      </c>
      <c r="C65" s="42" t="s">
        <v>131</v>
      </c>
      <c r="E65" s="42" t="s">
        <v>423</v>
      </c>
      <c r="G65" s="42" t="s">
        <v>424</v>
      </c>
      <c r="H65" s="42" t="s">
        <v>425</v>
      </c>
      <c r="I65" s="42" t="s">
        <v>426</v>
      </c>
    </row>
    <row r="66" spans="1:9" x14ac:dyDescent="0.25">
      <c r="A66" s="42" t="s">
        <v>78</v>
      </c>
      <c r="C66" s="42" t="s">
        <v>132</v>
      </c>
      <c r="E66" s="42" t="s">
        <v>427</v>
      </c>
      <c r="G66" s="42" t="s">
        <v>428</v>
      </c>
      <c r="H66" s="42" t="s">
        <v>429</v>
      </c>
      <c r="I66" s="42" t="s">
        <v>430</v>
      </c>
    </row>
    <row r="67" spans="1:9" x14ac:dyDescent="0.25">
      <c r="A67" s="42" t="s">
        <v>78</v>
      </c>
      <c r="C67" s="42" t="s">
        <v>133</v>
      </c>
      <c r="E67" s="42" t="s">
        <v>431</v>
      </c>
      <c r="G67" s="42" t="s">
        <v>432</v>
      </c>
      <c r="H67" s="42" t="s">
        <v>433</v>
      </c>
      <c r="I67" s="42" t="s">
        <v>434</v>
      </c>
    </row>
    <row r="68" spans="1:9" x14ac:dyDescent="0.25">
      <c r="C68" s="42" t="s">
        <v>129</v>
      </c>
      <c r="E68" s="42" t="s">
        <v>435</v>
      </c>
      <c r="G68" s="42" t="s">
        <v>436</v>
      </c>
      <c r="H68" s="42" t="s">
        <v>437</v>
      </c>
      <c r="I68" s="42" t="s">
        <v>438</v>
      </c>
    </row>
    <row r="70" spans="1:9" x14ac:dyDescent="0.25">
      <c r="C70" s="42" t="s">
        <v>439</v>
      </c>
      <c r="D70" s="42" t="s">
        <v>206</v>
      </c>
    </row>
    <row r="71" spans="1:9" x14ac:dyDescent="0.25">
      <c r="C71" s="42" t="s">
        <v>440</v>
      </c>
      <c r="E71" s="42" t="s">
        <v>441</v>
      </c>
      <c r="G71" s="42" t="s">
        <v>442</v>
      </c>
      <c r="H71" s="42" t="s">
        <v>443</v>
      </c>
      <c r="I71" s="42" t="s">
        <v>444</v>
      </c>
    </row>
    <row r="72" spans="1:9" x14ac:dyDescent="0.25">
      <c r="A72" s="42" t="s">
        <v>78</v>
      </c>
      <c r="C72" s="42" t="s">
        <v>445</v>
      </c>
      <c r="E72" s="42" t="s">
        <v>446</v>
      </c>
      <c r="G72" s="42" t="s">
        <v>447</v>
      </c>
      <c r="H72" s="42" t="s">
        <v>448</v>
      </c>
      <c r="I72" s="42" t="s">
        <v>449</v>
      </c>
    </row>
    <row r="73" spans="1:9" x14ac:dyDescent="0.25">
      <c r="A73" s="42" t="s">
        <v>78</v>
      </c>
      <c r="C73" s="42" t="s">
        <v>100</v>
      </c>
      <c r="E73" s="42" t="s">
        <v>137</v>
      </c>
      <c r="G73" s="42" t="s">
        <v>450</v>
      </c>
      <c r="H73" s="42" t="s">
        <v>451</v>
      </c>
      <c r="I73" s="42" t="s">
        <v>452</v>
      </c>
    </row>
    <row r="74" spans="1:9" x14ac:dyDescent="0.25">
      <c r="A74" s="42" t="s">
        <v>78</v>
      </c>
      <c r="C74" s="42" t="s">
        <v>101</v>
      </c>
      <c r="E74" s="42" t="s">
        <v>139</v>
      </c>
      <c r="G74" s="42" t="s">
        <v>453</v>
      </c>
      <c r="H74" s="42" t="s">
        <v>454</v>
      </c>
      <c r="I74" s="42" t="s">
        <v>455</v>
      </c>
    </row>
    <row r="75" spans="1:9" x14ac:dyDescent="0.25">
      <c r="A75" s="42" t="s">
        <v>78</v>
      </c>
      <c r="C75" s="42" t="s">
        <v>102</v>
      </c>
      <c r="E75" s="42" t="s">
        <v>141</v>
      </c>
      <c r="G75" s="42" t="s">
        <v>456</v>
      </c>
      <c r="H75" s="42" t="s">
        <v>457</v>
      </c>
      <c r="I75" s="42" t="s">
        <v>458</v>
      </c>
    </row>
    <row r="76" spans="1:9" x14ac:dyDescent="0.25">
      <c r="A76" s="42" t="s">
        <v>78</v>
      </c>
      <c r="C76" s="42" t="s">
        <v>103</v>
      </c>
      <c r="E76" s="42" t="s">
        <v>143</v>
      </c>
      <c r="G76" s="42" t="s">
        <v>459</v>
      </c>
      <c r="H76" s="42" t="s">
        <v>460</v>
      </c>
      <c r="I76" s="42" t="s">
        <v>461</v>
      </c>
    </row>
    <row r="77" spans="1:9" x14ac:dyDescent="0.25">
      <c r="A77" s="42" t="s">
        <v>78</v>
      </c>
      <c r="C77" s="42" t="s">
        <v>104</v>
      </c>
      <c r="E77" s="42" t="s">
        <v>462</v>
      </c>
      <c r="G77" s="42" t="s">
        <v>463</v>
      </c>
      <c r="H77" s="42" t="s">
        <v>464</v>
      </c>
      <c r="I77" s="42" t="s">
        <v>465</v>
      </c>
    </row>
    <row r="78" spans="1:9" x14ac:dyDescent="0.25">
      <c r="A78" s="42" t="s">
        <v>78</v>
      </c>
      <c r="C78" s="42" t="s">
        <v>105</v>
      </c>
      <c r="E78" s="42" t="s">
        <v>466</v>
      </c>
      <c r="G78" s="42" t="s">
        <v>467</v>
      </c>
      <c r="H78" s="42" t="s">
        <v>468</v>
      </c>
      <c r="I78" s="42" t="s">
        <v>469</v>
      </c>
    </row>
    <row r="79" spans="1:9" x14ac:dyDescent="0.25">
      <c r="A79" s="42" t="s">
        <v>78</v>
      </c>
      <c r="C79" s="42" t="s">
        <v>106</v>
      </c>
      <c r="E79" s="42" t="s">
        <v>470</v>
      </c>
      <c r="G79" s="42" t="s">
        <v>471</v>
      </c>
      <c r="H79" s="42" t="s">
        <v>472</v>
      </c>
      <c r="I79" s="42" t="s">
        <v>473</v>
      </c>
    </row>
    <row r="80" spans="1:9" x14ac:dyDescent="0.25">
      <c r="C80" s="42" t="s">
        <v>445</v>
      </c>
      <c r="E80" s="42" t="s">
        <v>474</v>
      </c>
      <c r="G80" s="42" t="s">
        <v>475</v>
      </c>
      <c r="H80" s="42" t="s">
        <v>476</v>
      </c>
      <c r="I80" s="42" t="s">
        <v>477</v>
      </c>
    </row>
    <row r="82" spans="1:9" x14ac:dyDescent="0.25">
      <c r="C82" s="42" t="s">
        <v>478</v>
      </c>
      <c r="D82" s="42" t="s">
        <v>210</v>
      </c>
    </row>
    <row r="83" spans="1:9" x14ac:dyDescent="0.25">
      <c r="C83" s="42" t="s">
        <v>479</v>
      </c>
      <c r="E83" s="42" t="s">
        <v>480</v>
      </c>
      <c r="G83" s="42" t="s">
        <v>481</v>
      </c>
      <c r="H83" s="42" t="s">
        <v>482</v>
      </c>
      <c r="I83" s="42" t="s">
        <v>483</v>
      </c>
    </row>
    <row r="84" spans="1:9" x14ac:dyDescent="0.25">
      <c r="A84" s="42" t="s">
        <v>78</v>
      </c>
      <c r="C84" s="42" t="s">
        <v>484</v>
      </c>
      <c r="E84" s="42" t="s">
        <v>485</v>
      </c>
      <c r="G84" s="42" t="s">
        <v>486</v>
      </c>
      <c r="H84" s="42" t="s">
        <v>487</v>
      </c>
      <c r="I84" s="42" t="s">
        <v>488</v>
      </c>
    </row>
    <row r="85" spans="1:9" x14ac:dyDescent="0.25">
      <c r="A85" s="42" t="s">
        <v>78</v>
      </c>
      <c r="C85" s="42" t="s">
        <v>489</v>
      </c>
      <c r="E85" s="42" t="s">
        <v>490</v>
      </c>
      <c r="G85" s="42" t="s">
        <v>491</v>
      </c>
      <c r="H85" s="42" t="s">
        <v>492</v>
      </c>
      <c r="I85" s="42" t="s">
        <v>493</v>
      </c>
    </row>
    <row r="86" spans="1:9" x14ac:dyDescent="0.25">
      <c r="A86" s="42" t="s">
        <v>78</v>
      </c>
      <c r="C86" s="42" t="s">
        <v>134</v>
      </c>
      <c r="E86" s="42" t="s">
        <v>494</v>
      </c>
      <c r="G86" s="42" t="s">
        <v>495</v>
      </c>
      <c r="H86" s="42" t="s">
        <v>496</v>
      </c>
      <c r="I86" s="42" t="s">
        <v>497</v>
      </c>
    </row>
    <row r="87" spans="1:9" x14ac:dyDescent="0.25">
      <c r="A87" s="42" t="s">
        <v>78</v>
      </c>
      <c r="C87" s="42" t="s">
        <v>135</v>
      </c>
      <c r="E87" s="42" t="s">
        <v>498</v>
      </c>
      <c r="G87" s="42" t="s">
        <v>499</v>
      </c>
      <c r="H87" s="42" t="s">
        <v>500</v>
      </c>
      <c r="I87" s="42" t="s">
        <v>501</v>
      </c>
    </row>
    <row r="88" spans="1:9" x14ac:dyDescent="0.25">
      <c r="C88" s="42" t="s">
        <v>484</v>
      </c>
      <c r="E88" s="42" t="s">
        <v>502</v>
      </c>
      <c r="G88" s="42" t="s">
        <v>503</v>
      </c>
      <c r="H88" s="42" t="s">
        <v>504</v>
      </c>
      <c r="I88" s="42" t="s">
        <v>505</v>
      </c>
    </row>
    <row r="90" spans="1:9" x14ac:dyDescent="0.25">
      <c r="C90" s="42" t="s">
        <v>506</v>
      </c>
      <c r="D90" s="42" t="s">
        <v>214</v>
      </c>
    </row>
    <row r="91" spans="1:9" x14ac:dyDescent="0.25">
      <c r="C91" s="42" t="s">
        <v>136</v>
      </c>
      <c r="E91" s="42" t="s">
        <v>507</v>
      </c>
      <c r="G91" s="42" t="s">
        <v>508</v>
      </c>
      <c r="H91" s="42" t="s">
        <v>509</v>
      </c>
      <c r="I91" s="42" t="s">
        <v>510</v>
      </c>
    </row>
    <row r="92" spans="1:9" x14ac:dyDescent="0.25">
      <c r="A92" s="42" t="s">
        <v>78</v>
      </c>
      <c r="C92" s="42" t="s">
        <v>138</v>
      </c>
      <c r="E92" s="42" t="s">
        <v>511</v>
      </c>
      <c r="G92" s="42" t="s">
        <v>512</v>
      </c>
      <c r="H92" s="42" t="s">
        <v>513</v>
      </c>
      <c r="I92" s="42" t="s">
        <v>514</v>
      </c>
    </row>
    <row r="93" spans="1:9" x14ac:dyDescent="0.25">
      <c r="A93" s="42" t="s">
        <v>78</v>
      </c>
      <c r="C93" s="42" t="s">
        <v>140</v>
      </c>
      <c r="E93" s="42" t="s">
        <v>515</v>
      </c>
      <c r="G93" s="42" t="s">
        <v>516</v>
      </c>
      <c r="H93" s="42" t="s">
        <v>517</v>
      </c>
      <c r="I93" s="42" t="s">
        <v>518</v>
      </c>
    </row>
    <row r="94" spans="1:9" x14ac:dyDescent="0.25">
      <c r="A94" s="42" t="s">
        <v>78</v>
      </c>
      <c r="C94" s="42" t="s">
        <v>142</v>
      </c>
      <c r="E94" s="42" t="s">
        <v>519</v>
      </c>
      <c r="G94" s="42" t="s">
        <v>520</v>
      </c>
      <c r="H94" s="42" t="s">
        <v>521</v>
      </c>
      <c r="I94" s="42" t="s">
        <v>522</v>
      </c>
    </row>
    <row r="95" spans="1:9" x14ac:dyDescent="0.25">
      <c r="A95" s="42" t="s">
        <v>78</v>
      </c>
      <c r="C95" s="42" t="s">
        <v>144</v>
      </c>
      <c r="E95" s="42" t="s">
        <v>523</v>
      </c>
      <c r="G95" s="42" t="s">
        <v>524</v>
      </c>
      <c r="H95" s="42" t="s">
        <v>525</v>
      </c>
      <c r="I95" s="42" t="s">
        <v>526</v>
      </c>
    </row>
    <row r="96" spans="1:9" x14ac:dyDescent="0.25">
      <c r="A96" s="42" t="s">
        <v>78</v>
      </c>
      <c r="C96" s="42" t="s">
        <v>107</v>
      </c>
      <c r="E96" s="42" t="s">
        <v>527</v>
      </c>
      <c r="G96" s="42" t="s">
        <v>528</v>
      </c>
      <c r="H96" s="42" t="s">
        <v>529</v>
      </c>
      <c r="I96" s="42" t="s">
        <v>530</v>
      </c>
    </row>
    <row r="97" spans="1:9" x14ac:dyDescent="0.25">
      <c r="A97" s="42" t="s">
        <v>78</v>
      </c>
      <c r="C97" s="42" t="s">
        <v>108</v>
      </c>
      <c r="E97" s="42" t="s">
        <v>151</v>
      </c>
      <c r="G97" s="42" t="s">
        <v>531</v>
      </c>
      <c r="H97" s="42" t="s">
        <v>532</v>
      </c>
      <c r="I97" s="42" t="s">
        <v>533</v>
      </c>
    </row>
    <row r="98" spans="1:9" x14ac:dyDescent="0.25">
      <c r="A98" s="42" t="s">
        <v>78</v>
      </c>
      <c r="C98" s="42" t="s">
        <v>109</v>
      </c>
      <c r="E98" s="42" t="s">
        <v>534</v>
      </c>
      <c r="G98" s="42" t="s">
        <v>535</v>
      </c>
      <c r="H98" s="42" t="s">
        <v>536</v>
      </c>
      <c r="I98" s="42" t="s">
        <v>537</v>
      </c>
    </row>
    <row r="99" spans="1:9" x14ac:dyDescent="0.25">
      <c r="A99" s="42" t="s">
        <v>78</v>
      </c>
      <c r="C99" s="42" t="s">
        <v>110</v>
      </c>
      <c r="E99" s="42" t="s">
        <v>538</v>
      </c>
      <c r="G99" s="42" t="s">
        <v>539</v>
      </c>
      <c r="H99" s="42" t="s">
        <v>540</v>
      </c>
      <c r="I99" s="42" t="s">
        <v>541</v>
      </c>
    </row>
    <row r="100" spans="1:9" x14ac:dyDescent="0.25">
      <c r="A100" s="42" t="s">
        <v>78</v>
      </c>
      <c r="C100" s="42" t="s">
        <v>111</v>
      </c>
      <c r="E100" s="42" t="s">
        <v>542</v>
      </c>
      <c r="G100" s="42" t="s">
        <v>543</v>
      </c>
      <c r="H100" s="42" t="s">
        <v>544</v>
      </c>
      <c r="I100" s="42" t="s">
        <v>545</v>
      </c>
    </row>
    <row r="101" spans="1:9" x14ac:dyDescent="0.25">
      <c r="A101" s="42" t="s">
        <v>78</v>
      </c>
      <c r="C101" s="42" t="s">
        <v>112</v>
      </c>
      <c r="E101" s="42" t="s">
        <v>546</v>
      </c>
      <c r="G101" s="42" t="s">
        <v>547</v>
      </c>
      <c r="H101" s="42" t="s">
        <v>548</v>
      </c>
      <c r="I101" s="42" t="s">
        <v>549</v>
      </c>
    </row>
    <row r="102" spans="1:9" x14ac:dyDescent="0.25">
      <c r="A102" s="42" t="s">
        <v>78</v>
      </c>
      <c r="C102" s="42" t="s">
        <v>550</v>
      </c>
      <c r="E102" s="42" t="s">
        <v>551</v>
      </c>
      <c r="G102" s="42" t="s">
        <v>552</v>
      </c>
      <c r="H102" s="42" t="s">
        <v>553</v>
      </c>
      <c r="I102" s="42" t="s">
        <v>554</v>
      </c>
    </row>
    <row r="103" spans="1:9" x14ac:dyDescent="0.25">
      <c r="A103" s="42" t="s">
        <v>78</v>
      </c>
      <c r="C103" s="42" t="s">
        <v>555</v>
      </c>
      <c r="E103" s="42" t="s">
        <v>556</v>
      </c>
      <c r="G103" s="42" t="s">
        <v>557</v>
      </c>
      <c r="H103" s="42" t="s">
        <v>558</v>
      </c>
      <c r="I103" s="42" t="s">
        <v>559</v>
      </c>
    </row>
    <row r="104" spans="1:9" x14ac:dyDescent="0.25">
      <c r="A104" s="42" t="s">
        <v>78</v>
      </c>
      <c r="C104" s="42" t="s">
        <v>560</v>
      </c>
      <c r="E104" s="42" t="s">
        <v>561</v>
      </c>
      <c r="G104" s="42" t="s">
        <v>562</v>
      </c>
      <c r="H104" s="42" t="s">
        <v>563</v>
      </c>
      <c r="I104" s="42" t="s">
        <v>564</v>
      </c>
    </row>
    <row r="105" spans="1:9" x14ac:dyDescent="0.25">
      <c r="A105" s="42" t="s">
        <v>78</v>
      </c>
      <c r="C105" s="42" t="s">
        <v>113</v>
      </c>
      <c r="E105" s="42" t="s">
        <v>565</v>
      </c>
      <c r="G105" s="42" t="s">
        <v>566</v>
      </c>
      <c r="H105" s="42" t="s">
        <v>567</v>
      </c>
      <c r="I105" s="42" t="s">
        <v>568</v>
      </c>
    </row>
    <row r="106" spans="1:9" x14ac:dyDescent="0.25">
      <c r="A106" s="42" t="s">
        <v>78</v>
      </c>
      <c r="C106" s="42" t="s">
        <v>114</v>
      </c>
      <c r="E106" s="42" t="s">
        <v>569</v>
      </c>
      <c r="G106" s="42" t="s">
        <v>570</v>
      </c>
      <c r="H106" s="42" t="s">
        <v>571</v>
      </c>
      <c r="I106" s="42" t="s">
        <v>572</v>
      </c>
    </row>
    <row r="107" spans="1:9" x14ac:dyDescent="0.25">
      <c r="A107" s="42" t="s">
        <v>78</v>
      </c>
      <c r="C107" s="42" t="s">
        <v>115</v>
      </c>
      <c r="E107" s="42" t="s">
        <v>573</v>
      </c>
      <c r="G107" s="42" t="s">
        <v>574</v>
      </c>
      <c r="H107" s="42" t="s">
        <v>575</v>
      </c>
      <c r="I107" s="42" t="s">
        <v>576</v>
      </c>
    </row>
    <row r="108" spans="1:9" x14ac:dyDescent="0.25">
      <c r="C108" s="42" t="s">
        <v>138</v>
      </c>
      <c r="E108" s="42" t="s">
        <v>577</v>
      </c>
      <c r="G108" s="42" t="s">
        <v>578</v>
      </c>
      <c r="H108" s="42" t="s">
        <v>579</v>
      </c>
      <c r="I108" s="42" t="s">
        <v>580</v>
      </c>
    </row>
    <row r="110" spans="1:9" x14ac:dyDescent="0.25">
      <c r="C110" s="42" t="s">
        <v>581</v>
      </c>
      <c r="D110" s="42" t="s">
        <v>218</v>
      </c>
    </row>
    <row r="111" spans="1:9" x14ac:dyDescent="0.25">
      <c r="C111" s="42" t="s">
        <v>145</v>
      </c>
      <c r="E111" s="42" t="s">
        <v>582</v>
      </c>
      <c r="G111" s="42" t="s">
        <v>583</v>
      </c>
      <c r="H111" s="42" t="s">
        <v>584</v>
      </c>
      <c r="I111" s="42" t="s">
        <v>585</v>
      </c>
    </row>
    <row r="112" spans="1:9" x14ac:dyDescent="0.25">
      <c r="A112" s="42" t="s">
        <v>78</v>
      </c>
      <c r="C112" s="42" t="s">
        <v>116</v>
      </c>
      <c r="E112" s="42" t="s">
        <v>586</v>
      </c>
      <c r="G112" s="42" t="s">
        <v>587</v>
      </c>
      <c r="H112" s="42" t="s">
        <v>588</v>
      </c>
      <c r="I112" s="42" t="s">
        <v>589</v>
      </c>
    </row>
    <row r="113" spans="1:9" x14ac:dyDescent="0.25">
      <c r="A113" s="42" t="s">
        <v>78</v>
      </c>
      <c r="C113" s="42" t="s">
        <v>117</v>
      </c>
      <c r="E113" s="42" t="s">
        <v>590</v>
      </c>
      <c r="G113" s="42" t="s">
        <v>591</v>
      </c>
      <c r="H113" s="42" t="s">
        <v>592</v>
      </c>
      <c r="I113" s="42" t="s">
        <v>593</v>
      </c>
    </row>
    <row r="114" spans="1:9" x14ac:dyDescent="0.25">
      <c r="C114" s="42" t="s">
        <v>116</v>
      </c>
      <c r="E114" s="42" t="s">
        <v>594</v>
      </c>
      <c r="G114" s="42" t="s">
        <v>595</v>
      </c>
      <c r="H114" s="42" t="s">
        <v>596</v>
      </c>
      <c r="I114" s="42" t="s">
        <v>597</v>
      </c>
    </row>
    <row r="116" spans="1:9" x14ac:dyDescent="0.25">
      <c r="D116" s="42" t="s">
        <v>12</v>
      </c>
      <c r="G116" s="42" t="s">
        <v>598</v>
      </c>
      <c r="H116" s="42" t="s">
        <v>599</v>
      </c>
      <c r="I116" s="42" t="s">
        <v>600</v>
      </c>
    </row>
    <row r="118" spans="1:9" x14ac:dyDescent="0.25">
      <c r="C118" s="42" t="s">
        <v>146</v>
      </c>
      <c r="D118" s="42" t="s">
        <v>222</v>
      </c>
    </row>
    <row r="119" spans="1:9" x14ac:dyDescent="0.25">
      <c r="C119" s="42" t="s">
        <v>118</v>
      </c>
      <c r="E119" s="42" t="s">
        <v>601</v>
      </c>
      <c r="G119" s="42" t="s">
        <v>602</v>
      </c>
      <c r="H119" s="42" t="s">
        <v>603</v>
      </c>
      <c r="I119" s="42" t="s">
        <v>604</v>
      </c>
    </row>
    <row r="120" spans="1:9" x14ac:dyDescent="0.25">
      <c r="A120" s="42" t="s">
        <v>78</v>
      </c>
      <c r="C120" s="42" t="s">
        <v>119</v>
      </c>
      <c r="E120" s="42" t="s">
        <v>605</v>
      </c>
      <c r="G120" s="42" t="s">
        <v>606</v>
      </c>
      <c r="H120" s="42" t="s">
        <v>607</v>
      </c>
      <c r="I120" s="42" t="s">
        <v>608</v>
      </c>
    </row>
    <row r="121" spans="1:9" x14ac:dyDescent="0.25">
      <c r="A121" s="42" t="s">
        <v>78</v>
      </c>
      <c r="C121" s="42" t="s">
        <v>147</v>
      </c>
      <c r="E121" s="42" t="s">
        <v>609</v>
      </c>
      <c r="G121" s="42" t="s">
        <v>610</v>
      </c>
      <c r="H121" s="42" t="s">
        <v>611</v>
      </c>
      <c r="I121" s="42" t="s">
        <v>612</v>
      </c>
    </row>
    <row r="122" spans="1:9" x14ac:dyDescent="0.25">
      <c r="A122" s="42" t="s">
        <v>78</v>
      </c>
      <c r="C122" s="42" t="s">
        <v>148</v>
      </c>
      <c r="E122" s="42" t="s">
        <v>613</v>
      </c>
      <c r="G122" s="42" t="s">
        <v>614</v>
      </c>
      <c r="H122" s="42" t="s">
        <v>615</v>
      </c>
      <c r="I122" s="42" t="s">
        <v>616</v>
      </c>
    </row>
    <row r="123" spans="1:9" x14ac:dyDescent="0.25">
      <c r="A123" s="42" t="s">
        <v>78</v>
      </c>
      <c r="C123" s="42" t="s">
        <v>149</v>
      </c>
      <c r="E123" s="42" t="s">
        <v>156</v>
      </c>
      <c r="G123" s="42" t="s">
        <v>617</v>
      </c>
      <c r="H123" s="42" t="s">
        <v>618</v>
      </c>
      <c r="I123" s="42" t="s">
        <v>619</v>
      </c>
    </row>
    <row r="124" spans="1:9" x14ac:dyDescent="0.25">
      <c r="A124" s="42" t="s">
        <v>78</v>
      </c>
      <c r="C124" s="42" t="s">
        <v>150</v>
      </c>
      <c r="E124" s="42" t="s">
        <v>620</v>
      </c>
      <c r="G124" s="42" t="s">
        <v>621</v>
      </c>
      <c r="H124" s="42" t="s">
        <v>622</v>
      </c>
      <c r="I124" s="42" t="s">
        <v>623</v>
      </c>
    </row>
    <row r="125" spans="1:9" x14ac:dyDescent="0.25">
      <c r="A125" s="42" t="s">
        <v>78</v>
      </c>
      <c r="C125" s="42" t="s">
        <v>624</v>
      </c>
      <c r="E125" s="42" t="s">
        <v>625</v>
      </c>
      <c r="G125" s="42" t="s">
        <v>626</v>
      </c>
      <c r="H125" s="42" t="s">
        <v>627</v>
      </c>
      <c r="I125" s="42" t="s">
        <v>628</v>
      </c>
    </row>
    <row r="126" spans="1:9" x14ac:dyDescent="0.25">
      <c r="A126" s="42" t="s">
        <v>78</v>
      </c>
      <c r="C126" s="42" t="s">
        <v>629</v>
      </c>
      <c r="E126" s="42" t="s">
        <v>630</v>
      </c>
      <c r="G126" s="42" t="s">
        <v>631</v>
      </c>
      <c r="H126" s="42" t="s">
        <v>632</v>
      </c>
      <c r="I126" s="42" t="s">
        <v>633</v>
      </c>
    </row>
    <row r="127" spans="1:9" x14ac:dyDescent="0.25">
      <c r="A127" s="42" t="s">
        <v>78</v>
      </c>
      <c r="C127" s="42" t="s">
        <v>634</v>
      </c>
      <c r="E127" s="42" t="s">
        <v>635</v>
      </c>
      <c r="G127" s="42" t="s">
        <v>636</v>
      </c>
      <c r="H127" s="42" t="s">
        <v>637</v>
      </c>
      <c r="I127" s="42" t="s">
        <v>638</v>
      </c>
    </row>
    <row r="128" spans="1:9" x14ac:dyDescent="0.25">
      <c r="A128" s="42" t="s">
        <v>78</v>
      </c>
      <c r="C128" s="42" t="s">
        <v>120</v>
      </c>
      <c r="E128" s="42" t="s">
        <v>639</v>
      </c>
      <c r="G128" s="42" t="s">
        <v>640</v>
      </c>
      <c r="H128" s="42" t="s">
        <v>641</v>
      </c>
      <c r="I128" s="42" t="s">
        <v>642</v>
      </c>
    </row>
    <row r="129" spans="1:9" x14ac:dyDescent="0.25">
      <c r="A129" s="42" t="s">
        <v>78</v>
      </c>
      <c r="C129" s="42" t="s">
        <v>153</v>
      </c>
      <c r="E129" s="42" t="s">
        <v>643</v>
      </c>
      <c r="G129" s="42" t="s">
        <v>644</v>
      </c>
      <c r="H129" s="42" t="s">
        <v>645</v>
      </c>
      <c r="I129" s="42" t="s">
        <v>646</v>
      </c>
    </row>
    <row r="130" spans="1:9" x14ac:dyDescent="0.25">
      <c r="A130" s="42" t="s">
        <v>78</v>
      </c>
      <c r="C130" s="42" t="s">
        <v>647</v>
      </c>
      <c r="E130" s="42" t="s">
        <v>648</v>
      </c>
      <c r="G130" s="42" t="s">
        <v>649</v>
      </c>
      <c r="H130" s="42" t="s">
        <v>650</v>
      </c>
      <c r="I130" s="42" t="s">
        <v>651</v>
      </c>
    </row>
    <row r="131" spans="1:9" x14ac:dyDescent="0.25">
      <c r="A131" s="42" t="s">
        <v>78</v>
      </c>
      <c r="C131" s="42" t="s">
        <v>652</v>
      </c>
      <c r="E131" s="42" t="s">
        <v>653</v>
      </c>
      <c r="G131" s="42" t="s">
        <v>654</v>
      </c>
      <c r="H131" s="42" t="s">
        <v>655</v>
      </c>
      <c r="I131" s="42" t="s">
        <v>656</v>
      </c>
    </row>
    <row r="132" spans="1:9" x14ac:dyDescent="0.25">
      <c r="A132" s="42" t="s">
        <v>78</v>
      </c>
      <c r="C132" s="42" t="s">
        <v>657</v>
      </c>
      <c r="E132" s="42" t="s">
        <v>658</v>
      </c>
      <c r="G132" s="42" t="s">
        <v>659</v>
      </c>
      <c r="H132" s="42" t="s">
        <v>660</v>
      </c>
      <c r="I132" s="42" t="s">
        <v>661</v>
      </c>
    </row>
    <row r="133" spans="1:9" x14ac:dyDescent="0.25">
      <c r="A133" s="42" t="s">
        <v>78</v>
      </c>
      <c r="C133" s="42" t="s">
        <v>662</v>
      </c>
      <c r="E133" s="42" t="s">
        <v>663</v>
      </c>
      <c r="G133" s="42" t="s">
        <v>664</v>
      </c>
      <c r="H133" s="42" t="s">
        <v>665</v>
      </c>
      <c r="I133" s="42" t="s">
        <v>666</v>
      </c>
    </row>
    <row r="134" spans="1:9" x14ac:dyDescent="0.25">
      <c r="A134" s="42" t="s">
        <v>78</v>
      </c>
      <c r="C134" s="42" t="s">
        <v>667</v>
      </c>
      <c r="E134" s="42" t="s">
        <v>668</v>
      </c>
      <c r="G134" s="42" t="s">
        <v>669</v>
      </c>
      <c r="H134" s="42" t="s">
        <v>670</v>
      </c>
      <c r="I134" s="42" t="s">
        <v>671</v>
      </c>
    </row>
    <row r="135" spans="1:9" x14ac:dyDescent="0.25">
      <c r="A135" s="42" t="s">
        <v>78</v>
      </c>
      <c r="C135" s="42" t="s">
        <v>154</v>
      </c>
      <c r="E135" s="42" t="s">
        <v>165</v>
      </c>
      <c r="G135" s="42" t="s">
        <v>672</v>
      </c>
      <c r="H135" s="42" t="s">
        <v>673</v>
      </c>
      <c r="I135" s="42" t="s">
        <v>674</v>
      </c>
    </row>
    <row r="136" spans="1:9" x14ac:dyDescent="0.25">
      <c r="A136" s="42" t="s">
        <v>78</v>
      </c>
      <c r="C136" s="42" t="s">
        <v>155</v>
      </c>
      <c r="E136" s="42" t="s">
        <v>675</v>
      </c>
      <c r="G136" s="42" t="s">
        <v>676</v>
      </c>
      <c r="H136" s="42" t="s">
        <v>677</v>
      </c>
      <c r="I136" s="42" t="s">
        <v>678</v>
      </c>
    </row>
    <row r="137" spans="1:9" x14ac:dyDescent="0.25">
      <c r="C137" s="42" t="s">
        <v>119</v>
      </c>
      <c r="E137" s="42" t="s">
        <v>152</v>
      </c>
      <c r="G137" s="42" t="s">
        <v>679</v>
      </c>
      <c r="H137" s="42" t="s">
        <v>680</v>
      </c>
      <c r="I137" s="42" t="s">
        <v>681</v>
      </c>
    </row>
    <row r="139" spans="1:9" x14ac:dyDescent="0.25">
      <c r="C139" s="42" t="s">
        <v>682</v>
      </c>
      <c r="D139" s="42" t="s">
        <v>226</v>
      </c>
    </row>
    <row r="140" spans="1:9" x14ac:dyDescent="0.25">
      <c r="C140" s="42" t="s">
        <v>157</v>
      </c>
      <c r="E140" s="42" t="s">
        <v>683</v>
      </c>
      <c r="G140" s="42" t="s">
        <v>684</v>
      </c>
      <c r="H140" s="42" t="s">
        <v>685</v>
      </c>
      <c r="I140" s="42" t="s">
        <v>686</v>
      </c>
    </row>
    <row r="141" spans="1:9" x14ac:dyDescent="0.25">
      <c r="A141" s="42" t="s">
        <v>78</v>
      </c>
      <c r="C141" s="42" t="s">
        <v>158</v>
      </c>
      <c r="E141" s="42" t="s">
        <v>687</v>
      </c>
      <c r="G141" s="42" t="s">
        <v>688</v>
      </c>
      <c r="H141" s="42" t="s">
        <v>689</v>
      </c>
      <c r="I141" s="42" t="s">
        <v>690</v>
      </c>
    </row>
    <row r="142" spans="1:9" x14ac:dyDescent="0.25">
      <c r="A142" s="42" t="s">
        <v>78</v>
      </c>
      <c r="C142" s="42" t="s">
        <v>159</v>
      </c>
      <c r="E142" s="42" t="s">
        <v>691</v>
      </c>
      <c r="G142" s="42" t="s">
        <v>692</v>
      </c>
      <c r="H142" s="42" t="s">
        <v>693</v>
      </c>
      <c r="I142" s="42" t="s">
        <v>694</v>
      </c>
    </row>
    <row r="143" spans="1:9" x14ac:dyDescent="0.25">
      <c r="A143" s="42" t="s">
        <v>78</v>
      </c>
      <c r="C143" s="42" t="s">
        <v>160</v>
      </c>
      <c r="E143" s="42" t="s">
        <v>695</v>
      </c>
      <c r="G143" s="42" t="s">
        <v>696</v>
      </c>
      <c r="H143" s="42" t="s">
        <v>697</v>
      </c>
      <c r="I143" s="42" t="s">
        <v>698</v>
      </c>
    </row>
    <row r="144" spans="1:9" x14ac:dyDescent="0.25">
      <c r="A144" s="42" t="s">
        <v>78</v>
      </c>
      <c r="C144" s="42" t="s">
        <v>161</v>
      </c>
      <c r="E144" s="42" t="s">
        <v>699</v>
      </c>
      <c r="G144" s="42" t="s">
        <v>700</v>
      </c>
      <c r="H144" s="42" t="s">
        <v>701</v>
      </c>
      <c r="I144" s="42" t="s">
        <v>702</v>
      </c>
    </row>
    <row r="145" spans="1:9" x14ac:dyDescent="0.25">
      <c r="A145" s="42" t="s">
        <v>78</v>
      </c>
      <c r="C145" s="42" t="s">
        <v>162</v>
      </c>
      <c r="E145" s="42" t="s">
        <v>703</v>
      </c>
      <c r="G145" s="42" t="s">
        <v>704</v>
      </c>
      <c r="H145" s="42" t="s">
        <v>705</v>
      </c>
      <c r="I145" s="42" t="s">
        <v>706</v>
      </c>
    </row>
    <row r="146" spans="1:9" x14ac:dyDescent="0.25">
      <c r="A146" s="42" t="s">
        <v>78</v>
      </c>
      <c r="C146" s="42" t="s">
        <v>163</v>
      </c>
      <c r="E146" s="42" t="s">
        <v>707</v>
      </c>
      <c r="G146" s="42" t="s">
        <v>708</v>
      </c>
      <c r="H146" s="42" t="s">
        <v>709</v>
      </c>
      <c r="I146" s="42" t="s">
        <v>710</v>
      </c>
    </row>
    <row r="147" spans="1:9" x14ac:dyDescent="0.25">
      <c r="A147" s="42" t="s">
        <v>78</v>
      </c>
      <c r="C147" s="42" t="s">
        <v>164</v>
      </c>
      <c r="E147" s="42" t="s">
        <v>711</v>
      </c>
      <c r="G147" s="42" t="s">
        <v>712</v>
      </c>
      <c r="H147" s="42" t="s">
        <v>713</v>
      </c>
      <c r="I147" s="42" t="s">
        <v>714</v>
      </c>
    </row>
    <row r="148" spans="1:9" x14ac:dyDescent="0.25">
      <c r="A148" s="42" t="s">
        <v>78</v>
      </c>
      <c r="C148" s="42" t="s">
        <v>166</v>
      </c>
      <c r="E148" s="42" t="s">
        <v>715</v>
      </c>
      <c r="G148" s="42" t="s">
        <v>716</v>
      </c>
      <c r="H148" s="42" t="s">
        <v>717</v>
      </c>
      <c r="I148" s="42" t="s">
        <v>718</v>
      </c>
    </row>
    <row r="149" spans="1:9" x14ac:dyDescent="0.25">
      <c r="A149" s="42" t="s">
        <v>78</v>
      </c>
      <c r="C149" s="42" t="s">
        <v>167</v>
      </c>
      <c r="E149" s="42" t="s">
        <v>719</v>
      </c>
      <c r="G149" s="42" t="s">
        <v>720</v>
      </c>
      <c r="H149" s="42" t="s">
        <v>721</v>
      </c>
      <c r="I149" s="42" t="s">
        <v>722</v>
      </c>
    </row>
    <row r="150" spans="1:9" x14ac:dyDescent="0.25">
      <c r="C150" s="42" t="s">
        <v>158</v>
      </c>
      <c r="E150" s="42" t="s">
        <v>723</v>
      </c>
      <c r="G150" s="42" t="s">
        <v>724</v>
      </c>
      <c r="H150" s="42" t="s">
        <v>725</v>
      </c>
      <c r="I150" s="42" t="s">
        <v>726</v>
      </c>
    </row>
    <row r="153" spans="1:9" x14ac:dyDescent="0.25">
      <c r="D153" s="42" t="s">
        <v>13</v>
      </c>
      <c r="G153" s="42" t="s">
        <v>727</v>
      </c>
      <c r="H153" s="42" t="s">
        <v>728</v>
      </c>
      <c r="I153" s="42" t="s">
        <v>729</v>
      </c>
    </row>
    <row r="155" spans="1:9" x14ac:dyDescent="0.25">
      <c r="C155" s="42" t="s">
        <v>730</v>
      </c>
      <c r="D155" s="42" t="s">
        <v>25</v>
      </c>
    </row>
    <row r="156" spans="1:9" x14ac:dyDescent="0.25">
      <c r="C156" s="42" t="s">
        <v>168</v>
      </c>
      <c r="E156" s="42" t="s">
        <v>731</v>
      </c>
      <c r="G156" s="42" t="s">
        <v>732</v>
      </c>
      <c r="H156" s="42" t="s">
        <v>733</v>
      </c>
      <c r="I156" s="42" t="s">
        <v>734</v>
      </c>
    </row>
    <row r="157" spans="1:9" x14ac:dyDescent="0.25">
      <c r="C157" s="42" t="s">
        <v>169</v>
      </c>
      <c r="E157" s="42" t="s">
        <v>735</v>
      </c>
      <c r="G157" s="42" t="s">
        <v>736</v>
      </c>
      <c r="H157" s="42" t="s">
        <v>737</v>
      </c>
      <c r="I157" s="42" t="s">
        <v>738</v>
      </c>
    </row>
    <row r="159" spans="1:9" x14ac:dyDescent="0.25">
      <c r="D159" s="42" t="s">
        <v>14</v>
      </c>
      <c r="G159" s="42" t="s">
        <v>739</v>
      </c>
      <c r="H159" s="42" t="s">
        <v>740</v>
      </c>
      <c r="I159" s="42" t="s">
        <v>741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workbookViewId="0"/>
  </sheetViews>
  <sheetFormatPr defaultColWidth="9.140625" defaultRowHeight="14.25" x14ac:dyDescent="0.25"/>
  <cols>
    <col min="1" max="1" width="4.42578125" style="52" hidden="1" customWidth="1"/>
    <col min="2" max="2" width="9.140625" style="52"/>
    <col min="3" max="3" width="32" style="50" bestFit="1" customWidth="1"/>
    <col min="4" max="4" width="68.85546875" style="50" customWidth="1"/>
    <col min="5" max="5" width="36.42578125" style="51" customWidth="1"/>
    <col min="6" max="7" width="9.140625" style="52"/>
    <col min="8" max="8" width="36.28515625" style="52" customWidth="1"/>
    <col min="9" max="9" width="8.7109375" style="52" customWidth="1"/>
    <col min="10" max="16384" width="9.140625" style="52"/>
  </cols>
  <sheetData>
    <row r="1" spans="1:8" ht="14.25" hidden="1" customHeight="1" x14ac:dyDescent="0.25">
      <c r="A1" s="52" t="s">
        <v>742</v>
      </c>
    </row>
    <row r="7" spans="1:8" ht="30.75" x14ac:dyDescent="0.25">
      <c r="C7" s="53" t="s">
        <v>175</v>
      </c>
    </row>
    <row r="9" spans="1:8" ht="71.25" x14ac:dyDescent="0.25">
      <c r="C9" s="54" t="s">
        <v>176</v>
      </c>
      <c r="D9" s="48" t="s">
        <v>759</v>
      </c>
    </row>
    <row r="10" spans="1:8" x14ac:dyDescent="0.25">
      <c r="C10" s="54"/>
    </row>
    <row r="11" spans="1:8" ht="28.5" x14ac:dyDescent="0.25">
      <c r="C11" s="54" t="s">
        <v>19</v>
      </c>
      <c r="D11" s="49" t="s">
        <v>177</v>
      </c>
    </row>
    <row r="12" spans="1:8" x14ac:dyDescent="0.25">
      <c r="C12" s="54"/>
    </row>
    <row r="13" spans="1:8" ht="42.75" x14ac:dyDescent="0.25">
      <c r="C13" s="54" t="s">
        <v>178</v>
      </c>
      <c r="D13" s="50" t="s">
        <v>179</v>
      </c>
      <c r="E13" s="55" t="s">
        <v>180</v>
      </c>
    </row>
    <row r="14" spans="1:8" x14ac:dyDescent="0.25">
      <c r="C14" s="54"/>
    </row>
    <row r="15" spans="1:8" ht="42.75" x14ac:dyDescent="0.25">
      <c r="C15" s="54" t="s">
        <v>747</v>
      </c>
      <c r="D15" s="48" t="s">
        <v>760</v>
      </c>
      <c r="H15" s="50"/>
    </row>
    <row r="16" spans="1:8" x14ac:dyDescent="0.25">
      <c r="C16" s="54"/>
      <c r="E16" s="50"/>
    </row>
    <row r="17" spans="3:8" x14ac:dyDescent="0.25">
      <c r="C17" s="54" t="s">
        <v>20</v>
      </c>
      <c r="D17" s="48" t="s">
        <v>761</v>
      </c>
      <c r="H17" s="50"/>
    </row>
    <row r="18" spans="3:8" ht="16.5" customHeight="1" x14ac:dyDescent="0.25">
      <c r="C18" s="54"/>
    </row>
    <row r="19" spans="3:8" ht="71.25" x14ac:dyDescent="0.25">
      <c r="C19" s="54" t="s">
        <v>184</v>
      </c>
      <c r="D19" s="50" t="s">
        <v>748</v>
      </c>
      <c r="E19" s="55" t="s">
        <v>749</v>
      </c>
    </row>
    <row r="20" spans="3:8" ht="16.5" customHeight="1" x14ac:dyDescent="0.25">
      <c r="C20" s="54"/>
    </row>
    <row r="21" spans="3:8" ht="28.5" x14ac:dyDescent="0.25">
      <c r="C21" s="54" t="s">
        <v>181</v>
      </c>
      <c r="D21" s="50" t="s">
        <v>750</v>
      </c>
      <c r="E21" s="55" t="s">
        <v>182</v>
      </c>
    </row>
    <row r="22" spans="3:8" x14ac:dyDescent="0.25">
      <c r="C22" s="54"/>
    </row>
    <row r="23" spans="3:8" ht="28.5" x14ac:dyDescent="0.25">
      <c r="C23" s="54" t="s">
        <v>21</v>
      </c>
      <c r="D23" s="50" t="s">
        <v>751</v>
      </c>
      <c r="E23" s="55" t="s">
        <v>752</v>
      </c>
    </row>
    <row r="24" spans="3:8" x14ac:dyDescent="0.25">
      <c r="C24" s="54"/>
    </row>
    <row r="25" spans="3:8" x14ac:dyDescent="0.25">
      <c r="C25" s="54" t="s">
        <v>22</v>
      </c>
      <c r="D25" s="50" t="s">
        <v>753</v>
      </c>
      <c r="E25" s="55" t="s">
        <v>754</v>
      </c>
    </row>
    <row r="26" spans="3:8" x14ac:dyDescent="0.25">
      <c r="C26" s="54"/>
    </row>
    <row r="27" spans="3:8" x14ac:dyDescent="0.25">
      <c r="C27" s="54" t="s">
        <v>0</v>
      </c>
      <c r="D27" s="50" t="s">
        <v>755</v>
      </c>
      <c r="E27" s="55" t="s">
        <v>756</v>
      </c>
    </row>
    <row r="28" spans="3:8" x14ac:dyDescent="0.25">
      <c r="C28" s="54"/>
    </row>
    <row r="29" spans="3:8" ht="78" customHeight="1" x14ac:dyDescent="0.25">
      <c r="C29" s="54" t="s">
        <v>183</v>
      </c>
      <c r="D29" s="50" t="s">
        <v>762</v>
      </c>
    </row>
    <row r="30" spans="3:8" x14ac:dyDescent="0.25">
      <c r="C30" s="54"/>
    </row>
    <row r="31" spans="3:8" x14ac:dyDescent="0.25">
      <c r="C31" s="54" t="s">
        <v>23</v>
      </c>
      <c r="D31" s="50" t="s">
        <v>757</v>
      </c>
    </row>
    <row r="32" spans="3:8" x14ac:dyDescent="0.25">
      <c r="C32" s="54"/>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election activeCell="ALL1000" sqref="ALL1000"/>
    </sheetView>
  </sheetViews>
  <sheetFormatPr defaultRowHeight="15" x14ac:dyDescent="0.25"/>
  <cols>
    <col min="1" max="1" width="9.140625" hidden="1" customWidth="1"/>
    <col min="2" max="2" width="22.28515625" customWidth="1"/>
    <col min="3" max="4" width="22.28515625" style="37" customWidth="1"/>
  </cols>
  <sheetData>
    <row r="1" spans="1:7" hidden="1" x14ac:dyDescent="0.25">
      <c r="A1" s="1" t="s">
        <v>766</v>
      </c>
      <c r="B1" s="1" t="s">
        <v>2</v>
      </c>
      <c r="C1" s="2" t="s">
        <v>3</v>
      </c>
      <c r="D1" s="2" t="s">
        <v>4</v>
      </c>
      <c r="E1" s="1"/>
    </row>
    <row r="2" spans="1:7" x14ac:dyDescent="0.25">
      <c r="A2" s="1"/>
      <c r="B2" s="1"/>
      <c r="C2" s="2"/>
      <c r="D2" s="2"/>
      <c r="E2" s="1"/>
    </row>
    <row r="3" spans="1:7" ht="15.75" x14ac:dyDescent="0.25">
      <c r="A3" s="1"/>
      <c r="B3" s="28"/>
      <c r="C3" s="33" t="s">
        <v>5</v>
      </c>
      <c r="D3" s="34"/>
    </row>
    <row r="4" spans="1:7" x14ac:dyDescent="0.25">
      <c r="A4" s="1" t="s">
        <v>6</v>
      </c>
      <c r="B4" s="29" t="s">
        <v>7</v>
      </c>
      <c r="C4" s="30" t="str">
        <f>"1/1/2012"</f>
        <v>1/1/2012</v>
      </c>
      <c r="D4" s="31"/>
      <c r="E4" s="3" t="str">
        <f>"1/1/2012..3/30/2012"</f>
        <v>1/1/2012..3/30/2012</v>
      </c>
    </row>
    <row r="5" spans="1:7" x14ac:dyDescent="0.25">
      <c r="A5" s="1" t="s">
        <v>6</v>
      </c>
      <c r="B5" s="29" t="s">
        <v>8</v>
      </c>
      <c r="C5" s="30" t="str">
        <f>"3/30/2012"</f>
        <v>3/30/2012</v>
      </c>
      <c r="D5" s="31"/>
    </row>
    <row r="6" spans="1:7" x14ac:dyDescent="0.25">
      <c r="A6" s="1" t="s">
        <v>6</v>
      </c>
      <c r="B6" s="38" t="s">
        <v>24</v>
      </c>
      <c r="C6" s="39" t="str">
        <f>"AX 2012 Cube"</f>
        <v>AX 2012 Cube</v>
      </c>
      <c r="D6" s="31" t="str">
        <f>"Lookup"</f>
        <v>Lookup</v>
      </c>
    </row>
    <row r="7" spans="1:7" x14ac:dyDescent="0.25">
      <c r="A7" s="1" t="s">
        <v>6</v>
      </c>
      <c r="B7" s="32" t="s">
        <v>15</v>
      </c>
      <c r="C7" s="35" t="str">
        <f>"Operating"</f>
        <v>Operating</v>
      </c>
      <c r="D7" s="36" t="str">
        <f>"Lookup"</f>
        <v>Lookup</v>
      </c>
    </row>
    <row r="8" spans="1:7" x14ac:dyDescent="0.25">
      <c r="F8" s="4"/>
    </row>
    <row r="9" spans="1:7" x14ac:dyDescent="0.25">
      <c r="G9" s="4"/>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P170"/>
  <sheetViews>
    <sheetView showGridLines="0" topLeftCell="B2" zoomScale="80" zoomScaleNormal="80" workbookViewId="0"/>
  </sheetViews>
  <sheetFormatPr defaultRowHeight="15" outlineLevelRow="1" x14ac:dyDescent="0.25"/>
  <cols>
    <col min="1" max="1" width="9.140625" style="14" hidden="1" customWidth="1"/>
    <col min="2" max="2" width="9.140625" customWidth="1"/>
    <col min="3" max="3" width="8.85546875" style="14" hidden="1" customWidth="1"/>
    <col min="4" max="4" width="10" customWidth="1"/>
    <col min="5" max="5" width="37" bestFit="1" customWidth="1"/>
    <col min="7" max="9" width="17.85546875" customWidth="1"/>
    <col min="10" max="10" width="3.85546875" hidden="1" customWidth="1"/>
    <col min="11" max="11" width="3.85546875" customWidth="1"/>
    <col min="12" max="12" width="9.7109375" bestFit="1" customWidth="1"/>
    <col min="13" max="24" width="10.7109375" bestFit="1" customWidth="1"/>
  </cols>
  <sheetData>
    <row r="1" spans="1:12" hidden="1" x14ac:dyDescent="0.25">
      <c r="A1" s="14" t="s">
        <v>768</v>
      </c>
      <c r="C1" s="14" t="s">
        <v>11</v>
      </c>
      <c r="G1" s="14"/>
      <c r="H1" s="14" t="s">
        <v>78</v>
      </c>
      <c r="I1" s="14" t="s">
        <v>78</v>
      </c>
      <c r="J1" s="14" t="s">
        <v>9</v>
      </c>
    </row>
    <row r="2" spans="1:12" x14ac:dyDescent="0.25">
      <c r="J2" s="4"/>
      <c r="K2" s="4"/>
    </row>
    <row r="3" spans="1:12" ht="33.75" x14ac:dyDescent="0.5">
      <c r="D3" s="40" t="s">
        <v>10</v>
      </c>
    </row>
    <row r="5" spans="1:12" hidden="1" x14ac:dyDescent="0.25">
      <c r="A5" s="14" t="s">
        <v>9</v>
      </c>
      <c r="G5" s="17">
        <v>40939</v>
      </c>
      <c r="H5" s="17">
        <v>40968</v>
      </c>
      <c r="I5" s="17">
        <v>40999</v>
      </c>
    </row>
    <row r="6" spans="1:12" x14ac:dyDescent="0.25">
      <c r="D6" s="5"/>
      <c r="E6" s="5"/>
      <c r="F6" s="5"/>
      <c r="G6" s="18" t="str">
        <f>"2012 Jan"</f>
        <v>2012 Jan</v>
      </c>
      <c r="H6" s="18" t="str">
        <f>"2012 Feb"</f>
        <v>2012 Feb</v>
      </c>
      <c r="I6" s="18" t="str">
        <f>"2012 Mar"</f>
        <v>2012 Mar</v>
      </c>
    </row>
    <row r="7" spans="1:12" ht="15.75" collapsed="1" x14ac:dyDescent="0.25">
      <c r="C7" s="14" t="str">
        <f>D7</f>
        <v>Sales</v>
      </c>
      <c r="D7" s="11" t="str">
        <f>"Sales"</f>
        <v>Sales</v>
      </c>
      <c r="E7" s="8"/>
      <c r="F7" s="9"/>
      <c r="G7" s="8"/>
      <c r="H7" s="8"/>
      <c r="I7" s="8"/>
    </row>
    <row r="8" spans="1:12" ht="15.75" hidden="1" outlineLevel="1" x14ac:dyDescent="0.25">
      <c r="C8" s="14" t="str">
        <f>C7</f>
        <v>Sales</v>
      </c>
      <c r="D8" s="15"/>
      <c r="E8" s="19" t="str">
        <f>"401100 - Product Sales"</f>
        <v>401100 - Product Sales</v>
      </c>
      <c r="F8" s="19"/>
      <c r="G8" s="22">
        <v>20135972.650000002</v>
      </c>
      <c r="H8" s="22">
        <v>20549293.43</v>
      </c>
      <c r="I8" s="22">
        <v>20518056.919999998</v>
      </c>
    </row>
    <row r="9" spans="1:12" ht="15.75" hidden="1" outlineLevel="1" x14ac:dyDescent="0.25">
      <c r="A9" s="14" t="s">
        <v>78</v>
      </c>
      <c r="C9" s="14" t="str">
        <f t="shared" ref="C9:C15" si="0">C8</f>
        <v>Sales</v>
      </c>
      <c r="D9" s="15"/>
      <c r="E9" s="19" t="str">
        <f>"401200 - Service Revenues"</f>
        <v>401200 - Service Revenues</v>
      </c>
      <c r="F9" s="19"/>
      <c r="G9" s="22">
        <v>1683.04</v>
      </c>
      <c r="H9" s="22">
        <v>1683.04</v>
      </c>
      <c r="I9" s="22">
        <v>1683.04</v>
      </c>
    </row>
    <row r="10" spans="1:12" ht="15.75" hidden="1" outlineLevel="1" x14ac:dyDescent="0.25">
      <c r="A10" s="14" t="s">
        <v>78</v>
      </c>
      <c r="C10" s="14" t="str">
        <f t="shared" si="0"/>
        <v>Sales</v>
      </c>
      <c r="D10" s="15"/>
      <c r="E10" s="19" t="str">
        <f>"401400 - Accrued Sales (Shipped Not Invoiced)"</f>
        <v>401400 - Accrued Sales (Shipped Not Invoiced)</v>
      </c>
      <c r="F10" s="19"/>
      <c r="G10" s="22">
        <v>-1.7462298274040222E-10</v>
      </c>
      <c r="H10" s="22">
        <v>-1.3096723705530167E-10</v>
      </c>
      <c r="I10" s="22">
        <v>-1.3096723705530167E-10</v>
      </c>
    </row>
    <row r="11" spans="1:12" ht="15.75" hidden="1" outlineLevel="1" x14ac:dyDescent="0.25">
      <c r="A11" s="14" t="s">
        <v>78</v>
      </c>
      <c r="C11" s="14" t="str">
        <f t="shared" si="0"/>
        <v>Sales</v>
      </c>
      <c r="D11" s="15"/>
      <c r="E11" s="19" t="str">
        <f>"402300 - Intercompany Sales - USMF/DEMF"</f>
        <v>402300 - Intercompany Sales - USMF/DEMF</v>
      </c>
      <c r="F11" s="19"/>
      <c r="G11" s="22">
        <v>673332</v>
      </c>
      <c r="H11" s="22">
        <v>688468</v>
      </c>
      <c r="I11" s="22">
        <v>688468</v>
      </c>
    </row>
    <row r="12" spans="1:12" ht="15.75" hidden="1" outlineLevel="1" x14ac:dyDescent="0.25">
      <c r="A12" s="14" t="s">
        <v>78</v>
      </c>
      <c r="C12" s="14" t="str">
        <f t="shared" si="0"/>
        <v>Sales</v>
      </c>
      <c r="D12" s="15"/>
      <c r="E12" s="19" t="str">
        <f>"411100 - Clients - Vtes Biens &amp;S  (Domestic)"</f>
        <v>411100 - Clients - Vtes Biens &amp;S  (Domestic)</v>
      </c>
      <c r="F12" s="19"/>
      <c r="G12" s="22">
        <v>0</v>
      </c>
      <c r="H12" s="22">
        <v>0</v>
      </c>
      <c r="I12" s="22">
        <v>4574200</v>
      </c>
    </row>
    <row r="13" spans="1:12" ht="15.75" hidden="1" outlineLevel="1" x14ac:dyDescent="0.25">
      <c r="A13" s="14" t="s">
        <v>78</v>
      </c>
      <c r="C13" s="14" t="str">
        <f t="shared" si="0"/>
        <v>Sales</v>
      </c>
      <c r="D13" s="15"/>
      <c r="E13" s="19" t="str">
        <f>"411200 - Clients - Vtes Biens &amp; Serv (étranger)"</f>
        <v>411200 - Clients - Vtes Biens &amp; Serv (étranger)</v>
      </c>
      <c r="F13" s="19"/>
      <c r="G13" s="22">
        <v>0</v>
      </c>
      <c r="H13" s="22">
        <v>0</v>
      </c>
      <c r="I13" s="22">
        <v>328244</v>
      </c>
    </row>
    <row r="14" spans="1:12" ht="15.75" hidden="1" outlineLevel="1" x14ac:dyDescent="0.25">
      <c r="A14" s="14" t="s">
        <v>78</v>
      </c>
      <c r="C14" s="14" t="str">
        <f t="shared" si="0"/>
        <v>Sales</v>
      </c>
      <c r="D14" s="15"/>
      <c r="E14" s="19" t="str">
        <f>"411300 - Clients - Vtes Biens &amp; Serv (Exp)"</f>
        <v>411300 - Clients - Vtes Biens &amp; Serv (Exp)</v>
      </c>
      <c r="F14" s="19"/>
      <c r="G14" s="22">
        <v>0</v>
      </c>
      <c r="H14" s="22">
        <v>0</v>
      </c>
      <c r="I14" s="22">
        <v>1905680</v>
      </c>
    </row>
    <row r="15" spans="1:12" ht="15.75" hidden="1" outlineLevel="1" x14ac:dyDescent="0.25">
      <c r="A15" s="14" t="s">
        <v>78</v>
      </c>
      <c r="C15" s="14" t="str">
        <f t="shared" si="0"/>
        <v>Sales</v>
      </c>
      <c r="D15" s="15"/>
      <c r="E15" s="19" t="str">
        <f>"420200 - Accrued Revenue"</f>
        <v>420200 - Accrued Revenue</v>
      </c>
      <c r="F15" s="19"/>
      <c r="G15" s="22">
        <v>1485000</v>
      </c>
      <c r="H15" s="22">
        <v>2185000</v>
      </c>
      <c r="I15" s="22">
        <v>3080000</v>
      </c>
    </row>
    <row r="16" spans="1:12" ht="15.75" x14ac:dyDescent="0.25">
      <c r="C16" s="14" t="str">
        <f>C8</f>
        <v>Sales</v>
      </c>
      <c r="D16" s="15"/>
      <c r="E16" s="20" t="str">
        <f>"Total "&amp;D7</f>
        <v>Total Sales</v>
      </c>
      <c r="F16" s="13"/>
      <c r="G16" s="21">
        <v>22295987.690000001</v>
      </c>
      <c r="H16" s="21">
        <v>23424444.470000003</v>
      </c>
      <c r="I16" s="21">
        <v>31096331.960000016</v>
      </c>
      <c r="J16" s="6"/>
      <c r="K16" s="6"/>
      <c r="L16" s="6"/>
    </row>
    <row r="17" spans="1:12" ht="15.75" x14ac:dyDescent="0.25">
      <c r="D17" s="15"/>
      <c r="E17" s="8"/>
      <c r="F17" s="8"/>
      <c r="G17" s="10"/>
      <c r="H17" s="10"/>
      <c r="I17" s="10"/>
    </row>
    <row r="18" spans="1:12" ht="15.75" collapsed="1" x14ac:dyDescent="0.25">
      <c r="C18" s="14" t="str">
        <f>D18</f>
        <v>Cost of Goods Sold</v>
      </c>
      <c r="D18" s="11" t="str">
        <f>"Cost of Goods Sold"</f>
        <v>Cost of Goods Sold</v>
      </c>
      <c r="E18" s="8"/>
      <c r="F18" s="9"/>
      <c r="G18" s="8"/>
      <c r="H18" s="8"/>
      <c r="I18" s="8"/>
    </row>
    <row r="19" spans="1:12" ht="15.75" hidden="1" outlineLevel="1" x14ac:dyDescent="0.25">
      <c r="C19" s="14" t="str">
        <f>C18</f>
        <v>Cost of Goods Sold</v>
      </c>
      <c r="D19" s="15"/>
      <c r="E19" s="19" t="str">
        <f>"500100 - COGS - Finished Goods"</f>
        <v>500100 - COGS - Finished Goods</v>
      </c>
      <c r="F19" s="19"/>
      <c r="G19" s="22">
        <v>-18724605.589999996</v>
      </c>
      <c r="H19" s="22">
        <v>-19223936.66</v>
      </c>
      <c r="I19" s="22">
        <v>-20064996.829999998</v>
      </c>
    </row>
    <row r="20" spans="1:12" ht="15.75" hidden="1" outlineLevel="1" x14ac:dyDescent="0.25">
      <c r="A20" s="14" t="s">
        <v>78</v>
      </c>
      <c r="C20" s="14" t="str">
        <f t="shared" ref="C20:C30" si="1">C19</f>
        <v>Cost of Goods Sold</v>
      </c>
      <c r="D20" s="15"/>
      <c r="E20" s="19" t="str">
        <f>"500130 - COGS - Services"</f>
        <v>500130 - COGS - Services</v>
      </c>
      <c r="F20" s="19"/>
      <c r="G20" s="22">
        <v>-629.66000000000008</v>
      </c>
      <c r="H20" s="22">
        <v>-629.66000000000008</v>
      </c>
      <c r="I20" s="22">
        <v>-629.66000000000008</v>
      </c>
    </row>
    <row r="21" spans="1:12" ht="15.75" hidden="1" outlineLevel="1" x14ac:dyDescent="0.25">
      <c r="A21" s="14" t="s">
        <v>78</v>
      </c>
      <c r="C21" s="14" t="str">
        <f t="shared" si="1"/>
        <v>Cost of Goods Sold</v>
      </c>
      <c r="D21" s="15"/>
      <c r="E21" s="19" t="str">
        <f>"500150 - Deferred COGS"</f>
        <v>500150 - Deferred COGS</v>
      </c>
      <c r="F21" s="19"/>
      <c r="G21" s="22">
        <v>-1.1496013030409813E-9</v>
      </c>
      <c r="H21" s="22">
        <v>-1.2660166248679161E-9</v>
      </c>
      <c r="I21" s="22">
        <v>-1.2660166248679161E-9</v>
      </c>
    </row>
    <row r="22" spans="1:12" ht="15.75" hidden="1" outlineLevel="1" x14ac:dyDescent="0.25">
      <c r="A22" s="14" t="s">
        <v>78</v>
      </c>
      <c r="C22" s="14" t="str">
        <f t="shared" si="1"/>
        <v>Cost of Goods Sold</v>
      </c>
      <c r="D22" s="15"/>
      <c r="E22" s="19" t="str">
        <f>"510310 - Purchase Price Variance"</f>
        <v>510310 - Purchase Price Variance</v>
      </c>
      <c r="F22" s="19"/>
      <c r="G22" s="22">
        <v>0</v>
      </c>
      <c r="H22" s="22">
        <v>0</v>
      </c>
      <c r="I22" s="22">
        <v>0</v>
      </c>
    </row>
    <row r="23" spans="1:12" ht="15.75" hidden="1" outlineLevel="1" x14ac:dyDescent="0.25">
      <c r="A23" s="14" t="s">
        <v>78</v>
      </c>
      <c r="C23" s="14" t="str">
        <f t="shared" si="1"/>
        <v>Cost of Goods Sold</v>
      </c>
      <c r="D23" s="15"/>
      <c r="E23" s="19" t="str">
        <f>"510320 - Cost Change Variance"</f>
        <v>510320 - Cost Change Variance</v>
      </c>
      <c r="F23" s="19"/>
      <c r="G23" s="22">
        <v>0</v>
      </c>
      <c r="H23" s="22">
        <v>0</v>
      </c>
      <c r="I23" s="22">
        <v>0</v>
      </c>
    </row>
    <row r="24" spans="1:12" ht="15.75" hidden="1" outlineLevel="1" x14ac:dyDescent="0.25">
      <c r="A24" s="14" t="s">
        <v>78</v>
      </c>
      <c r="C24" s="14" t="str">
        <f t="shared" si="1"/>
        <v>Cost of Goods Sold</v>
      </c>
      <c r="D24" s="15"/>
      <c r="E24" s="19" t="str">
        <f>"510330 - Inventory Cost Revaluation"</f>
        <v>510330 - Inventory Cost Revaluation</v>
      </c>
      <c r="F24" s="19"/>
      <c r="G24" s="22">
        <v>0.01</v>
      </c>
      <c r="H24" s="22">
        <v>3.9999999999999994E-2</v>
      </c>
      <c r="I24" s="22">
        <v>3.9999999999999987E-2</v>
      </c>
    </row>
    <row r="25" spans="1:12" ht="15.75" hidden="1" outlineLevel="1" x14ac:dyDescent="0.25">
      <c r="A25" s="14" t="s">
        <v>78</v>
      </c>
      <c r="C25" s="14" t="str">
        <f t="shared" si="1"/>
        <v>Cost of Goods Sold</v>
      </c>
      <c r="D25" s="15"/>
      <c r="E25" s="19" t="str">
        <f>"510340 - Production Price Variance"</f>
        <v>510340 - Production Price Variance</v>
      </c>
      <c r="F25" s="19"/>
      <c r="G25" s="22">
        <v>0</v>
      </c>
      <c r="H25" s="22">
        <v>0</v>
      </c>
      <c r="I25" s="22">
        <v>0</v>
      </c>
    </row>
    <row r="26" spans="1:12" ht="15.75" hidden="1" outlineLevel="1" x14ac:dyDescent="0.25">
      <c r="A26" s="14" t="s">
        <v>78</v>
      </c>
      <c r="C26" s="14" t="str">
        <f t="shared" si="1"/>
        <v>Cost of Goods Sold</v>
      </c>
      <c r="D26" s="15"/>
      <c r="E26" s="19" t="str">
        <f>"510350 - Production Quantity Variance"</f>
        <v>510350 - Production Quantity Variance</v>
      </c>
      <c r="F26" s="19"/>
      <c r="G26" s="22">
        <v>0</v>
      </c>
      <c r="H26" s="22">
        <v>0</v>
      </c>
      <c r="I26" s="22">
        <v>0</v>
      </c>
    </row>
    <row r="27" spans="1:12" ht="15.75" hidden="1" outlineLevel="1" x14ac:dyDescent="0.25">
      <c r="A27" s="14" t="s">
        <v>78</v>
      </c>
      <c r="C27" s="14" t="str">
        <f t="shared" si="1"/>
        <v>Cost of Goods Sold</v>
      </c>
      <c r="D27" s="15"/>
      <c r="E27" s="19" t="str">
        <f>"510360 - Production Substitution Variance"</f>
        <v>510360 - Production Substitution Variance</v>
      </c>
      <c r="F27" s="19"/>
      <c r="G27" s="22">
        <v>0</v>
      </c>
      <c r="H27" s="22">
        <v>0</v>
      </c>
      <c r="I27" s="22">
        <v>0</v>
      </c>
    </row>
    <row r="28" spans="1:12" ht="15.75" hidden="1" outlineLevel="1" x14ac:dyDescent="0.25">
      <c r="A28" s="14" t="s">
        <v>78</v>
      </c>
      <c r="C28" s="14" t="str">
        <f t="shared" si="1"/>
        <v>Cost of Goods Sold</v>
      </c>
      <c r="D28" s="15"/>
      <c r="E28" s="19" t="str">
        <f>"510500 - Inventory Profit/Loss"</f>
        <v>510500 - Inventory Profit/Loss</v>
      </c>
      <c r="F28" s="19"/>
      <c r="G28" s="22">
        <v>10976642.869999999</v>
      </c>
      <c r="H28" s="22">
        <v>11212906.609999999</v>
      </c>
      <c r="I28" s="22">
        <v>11211771.449999999</v>
      </c>
    </row>
    <row r="29" spans="1:12" ht="15.75" hidden="1" outlineLevel="1" x14ac:dyDescent="0.25">
      <c r="A29" s="14" t="s">
        <v>78</v>
      </c>
      <c r="C29" s="14" t="str">
        <f t="shared" si="1"/>
        <v>Cost of Goods Sold</v>
      </c>
      <c r="D29" s="15"/>
      <c r="E29" s="19" t="str">
        <f>"510520 - Inventory Adjustment"</f>
        <v>510520 - Inventory Adjustment</v>
      </c>
      <c r="F29" s="19"/>
      <c r="G29" s="22">
        <v>0</v>
      </c>
      <c r="H29" s="22">
        <v>0</v>
      </c>
      <c r="I29" s="22">
        <v>0</v>
      </c>
    </row>
    <row r="30" spans="1:12" ht="15.75" hidden="1" outlineLevel="1" x14ac:dyDescent="0.25">
      <c r="A30" s="14" t="s">
        <v>78</v>
      </c>
      <c r="C30" s="14" t="str">
        <f t="shared" si="1"/>
        <v>Cost of Goods Sold</v>
      </c>
      <c r="D30" s="15"/>
      <c r="E30" s="19" t="str">
        <f>"510600 - Moving average price difference"</f>
        <v>510600 - Moving average price difference</v>
      </c>
      <c r="F30" s="19"/>
      <c r="G30" s="22">
        <v>-23146.420000000002</v>
      </c>
      <c r="H30" s="22">
        <v>-26377.040000000001</v>
      </c>
      <c r="I30" s="22">
        <v>-29096.48000000001</v>
      </c>
    </row>
    <row r="31" spans="1:12" ht="15.75" x14ac:dyDescent="0.25">
      <c r="C31" s="14" t="str">
        <f>C19</f>
        <v>Cost of Goods Sold</v>
      </c>
      <c r="D31" s="15"/>
      <c r="E31" s="20" t="str">
        <f>"Total "&amp;D18</f>
        <v>Total Cost of Goods Sold</v>
      </c>
      <c r="F31" s="13"/>
      <c r="G31" s="21">
        <v>-312819.0200000006</v>
      </c>
      <c r="H31" s="21">
        <v>-307496.70999999903</v>
      </c>
      <c r="I31" s="21">
        <v>-303874.66999999958</v>
      </c>
      <c r="J31" s="6"/>
      <c r="K31" s="6"/>
      <c r="L31" s="6"/>
    </row>
    <row r="32" spans="1:12" ht="15.75" x14ac:dyDescent="0.25">
      <c r="D32" s="15"/>
      <c r="E32" s="9"/>
      <c r="F32" s="8"/>
      <c r="G32" s="7"/>
      <c r="H32" s="7"/>
      <c r="I32" s="7"/>
    </row>
    <row r="33" spans="1:9" ht="15.75" x14ac:dyDescent="0.25">
      <c r="D33" s="23" t="s">
        <v>1</v>
      </c>
      <c r="E33" s="24"/>
      <c r="F33" s="24"/>
      <c r="G33" s="25">
        <f>SUBTOTAL(9,G16,G31)</f>
        <v>21983168.670000002</v>
      </c>
      <c r="H33" s="25">
        <f>SUBTOTAL(9,H16,H31)</f>
        <v>23116947.760000005</v>
      </c>
      <c r="I33" s="25">
        <f>SUBTOTAL(9,I16,I31)</f>
        <v>30792457.290000018</v>
      </c>
    </row>
    <row r="34" spans="1:9" ht="15.75" x14ac:dyDescent="0.25">
      <c r="D34" s="15"/>
      <c r="E34" s="8"/>
      <c r="F34" s="8"/>
      <c r="G34" s="12"/>
      <c r="H34" s="12"/>
      <c r="I34" s="12"/>
    </row>
    <row r="35" spans="1:9" ht="15.75" collapsed="1" x14ac:dyDescent="0.25">
      <c r="C35" s="14" t="str">
        <f>D35</f>
        <v>Administrative Expense</v>
      </c>
      <c r="D35" s="11" t="str">
        <f>"Administrative Expense"</f>
        <v>Administrative Expense</v>
      </c>
      <c r="E35" s="8"/>
      <c r="F35" s="9"/>
      <c r="G35" s="8"/>
      <c r="H35" s="8"/>
      <c r="I35" s="8"/>
    </row>
    <row r="36" spans="1:9" ht="15.75" hidden="1" outlineLevel="1" x14ac:dyDescent="0.25">
      <c r="C36" s="14" t="str">
        <f>C35</f>
        <v>Administrative Expense</v>
      </c>
      <c r="D36" s="15"/>
      <c r="E36" s="19" t="str">
        <f>"604100 - Gasoline &amp; Oil Expense"</f>
        <v>604100 - Gasoline &amp; Oil Expense</v>
      </c>
      <c r="F36" s="19"/>
      <c r="G36" s="22">
        <v>-32379.839999999997</v>
      </c>
      <c r="H36" s="22">
        <v>-32379.839999999997</v>
      </c>
      <c r="I36" s="22">
        <v>-32379.839999999997</v>
      </c>
    </row>
    <row r="37" spans="1:9" ht="15.75" hidden="1" outlineLevel="1" x14ac:dyDescent="0.25">
      <c r="A37" s="14" t="s">
        <v>78</v>
      </c>
      <c r="C37" s="14" t="str">
        <f t="shared" ref="C37:C55" si="2">C36</f>
        <v>Administrative Expense</v>
      </c>
      <c r="D37" s="15"/>
      <c r="E37" s="19" t="str">
        <f>"604200 - License &amp; registration fees expense"</f>
        <v>604200 - License &amp; registration fees expense</v>
      </c>
      <c r="F37" s="19"/>
      <c r="G37" s="22">
        <v>-9251.73</v>
      </c>
      <c r="H37" s="22">
        <v>-9251.73</v>
      </c>
      <c r="I37" s="22">
        <v>-9251.73</v>
      </c>
    </row>
    <row r="38" spans="1:9" ht="15.75" hidden="1" outlineLevel="1" x14ac:dyDescent="0.25">
      <c r="A38" s="14" t="s">
        <v>78</v>
      </c>
      <c r="C38" s="14" t="str">
        <f t="shared" si="2"/>
        <v>Administrative Expense</v>
      </c>
      <c r="D38" s="15"/>
      <c r="E38" s="19" t="str">
        <f>"604300 - Vehicle Repairs &amp; Maintenance Expense"</f>
        <v>604300 - Vehicle Repairs &amp; Maintenance Expense</v>
      </c>
      <c r="F38" s="19"/>
      <c r="G38" s="22">
        <v>-39592.379999999997</v>
      </c>
      <c r="H38" s="22">
        <v>-39592.379999999997</v>
      </c>
      <c r="I38" s="22">
        <v>-39592.379999999997</v>
      </c>
    </row>
    <row r="39" spans="1:9" ht="15.75" hidden="1" outlineLevel="1" x14ac:dyDescent="0.25">
      <c r="A39" s="14" t="s">
        <v>78</v>
      </c>
      <c r="C39" s="14" t="str">
        <f t="shared" si="2"/>
        <v>Administrative Expense</v>
      </c>
      <c r="D39" s="15"/>
      <c r="E39" s="19" t="str">
        <f>"604400 - Vehicle insurance expense"</f>
        <v>604400 - Vehicle insurance expense</v>
      </c>
      <c r="F39" s="19"/>
      <c r="G39" s="22">
        <v>-9251.43</v>
      </c>
      <c r="H39" s="22">
        <v>-9251.43</v>
      </c>
      <c r="I39" s="22">
        <v>-9251.43</v>
      </c>
    </row>
    <row r="40" spans="1:9" ht="15.75" hidden="1" outlineLevel="1" x14ac:dyDescent="0.25">
      <c r="A40" s="14" t="s">
        <v>78</v>
      </c>
      <c r="C40" s="14" t="str">
        <f t="shared" si="2"/>
        <v>Administrative Expense</v>
      </c>
      <c r="D40" s="15"/>
      <c r="E40" s="19" t="str">
        <f>"604500 - Lease Expense"</f>
        <v>604500 - Lease Expense</v>
      </c>
      <c r="F40" s="19"/>
      <c r="G40" s="22">
        <v>-85321.249999999942</v>
      </c>
      <c r="H40" s="22">
        <v>-82295.649999999951</v>
      </c>
      <c r="I40" s="22">
        <v>-85321.249999999942</v>
      </c>
    </row>
    <row r="41" spans="1:9" ht="15.75" hidden="1" outlineLevel="1" x14ac:dyDescent="0.25">
      <c r="A41" s="14" t="s">
        <v>78</v>
      </c>
      <c r="C41" s="14" t="str">
        <f t="shared" si="2"/>
        <v>Administrative Expense</v>
      </c>
      <c r="D41" s="15"/>
      <c r="E41" s="19" t="str">
        <f>"605110 - Cleaning Expense"</f>
        <v>605110 - Cleaning Expense</v>
      </c>
      <c r="F41" s="19"/>
      <c r="G41" s="22">
        <v>-4625.74</v>
      </c>
      <c r="H41" s="22">
        <v>-4625.74</v>
      </c>
      <c r="I41" s="22">
        <v>-4625.74</v>
      </c>
    </row>
    <row r="42" spans="1:9" ht="15.75" hidden="1" outlineLevel="1" x14ac:dyDescent="0.25">
      <c r="A42" s="14" t="s">
        <v>78</v>
      </c>
      <c r="C42" s="14" t="str">
        <f t="shared" si="2"/>
        <v>Administrative Expense</v>
      </c>
      <c r="D42" s="15"/>
      <c r="E42" s="19" t="str">
        <f>"605120 - Electricity expense"</f>
        <v>605120 - Electricity expense</v>
      </c>
      <c r="F42" s="19"/>
      <c r="G42" s="22">
        <v>-4625.7400000000007</v>
      </c>
      <c r="H42" s="22">
        <v>-4625.7400000000007</v>
      </c>
      <c r="I42" s="22">
        <v>-4625.7400000000007</v>
      </c>
    </row>
    <row r="43" spans="1:9" ht="15.75" hidden="1" outlineLevel="1" x14ac:dyDescent="0.25">
      <c r="A43" s="14" t="s">
        <v>78</v>
      </c>
      <c r="C43" s="14" t="str">
        <f t="shared" si="2"/>
        <v>Administrative Expense</v>
      </c>
      <c r="D43" s="15"/>
      <c r="E43" s="19" t="str">
        <f>"605130 - Insurance Building &amp; Property Expense"</f>
        <v>605130 - Insurance Building &amp; Property Expense</v>
      </c>
      <c r="F43" s="19"/>
      <c r="G43" s="22">
        <v>-9251.43</v>
      </c>
      <c r="H43" s="22">
        <v>-9251.43</v>
      </c>
      <c r="I43" s="22">
        <v>-9251.43</v>
      </c>
    </row>
    <row r="44" spans="1:9" ht="15.75" hidden="1" outlineLevel="1" x14ac:dyDescent="0.25">
      <c r="A44" s="14" t="s">
        <v>78</v>
      </c>
      <c r="C44" s="14" t="str">
        <f t="shared" si="2"/>
        <v>Administrative Expense</v>
      </c>
      <c r="D44" s="15"/>
      <c r="E44" s="19" t="str">
        <f>"605140 - Repairs and maintenance"</f>
        <v>605140 - Repairs and maintenance</v>
      </c>
      <c r="F44" s="19"/>
      <c r="G44" s="22">
        <v>-37005.46</v>
      </c>
      <c r="H44" s="22">
        <v>-37005.460000000006</v>
      </c>
      <c r="I44" s="22">
        <v>-37005.460000000006</v>
      </c>
    </row>
    <row r="45" spans="1:9" ht="15.75" hidden="1" outlineLevel="1" x14ac:dyDescent="0.25">
      <c r="A45" s="14" t="s">
        <v>78</v>
      </c>
      <c r="C45" s="14" t="str">
        <f t="shared" si="2"/>
        <v>Administrative Expense</v>
      </c>
      <c r="D45" s="15"/>
      <c r="E45" s="19" t="str">
        <f>"605150 - Rent Expense"</f>
        <v>605150 - Rent Expense</v>
      </c>
      <c r="F45" s="19"/>
      <c r="G45" s="22">
        <v>-837267.84</v>
      </c>
      <c r="H45" s="22">
        <v>-837267.84</v>
      </c>
      <c r="I45" s="22">
        <v>-837267.84</v>
      </c>
    </row>
    <row r="46" spans="1:9" ht="15.75" hidden="1" outlineLevel="1" x14ac:dyDescent="0.25">
      <c r="A46" s="14" t="s">
        <v>78</v>
      </c>
      <c r="C46" s="14" t="str">
        <f t="shared" si="2"/>
        <v>Administrative Expense</v>
      </c>
      <c r="D46" s="15"/>
      <c r="E46" s="19" t="str">
        <f>"605160 - Utilities expense"</f>
        <v>605160 - Utilities expense</v>
      </c>
      <c r="F46" s="19"/>
      <c r="G46" s="22">
        <v>-16098.72</v>
      </c>
      <c r="H46" s="22">
        <v>-16117.32</v>
      </c>
      <c r="I46" s="22">
        <v>-16029.36</v>
      </c>
    </row>
    <row r="47" spans="1:9" ht="15.75" hidden="1" outlineLevel="1" x14ac:dyDescent="0.25">
      <c r="A47" s="14" t="s">
        <v>78</v>
      </c>
      <c r="C47" s="14" t="str">
        <f t="shared" si="2"/>
        <v>Administrative Expense</v>
      </c>
      <c r="D47" s="15"/>
      <c r="E47" s="19" t="str">
        <f>"605170 - Equipment Lease Expense"</f>
        <v>605170 - Equipment Lease Expense</v>
      </c>
      <c r="F47" s="19"/>
      <c r="G47" s="22">
        <v>-16034.429999999998</v>
      </c>
      <c r="H47" s="22">
        <v>-16034.429999999998</v>
      </c>
      <c r="I47" s="22">
        <v>-16034.429999999998</v>
      </c>
    </row>
    <row r="48" spans="1:9" ht="15.75" hidden="1" outlineLevel="1" x14ac:dyDescent="0.25">
      <c r="A48" s="14" t="s">
        <v>78</v>
      </c>
      <c r="C48" s="14" t="str">
        <f t="shared" si="2"/>
        <v>Administrative Expense</v>
      </c>
      <c r="D48" s="15"/>
      <c r="E48" s="19" t="str">
        <f>"605180 - Storage supplies expense"</f>
        <v>605180 - Storage supplies expense</v>
      </c>
      <c r="F48" s="19"/>
      <c r="G48" s="22">
        <v>-13577.09</v>
      </c>
      <c r="H48" s="22">
        <v>-13577.09</v>
      </c>
      <c r="I48" s="22">
        <v>-13577.09</v>
      </c>
    </row>
    <row r="49" spans="1:12" ht="15.75" hidden="1" outlineLevel="1" x14ac:dyDescent="0.25">
      <c r="A49" s="14" t="s">
        <v>78</v>
      </c>
      <c r="C49" s="14" t="str">
        <f t="shared" si="2"/>
        <v>Administrative Expense</v>
      </c>
      <c r="D49" s="15"/>
      <c r="E49" s="19" t="str">
        <f>"605190 - Recycling Expense"</f>
        <v>605190 - Recycling Expense</v>
      </c>
      <c r="F49" s="19"/>
      <c r="G49" s="22">
        <v>-4625.7400000000007</v>
      </c>
      <c r="H49" s="22">
        <v>-4625.7400000000007</v>
      </c>
      <c r="I49" s="22">
        <v>-4625.7400000000007</v>
      </c>
    </row>
    <row r="50" spans="1:12" ht="15.75" hidden="1" outlineLevel="1" x14ac:dyDescent="0.25">
      <c r="A50" s="14" t="s">
        <v>78</v>
      </c>
      <c r="C50" s="14" t="str">
        <f t="shared" si="2"/>
        <v>Administrative Expense</v>
      </c>
      <c r="D50" s="15"/>
      <c r="E50" s="19" t="str">
        <f>"606200 - Insurance Expense"</f>
        <v>606200 - Insurance Expense</v>
      </c>
      <c r="F50" s="19"/>
      <c r="G50" s="22">
        <v>-23128.45</v>
      </c>
      <c r="H50" s="22">
        <v>-23128.45</v>
      </c>
      <c r="I50" s="22">
        <v>-23128.45</v>
      </c>
    </row>
    <row r="51" spans="1:12" ht="15.75" hidden="1" outlineLevel="1" x14ac:dyDescent="0.25">
      <c r="A51" s="14" t="s">
        <v>78</v>
      </c>
      <c r="C51" s="14" t="str">
        <f t="shared" si="2"/>
        <v>Administrative Expense</v>
      </c>
      <c r="D51" s="15"/>
      <c r="E51" s="19" t="str">
        <f>"606300 - Office Supplies Expense"</f>
        <v>606300 - Office Supplies Expense</v>
      </c>
      <c r="F51" s="19"/>
      <c r="G51" s="22">
        <v>-4625.7400000000007</v>
      </c>
      <c r="H51" s="22">
        <v>-4625.7400000000007</v>
      </c>
      <c r="I51" s="22">
        <v>-4625.7400000000007</v>
      </c>
    </row>
    <row r="52" spans="1:12" ht="15.75" hidden="1" outlineLevel="1" x14ac:dyDescent="0.25">
      <c r="A52" s="14" t="s">
        <v>78</v>
      </c>
      <c r="C52" s="14" t="str">
        <f t="shared" si="2"/>
        <v>Administrative Expense</v>
      </c>
      <c r="D52" s="15"/>
      <c r="E52" s="19" t="str">
        <f>"606400 - Telephone &amp; Fax Expense"</f>
        <v>606400 - Telephone &amp; Fax Expense</v>
      </c>
      <c r="F52" s="19"/>
      <c r="G52" s="22">
        <v>-9251.43</v>
      </c>
      <c r="H52" s="22">
        <v>-9251.43</v>
      </c>
      <c r="I52" s="22">
        <v>-9251.43</v>
      </c>
    </row>
    <row r="53" spans="1:12" ht="15.75" hidden="1" outlineLevel="1" x14ac:dyDescent="0.25">
      <c r="A53" s="14" t="s">
        <v>78</v>
      </c>
      <c r="C53" s="14" t="str">
        <f t="shared" si="2"/>
        <v>Administrative Expense</v>
      </c>
      <c r="D53" s="15"/>
      <c r="E53" s="19" t="str">
        <f>"606500 - Postage Expense"</f>
        <v>606500 - Postage Expense</v>
      </c>
      <c r="F53" s="19"/>
      <c r="G53" s="22">
        <v>-4625.7400000000007</v>
      </c>
      <c r="H53" s="22">
        <v>-4625.7400000000007</v>
      </c>
      <c r="I53" s="22">
        <v>-4625.7400000000007</v>
      </c>
    </row>
    <row r="54" spans="1:12" ht="15.75" hidden="1" outlineLevel="1" x14ac:dyDescent="0.25">
      <c r="A54" s="14" t="s">
        <v>78</v>
      </c>
      <c r="C54" s="14" t="str">
        <f t="shared" si="2"/>
        <v>Administrative Expense</v>
      </c>
      <c r="D54" s="15"/>
      <c r="E54" s="19" t="str">
        <f>"606600 - Printing Expense"</f>
        <v>606600 - Printing Expense</v>
      </c>
      <c r="F54" s="19"/>
      <c r="G54" s="22">
        <v>-4625.7400000000007</v>
      </c>
      <c r="H54" s="22">
        <v>-4625.7400000000007</v>
      </c>
      <c r="I54" s="22">
        <v>-4625.7400000000007</v>
      </c>
    </row>
    <row r="55" spans="1:12" ht="15.75" hidden="1" outlineLevel="1" x14ac:dyDescent="0.25">
      <c r="A55" s="14" t="s">
        <v>78</v>
      </c>
      <c r="C55" s="14" t="str">
        <f t="shared" si="2"/>
        <v>Administrative Expense</v>
      </c>
      <c r="D55" s="15"/>
      <c r="E55" s="19" t="str">
        <f>"606700 - Moving Expense"</f>
        <v>606700 - Moving Expense</v>
      </c>
      <c r="F55" s="19"/>
      <c r="G55" s="22">
        <v>-23137.45</v>
      </c>
      <c r="H55" s="22">
        <v>-23137.45</v>
      </c>
      <c r="I55" s="22">
        <v>-23137.45</v>
      </c>
    </row>
    <row r="56" spans="1:12" ht="15.75" x14ac:dyDescent="0.25">
      <c r="C56" s="14" t="str">
        <f>C36</f>
        <v>Administrative Expense</v>
      </c>
      <c r="D56" s="15"/>
      <c r="E56" s="20" t="str">
        <f>"Total "&amp;D35</f>
        <v>Total Administrative Expense</v>
      </c>
      <c r="F56" s="13"/>
      <c r="G56" s="21">
        <v>-474035.53000000096</v>
      </c>
      <c r="H56" s="21">
        <v>-471028.5300000009</v>
      </c>
      <c r="I56" s="21">
        <v>-473966.17000000092</v>
      </c>
      <c r="J56" s="6"/>
      <c r="K56" s="6"/>
      <c r="L56" s="6"/>
    </row>
    <row r="57" spans="1:12" ht="15.75" x14ac:dyDescent="0.25">
      <c r="D57" s="16"/>
      <c r="G57" s="6"/>
      <c r="H57" s="6"/>
      <c r="I57" s="6"/>
    </row>
    <row r="58" spans="1:12" ht="15.75" collapsed="1" x14ac:dyDescent="0.25">
      <c r="C58" s="14" t="str">
        <f>D58</f>
        <v>Manufacturing Expense</v>
      </c>
      <c r="D58" s="11" t="str">
        <f>"Manufacturing Expense"</f>
        <v>Manufacturing Expense</v>
      </c>
      <c r="E58" s="8"/>
      <c r="F58" s="9"/>
      <c r="G58" s="8"/>
      <c r="H58" s="8"/>
      <c r="I58" s="8"/>
    </row>
    <row r="59" spans="1:12" ht="15.75" hidden="1" outlineLevel="1" x14ac:dyDescent="0.25">
      <c r="C59" s="14" t="str">
        <f>C58</f>
        <v>Manufacturing Expense</v>
      </c>
      <c r="D59" s="15"/>
      <c r="E59" s="19" t="str">
        <f>"600170 - Purchase Expense"</f>
        <v>600170 - Purchase Expense</v>
      </c>
      <c r="F59" s="19"/>
      <c r="G59" s="22">
        <v>-43505.270000000004</v>
      </c>
      <c r="H59" s="22">
        <v>-44125.789999999994</v>
      </c>
      <c r="I59" s="22">
        <v>-44108.69</v>
      </c>
    </row>
    <row r="60" spans="1:12" ht="15.75" hidden="1" outlineLevel="1" x14ac:dyDescent="0.25">
      <c r="A60" s="14" t="s">
        <v>78</v>
      </c>
      <c r="C60" s="14" t="str">
        <f t="shared" ref="C60:C67" si="3">C59</f>
        <v>Manufacturing Expense</v>
      </c>
      <c r="D60" s="15"/>
      <c r="E60" s="19" t="str">
        <f>"600180 - Raw Materials Receipts"</f>
        <v>600180 - Raw Materials Receipts</v>
      </c>
      <c r="F60" s="19"/>
      <c r="G60" s="22">
        <v>-28047000</v>
      </c>
      <c r="H60" s="22">
        <v>-31552000</v>
      </c>
      <c r="I60" s="22">
        <v>-34053000</v>
      </c>
    </row>
    <row r="61" spans="1:12" ht="15.75" hidden="1" outlineLevel="1" x14ac:dyDescent="0.25">
      <c r="A61" s="14" t="s">
        <v>78</v>
      </c>
      <c r="C61" s="14" t="str">
        <f t="shared" si="3"/>
        <v>Manufacturing Expense</v>
      </c>
      <c r="D61" s="15"/>
      <c r="E61" s="19" t="str">
        <f>"600500 - Direct Labor Applied"</f>
        <v>600500 - Direct Labor Applied</v>
      </c>
      <c r="F61" s="19"/>
      <c r="G61" s="22">
        <v>0</v>
      </c>
      <c r="H61" s="22">
        <v>0</v>
      </c>
      <c r="I61" s="22">
        <v>0</v>
      </c>
    </row>
    <row r="62" spans="1:12" ht="15.75" hidden="1" outlineLevel="1" x14ac:dyDescent="0.25">
      <c r="A62" s="14" t="s">
        <v>78</v>
      </c>
      <c r="C62" s="14" t="str">
        <f t="shared" si="3"/>
        <v>Manufacturing Expense</v>
      </c>
      <c r="D62" s="15"/>
      <c r="E62" s="19" t="str">
        <f>"600510 - Absorbed Machine Depreciation Cost"</f>
        <v>600510 - Absorbed Machine Depreciation Cost</v>
      </c>
      <c r="F62" s="19"/>
      <c r="G62" s="22">
        <v>0</v>
      </c>
      <c r="H62" s="22">
        <v>0</v>
      </c>
      <c r="I62" s="22">
        <v>0</v>
      </c>
    </row>
    <row r="63" spans="1:12" ht="15.75" hidden="1" outlineLevel="1" x14ac:dyDescent="0.25">
      <c r="A63" s="14" t="s">
        <v>78</v>
      </c>
      <c r="C63" s="14" t="str">
        <f t="shared" si="3"/>
        <v>Manufacturing Expense</v>
      </c>
      <c r="D63" s="15"/>
      <c r="E63" s="19" t="str">
        <f>"600520 - Absorbed Internal Logistics Cost"</f>
        <v>600520 - Absorbed Internal Logistics Cost</v>
      </c>
      <c r="F63" s="19"/>
      <c r="G63" s="22">
        <v>0</v>
      </c>
      <c r="H63" s="22">
        <v>0</v>
      </c>
      <c r="I63" s="22">
        <v>0</v>
      </c>
    </row>
    <row r="64" spans="1:12" ht="15.75" hidden="1" outlineLevel="1" x14ac:dyDescent="0.25">
      <c r="A64" s="14" t="s">
        <v>78</v>
      </c>
      <c r="C64" s="14" t="str">
        <f t="shared" si="3"/>
        <v>Manufacturing Expense</v>
      </c>
      <c r="D64" s="15"/>
      <c r="E64" s="19" t="str">
        <f>"600521 - Absorbed Material Handling Cost"</f>
        <v>600521 - Absorbed Material Handling Cost</v>
      </c>
      <c r="F64" s="19"/>
      <c r="G64" s="22">
        <v>0</v>
      </c>
      <c r="H64" s="22">
        <v>0</v>
      </c>
      <c r="I64" s="22">
        <v>0</v>
      </c>
    </row>
    <row r="65" spans="1:12" ht="15.75" hidden="1" outlineLevel="1" x14ac:dyDescent="0.25">
      <c r="A65" s="14" t="s">
        <v>78</v>
      </c>
      <c r="C65" s="14" t="str">
        <f t="shared" si="3"/>
        <v>Manufacturing Expense</v>
      </c>
      <c r="D65" s="15"/>
      <c r="E65" s="19" t="str">
        <f>"600522 - Absorbed Indirect Labor Cost"</f>
        <v>600522 - Absorbed Indirect Labor Cost</v>
      </c>
      <c r="F65" s="19"/>
      <c r="G65" s="22">
        <v>0</v>
      </c>
      <c r="H65" s="22">
        <v>0</v>
      </c>
      <c r="I65" s="22">
        <v>0</v>
      </c>
    </row>
    <row r="66" spans="1:12" ht="15.75" hidden="1" outlineLevel="1" x14ac:dyDescent="0.25">
      <c r="A66" s="14" t="s">
        <v>78</v>
      </c>
      <c r="C66" s="14" t="str">
        <f t="shared" si="3"/>
        <v>Manufacturing Expense</v>
      </c>
      <c r="D66" s="15"/>
      <c r="E66" s="19" t="str">
        <f>"600530 - Purchase Overhead Applied"</f>
        <v>600530 - Purchase Overhead Applied</v>
      </c>
      <c r="F66" s="19"/>
      <c r="G66" s="22">
        <v>0</v>
      </c>
      <c r="H66" s="22">
        <v>0</v>
      </c>
      <c r="I66" s="22">
        <v>0</v>
      </c>
    </row>
    <row r="67" spans="1:12" ht="15.75" hidden="1" outlineLevel="1" x14ac:dyDescent="0.25">
      <c r="A67" s="14" t="s">
        <v>78</v>
      </c>
      <c r="C67" s="14" t="str">
        <f t="shared" si="3"/>
        <v>Manufacturing Expense</v>
      </c>
      <c r="D67" s="15"/>
      <c r="E67" s="19" t="str">
        <f>"609100 - Intercompany Purchases - USMF/DEMF"</f>
        <v>609100 - Intercompany Purchases - USMF/DEMF</v>
      </c>
      <c r="F67" s="19"/>
      <c r="G67" s="22">
        <v>0</v>
      </c>
      <c r="H67" s="22">
        <v>0</v>
      </c>
      <c r="I67" s="22">
        <v>0</v>
      </c>
    </row>
    <row r="68" spans="1:12" ht="15.75" x14ac:dyDescent="0.25">
      <c r="C68" s="14" t="str">
        <f>C59</f>
        <v>Manufacturing Expense</v>
      </c>
      <c r="D68" s="15"/>
      <c r="E68" s="20" t="str">
        <f>"Total "&amp;D58</f>
        <v>Total Manufacturing Expense</v>
      </c>
      <c r="F68" s="13"/>
      <c r="G68" s="21">
        <v>-43505.269999999931</v>
      </c>
      <c r="H68" s="21">
        <v>-44125.790000000037</v>
      </c>
      <c r="I68" s="21">
        <v>-44108.690000000148</v>
      </c>
      <c r="J68" s="6"/>
      <c r="K68" s="6"/>
      <c r="L68" s="6"/>
    </row>
    <row r="69" spans="1:12" ht="15.75" x14ac:dyDescent="0.25">
      <c r="D69" s="16"/>
    </row>
    <row r="70" spans="1:12" ht="15.75" collapsed="1" x14ac:dyDescent="0.25">
      <c r="C70" s="14" t="str">
        <f>D70</f>
        <v>Travel and Entertainment Expenses</v>
      </c>
      <c r="D70" s="11" t="str">
        <f>"Travel and Entertainment Expenses"</f>
        <v>Travel and Entertainment Expenses</v>
      </c>
      <c r="E70" s="8"/>
      <c r="F70" s="9"/>
      <c r="G70" s="8"/>
      <c r="H70" s="8"/>
      <c r="I70" s="8"/>
    </row>
    <row r="71" spans="1:12" ht="15.75" hidden="1" outlineLevel="1" x14ac:dyDescent="0.25">
      <c r="C71" s="14" t="str">
        <f>C70</f>
        <v>Travel and Entertainment Expenses</v>
      </c>
      <c r="D71" s="15"/>
      <c r="E71" s="19" t="str">
        <f>"601400 - Entertainment &amp; Public Relations Expense"</f>
        <v>601400 - Entertainment &amp; Public Relations Expense</v>
      </c>
      <c r="F71" s="19"/>
      <c r="G71" s="22">
        <v>-37003.460000000006</v>
      </c>
      <c r="H71" s="22">
        <v>-37003.460000000006</v>
      </c>
      <c r="I71" s="22">
        <v>-37003.46</v>
      </c>
    </row>
    <row r="72" spans="1:12" ht="15.75" hidden="1" outlineLevel="1" x14ac:dyDescent="0.25">
      <c r="A72" s="14" t="s">
        <v>78</v>
      </c>
      <c r="C72" s="14" t="str">
        <f t="shared" ref="C72:C79" si="4">C71</f>
        <v>Travel and Entertainment Expenses</v>
      </c>
      <c r="D72" s="15"/>
      <c r="E72" s="19" t="str">
        <f>"601500 - Travel Expense"</f>
        <v>601500 - Travel Expense</v>
      </c>
      <c r="F72" s="19"/>
      <c r="G72" s="22">
        <v>40000</v>
      </c>
      <c r="H72" s="22">
        <v>70000</v>
      </c>
      <c r="I72" s="22">
        <v>124000</v>
      </c>
    </row>
    <row r="73" spans="1:12" ht="15.75" hidden="1" outlineLevel="1" x14ac:dyDescent="0.25">
      <c r="A73" s="14" t="s">
        <v>78</v>
      </c>
      <c r="C73" s="14" t="str">
        <f t="shared" si="4"/>
        <v>Travel and Entertainment Expenses</v>
      </c>
      <c r="D73" s="15"/>
      <c r="E73" s="19" t="str">
        <f>"601504 - Flight Expenses"</f>
        <v>601504 - Flight Expenses</v>
      </c>
      <c r="F73" s="19"/>
      <c r="G73" s="22">
        <v>79200</v>
      </c>
      <c r="H73" s="22">
        <v>115200</v>
      </c>
      <c r="I73" s="22">
        <v>147200</v>
      </c>
    </row>
    <row r="74" spans="1:12" ht="15.75" hidden="1" outlineLevel="1" x14ac:dyDescent="0.25">
      <c r="A74" s="14" t="s">
        <v>78</v>
      </c>
      <c r="C74" s="14" t="str">
        <f t="shared" si="4"/>
        <v>Travel and Entertainment Expenses</v>
      </c>
      <c r="D74" s="15"/>
      <c r="E74" s="19" t="str">
        <f>"601505 - Fuel Expenses"</f>
        <v>601505 - Fuel Expenses</v>
      </c>
      <c r="F74" s="19"/>
      <c r="G74" s="22">
        <v>29.66</v>
      </c>
      <c r="H74" s="22">
        <v>29.66</v>
      </c>
      <c r="I74" s="22">
        <v>29.66</v>
      </c>
    </row>
    <row r="75" spans="1:12" ht="15.75" hidden="1" outlineLevel="1" x14ac:dyDescent="0.25">
      <c r="A75" s="14" t="s">
        <v>78</v>
      </c>
      <c r="C75" s="14" t="str">
        <f t="shared" si="4"/>
        <v>Travel and Entertainment Expenses</v>
      </c>
      <c r="D75" s="15"/>
      <c r="E75" s="19" t="str">
        <f>"601506 - Hotel Expenses"</f>
        <v>601506 - Hotel Expenses</v>
      </c>
      <c r="F75" s="19"/>
      <c r="G75" s="22">
        <v>220000</v>
      </c>
      <c r="H75" s="22">
        <v>320000</v>
      </c>
      <c r="I75" s="22">
        <v>407500</v>
      </c>
    </row>
    <row r="76" spans="1:12" ht="15.75" hidden="1" outlineLevel="1" x14ac:dyDescent="0.25">
      <c r="A76" s="14" t="s">
        <v>78</v>
      </c>
      <c r="C76" s="14" t="str">
        <f t="shared" si="4"/>
        <v>Travel and Entertainment Expenses</v>
      </c>
      <c r="D76" s="15"/>
      <c r="E76" s="19" t="str">
        <f>"601507 - Employee Meals"</f>
        <v>601507 - Employee Meals</v>
      </c>
      <c r="F76" s="19"/>
      <c r="G76" s="22">
        <v>224400</v>
      </c>
      <c r="H76" s="22">
        <v>326400</v>
      </c>
      <c r="I76" s="22">
        <v>393900</v>
      </c>
    </row>
    <row r="77" spans="1:12" ht="15.75" hidden="1" outlineLevel="1" x14ac:dyDescent="0.25">
      <c r="A77" s="14" t="s">
        <v>78</v>
      </c>
      <c r="C77" s="14" t="str">
        <f t="shared" si="4"/>
        <v>Travel and Entertainment Expenses</v>
      </c>
      <c r="D77" s="15"/>
      <c r="E77" s="19" t="str">
        <f>"625100 - Frais de Vols"</f>
        <v>625100 - Frais de Vols</v>
      </c>
      <c r="F77" s="19"/>
      <c r="G77" s="22">
        <v>-1980</v>
      </c>
      <c r="H77" s="22">
        <v>-2138</v>
      </c>
      <c r="I77" s="22">
        <v>-2309.5599999999977</v>
      </c>
    </row>
    <row r="78" spans="1:12" ht="15.75" hidden="1" outlineLevel="1" x14ac:dyDescent="0.25">
      <c r="A78" s="14" t="s">
        <v>78</v>
      </c>
      <c r="C78" s="14" t="str">
        <f t="shared" si="4"/>
        <v>Travel and Entertainment Expenses</v>
      </c>
      <c r="D78" s="15"/>
      <c r="E78" s="19" t="str">
        <f>"625200 - Frais d'Hôtel"</f>
        <v>625200 - Frais d'Hôtel</v>
      </c>
      <c r="F78" s="19"/>
      <c r="G78" s="22">
        <v>-5500</v>
      </c>
      <c r="H78" s="22">
        <v>-5940</v>
      </c>
      <c r="I78" s="22">
        <v>-6415</v>
      </c>
    </row>
    <row r="79" spans="1:12" ht="15.75" hidden="1" outlineLevel="1" x14ac:dyDescent="0.25">
      <c r="A79" s="14" t="s">
        <v>78</v>
      </c>
      <c r="C79" s="14" t="str">
        <f t="shared" si="4"/>
        <v>Travel and Entertainment Expenses</v>
      </c>
      <c r="D79" s="15"/>
      <c r="E79" s="19" t="str">
        <f>"641400 - Repas des Employés"</f>
        <v>641400 - Repas des Employés</v>
      </c>
      <c r="F79" s="19"/>
      <c r="G79" s="22">
        <v>-5610</v>
      </c>
      <c r="H79" s="22">
        <v>-6059</v>
      </c>
      <c r="I79" s="22">
        <v>-6543.1999999999971</v>
      </c>
    </row>
    <row r="80" spans="1:12" ht="15.75" x14ac:dyDescent="0.25">
      <c r="C80" s="14" t="str">
        <f>C71</f>
        <v>Travel and Entertainment Expenses</v>
      </c>
      <c r="D80" s="15"/>
      <c r="E80" s="20" t="str">
        <f>"Total "&amp;D70</f>
        <v>Total Travel and Entertainment Expenses</v>
      </c>
      <c r="F80" s="13"/>
      <c r="G80" s="21">
        <v>513536.2</v>
      </c>
      <c r="H80" s="21">
        <v>780489.20000000007</v>
      </c>
      <c r="I80" s="21">
        <v>1020358.4400000001</v>
      </c>
      <c r="J80" s="6"/>
      <c r="K80" s="6"/>
      <c r="L80" s="6"/>
    </row>
    <row r="81" spans="1:12" ht="15.75" x14ac:dyDescent="0.25">
      <c r="D81" s="16"/>
    </row>
    <row r="82" spans="1:12" ht="15.75" collapsed="1" x14ac:dyDescent="0.25">
      <c r="C82" s="14" t="str">
        <f>D82</f>
        <v>Project Operation Expense</v>
      </c>
      <c r="D82" s="11" t="str">
        <f>"Project Operation Expense"</f>
        <v>Project Operation Expense</v>
      </c>
      <c r="E82" s="8"/>
      <c r="F82" s="9"/>
      <c r="G82" s="8"/>
      <c r="H82" s="8"/>
      <c r="I82" s="8"/>
    </row>
    <row r="83" spans="1:12" ht="15.75" hidden="1" outlineLevel="1" x14ac:dyDescent="0.25">
      <c r="C83" s="14" t="str">
        <f>C82</f>
        <v>Project Operation Expense</v>
      </c>
      <c r="D83" s="15"/>
      <c r="E83" s="19" t="str">
        <f>"540100 - Cost of Project  - Labor"</f>
        <v>540100 - Cost of Project  - Labor</v>
      </c>
      <c r="F83" s="19"/>
      <c r="G83" s="22">
        <v>-267200</v>
      </c>
      <c r="H83" s="22">
        <v>-1311400</v>
      </c>
      <c r="I83" s="22">
        <v>-2151600</v>
      </c>
    </row>
    <row r="84" spans="1:12" ht="15.75" hidden="1" outlineLevel="1" x14ac:dyDescent="0.25">
      <c r="A84" s="14" t="s">
        <v>78</v>
      </c>
      <c r="C84" s="14" t="str">
        <f t="shared" ref="C84:C87" si="5">C83</f>
        <v>Project Operation Expense</v>
      </c>
      <c r="D84" s="15"/>
      <c r="E84" s="19" t="str">
        <f>"540110 - Cost of Project  - Products"</f>
        <v>540110 - Cost of Project  - Products</v>
      </c>
      <c r="F84" s="19"/>
      <c r="G84" s="22">
        <v>-101300</v>
      </c>
      <c r="H84" s="22">
        <v>-149060</v>
      </c>
      <c r="I84" s="22">
        <v>-260767.69</v>
      </c>
    </row>
    <row r="85" spans="1:12" ht="15.75" hidden="1" outlineLevel="1" x14ac:dyDescent="0.25">
      <c r="A85" s="14" t="s">
        <v>78</v>
      </c>
      <c r="C85" s="14" t="str">
        <f t="shared" si="5"/>
        <v>Project Operation Expense</v>
      </c>
      <c r="D85" s="15"/>
      <c r="E85" s="19" t="str">
        <f>"540210 - Cost of Project  - Expenses"</f>
        <v>540210 - Cost of Project  - Expenses</v>
      </c>
      <c r="F85" s="19"/>
      <c r="G85" s="22">
        <v>-563600</v>
      </c>
      <c r="H85" s="22">
        <v>-831600</v>
      </c>
      <c r="I85" s="22">
        <v>-1072600</v>
      </c>
    </row>
    <row r="86" spans="1:12" ht="15.75" hidden="1" outlineLevel="1" x14ac:dyDescent="0.25">
      <c r="A86" s="14" t="s">
        <v>78</v>
      </c>
      <c r="C86" s="14" t="str">
        <f t="shared" si="5"/>
        <v>Project Operation Expense</v>
      </c>
      <c r="D86" s="15"/>
      <c r="E86" s="19" t="str">
        <f>"626200 - Coût du projet - Labor"</f>
        <v>626200 - Coût du projet - Labor</v>
      </c>
      <c r="F86" s="19"/>
      <c r="G86" s="22">
        <v>-462400</v>
      </c>
      <c r="H86" s="22">
        <v>-499392</v>
      </c>
      <c r="I86" s="22">
        <v>-539340.80000000005</v>
      </c>
    </row>
    <row r="87" spans="1:12" ht="15.75" hidden="1" outlineLevel="1" x14ac:dyDescent="0.25">
      <c r="A87" s="14" t="s">
        <v>78</v>
      </c>
      <c r="C87" s="14" t="str">
        <f t="shared" si="5"/>
        <v>Project Operation Expense</v>
      </c>
      <c r="D87" s="15"/>
      <c r="E87" s="19" t="str">
        <f>"626400 - Coût du projet - dépenses"</f>
        <v>626400 - Coût du projet - dépenses</v>
      </c>
      <c r="F87" s="19"/>
      <c r="G87" s="22">
        <v>-261800</v>
      </c>
      <c r="H87" s="22">
        <v>-282744</v>
      </c>
      <c r="I87" s="22">
        <v>-305358.24</v>
      </c>
    </row>
    <row r="88" spans="1:12" ht="15.75" x14ac:dyDescent="0.25">
      <c r="C88" s="14" t="str">
        <f>C83</f>
        <v>Project Operation Expense</v>
      </c>
      <c r="D88" s="15"/>
      <c r="E88" s="20" t="str">
        <f>"Total "&amp;D82</f>
        <v>Total Project Operation Expense</v>
      </c>
      <c r="F88" s="13"/>
      <c r="G88" s="21">
        <v>-1656300</v>
      </c>
      <c r="H88" s="21">
        <v>-3074196</v>
      </c>
      <c r="I88" s="21">
        <v>-4329666.7300000004</v>
      </c>
      <c r="J88" s="6"/>
      <c r="K88" s="6"/>
      <c r="L88" s="6"/>
    </row>
    <row r="89" spans="1:12" ht="15.75" x14ac:dyDescent="0.25">
      <c r="D89" s="16"/>
    </row>
    <row r="90" spans="1:12" ht="15.75" collapsed="1" x14ac:dyDescent="0.25">
      <c r="C90" s="14" t="str">
        <f>D90</f>
        <v>Other Employee Expenses</v>
      </c>
      <c r="D90" s="11" t="str">
        <f>"Other Employee Expenses"</f>
        <v>Other Employee Expenses</v>
      </c>
      <c r="E90" s="8"/>
      <c r="F90" s="9"/>
      <c r="G90" s="8"/>
      <c r="H90" s="8"/>
      <c r="I90" s="8"/>
    </row>
    <row r="91" spans="1:12" ht="15.75" hidden="1" outlineLevel="1" x14ac:dyDescent="0.25">
      <c r="C91" s="14" t="str">
        <f>C90</f>
        <v>Other Employee Expenses</v>
      </c>
      <c r="D91" s="15"/>
      <c r="E91" s="19" t="str">
        <f>"5003 - Contibutions to employee-related provisions"</f>
        <v>5003 - Contibutions to employee-related provisions</v>
      </c>
      <c r="F91" s="19"/>
      <c r="G91" s="22">
        <v>-2773.0399999999995</v>
      </c>
      <c r="H91" s="22">
        <v>-2773.0399999999995</v>
      </c>
      <c r="I91" s="22">
        <v>-2773.0399999999995</v>
      </c>
    </row>
    <row r="92" spans="1:12" ht="15.75" hidden="1" outlineLevel="1" x14ac:dyDescent="0.25">
      <c r="A92" s="14" t="s">
        <v>78</v>
      </c>
      <c r="C92" s="14" t="str">
        <f t="shared" ref="C92:C107" si="6">C91</f>
        <v>Other Employee Expenses</v>
      </c>
      <c r="D92" s="15"/>
      <c r="E92" s="19" t="str">
        <f>"5021 - Car allowances"</f>
        <v>5021 - Car allowances</v>
      </c>
      <c r="F92" s="19"/>
      <c r="G92" s="22">
        <v>0</v>
      </c>
      <c r="H92" s="22">
        <v>0</v>
      </c>
      <c r="I92" s="22">
        <v>0</v>
      </c>
    </row>
    <row r="93" spans="1:12" ht="15.75" hidden="1" outlineLevel="1" x14ac:dyDescent="0.25">
      <c r="A93" s="14" t="s">
        <v>78</v>
      </c>
      <c r="C93" s="14" t="str">
        <f t="shared" si="6"/>
        <v>Other Employee Expenses</v>
      </c>
      <c r="D93" s="15"/>
      <c r="E93" s="19" t="str">
        <f>"602130 - Group Health/Life Insurance Expense"</f>
        <v>602130 - Group Health/Life Insurance Expense</v>
      </c>
      <c r="F93" s="19"/>
      <c r="G93" s="22">
        <v>-149317.5</v>
      </c>
      <c r="H93" s="22">
        <v>-126092</v>
      </c>
      <c r="I93" s="22">
        <v>-102866.5</v>
      </c>
    </row>
    <row r="94" spans="1:12" ht="15.75" hidden="1" outlineLevel="1" x14ac:dyDescent="0.25">
      <c r="A94" s="14" t="s">
        <v>78</v>
      </c>
      <c r="C94" s="14" t="str">
        <f t="shared" si="6"/>
        <v>Other Employee Expenses</v>
      </c>
      <c r="D94" s="15"/>
      <c r="E94" s="19" t="str">
        <f>"602180 - Pension/Profit-Sharing Plan Expense"</f>
        <v>602180 - Pension/Profit-Sharing Plan Expense</v>
      </c>
      <c r="F94" s="19"/>
      <c r="G94" s="22">
        <v>-4053700.9000000008</v>
      </c>
      <c r="H94" s="22">
        <v>-4235277.21</v>
      </c>
      <c r="I94" s="22">
        <v>-4617921.54</v>
      </c>
    </row>
    <row r="95" spans="1:12" ht="15.75" hidden="1" outlineLevel="1" x14ac:dyDescent="0.25">
      <c r="A95" s="14" t="s">
        <v>78</v>
      </c>
      <c r="C95" s="14" t="str">
        <f t="shared" si="6"/>
        <v>Other Employee Expenses</v>
      </c>
      <c r="D95" s="15"/>
      <c r="E95" s="19" t="str">
        <f>"602190 - Employee Benefit Programs Expense"</f>
        <v>602190 - Employee Benefit Programs Expense</v>
      </c>
      <c r="F95" s="19"/>
      <c r="G95" s="22">
        <v>-5500</v>
      </c>
      <c r="H95" s="22">
        <v>-4500</v>
      </c>
      <c r="I95" s="22">
        <v>-3500</v>
      </c>
    </row>
    <row r="96" spans="1:12" ht="15.75" hidden="1" outlineLevel="1" x14ac:dyDescent="0.25">
      <c r="A96" s="14" t="s">
        <v>78</v>
      </c>
      <c r="C96" s="14" t="str">
        <f t="shared" si="6"/>
        <v>Other Employee Expenses</v>
      </c>
      <c r="D96" s="15"/>
      <c r="E96" s="19" t="str">
        <f>"602200 - Achats fournitures consommables"</f>
        <v>602200 - Achats fournitures consommables</v>
      </c>
      <c r="F96" s="19"/>
      <c r="G96" s="22">
        <v>-23128.45</v>
      </c>
      <c r="H96" s="22">
        <v>-23128.45</v>
      </c>
      <c r="I96" s="22">
        <v>-23128.45</v>
      </c>
    </row>
    <row r="97" spans="1:12" ht="15.75" hidden="1" outlineLevel="1" x14ac:dyDescent="0.25">
      <c r="A97" s="14" t="s">
        <v>78</v>
      </c>
      <c r="C97" s="14" t="str">
        <f t="shared" si="6"/>
        <v>Other Employee Expenses</v>
      </c>
      <c r="D97" s="15"/>
      <c r="E97" s="19" t="str">
        <f>"603100 - Project Payroll Allocation"</f>
        <v>603100 - Project Payroll Allocation</v>
      </c>
      <c r="F97" s="19"/>
      <c r="G97" s="22">
        <v>0</v>
      </c>
      <c r="H97" s="22">
        <v>0</v>
      </c>
      <c r="I97" s="22">
        <v>0</v>
      </c>
    </row>
    <row r="98" spans="1:12" ht="15.75" hidden="1" outlineLevel="1" x14ac:dyDescent="0.25">
      <c r="A98" s="14" t="s">
        <v>78</v>
      </c>
      <c r="C98" s="14" t="str">
        <f t="shared" si="6"/>
        <v>Other Employee Expenses</v>
      </c>
      <c r="D98" s="15"/>
      <c r="E98" s="19" t="str">
        <f>"62100 - Group insurance"</f>
        <v>62100 - Group insurance</v>
      </c>
      <c r="F98" s="19"/>
      <c r="G98" s="22">
        <v>-33949.9</v>
      </c>
      <c r="H98" s="22">
        <v>-33949.9</v>
      </c>
      <c r="I98" s="22">
        <v>-50924.849999999977</v>
      </c>
    </row>
    <row r="99" spans="1:12" ht="15.75" hidden="1" outlineLevel="1" x14ac:dyDescent="0.25">
      <c r="A99" s="14" t="s">
        <v>78</v>
      </c>
      <c r="C99" s="14" t="str">
        <f t="shared" si="6"/>
        <v>Other Employee Expenses</v>
      </c>
      <c r="D99" s="15"/>
      <c r="E99" s="19" t="str">
        <f>"62200 - Federal Payroll Taxes"</f>
        <v>62200 - Federal Payroll Taxes</v>
      </c>
      <c r="F99" s="19"/>
      <c r="G99" s="22">
        <v>-16409.830000000005</v>
      </c>
      <c r="H99" s="22">
        <v>-16409.89000000001</v>
      </c>
      <c r="I99" s="22">
        <v>-24614.800000000021</v>
      </c>
    </row>
    <row r="100" spans="1:12" ht="15.75" hidden="1" outlineLevel="1" x14ac:dyDescent="0.25">
      <c r="A100" s="14" t="s">
        <v>78</v>
      </c>
      <c r="C100" s="14" t="str">
        <f t="shared" si="6"/>
        <v>Other Employee Expenses</v>
      </c>
      <c r="D100" s="15"/>
      <c r="E100" s="19" t="str">
        <f>"62300 - Retirement contributions"</f>
        <v>62300 - Retirement contributions</v>
      </c>
      <c r="F100" s="19"/>
      <c r="G100" s="22">
        <v>-4383.5600000000004</v>
      </c>
      <c r="H100" s="22">
        <v>-4383.5600000000004</v>
      </c>
      <c r="I100" s="22">
        <v>-6575.340000000002</v>
      </c>
    </row>
    <row r="101" spans="1:12" ht="15.75" hidden="1" outlineLevel="1" x14ac:dyDescent="0.25">
      <c r="A101" s="14" t="s">
        <v>78</v>
      </c>
      <c r="C101" s="14" t="str">
        <f t="shared" si="6"/>
        <v>Other Employee Expenses</v>
      </c>
      <c r="D101" s="15"/>
      <c r="E101" s="19" t="str">
        <f>"62500 - Unemployment compensation"</f>
        <v>62500 - Unemployment compensation</v>
      </c>
      <c r="F101" s="19"/>
      <c r="G101" s="22">
        <v>-5582.2599999999966</v>
      </c>
      <c r="H101" s="22">
        <v>-5582.2599999999966</v>
      </c>
      <c r="I101" s="22">
        <v>-8373.3899999999958</v>
      </c>
    </row>
    <row r="102" spans="1:12" ht="15.75" hidden="1" outlineLevel="1" x14ac:dyDescent="0.25">
      <c r="A102" s="14" t="s">
        <v>78</v>
      </c>
      <c r="C102" s="14" t="str">
        <f t="shared" si="6"/>
        <v>Other Employee Expenses</v>
      </c>
      <c r="D102" s="15"/>
      <c r="E102" s="19" t="str">
        <f>"62600 - Workers' compensation"</f>
        <v>62600 - Workers' compensation</v>
      </c>
      <c r="F102" s="19"/>
      <c r="G102" s="22">
        <v>0</v>
      </c>
      <c r="H102" s="22">
        <v>0</v>
      </c>
      <c r="I102" s="22">
        <v>0</v>
      </c>
    </row>
    <row r="103" spans="1:12" ht="15.75" hidden="1" outlineLevel="1" x14ac:dyDescent="0.25">
      <c r="A103" s="14" t="s">
        <v>78</v>
      </c>
      <c r="C103" s="14" t="str">
        <f t="shared" si="6"/>
        <v>Other Employee Expenses</v>
      </c>
      <c r="D103" s="15"/>
      <c r="E103" s="19" t="str">
        <f>"62701 - Car Allowance"</f>
        <v>62701 - Car Allowance</v>
      </c>
      <c r="F103" s="19"/>
      <c r="G103" s="22">
        <v>0</v>
      </c>
      <c r="H103" s="22">
        <v>0</v>
      </c>
      <c r="I103" s="22">
        <v>0</v>
      </c>
    </row>
    <row r="104" spans="1:12" ht="15.75" hidden="1" outlineLevel="1" x14ac:dyDescent="0.25">
      <c r="A104" s="14" t="s">
        <v>78</v>
      </c>
      <c r="C104" s="14" t="str">
        <f t="shared" si="6"/>
        <v>Other Employee Expenses</v>
      </c>
      <c r="D104" s="15"/>
      <c r="E104" s="19" t="str">
        <f>"62703 - Union Dues (employer paid)"</f>
        <v>62703 - Union Dues (employer paid)</v>
      </c>
      <c r="F104" s="19"/>
      <c r="G104" s="22">
        <v>-400</v>
      </c>
      <c r="H104" s="22">
        <v>-400</v>
      </c>
      <c r="I104" s="22">
        <v>-600</v>
      </c>
    </row>
    <row r="105" spans="1:12" ht="15.75" hidden="1" outlineLevel="1" x14ac:dyDescent="0.25">
      <c r="A105" s="14" t="s">
        <v>78</v>
      </c>
      <c r="C105" s="14" t="str">
        <f t="shared" si="6"/>
        <v>Other Employee Expenses</v>
      </c>
      <c r="D105" s="15"/>
      <c r="E105" s="19" t="str">
        <f>"628000 - Services Exterieurs Divers"</f>
        <v>628000 - Services Exterieurs Divers</v>
      </c>
      <c r="F105" s="19"/>
      <c r="G105" s="22">
        <v>0</v>
      </c>
      <c r="H105" s="22">
        <v>0</v>
      </c>
      <c r="I105" s="22">
        <v>0</v>
      </c>
    </row>
    <row r="106" spans="1:12" ht="15.75" hidden="1" outlineLevel="1" x14ac:dyDescent="0.25">
      <c r="A106" s="14" t="s">
        <v>78</v>
      </c>
      <c r="C106" s="14" t="str">
        <f t="shared" si="6"/>
        <v>Other Employee Expenses</v>
      </c>
      <c r="D106" s="15"/>
      <c r="E106" s="19" t="str">
        <f>"643100 - Projet répartition des salaires"</f>
        <v>643100 - Projet répartition des salaires</v>
      </c>
      <c r="F106" s="19"/>
      <c r="G106" s="22">
        <v>462400</v>
      </c>
      <c r="H106" s="22">
        <v>499392</v>
      </c>
      <c r="I106" s="22">
        <v>539340.80000000005</v>
      </c>
    </row>
    <row r="107" spans="1:12" ht="15.75" hidden="1" outlineLevel="1" x14ac:dyDescent="0.25">
      <c r="A107" s="14" t="s">
        <v>78</v>
      </c>
      <c r="C107" s="14" t="str">
        <f t="shared" si="6"/>
        <v>Other Employee Expenses</v>
      </c>
      <c r="D107" s="15"/>
      <c r="E107" s="19" t="str">
        <f>"691000 - Participation des salariés aux résultats"</f>
        <v>691000 - Participation des salariés aux résultats</v>
      </c>
      <c r="F107" s="19"/>
      <c r="G107" s="22">
        <v>-15040</v>
      </c>
      <c r="H107" s="22">
        <v>-40802.39</v>
      </c>
      <c r="I107" s="22">
        <v>-44066.590000000004</v>
      </c>
    </row>
    <row r="108" spans="1:12" ht="15.75" x14ac:dyDescent="0.25">
      <c r="C108" s="14" t="str">
        <f>C91</f>
        <v>Other Employee Expenses</v>
      </c>
      <c r="D108" s="15"/>
      <c r="E108" s="20" t="str">
        <f>"Total "&amp;D90</f>
        <v>Total Other Employee Expenses</v>
      </c>
      <c r="F108" s="13"/>
      <c r="G108" s="21">
        <v>-203014.28000000003</v>
      </c>
      <c r="H108" s="21">
        <v>-166896.98000000045</v>
      </c>
      <c r="I108" s="21">
        <v>-136293.01000000024</v>
      </c>
      <c r="J108" s="6"/>
      <c r="K108" s="6"/>
      <c r="L108" s="6"/>
    </row>
    <row r="109" spans="1:12" ht="15.75" x14ac:dyDescent="0.25">
      <c r="D109" s="16"/>
    </row>
    <row r="110" spans="1:12" ht="15.75" collapsed="1" x14ac:dyDescent="0.25">
      <c r="C110" s="14" t="str">
        <f>D110</f>
        <v>Depreciation Expense</v>
      </c>
      <c r="D110" s="11" t="str">
        <f>"Depreciation Expense"</f>
        <v>Depreciation Expense</v>
      </c>
      <c r="E110" s="8"/>
      <c r="F110" s="9"/>
      <c r="G110" s="8"/>
      <c r="H110" s="8"/>
      <c r="I110" s="8"/>
    </row>
    <row r="111" spans="1:12" ht="15.75" hidden="1" outlineLevel="1" x14ac:dyDescent="0.25">
      <c r="C111" s="14" t="str">
        <f>C110</f>
        <v>Depreciation Expense</v>
      </c>
      <c r="D111" s="15"/>
      <c r="E111" s="19" t="str">
        <f>"607100 - Depreciation Expense - Intangible Assets"</f>
        <v>607100 - Depreciation Expense - Intangible Assets</v>
      </c>
      <c r="F111" s="19"/>
      <c r="G111" s="22">
        <v>-333.32</v>
      </c>
      <c r="H111" s="22">
        <v>-333.32</v>
      </c>
      <c r="I111" s="22">
        <v>-333.32</v>
      </c>
    </row>
    <row r="112" spans="1:12" ht="15.75" hidden="1" outlineLevel="1" x14ac:dyDescent="0.25">
      <c r="A112" s="14" t="s">
        <v>78</v>
      </c>
      <c r="C112" s="14" t="str">
        <f t="shared" ref="C112:C113" si="7">C111</f>
        <v>Depreciation Expense</v>
      </c>
      <c r="D112" s="15"/>
      <c r="E112" s="19" t="str">
        <f>"607200 - Depreciation Expense - Tangible Assets"</f>
        <v>607200 - Depreciation Expense - Tangible Assets</v>
      </c>
      <c r="F112" s="19"/>
      <c r="G112" s="22">
        <v>-6131355.5399999991</v>
      </c>
      <c r="H112" s="22">
        <v>-5757704.8300000001</v>
      </c>
      <c r="I112" s="22">
        <v>-6131355.5399999991</v>
      </c>
    </row>
    <row r="113" spans="1:12" ht="15.75" hidden="1" outlineLevel="1" x14ac:dyDescent="0.25">
      <c r="A113" s="14" t="s">
        <v>78</v>
      </c>
      <c r="C113" s="14" t="str">
        <f t="shared" si="7"/>
        <v>Depreciation Expense</v>
      </c>
      <c r="D113" s="15"/>
      <c r="E113" s="19" t="str">
        <f>"67500 - Depreciation Expense"</f>
        <v>67500 - Depreciation Expense</v>
      </c>
      <c r="F113" s="19"/>
      <c r="G113" s="22">
        <v>0</v>
      </c>
      <c r="H113" s="22">
        <v>0</v>
      </c>
      <c r="I113" s="22">
        <v>0</v>
      </c>
    </row>
    <row r="114" spans="1:12" ht="15.75" x14ac:dyDescent="0.25">
      <c r="C114" s="14" t="str">
        <f>C111</f>
        <v>Depreciation Expense</v>
      </c>
      <c r="D114" s="15"/>
      <c r="E114" s="20" t="str">
        <f>"Total "&amp;D110</f>
        <v>Total Depreciation Expense</v>
      </c>
      <c r="F114" s="13"/>
      <c r="G114" s="21">
        <v>-340102.34</v>
      </c>
      <c r="H114" s="21">
        <v>-340102.34</v>
      </c>
      <c r="I114" s="21">
        <v>-340102.34</v>
      </c>
      <c r="J114" s="6"/>
      <c r="K114" s="6"/>
      <c r="L114" s="6"/>
    </row>
    <row r="115" spans="1:12" ht="15.75" x14ac:dyDescent="0.25">
      <c r="D115" s="15"/>
      <c r="E115" s="9"/>
      <c r="F115" s="8"/>
      <c r="G115" s="7"/>
      <c r="H115" s="7"/>
      <c r="I115" s="7"/>
    </row>
    <row r="116" spans="1:12" ht="15.75" x14ac:dyDescent="0.25">
      <c r="D116" s="23" t="s">
        <v>12</v>
      </c>
      <c r="E116" s="24"/>
      <c r="F116" s="24"/>
      <c r="G116" s="25">
        <f>SUBTOTAL(9,G56,G68,G80,G88,G108,G114)</f>
        <v>-2203421.2200000007</v>
      </c>
      <c r="H116" s="25">
        <f>SUBTOTAL(9,H56,H68,H80,H88,H108,H114)</f>
        <v>-3315860.4400000013</v>
      </c>
      <c r="I116" s="25">
        <f>SUBTOTAL(9,I56,I68,I80,I88,I108,I114)</f>
        <v>-4303778.5000000019</v>
      </c>
    </row>
    <row r="117" spans="1:12" ht="15.75" x14ac:dyDescent="0.25">
      <c r="D117" s="16"/>
    </row>
    <row r="118" spans="1:12" ht="15.75" collapsed="1" x14ac:dyDescent="0.25">
      <c r="C118" s="14" t="str">
        <f>D118</f>
        <v>Other Expenses</v>
      </c>
      <c r="D118" s="11" t="str">
        <f>"Other Expenses"</f>
        <v>Other Expenses</v>
      </c>
      <c r="E118" s="8"/>
      <c r="F118" s="9"/>
      <c r="G118" s="8"/>
      <c r="H118" s="8"/>
      <c r="I118" s="8"/>
    </row>
    <row r="119" spans="1:12" ht="15.75" hidden="1" outlineLevel="1" x14ac:dyDescent="0.25">
      <c r="C119" s="14" t="str">
        <f>C118</f>
        <v>Other Expenses</v>
      </c>
      <c r="D119" s="15"/>
      <c r="E119" s="19" t="str">
        <f>"5005 - Repairs, alterations and maintenance of buildings"</f>
        <v>5005 - Repairs, alterations and maintenance of buildings</v>
      </c>
      <c r="F119" s="19"/>
      <c r="G119" s="22">
        <v>-6303.9799999999987</v>
      </c>
      <c r="H119" s="22">
        <v>-6303.9799999999987</v>
      </c>
      <c r="I119" s="22">
        <v>-6303.9799999999987</v>
      </c>
    </row>
    <row r="120" spans="1:12" ht="15.75" hidden="1" outlineLevel="1" x14ac:dyDescent="0.25">
      <c r="A120" s="14" t="s">
        <v>78</v>
      </c>
      <c r="C120" s="14" t="str">
        <f t="shared" ref="C120:C136" si="8">C119</f>
        <v>Other Expenses</v>
      </c>
      <c r="D120" s="15"/>
      <c r="E120" s="19" t="str">
        <f>"5026 - Printing, stationery and general office expenses"</f>
        <v>5026 - Printing, stationery and general office expenses</v>
      </c>
      <c r="F120" s="19"/>
      <c r="G120" s="22">
        <v>-27544.6</v>
      </c>
      <c r="H120" s="22">
        <v>-27544.6</v>
      </c>
      <c r="I120" s="22">
        <v>-27544.6</v>
      </c>
    </row>
    <row r="121" spans="1:12" ht="15.75" hidden="1" outlineLevel="1" x14ac:dyDescent="0.25">
      <c r="A121" s="14" t="s">
        <v>78</v>
      </c>
      <c r="C121" s="14" t="str">
        <f t="shared" si="8"/>
        <v>Other Expenses</v>
      </c>
      <c r="D121" s="15"/>
      <c r="E121" s="19" t="str">
        <f>"603700 - Variation Stocks Marchand"</f>
        <v>603700 - Variation Stocks Marchand</v>
      </c>
      <c r="F121" s="19"/>
      <c r="G121" s="22">
        <v>0</v>
      </c>
      <c r="H121" s="22">
        <v>0</v>
      </c>
      <c r="I121" s="22">
        <v>0</v>
      </c>
    </row>
    <row r="122" spans="1:12" ht="15.75" hidden="1" outlineLevel="1" x14ac:dyDescent="0.25">
      <c r="A122" s="14" t="s">
        <v>78</v>
      </c>
      <c r="C122" s="14" t="str">
        <f t="shared" si="8"/>
        <v>Other Expenses</v>
      </c>
      <c r="D122" s="15"/>
      <c r="E122" s="19" t="str">
        <f>"613000 - Location"</f>
        <v>613000 - Location</v>
      </c>
      <c r="F122" s="19"/>
      <c r="G122" s="22">
        <v>-41000</v>
      </c>
      <c r="H122" s="22">
        <v>-41000</v>
      </c>
      <c r="I122" s="22">
        <v>-41000</v>
      </c>
    </row>
    <row r="123" spans="1:12" ht="15.75" hidden="1" outlineLevel="1" x14ac:dyDescent="0.25">
      <c r="A123" s="14" t="s">
        <v>78</v>
      </c>
      <c r="C123" s="14" t="str">
        <f t="shared" si="8"/>
        <v>Other Expenses</v>
      </c>
      <c r="D123" s="15"/>
      <c r="E123" s="19" t="str">
        <f>"618160 - Rounding difference"</f>
        <v>618160 - Rounding difference</v>
      </c>
      <c r="F123" s="19"/>
      <c r="G123" s="22">
        <v>0.05</v>
      </c>
      <c r="H123" s="22">
        <v>0</v>
      </c>
      <c r="I123" s="22">
        <v>0</v>
      </c>
    </row>
    <row r="124" spans="1:12" ht="15.75" hidden="1" outlineLevel="1" x14ac:dyDescent="0.25">
      <c r="A124" s="14" t="s">
        <v>78</v>
      </c>
      <c r="C124" s="14" t="str">
        <f t="shared" si="8"/>
        <v>Other Expenses</v>
      </c>
      <c r="D124" s="15"/>
      <c r="E124" s="19" t="str">
        <f>"618900 - Miscellaneous Expense"</f>
        <v>618900 - Miscellaneous Expense</v>
      </c>
      <c r="F124" s="19"/>
      <c r="G124" s="22">
        <v>-26176</v>
      </c>
      <c r="H124" s="22">
        <v>0</v>
      </c>
      <c r="I124" s="22">
        <v>-29745</v>
      </c>
    </row>
    <row r="125" spans="1:12" ht="15.75" hidden="1" outlineLevel="1" x14ac:dyDescent="0.25">
      <c r="A125" s="14" t="s">
        <v>78</v>
      </c>
      <c r="C125" s="14" t="str">
        <f t="shared" si="8"/>
        <v>Other Expenses</v>
      </c>
      <c r="D125" s="15"/>
      <c r="E125" s="19" t="str">
        <f>"624100 - Transport de biens sur Achats"</f>
        <v>624100 - Transport de biens sur Achats</v>
      </c>
      <c r="F125" s="19"/>
      <c r="G125" s="22">
        <v>0</v>
      </c>
      <c r="H125" s="22">
        <v>0</v>
      </c>
      <c r="I125" s="22">
        <v>0</v>
      </c>
    </row>
    <row r="126" spans="1:12" ht="15.75" hidden="1" outlineLevel="1" x14ac:dyDescent="0.25">
      <c r="A126" s="14" t="s">
        <v>78</v>
      </c>
      <c r="C126" s="14" t="str">
        <f t="shared" si="8"/>
        <v>Other Expenses</v>
      </c>
      <c r="D126" s="15"/>
      <c r="E126" s="19" t="str">
        <f>"63300 - Other professional"</f>
        <v>63300 - Other professional</v>
      </c>
      <c r="F126" s="19"/>
      <c r="G126" s="22">
        <v>0</v>
      </c>
      <c r="H126" s="22">
        <v>0</v>
      </c>
      <c r="I126" s="22">
        <v>0</v>
      </c>
    </row>
    <row r="127" spans="1:12" ht="15.75" hidden="1" outlineLevel="1" x14ac:dyDescent="0.25">
      <c r="A127" s="14" t="s">
        <v>78</v>
      </c>
      <c r="C127" s="14" t="str">
        <f t="shared" si="8"/>
        <v>Other Expenses</v>
      </c>
      <c r="D127" s="15"/>
      <c r="E127" s="19" t="str">
        <f>"63400 - Technical"</f>
        <v>63400 - Technical</v>
      </c>
      <c r="F127" s="19"/>
      <c r="G127" s="22">
        <v>-10500</v>
      </c>
      <c r="H127" s="22">
        <v>-10500</v>
      </c>
      <c r="I127" s="22">
        <v>-10500</v>
      </c>
    </row>
    <row r="128" spans="1:12" ht="15.75" hidden="1" outlineLevel="1" x14ac:dyDescent="0.25">
      <c r="A128" s="14" t="s">
        <v>78</v>
      </c>
      <c r="C128" s="14" t="str">
        <f t="shared" si="8"/>
        <v>Other Expenses</v>
      </c>
      <c r="D128" s="15"/>
      <c r="E128" s="19" t="str">
        <f>"658000 - Charges Diverses de Gestion Co"</f>
        <v>658000 - Charges Diverses de Gestion Co</v>
      </c>
      <c r="F128" s="19"/>
      <c r="G128" s="22">
        <v>-18800</v>
      </c>
      <c r="H128" s="22">
        <v>-51003</v>
      </c>
      <c r="I128" s="22">
        <v>-55083.24</v>
      </c>
    </row>
    <row r="129" spans="1:12" ht="15.75" hidden="1" outlineLevel="1" x14ac:dyDescent="0.25">
      <c r="A129" s="14" t="s">
        <v>78</v>
      </c>
      <c r="C129" s="14" t="str">
        <f t="shared" si="8"/>
        <v>Other Expenses</v>
      </c>
      <c r="D129" s="15"/>
      <c r="E129" s="19" t="str">
        <f>"66100 - General supplies"</f>
        <v>66100 - General supplies</v>
      </c>
      <c r="F129" s="19"/>
      <c r="G129" s="22">
        <v>-45877.440000000002</v>
      </c>
      <c r="H129" s="22">
        <v>-45877.440000000002</v>
      </c>
      <c r="I129" s="22">
        <v>-45877.440000000002</v>
      </c>
    </row>
    <row r="130" spans="1:12" ht="15.75" hidden="1" outlineLevel="1" x14ac:dyDescent="0.25">
      <c r="A130" s="14" t="s">
        <v>78</v>
      </c>
      <c r="C130" s="14" t="str">
        <f t="shared" si="8"/>
        <v>Other Expenses</v>
      </c>
      <c r="D130" s="15"/>
      <c r="E130" s="19" t="str">
        <f>"666800 - Arrondis de Conversion EUR"</f>
        <v>666800 - Arrondis de Conversion EUR</v>
      </c>
      <c r="F130" s="19"/>
      <c r="G130" s="22">
        <v>0</v>
      </c>
      <c r="H130" s="22">
        <v>0</v>
      </c>
      <c r="I130" s="22">
        <v>0</v>
      </c>
    </row>
    <row r="131" spans="1:12" ht="15.75" hidden="1" outlineLevel="1" x14ac:dyDescent="0.25">
      <c r="A131" s="14" t="s">
        <v>78</v>
      </c>
      <c r="C131" s="14" t="str">
        <f t="shared" si="8"/>
        <v>Other Expenses</v>
      </c>
      <c r="D131" s="15"/>
      <c r="E131" s="19" t="str">
        <f>"66999 - Miscellaneous Expense"</f>
        <v>66999 - Miscellaneous Expense</v>
      </c>
      <c r="F131" s="19"/>
      <c r="G131" s="22">
        <v>0</v>
      </c>
      <c r="H131" s="22">
        <v>0</v>
      </c>
      <c r="I131" s="22">
        <v>0</v>
      </c>
    </row>
    <row r="132" spans="1:12" ht="15.75" hidden="1" outlineLevel="1" x14ac:dyDescent="0.25">
      <c r="A132" s="14" t="s">
        <v>78</v>
      </c>
      <c r="C132" s="14" t="str">
        <f t="shared" si="8"/>
        <v>Other Expenses</v>
      </c>
      <c r="D132" s="15"/>
      <c r="E132" s="19" t="str">
        <f>"67400 - Machinery and equipment"</f>
        <v>67400 - Machinery and equipment</v>
      </c>
      <c r="F132" s="19"/>
      <c r="G132" s="22">
        <v>0</v>
      </c>
      <c r="H132" s="22">
        <v>0</v>
      </c>
      <c r="I132" s="22">
        <v>0</v>
      </c>
    </row>
    <row r="133" spans="1:12" ht="15.75" hidden="1" outlineLevel="1" x14ac:dyDescent="0.25">
      <c r="A133" s="14" t="s">
        <v>78</v>
      </c>
      <c r="C133" s="14" t="str">
        <f t="shared" si="8"/>
        <v>Other Expenses</v>
      </c>
      <c r="D133" s="15"/>
      <c r="E133" s="19" t="str">
        <f>"801200 - Gain &amp; loss - Revaluation"</f>
        <v>801200 - Gain &amp; loss - Revaluation</v>
      </c>
      <c r="F133" s="19"/>
      <c r="G133" s="22">
        <v>-97346.35</v>
      </c>
      <c r="H133" s="22">
        <v>-153951.01</v>
      </c>
      <c r="I133" s="22">
        <v>-153076.24</v>
      </c>
    </row>
    <row r="134" spans="1:12" ht="15.75" hidden="1" outlineLevel="1" x14ac:dyDescent="0.25">
      <c r="A134" s="14" t="s">
        <v>78</v>
      </c>
      <c r="C134" s="14" t="str">
        <f t="shared" si="8"/>
        <v>Other Expenses</v>
      </c>
      <c r="D134" s="15"/>
      <c r="E134" s="19" t="str">
        <f>"801300 - Currency Adjustment Loss - Realized"</f>
        <v>801300 - Currency Adjustment Loss - Realized</v>
      </c>
      <c r="F134" s="19"/>
      <c r="G134" s="22">
        <v>0</v>
      </c>
      <c r="H134" s="22">
        <v>-16398.93</v>
      </c>
      <c r="I134" s="22">
        <v>0</v>
      </c>
    </row>
    <row r="135" spans="1:12" ht="15.75" hidden="1" outlineLevel="1" x14ac:dyDescent="0.25">
      <c r="A135" s="14" t="s">
        <v>78</v>
      </c>
      <c r="C135" s="14" t="str">
        <f t="shared" si="8"/>
        <v>Other Expenses</v>
      </c>
      <c r="D135" s="15"/>
      <c r="E135" s="19" t="str">
        <f>"801400 - Currency adjustment loss - Unrealized"</f>
        <v>801400 - Currency adjustment loss - Unrealized</v>
      </c>
      <c r="F135" s="19"/>
      <c r="G135" s="22">
        <v>-11406.92</v>
      </c>
      <c r="H135" s="22">
        <v>0</v>
      </c>
      <c r="I135" s="22">
        <v>0</v>
      </c>
    </row>
    <row r="136" spans="1:12" ht="15.75" hidden="1" outlineLevel="1" x14ac:dyDescent="0.25">
      <c r="A136" s="14" t="s">
        <v>78</v>
      </c>
      <c r="C136" s="14" t="str">
        <f t="shared" si="8"/>
        <v>Other Expenses</v>
      </c>
      <c r="D136" s="15"/>
      <c r="E136" s="19" t="str">
        <f>"999999 - Divers"</f>
        <v>999999 - Divers</v>
      </c>
      <c r="F136" s="19"/>
      <c r="G136" s="22">
        <v>0</v>
      </c>
      <c r="H136" s="22">
        <v>0</v>
      </c>
      <c r="I136" s="22">
        <v>0</v>
      </c>
    </row>
    <row r="137" spans="1:12" ht="15.75" x14ac:dyDescent="0.25">
      <c r="C137" s="14" t="str">
        <f>C119</f>
        <v>Other Expenses</v>
      </c>
      <c r="D137" s="15"/>
      <c r="E137" s="20" t="str">
        <f>"Total "&amp;D118</f>
        <v>Total Other Expenses</v>
      </c>
      <c r="F137" s="13"/>
      <c r="G137" s="21">
        <v>-284955.24</v>
      </c>
      <c r="H137" s="21">
        <v>-352578.96</v>
      </c>
      <c r="I137" s="21">
        <v>-369130.5</v>
      </c>
      <c r="J137" s="6"/>
      <c r="K137" s="6"/>
      <c r="L137" s="6"/>
    </row>
    <row r="138" spans="1:12" ht="15.75" x14ac:dyDescent="0.25">
      <c r="D138" s="16"/>
    </row>
    <row r="139" spans="1:12" ht="15.75" collapsed="1" x14ac:dyDescent="0.25">
      <c r="C139" s="14" t="str">
        <f>D139</f>
        <v>Other Income</v>
      </c>
      <c r="D139" s="11" t="str">
        <f>"Other Income"</f>
        <v>Other Income</v>
      </c>
      <c r="E139" s="8"/>
      <c r="F139" s="9"/>
      <c r="G139" s="8"/>
      <c r="H139" s="8"/>
      <c r="I139" s="8"/>
    </row>
    <row r="140" spans="1:12" ht="15.75" hidden="1" outlineLevel="1" x14ac:dyDescent="0.25">
      <c r="C140" s="14" t="str">
        <f>C139</f>
        <v>Other Income</v>
      </c>
      <c r="D140" s="15"/>
      <c r="E140" s="19" t="str">
        <f>"403150 - Miscellaneous Charges"</f>
        <v>403150 - Miscellaneous Charges</v>
      </c>
      <c r="F140" s="19"/>
      <c r="G140" s="22">
        <v>0</v>
      </c>
      <c r="H140" s="22">
        <v>0</v>
      </c>
      <c r="I140" s="22">
        <v>0</v>
      </c>
    </row>
    <row r="141" spans="1:12" ht="15.75" hidden="1" outlineLevel="1" x14ac:dyDescent="0.25">
      <c r="A141" s="14" t="s">
        <v>78</v>
      </c>
      <c r="C141" s="14" t="str">
        <f t="shared" ref="C141:C149" si="9">C140</f>
        <v>Other Income</v>
      </c>
      <c r="D141" s="15"/>
      <c r="E141" s="19" t="str">
        <f>"41110 - Property taxes - Real property"</f>
        <v>41110 - Property taxes - Real property</v>
      </c>
      <c r="F141" s="19"/>
      <c r="G141" s="22">
        <v>387000</v>
      </c>
      <c r="H141" s="22">
        <v>387000</v>
      </c>
      <c r="I141" s="22">
        <v>387000</v>
      </c>
    </row>
    <row r="142" spans="1:12" ht="15.75" hidden="1" outlineLevel="1" x14ac:dyDescent="0.25">
      <c r="A142" s="14" t="s">
        <v>78</v>
      </c>
      <c r="C142" s="14" t="str">
        <f t="shared" si="9"/>
        <v>Other Income</v>
      </c>
      <c r="D142" s="15"/>
      <c r="E142" s="19" t="str">
        <f>"44200 - Public safety"</f>
        <v>44200 - Public safety</v>
      </c>
      <c r="F142" s="19"/>
      <c r="G142" s="22">
        <v>0</v>
      </c>
      <c r="H142" s="22">
        <v>0</v>
      </c>
      <c r="I142" s="22">
        <v>0</v>
      </c>
    </row>
    <row r="143" spans="1:12" ht="15.75" hidden="1" outlineLevel="1" x14ac:dyDescent="0.25">
      <c r="A143" s="14" t="s">
        <v>78</v>
      </c>
      <c r="C143" s="14" t="str">
        <f t="shared" si="9"/>
        <v>Other Income</v>
      </c>
      <c r="D143" s="15"/>
      <c r="E143" s="19" t="str">
        <f>"44410 - Sewerage charges"</f>
        <v>44410 - Sewerage charges</v>
      </c>
      <c r="F143" s="19"/>
      <c r="G143" s="22">
        <v>0</v>
      </c>
      <c r="H143" s="22">
        <v>0</v>
      </c>
      <c r="I143" s="22">
        <v>0</v>
      </c>
    </row>
    <row r="144" spans="1:12" ht="15.75" hidden="1" outlineLevel="1" x14ac:dyDescent="0.25">
      <c r="A144" s="14" t="s">
        <v>78</v>
      </c>
      <c r="C144" s="14" t="str">
        <f t="shared" si="9"/>
        <v>Other Income</v>
      </c>
      <c r="D144" s="15"/>
      <c r="E144" s="19" t="str">
        <f>"44710 - Golf fees"</f>
        <v>44710 - Golf fees</v>
      </c>
      <c r="F144" s="19"/>
      <c r="G144" s="22">
        <v>7500</v>
      </c>
      <c r="H144" s="22">
        <v>5625</v>
      </c>
      <c r="I144" s="22">
        <v>9375</v>
      </c>
    </row>
    <row r="145" spans="1:12" ht="15.75" hidden="1" outlineLevel="1" x14ac:dyDescent="0.25">
      <c r="A145" s="14" t="s">
        <v>78</v>
      </c>
      <c r="C145" s="14" t="str">
        <f t="shared" si="9"/>
        <v>Other Income</v>
      </c>
      <c r="D145" s="15"/>
      <c r="E145" s="19" t="str">
        <f>"5064 - Other grants reimbursements and contributions"</f>
        <v>5064 - Other grants reimbursements and contributions</v>
      </c>
      <c r="F145" s="19"/>
      <c r="G145" s="22">
        <v>253751</v>
      </c>
      <c r="H145" s="22">
        <v>253751</v>
      </c>
      <c r="I145" s="22">
        <v>253751</v>
      </c>
    </row>
    <row r="146" spans="1:12" ht="15.75" hidden="1" outlineLevel="1" x14ac:dyDescent="0.25">
      <c r="A146" s="14" t="s">
        <v>78</v>
      </c>
      <c r="C146" s="14" t="str">
        <f t="shared" si="9"/>
        <v>Other Income</v>
      </c>
      <c r="D146" s="15"/>
      <c r="E146" s="19" t="str">
        <f>"706000 - Prestations de Services"</f>
        <v>706000 - Prestations de Services</v>
      </c>
      <c r="F146" s="19"/>
      <c r="G146" s="22">
        <v>944500</v>
      </c>
      <c r="H146" s="22">
        <v>1020060</v>
      </c>
      <c r="I146" s="22">
        <v>1101664.8</v>
      </c>
    </row>
    <row r="147" spans="1:12" ht="15.75" hidden="1" outlineLevel="1" x14ac:dyDescent="0.25">
      <c r="A147" s="14" t="s">
        <v>78</v>
      </c>
      <c r="C147" s="14" t="str">
        <f t="shared" si="9"/>
        <v>Other Income</v>
      </c>
      <c r="D147" s="15"/>
      <c r="E147" s="19" t="str">
        <f>"707000 - Ventes de Marchandises"</f>
        <v>707000 - Ventes de Marchandises</v>
      </c>
      <c r="F147" s="19"/>
      <c r="G147" s="22">
        <v>0</v>
      </c>
      <c r="H147" s="22">
        <v>0</v>
      </c>
      <c r="I147" s="22">
        <v>0</v>
      </c>
    </row>
    <row r="148" spans="1:12" ht="15.75" hidden="1" outlineLevel="1" x14ac:dyDescent="0.25">
      <c r="A148" s="14" t="s">
        <v>78</v>
      </c>
      <c r="C148" s="14" t="str">
        <f t="shared" si="9"/>
        <v>Other Income</v>
      </c>
      <c r="D148" s="15"/>
      <c r="E148" s="19" t="str">
        <f>"766000 - Gain de Change"</f>
        <v>766000 - Gain de Change</v>
      </c>
      <c r="F148" s="19"/>
      <c r="G148" s="22">
        <v>0</v>
      </c>
      <c r="H148" s="22">
        <v>0</v>
      </c>
      <c r="I148" s="22">
        <v>0</v>
      </c>
    </row>
    <row r="149" spans="1:12" ht="15.75" hidden="1" outlineLevel="1" x14ac:dyDescent="0.25">
      <c r="A149" s="14" t="s">
        <v>78</v>
      </c>
      <c r="C149" s="14" t="str">
        <f t="shared" si="9"/>
        <v>Other Income</v>
      </c>
      <c r="D149" s="15"/>
      <c r="E149" s="19" t="str">
        <f>"801600 - Currency Adjustment Profits - Unrealized"</f>
        <v>801600 - Currency Adjustment Profits - Unrealized</v>
      </c>
      <c r="F149" s="19"/>
      <c r="G149" s="22">
        <v>11406.92</v>
      </c>
      <c r="H149" s="22">
        <v>0</v>
      </c>
      <c r="I149" s="22">
        <v>0</v>
      </c>
    </row>
    <row r="150" spans="1:12" ht="15.75" x14ac:dyDescent="0.25">
      <c r="C150" s="14" t="str">
        <f>C140</f>
        <v>Other Income</v>
      </c>
      <c r="D150" s="15"/>
      <c r="E150" s="20" t="str">
        <f>"Total "&amp;D139</f>
        <v>Total Other Income</v>
      </c>
      <c r="F150" s="13"/>
      <c r="G150" s="21">
        <v>1604157.92</v>
      </c>
      <c r="H150" s="21">
        <v>1666436</v>
      </c>
      <c r="I150" s="21">
        <v>1751790.8</v>
      </c>
      <c r="J150" s="6"/>
      <c r="K150" s="6"/>
      <c r="L150" s="6"/>
    </row>
    <row r="151" spans="1:12" ht="15.75" x14ac:dyDescent="0.25">
      <c r="D151" s="15"/>
      <c r="E151" s="9"/>
      <c r="F151" s="8"/>
      <c r="G151" s="7"/>
      <c r="H151" s="7"/>
      <c r="I151" s="7"/>
    </row>
    <row r="152" spans="1:12" ht="15.75" x14ac:dyDescent="0.25">
      <c r="D152" s="15"/>
      <c r="E152" s="9"/>
      <c r="F152" s="8"/>
      <c r="G152" s="7"/>
      <c r="H152" s="7"/>
      <c r="I152" s="7"/>
    </row>
    <row r="153" spans="1:12" ht="15.75" x14ac:dyDescent="0.25">
      <c r="D153" s="23" t="s">
        <v>13</v>
      </c>
      <c r="E153" s="24"/>
      <c r="F153" s="24"/>
      <c r="G153" s="25">
        <f>SUBTOTAL(9,G137,G150)</f>
        <v>1319202.68</v>
      </c>
      <c r="H153" s="25">
        <f>SUBTOTAL(9,H137,H150)</f>
        <v>1313857.04</v>
      </c>
      <c r="I153" s="25">
        <f>SUBTOTAL(9,I137,I150)</f>
        <v>1382660.3</v>
      </c>
    </row>
    <row r="154" spans="1:12" ht="15.75" x14ac:dyDescent="0.25">
      <c r="D154" s="16"/>
    </row>
    <row r="155" spans="1:12" ht="15.75" collapsed="1" x14ac:dyDescent="0.25">
      <c r="C155" s="14" t="str">
        <f>D155</f>
        <v>Gain or loss on asset disposal</v>
      </c>
      <c r="D155" s="11" t="s">
        <v>25</v>
      </c>
      <c r="E155" s="8"/>
      <c r="F155" s="9"/>
      <c r="G155" s="8"/>
      <c r="H155" s="8"/>
      <c r="I155" s="8"/>
    </row>
    <row r="156" spans="1:12" ht="15.75" hidden="1" outlineLevel="1" x14ac:dyDescent="0.25">
      <c r="C156" s="14" t="str">
        <f>C155</f>
        <v>Gain or loss on asset disposal</v>
      </c>
      <c r="D156" s="15"/>
      <c r="E156" s="19"/>
      <c r="F156" s="19"/>
      <c r="G156" s="22">
        <v>0</v>
      </c>
      <c r="H156" s="22">
        <v>0</v>
      </c>
      <c r="I156" s="22">
        <v>0</v>
      </c>
    </row>
    <row r="157" spans="1:12" ht="15.75" x14ac:dyDescent="0.25">
      <c r="C157" s="14" t="str">
        <f>C156</f>
        <v>Gain or loss on asset disposal</v>
      </c>
      <c r="D157" s="15"/>
      <c r="E157" s="20" t="str">
        <f>"Total "&amp;D155</f>
        <v>Total Gain or loss on asset disposal</v>
      </c>
      <c r="F157" s="13"/>
      <c r="G157" s="21">
        <v>0</v>
      </c>
      <c r="H157" s="21">
        <v>0</v>
      </c>
      <c r="I157" s="21">
        <v>0</v>
      </c>
      <c r="J157" s="6"/>
      <c r="K157" s="6"/>
      <c r="L157" s="6"/>
    </row>
    <row r="158" spans="1:12" ht="15.75" x14ac:dyDescent="0.25">
      <c r="D158" s="16"/>
    </row>
    <row r="159" spans="1:12" ht="16.5" thickBot="1" x14ac:dyDescent="0.3">
      <c r="D159" s="26" t="s">
        <v>14</v>
      </c>
      <c r="E159" s="26"/>
      <c r="F159" s="26"/>
      <c r="G159" s="27">
        <f>G33+G116+G153+G157</f>
        <v>21098950.130000003</v>
      </c>
      <c r="H159" s="27">
        <f t="shared" ref="H159:I159" si="10">H33+H116+H153+H157</f>
        <v>21114944.360000003</v>
      </c>
      <c r="I159" s="27">
        <f t="shared" si="10"/>
        <v>27871339.090000015</v>
      </c>
    </row>
    <row r="160" spans="1:12" ht="16.5" thickTop="1" x14ac:dyDescent="0.25">
      <c r="D160" s="16"/>
    </row>
    <row r="161" spans="4:16" ht="15.75" x14ac:dyDescent="0.25">
      <c r="D161" s="16"/>
    </row>
    <row r="162" spans="4:16" ht="15.75" x14ac:dyDescent="0.25">
      <c r="D162" s="16"/>
    </row>
    <row r="163" spans="4:16" ht="15.75" x14ac:dyDescent="0.25">
      <c r="D163" s="16"/>
    </row>
    <row r="164" spans="4:16" ht="15.75" x14ac:dyDescent="0.25">
      <c r="D164" s="16"/>
    </row>
    <row r="166" spans="4:16" x14ac:dyDescent="0.25">
      <c r="E166" s="19"/>
      <c r="F166" s="19"/>
      <c r="G166" s="22"/>
      <c r="H166" s="22"/>
      <c r="I166" s="22"/>
    </row>
    <row r="167" spans="4:16" x14ac:dyDescent="0.25">
      <c r="M167" s="4"/>
    </row>
    <row r="168" spans="4:16" x14ac:dyDescent="0.25">
      <c r="N168" s="4"/>
    </row>
    <row r="169" spans="4:16" x14ac:dyDescent="0.25">
      <c r="O169" s="4"/>
    </row>
    <row r="170" spans="4:16" x14ac:dyDescent="0.25">
      <c r="P170" s="4"/>
    </row>
  </sheetData>
  <pageMargins left="0.7" right="0.7" top="0.75" bottom="0.75" header="0.3" footer="0.3"/>
  <pageSetup orientation="portrait" horizontalDpi="300" verticalDpi="30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5" x14ac:dyDescent="0.25"/>
  <sheetData>
    <row r="1" spans="1:5" x14ac:dyDescent="0.25">
      <c r="A1" s="42" t="s">
        <v>764</v>
      </c>
      <c r="B1" s="42" t="s">
        <v>2</v>
      </c>
      <c r="C1" s="42" t="s">
        <v>3</v>
      </c>
      <c r="D1" s="42" t="s">
        <v>4</v>
      </c>
    </row>
    <row r="3" spans="1:5" x14ac:dyDescent="0.25">
      <c r="C3" s="42" t="s">
        <v>5</v>
      </c>
    </row>
    <row r="4" spans="1:5" x14ac:dyDescent="0.25">
      <c r="A4" s="42" t="s">
        <v>6</v>
      </c>
      <c r="B4" s="42" t="s">
        <v>7</v>
      </c>
      <c r="C4" s="42" t="s">
        <v>185</v>
      </c>
      <c r="E4" s="42" t="s">
        <v>26</v>
      </c>
    </row>
    <row r="5" spans="1:5" x14ac:dyDescent="0.25">
      <c r="A5" s="42" t="s">
        <v>6</v>
      </c>
      <c r="B5" s="42" t="s">
        <v>8</v>
      </c>
      <c r="C5" s="42" t="s">
        <v>186</v>
      </c>
    </row>
    <row r="6" spans="1:5" x14ac:dyDescent="0.25">
      <c r="A6" s="42" t="s">
        <v>6</v>
      </c>
      <c r="B6" s="42" t="s">
        <v>24</v>
      </c>
      <c r="C6" s="42" t="s">
        <v>763</v>
      </c>
      <c r="D6" s="42" t="s">
        <v>27</v>
      </c>
    </row>
    <row r="7" spans="1:5" x14ac:dyDescent="0.25">
      <c r="A7" s="42" t="s">
        <v>6</v>
      </c>
      <c r="B7" s="42" t="s">
        <v>15</v>
      </c>
      <c r="C7" s="42" t="s">
        <v>170</v>
      </c>
      <c r="D7" s="42" t="s">
        <v>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5" x14ac:dyDescent="0.25"/>
  <sheetData>
    <row r="1" spans="1:5" x14ac:dyDescent="0.25">
      <c r="A1" s="42" t="s">
        <v>764</v>
      </c>
      <c r="B1" s="42" t="s">
        <v>2</v>
      </c>
      <c r="C1" s="42" t="s">
        <v>3</v>
      </c>
      <c r="D1" s="42" t="s">
        <v>4</v>
      </c>
    </row>
    <row r="3" spans="1:5" x14ac:dyDescent="0.25">
      <c r="C3" s="42" t="s">
        <v>5</v>
      </c>
    </row>
    <row r="4" spans="1:5" x14ac:dyDescent="0.25">
      <c r="A4" s="42" t="s">
        <v>6</v>
      </c>
      <c r="B4" s="42" t="s">
        <v>7</v>
      </c>
      <c r="C4" s="42" t="s">
        <v>185</v>
      </c>
      <c r="E4" s="42" t="s">
        <v>26</v>
      </c>
    </row>
    <row r="5" spans="1:5" x14ac:dyDescent="0.25">
      <c r="A5" s="42" t="s">
        <v>6</v>
      </c>
      <c r="B5" s="42" t="s">
        <v>8</v>
      </c>
      <c r="C5" s="42" t="s">
        <v>186</v>
      </c>
    </row>
    <row r="6" spans="1:5" x14ac:dyDescent="0.25">
      <c r="A6" s="42" t="s">
        <v>6</v>
      </c>
      <c r="B6" s="42" t="s">
        <v>24</v>
      </c>
      <c r="C6" s="42" t="s">
        <v>763</v>
      </c>
      <c r="D6" s="42" t="s">
        <v>27</v>
      </c>
    </row>
    <row r="7" spans="1:5" x14ac:dyDescent="0.25">
      <c r="A7" s="42" t="s">
        <v>6</v>
      </c>
      <c r="B7" s="42" t="s">
        <v>15</v>
      </c>
      <c r="C7" s="42" t="s">
        <v>170</v>
      </c>
      <c r="D7" s="42" t="s">
        <v>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heetViews>
  <sheetFormatPr defaultRowHeight="15" x14ac:dyDescent="0.25"/>
  <sheetData>
    <row r="1" spans="1:8" x14ac:dyDescent="0.25">
      <c r="A1" s="42" t="s">
        <v>765</v>
      </c>
      <c r="C1" s="42" t="s">
        <v>11</v>
      </c>
      <c r="H1" s="42" t="s">
        <v>9</v>
      </c>
    </row>
    <row r="3" spans="1:8" x14ac:dyDescent="0.25">
      <c r="D3" s="42" t="s">
        <v>10</v>
      </c>
    </row>
    <row r="5" spans="1:8" x14ac:dyDescent="0.25">
      <c r="A5" s="42" t="s">
        <v>9</v>
      </c>
      <c r="G5" s="42" t="s">
        <v>29</v>
      </c>
    </row>
    <row r="6" spans="1:8" x14ac:dyDescent="0.25">
      <c r="G6" s="42" t="s">
        <v>190</v>
      </c>
    </row>
    <row r="7" spans="1:8" x14ac:dyDescent="0.25">
      <c r="C7" s="42" t="s">
        <v>30</v>
      </c>
      <c r="D7" s="42" t="s">
        <v>233</v>
      </c>
    </row>
    <row r="8" spans="1:8" x14ac:dyDescent="0.25">
      <c r="C8" s="42" t="s">
        <v>31</v>
      </c>
      <c r="E8" s="42" t="s">
        <v>191</v>
      </c>
      <c r="G8" s="42" t="s">
        <v>192</v>
      </c>
    </row>
    <row r="9" spans="1:8" x14ac:dyDescent="0.25">
      <c r="C9" s="42" t="s">
        <v>32</v>
      </c>
      <c r="E9" s="42" t="s">
        <v>33</v>
      </c>
      <c r="G9" s="42" t="s">
        <v>193</v>
      </c>
    </row>
    <row r="11" spans="1:8" x14ac:dyDescent="0.25">
      <c r="C11" s="42" t="s">
        <v>34</v>
      </c>
      <c r="D11" s="42" t="s">
        <v>194</v>
      </c>
    </row>
    <row r="12" spans="1:8" x14ac:dyDescent="0.25">
      <c r="C12" s="42" t="s">
        <v>35</v>
      </c>
      <c r="E12" s="42" t="s">
        <v>195</v>
      </c>
      <c r="G12" s="42" t="s">
        <v>196</v>
      </c>
    </row>
    <row r="13" spans="1:8" x14ac:dyDescent="0.25">
      <c r="C13" s="42" t="s">
        <v>36</v>
      </c>
      <c r="E13" s="42" t="s">
        <v>37</v>
      </c>
      <c r="G13" s="42" t="s">
        <v>197</v>
      </c>
    </row>
    <row r="15" spans="1:8" x14ac:dyDescent="0.25">
      <c r="D15" s="42" t="s">
        <v>1</v>
      </c>
      <c r="G15" s="42" t="s">
        <v>38</v>
      </c>
    </row>
    <row r="17" spans="3:7" x14ac:dyDescent="0.25">
      <c r="C17" s="42" t="s">
        <v>39</v>
      </c>
      <c r="D17" s="42" t="s">
        <v>198</v>
      </c>
    </row>
    <row r="18" spans="3:7" x14ac:dyDescent="0.25">
      <c r="C18" s="42" t="s">
        <v>40</v>
      </c>
      <c r="E18" s="42" t="s">
        <v>199</v>
      </c>
      <c r="G18" s="42" t="s">
        <v>200</v>
      </c>
    </row>
    <row r="19" spans="3:7" x14ac:dyDescent="0.25">
      <c r="C19" s="42" t="s">
        <v>41</v>
      </c>
      <c r="E19" s="42" t="s">
        <v>42</v>
      </c>
      <c r="G19" s="42" t="s">
        <v>201</v>
      </c>
    </row>
    <row r="21" spans="3:7" x14ac:dyDescent="0.25">
      <c r="C21" s="42" t="s">
        <v>43</v>
      </c>
      <c r="D21" s="42" t="s">
        <v>202</v>
      </c>
    </row>
    <row r="22" spans="3:7" x14ac:dyDescent="0.25">
      <c r="C22" s="42" t="s">
        <v>44</v>
      </c>
      <c r="E22" s="42" t="s">
        <v>203</v>
      </c>
      <c r="G22" s="42" t="s">
        <v>204</v>
      </c>
    </row>
    <row r="23" spans="3:7" x14ac:dyDescent="0.25">
      <c r="C23" s="42" t="s">
        <v>45</v>
      </c>
      <c r="E23" s="42" t="s">
        <v>46</v>
      </c>
      <c r="G23" s="42" t="s">
        <v>205</v>
      </c>
    </row>
    <row r="25" spans="3:7" x14ac:dyDescent="0.25">
      <c r="C25" s="42" t="s">
        <v>47</v>
      </c>
      <c r="D25" s="42" t="s">
        <v>206</v>
      </c>
    </row>
    <row r="26" spans="3:7" x14ac:dyDescent="0.25">
      <c r="C26" s="42" t="s">
        <v>48</v>
      </c>
      <c r="E26" s="42" t="s">
        <v>207</v>
      </c>
      <c r="G26" s="42" t="s">
        <v>208</v>
      </c>
    </row>
    <row r="27" spans="3:7" x14ac:dyDescent="0.25">
      <c r="C27" s="42" t="s">
        <v>49</v>
      </c>
      <c r="E27" s="42" t="s">
        <v>50</v>
      </c>
      <c r="G27" s="42" t="s">
        <v>209</v>
      </c>
    </row>
    <row r="29" spans="3:7" x14ac:dyDescent="0.25">
      <c r="C29" s="42" t="s">
        <v>51</v>
      </c>
      <c r="D29" s="42" t="s">
        <v>210</v>
      </c>
    </row>
    <row r="30" spans="3:7" x14ac:dyDescent="0.25">
      <c r="C30" s="42" t="s">
        <v>52</v>
      </c>
      <c r="E30" s="42" t="s">
        <v>211</v>
      </c>
      <c r="G30" s="42" t="s">
        <v>212</v>
      </c>
    </row>
    <row r="31" spans="3:7" x14ac:dyDescent="0.25">
      <c r="C31" s="42" t="s">
        <v>53</v>
      </c>
      <c r="E31" s="42" t="s">
        <v>54</v>
      </c>
      <c r="G31" s="42" t="s">
        <v>213</v>
      </c>
    </row>
    <row r="33" spans="3:7" x14ac:dyDescent="0.25">
      <c r="C33" s="42" t="s">
        <v>55</v>
      </c>
      <c r="D33" s="42" t="s">
        <v>214</v>
      </c>
    </row>
    <row r="34" spans="3:7" x14ac:dyDescent="0.25">
      <c r="C34" s="42" t="s">
        <v>56</v>
      </c>
      <c r="E34" s="42" t="s">
        <v>215</v>
      </c>
      <c r="G34" s="42" t="s">
        <v>216</v>
      </c>
    </row>
    <row r="35" spans="3:7" x14ac:dyDescent="0.25">
      <c r="C35" s="42" t="s">
        <v>57</v>
      </c>
      <c r="E35" s="42" t="s">
        <v>58</v>
      </c>
      <c r="G35" s="42" t="s">
        <v>217</v>
      </c>
    </row>
    <row r="37" spans="3:7" x14ac:dyDescent="0.25">
      <c r="C37" s="42" t="s">
        <v>59</v>
      </c>
      <c r="D37" s="42" t="s">
        <v>218</v>
      </c>
    </row>
    <row r="38" spans="3:7" x14ac:dyDescent="0.25">
      <c r="C38" s="42" t="s">
        <v>60</v>
      </c>
      <c r="E38" s="42" t="s">
        <v>219</v>
      </c>
      <c r="G38" s="42" t="s">
        <v>220</v>
      </c>
    </row>
    <row r="39" spans="3:7" x14ac:dyDescent="0.25">
      <c r="C39" s="42" t="s">
        <v>61</v>
      </c>
      <c r="E39" s="42" t="s">
        <v>62</v>
      </c>
      <c r="G39" s="42" t="s">
        <v>221</v>
      </c>
    </row>
    <row r="41" spans="3:7" x14ac:dyDescent="0.25">
      <c r="D41" s="42" t="s">
        <v>12</v>
      </c>
      <c r="G41" s="42" t="s">
        <v>63</v>
      </c>
    </row>
    <row r="43" spans="3:7" x14ac:dyDescent="0.25">
      <c r="C43" s="42" t="s">
        <v>64</v>
      </c>
      <c r="D43" s="42" t="s">
        <v>222</v>
      </c>
    </row>
    <row r="44" spans="3:7" x14ac:dyDescent="0.25">
      <c r="C44" s="42" t="s">
        <v>65</v>
      </c>
      <c r="E44" s="42" t="s">
        <v>223</v>
      </c>
      <c r="G44" s="42" t="s">
        <v>224</v>
      </c>
    </row>
    <row r="45" spans="3:7" x14ac:dyDescent="0.25">
      <c r="C45" s="42" t="s">
        <v>66</v>
      </c>
      <c r="E45" s="42" t="s">
        <v>67</v>
      </c>
      <c r="G45" s="42" t="s">
        <v>225</v>
      </c>
    </row>
    <row r="47" spans="3:7" x14ac:dyDescent="0.25">
      <c r="C47" s="42" t="s">
        <v>68</v>
      </c>
      <c r="D47" s="42" t="s">
        <v>226</v>
      </c>
    </row>
    <row r="48" spans="3:7" x14ac:dyDescent="0.25">
      <c r="C48" s="42" t="s">
        <v>69</v>
      </c>
      <c r="E48" s="42" t="s">
        <v>227</v>
      </c>
      <c r="G48" s="42" t="s">
        <v>228</v>
      </c>
    </row>
    <row r="49" spans="3:7" x14ac:dyDescent="0.25">
      <c r="C49" s="42" t="s">
        <v>70</v>
      </c>
      <c r="E49" s="42" t="s">
        <v>71</v>
      </c>
      <c r="G49" s="42" t="s">
        <v>229</v>
      </c>
    </row>
    <row r="52" spans="3:7" x14ac:dyDescent="0.25">
      <c r="D52" s="42" t="s">
        <v>13</v>
      </c>
      <c r="G52" s="42" t="s">
        <v>72</v>
      </c>
    </row>
    <row r="54" spans="3:7" x14ac:dyDescent="0.25">
      <c r="C54" s="42" t="s">
        <v>73</v>
      </c>
      <c r="D54" s="42" t="s">
        <v>25</v>
      </c>
    </row>
    <row r="55" spans="3:7" x14ac:dyDescent="0.25">
      <c r="C55" s="42" t="s">
        <v>74</v>
      </c>
      <c r="E55" s="42" t="s">
        <v>230</v>
      </c>
      <c r="G55" s="42" t="s">
        <v>231</v>
      </c>
    </row>
    <row r="56" spans="3:7" x14ac:dyDescent="0.25">
      <c r="C56" s="42" t="s">
        <v>75</v>
      </c>
      <c r="E56" s="42" t="s">
        <v>76</v>
      </c>
      <c r="G56" s="42" t="s">
        <v>232</v>
      </c>
    </row>
    <row r="58" spans="3:7" x14ac:dyDescent="0.25">
      <c r="D58" s="42" t="s">
        <v>14</v>
      </c>
      <c r="G58" s="42" t="s">
        <v>77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workbookViewId="0"/>
  </sheetViews>
  <sheetFormatPr defaultRowHeight="15" x14ac:dyDescent="0.25"/>
  <sheetData>
    <row r="1" spans="1:8" x14ac:dyDescent="0.25">
      <c r="A1" s="42" t="s">
        <v>765</v>
      </c>
      <c r="C1" s="42" t="s">
        <v>11</v>
      </c>
      <c r="H1" s="42" t="s">
        <v>9</v>
      </c>
    </row>
    <row r="3" spans="1:8" x14ac:dyDescent="0.25">
      <c r="D3" s="42" t="s">
        <v>10</v>
      </c>
    </row>
    <row r="5" spans="1:8" x14ac:dyDescent="0.25">
      <c r="A5" s="42" t="s">
        <v>9</v>
      </c>
      <c r="G5" s="42" t="s">
        <v>29</v>
      </c>
    </row>
    <row r="6" spans="1:8" x14ac:dyDescent="0.25">
      <c r="G6" s="42" t="s">
        <v>190</v>
      </c>
    </row>
    <row r="7" spans="1:8" x14ac:dyDescent="0.25">
      <c r="C7" s="42" t="s">
        <v>30</v>
      </c>
      <c r="D7" s="42" t="s">
        <v>189</v>
      </c>
    </row>
    <row r="8" spans="1:8" x14ac:dyDescent="0.25">
      <c r="C8" s="42" t="s">
        <v>31</v>
      </c>
      <c r="E8" s="42" t="s">
        <v>191</v>
      </c>
      <c r="G8" s="42" t="s">
        <v>192</v>
      </c>
    </row>
    <row r="9" spans="1:8" x14ac:dyDescent="0.25">
      <c r="C9" s="42" t="s">
        <v>32</v>
      </c>
      <c r="E9" s="42" t="s">
        <v>33</v>
      </c>
      <c r="G9" s="42" t="s">
        <v>193</v>
      </c>
    </row>
    <row r="11" spans="1:8" x14ac:dyDescent="0.25">
      <c r="C11" s="42" t="s">
        <v>34</v>
      </c>
      <c r="D11" s="42" t="s">
        <v>194</v>
      </c>
    </row>
    <row r="12" spans="1:8" x14ac:dyDescent="0.25">
      <c r="C12" s="42" t="s">
        <v>35</v>
      </c>
      <c r="E12" s="42" t="s">
        <v>195</v>
      </c>
      <c r="G12" s="42" t="s">
        <v>196</v>
      </c>
    </row>
    <row r="13" spans="1:8" x14ac:dyDescent="0.25">
      <c r="C13" s="42" t="s">
        <v>36</v>
      </c>
      <c r="E13" s="42" t="s">
        <v>37</v>
      </c>
      <c r="G13" s="42" t="s">
        <v>197</v>
      </c>
    </row>
    <row r="15" spans="1:8" x14ac:dyDescent="0.25">
      <c r="D15" s="42" t="s">
        <v>1</v>
      </c>
      <c r="G15" s="42" t="s">
        <v>38</v>
      </c>
    </row>
    <row r="17" spans="3:7" x14ac:dyDescent="0.25">
      <c r="C17" s="42" t="s">
        <v>39</v>
      </c>
      <c r="D17" s="42" t="s">
        <v>198</v>
      </c>
    </row>
    <row r="18" spans="3:7" x14ac:dyDescent="0.25">
      <c r="C18" s="42" t="s">
        <v>40</v>
      </c>
      <c r="E18" s="42" t="s">
        <v>199</v>
      </c>
      <c r="G18" s="42" t="s">
        <v>200</v>
      </c>
    </row>
    <row r="19" spans="3:7" x14ac:dyDescent="0.25">
      <c r="C19" s="42" t="s">
        <v>41</v>
      </c>
      <c r="E19" s="42" t="s">
        <v>42</v>
      </c>
      <c r="G19" s="42" t="s">
        <v>201</v>
      </c>
    </row>
    <row r="21" spans="3:7" x14ac:dyDescent="0.25">
      <c r="C21" s="42" t="s">
        <v>43</v>
      </c>
      <c r="D21" s="42" t="s">
        <v>202</v>
      </c>
    </row>
    <row r="22" spans="3:7" x14ac:dyDescent="0.25">
      <c r="C22" s="42" t="s">
        <v>44</v>
      </c>
      <c r="E22" s="42" t="s">
        <v>203</v>
      </c>
      <c r="G22" s="42" t="s">
        <v>204</v>
      </c>
    </row>
    <row r="23" spans="3:7" x14ac:dyDescent="0.25">
      <c r="C23" s="42" t="s">
        <v>45</v>
      </c>
      <c r="E23" s="42" t="s">
        <v>46</v>
      </c>
      <c r="G23" s="42" t="s">
        <v>205</v>
      </c>
    </row>
    <row r="25" spans="3:7" x14ac:dyDescent="0.25">
      <c r="C25" s="42" t="s">
        <v>47</v>
      </c>
      <c r="D25" s="42" t="s">
        <v>206</v>
      </c>
    </row>
    <row r="26" spans="3:7" x14ac:dyDescent="0.25">
      <c r="C26" s="42" t="s">
        <v>48</v>
      </c>
      <c r="E26" s="42" t="s">
        <v>207</v>
      </c>
      <c r="G26" s="42" t="s">
        <v>208</v>
      </c>
    </row>
    <row r="27" spans="3:7" x14ac:dyDescent="0.25">
      <c r="C27" s="42" t="s">
        <v>49</v>
      </c>
      <c r="E27" s="42" t="s">
        <v>50</v>
      </c>
      <c r="G27" s="42" t="s">
        <v>209</v>
      </c>
    </row>
    <row r="29" spans="3:7" x14ac:dyDescent="0.25">
      <c r="C29" s="42" t="s">
        <v>51</v>
      </c>
      <c r="D29" s="42" t="s">
        <v>210</v>
      </c>
    </row>
    <row r="30" spans="3:7" x14ac:dyDescent="0.25">
      <c r="C30" s="42" t="s">
        <v>52</v>
      </c>
      <c r="E30" s="42" t="s">
        <v>211</v>
      </c>
      <c r="G30" s="42" t="s">
        <v>212</v>
      </c>
    </row>
    <row r="31" spans="3:7" x14ac:dyDescent="0.25">
      <c r="C31" s="42" t="s">
        <v>53</v>
      </c>
      <c r="E31" s="42" t="s">
        <v>54</v>
      </c>
      <c r="G31" s="42" t="s">
        <v>213</v>
      </c>
    </row>
    <row r="33" spans="3:7" x14ac:dyDescent="0.25">
      <c r="C33" s="42" t="s">
        <v>55</v>
      </c>
      <c r="D33" s="42" t="s">
        <v>214</v>
      </c>
    </row>
    <row r="34" spans="3:7" x14ac:dyDescent="0.25">
      <c r="C34" s="42" t="s">
        <v>56</v>
      </c>
      <c r="E34" s="42" t="s">
        <v>215</v>
      </c>
      <c r="G34" s="42" t="s">
        <v>216</v>
      </c>
    </row>
    <row r="35" spans="3:7" x14ac:dyDescent="0.25">
      <c r="C35" s="42" t="s">
        <v>57</v>
      </c>
      <c r="E35" s="42" t="s">
        <v>58</v>
      </c>
      <c r="G35" s="42" t="s">
        <v>217</v>
      </c>
    </row>
    <row r="37" spans="3:7" x14ac:dyDescent="0.25">
      <c r="C37" s="42" t="s">
        <v>59</v>
      </c>
      <c r="D37" s="42" t="s">
        <v>218</v>
      </c>
    </row>
    <row r="38" spans="3:7" x14ac:dyDescent="0.25">
      <c r="C38" s="42" t="s">
        <v>60</v>
      </c>
      <c r="E38" s="42" t="s">
        <v>219</v>
      </c>
      <c r="G38" s="42" t="s">
        <v>220</v>
      </c>
    </row>
    <row r="39" spans="3:7" x14ac:dyDescent="0.25">
      <c r="C39" s="42" t="s">
        <v>61</v>
      </c>
      <c r="E39" s="42" t="s">
        <v>62</v>
      </c>
      <c r="G39" s="42" t="s">
        <v>221</v>
      </c>
    </row>
    <row r="41" spans="3:7" x14ac:dyDescent="0.25">
      <c r="D41" s="42" t="s">
        <v>12</v>
      </c>
      <c r="G41" s="42" t="s">
        <v>63</v>
      </c>
    </row>
    <row r="43" spans="3:7" x14ac:dyDescent="0.25">
      <c r="C43" s="42" t="s">
        <v>64</v>
      </c>
      <c r="D43" s="42" t="s">
        <v>222</v>
      </c>
    </row>
    <row r="44" spans="3:7" x14ac:dyDescent="0.25">
      <c r="C44" s="42" t="s">
        <v>65</v>
      </c>
      <c r="E44" s="42" t="s">
        <v>223</v>
      </c>
      <c r="G44" s="42" t="s">
        <v>224</v>
      </c>
    </row>
    <row r="45" spans="3:7" x14ac:dyDescent="0.25">
      <c r="C45" s="42" t="s">
        <v>66</v>
      </c>
      <c r="E45" s="42" t="s">
        <v>67</v>
      </c>
      <c r="G45" s="42" t="s">
        <v>225</v>
      </c>
    </row>
    <row r="47" spans="3:7" x14ac:dyDescent="0.25">
      <c r="C47" s="42" t="s">
        <v>68</v>
      </c>
      <c r="D47" s="42" t="s">
        <v>226</v>
      </c>
    </row>
    <row r="48" spans="3:7" x14ac:dyDescent="0.25">
      <c r="C48" s="42" t="s">
        <v>69</v>
      </c>
      <c r="E48" s="42" t="s">
        <v>227</v>
      </c>
      <c r="G48" s="42" t="s">
        <v>228</v>
      </c>
    </row>
    <row r="49" spans="3:7" x14ac:dyDescent="0.25">
      <c r="C49" s="42" t="s">
        <v>70</v>
      </c>
      <c r="E49" s="42" t="s">
        <v>71</v>
      </c>
      <c r="G49" s="42" t="s">
        <v>229</v>
      </c>
    </row>
    <row r="52" spans="3:7" x14ac:dyDescent="0.25">
      <c r="D52" s="42" t="s">
        <v>13</v>
      </c>
      <c r="G52" s="42" t="s">
        <v>72</v>
      </c>
    </row>
    <row r="54" spans="3:7" x14ac:dyDescent="0.25">
      <c r="C54" s="42" t="s">
        <v>73</v>
      </c>
      <c r="D54" s="42" t="s">
        <v>25</v>
      </c>
    </row>
    <row r="55" spans="3:7" x14ac:dyDescent="0.25">
      <c r="C55" s="42" t="s">
        <v>74</v>
      </c>
      <c r="E55" s="42" t="s">
        <v>230</v>
      </c>
      <c r="G55" s="42" t="s">
        <v>231</v>
      </c>
    </row>
    <row r="56" spans="3:7" x14ac:dyDescent="0.25">
      <c r="C56" s="42" t="s">
        <v>75</v>
      </c>
      <c r="E56" s="42" t="s">
        <v>76</v>
      </c>
      <c r="G56" s="42" t="s">
        <v>232</v>
      </c>
    </row>
    <row r="58" spans="3:7" x14ac:dyDescent="0.25">
      <c r="D58" s="42" t="s">
        <v>14</v>
      </c>
      <c r="G58" s="42" t="s">
        <v>77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heetViews>
  <sheetFormatPr defaultRowHeight="15" x14ac:dyDescent="0.25"/>
  <sheetData>
    <row r="1" spans="1:5" x14ac:dyDescent="0.25">
      <c r="A1" s="42" t="s">
        <v>767</v>
      </c>
      <c r="B1" s="42" t="s">
        <v>2</v>
      </c>
      <c r="C1" s="42" t="s">
        <v>3</v>
      </c>
      <c r="D1" s="42" t="s">
        <v>4</v>
      </c>
    </row>
    <row r="3" spans="1:5" x14ac:dyDescent="0.25">
      <c r="C3" s="42" t="s">
        <v>5</v>
      </c>
    </row>
    <row r="4" spans="1:5" x14ac:dyDescent="0.25">
      <c r="A4" s="42" t="s">
        <v>6</v>
      </c>
      <c r="B4" s="42" t="s">
        <v>7</v>
      </c>
      <c r="C4" s="42" t="s">
        <v>185</v>
      </c>
      <c r="E4" s="42" t="s">
        <v>26</v>
      </c>
    </row>
    <row r="5" spans="1:5" x14ac:dyDescent="0.25">
      <c r="A5" s="42" t="s">
        <v>6</v>
      </c>
      <c r="B5" s="42" t="s">
        <v>8</v>
      </c>
      <c r="C5" s="42" t="s">
        <v>186</v>
      </c>
    </row>
    <row r="6" spans="1:5" x14ac:dyDescent="0.25">
      <c r="A6" s="42" t="s">
        <v>6</v>
      </c>
      <c r="B6" s="42" t="s">
        <v>24</v>
      </c>
      <c r="C6" s="42" t="s">
        <v>763</v>
      </c>
      <c r="D6" s="42" t="s">
        <v>27</v>
      </c>
    </row>
    <row r="7" spans="1:5" x14ac:dyDescent="0.25">
      <c r="A7" s="42" t="s">
        <v>6</v>
      </c>
      <c r="B7" s="42" t="s">
        <v>15</v>
      </c>
      <c r="C7" s="42" t="s">
        <v>170</v>
      </c>
      <c r="D7" s="42" t="s">
        <v>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Before Running This Report</vt:lpstr>
      <vt:lpstr>Read Me</vt:lpstr>
      <vt:lpstr>Options</vt:lpstr>
      <vt:lpstr>Income Statement by month</vt:lpstr>
      <vt:lpstr>AccountType</vt:lpstr>
      <vt:lpstr>Datasource</vt:lpstr>
      <vt:lpstr>DateFilter</vt:lpstr>
      <vt:lpstr>EndDate</vt:lpstr>
      <vt:lpstr>PeriodType</vt:lpstr>
      <vt:lpstr>StartDate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Income Statement</dc:title>
  <dc:subject>Jet Analytics</dc:subject>
  <dc:creator>Stephen J. Little</dc:creator>
  <dc:description>This report provides information about monthly activity by GL account.  This is a good example of how cube queries can be used to create reports from cube data.</dc:description>
  <cp:lastModifiedBy>Kim R. Duey</cp:lastModifiedBy>
  <dcterms:created xsi:type="dcterms:W3CDTF">2012-02-23T18:32:15Z</dcterms:created>
  <dcterms:modified xsi:type="dcterms:W3CDTF">2018-09-24T16:47:27Z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